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0"/>
  <workbookPr filterPrivacy="1" codeName="ThisWorkbook"/>
  <xr:revisionPtr revIDLastSave="0" documentId="13_ncr:1_{F39ABC6B-F4DC-484E-9956-5AFFBE882341}" xr6:coauthVersionLast="36" xr6:coauthVersionMax="36" xr10:uidLastSave="{00000000-0000-0000-0000-000000000000}"/>
  <bookViews>
    <workbookView xWindow="28680" yWindow="-120" windowWidth="29040" windowHeight="15840" firstSheet="6" activeTab="12" xr2:uid="{00000000-000D-0000-FFFF-FFFF00000000}"/>
  </bookViews>
  <sheets>
    <sheet name="C" sheetId="50" r:id="rId1"/>
    <sheet name="V" sheetId="48" r:id="rId2"/>
    <sheet name="S" sheetId="47" r:id="rId3"/>
    <sheet name="Listas" sheetId="51" r:id="rId4"/>
    <sheet name="Control" sheetId="58" r:id="rId5"/>
    <sheet name="Mercado" sheetId="52" r:id="rId6"/>
    <sheet name="Cálculos auxiliares" sheetId="59" r:id="rId7"/>
    <sheet name="Cálculos principales" sheetId="60" r:id="rId8"/>
    <sheet name="Calculos Renta de Linea y Voz" sheetId="63" r:id="rId9"/>
    <sheet name="Calculos Banda Ancha" sheetId="64" r:id="rId10"/>
    <sheet name="Tarifas SRL" sheetId="65" r:id="rId11"/>
    <sheet name="Tarifas SRMLT" sheetId="66" r:id="rId12"/>
    <sheet name="Resultados" sheetId="77" r:id="rId13"/>
    <sheet name="Datos AEP--&gt;" sheetId="53" r:id="rId14"/>
    <sheet name="Info planes y paquetes" sheetId="75" r:id="rId15"/>
    <sheet name="Datos precios" sheetId="76"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xlnm._FilterDatabase" localSheetId="6" hidden="1">'Cálculos auxiliares'!$A$359:$BG$359</definedName>
    <definedName name="_xlnm._FilterDatabase" localSheetId="8" hidden="1">'Calculos Renta de Linea y Voz'!$Q$50:$Q$53</definedName>
    <definedName name="_xlnm._FilterDatabase" localSheetId="15" hidden="1">'Datos precios'!$C$359:$V$480</definedName>
    <definedName name="_xlnm._FilterDatabase" localSheetId="14" hidden="1">'Info planes y paquetes'!$A$245:$EV$334</definedName>
    <definedName name="_xlnm._FilterDatabase" localSheetId="12" hidden="1">Resultados!$A$1:$BA$12</definedName>
    <definedName name="_xlnm._FilterDatabase" localSheetId="10" hidden="1">'Tarifas SRL'!$A$23:$BA$23</definedName>
    <definedName name="_GSRATES_1" hidden="1">"H2005092920050930USDMXN1000001"</definedName>
    <definedName name="_GSRATES_10" hidden="1">"CF3000012003033120030101"</definedName>
    <definedName name="_GSRATES_2" hidden="1">"H2005092920050930USDMXN1000001"</definedName>
    <definedName name="_GSRATES_3" hidden="1">"CF300006Invalid 20010630"</definedName>
    <definedName name="_GSRATES_4" hidden="1">"CF3000012002063020010630"</definedName>
    <definedName name="_GSRATES_5" hidden="1">"CF30000920020930        "</definedName>
    <definedName name="_GSRATES_6" hidden="1">"CF30000920010930        "</definedName>
    <definedName name="_GSRATES_7" hidden="1">"CF50000120020930        "</definedName>
    <definedName name="_GSRATES_8" hidden="1">"CT30000120020930        "</definedName>
    <definedName name="_GSRATES_9" hidden="1">"CF5000012003033120020101"</definedName>
    <definedName name="_GSRATES_COUNT" hidden="1">2</definedName>
    <definedName name="_Order2" hidden="1">255</definedName>
    <definedName name="_Regression_Int" hidden="1">1</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dmin.costs">Control!$I$47</definedName>
    <definedName name="Admin.staff.per.customer.care.staff">Control!$I$45</definedName>
    <definedName name="AEP.broadband.distribution.by.plan">Mercado!$C$21:$N$128</definedName>
    <definedName name="AEP.broadband.subs.by.plan">Mercado!$C$149:$N$256</definedName>
    <definedName name="AEP.broadband.subs.non.residential">Mercado!$I$286:$N$286</definedName>
    <definedName name="AEP.broadband.subs.residential">Mercado!$I$280:$N$280</definedName>
    <definedName name="AEP.broadband.subs.residential.with.line.rental">Mercado!$I$282:$N$282</definedName>
    <definedName name="AEP.broadband.subs.residential.without.line.rental">Mercado!$I$284:$N$284</definedName>
    <definedName name="AEP.telephone.lines">Mercado!$I$299:$N$299</definedName>
    <definedName name="AEP.telephone.lines.voice.only">Mercado!$I$320:$M$320</definedName>
    <definedName name="AEP.telephone.lines.voice.only.noresidential">Mercado!$I$324:$N$324</definedName>
    <definedName name="AEP.telephone.lines.voice.only.residential">Mercado!$I$322:$N$322</definedName>
    <definedName name="AEP.telephony.distribution.by.plan">Mercado!$C$444:$N$507</definedName>
    <definedName name="AEP.telephony.subs.by.plan">Mercado!$C$531:$N$594</definedName>
    <definedName name="_xlnm.Print_Area" localSheetId="0">'C'!$A$1:$E$47</definedName>
    <definedName name="_xlnm.Print_Area" localSheetId="1">V!$A$1:$D$59</definedName>
    <definedName name="Bad.debt.cost">Control!$I$17</definedName>
    <definedName name="Billing.cost">Control!$I$14</definedName>
    <definedName name="billion">1000000000</definedName>
    <definedName name="bit.conversion">1024</definedName>
    <definedName name="bit.per.byte">8</definedName>
    <definedName name="Broadbad.suscriptions.AEP">Mercado!$I$10:$N$10</definedName>
    <definedName name="Broadbad.suscriptions.market">Mercado!$I$8:$N$8</definedName>
    <definedName name="Broadband.gross.adds.non.residential">'Calculos Banda Ancha'!$J$32</definedName>
    <definedName name="Broadband.gross.adds.residential.with.line.rental">'Calculos Banda Ancha'!$J$23</definedName>
    <definedName name="cell.pi">2.6</definedName>
    <definedName name="clarovideo.rental.without.taxes">Control!$I$63</definedName>
    <definedName name="Customer.care.broadbandsubscriber.per.staff">Control!$I$30</definedName>
    <definedName name="Customer.care.line.rental.per.staff">Control!$I$31</definedName>
    <definedName name="Cwvu.Full_Year." hidden="1">#N/A</definedName>
    <definedName name="days.per.month">30.42</definedName>
    <definedName name="days.per.year">365</definedName>
    <definedName name="epsilon">0.000001</definedName>
    <definedName name="equipo.terminal.parameter">Control!$I$66</definedName>
    <definedName name="error" hidden="1">#N/A</definedName>
    <definedName name="error1" hidden="1">#N/A</definedName>
    <definedName name="factor.Mbps.to.Kbps">Listas!$S$4</definedName>
    <definedName name="Floorspace.per.staff">Control!$I$41</definedName>
    <definedName name="hours.per.day">24</definedName>
    <definedName name="HTML" localSheetId="15" hidden="1">{"'System_Table'!$A$1:$AM$58"}</definedName>
    <definedName name="HTML" localSheetId="14" hidden="1">{"'System_Table'!$A$1:$AM$58"}</definedName>
    <definedName name="HTML" hidden="1">{"'System_Table'!$A$1:$AM$58"}</definedName>
    <definedName name="HTML_CodePage" hidden="1">1252</definedName>
    <definedName name="HTML_Control" localSheetId="15" hidden="1">{"'System_Table'!$A$1:$AM$58"}</definedName>
    <definedName name="HTML_Control" localSheetId="14" hidden="1">{"'System_Table'!$A$1:$AM$58"}</definedName>
    <definedName name="HTML_Control" hidden="1">{"'System_Table'!$A$1:$AM$58"}</definedName>
    <definedName name="HTML_Description" hidden="1">"Westpac UNIX Systems"</definedName>
    <definedName name="HTML_Email" hidden="1">""</definedName>
    <definedName name="HTML_Header" hidden="1">"System_Table"</definedName>
    <definedName name="HTML_LastUpdate" hidden="1">"1/28/98"</definedName>
    <definedName name="HTML_LineAfter" hidden="1">FALSE</definedName>
    <definedName name="HTML_LineBefore" hidden="1">FALSE</definedName>
    <definedName name="HTML_Name" hidden="1">"Roger Ottery"</definedName>
    <definedName name="HTML_OBDlg2" hidden="1">TRUE</definedName>
    <definedName name="HTML_OBDlg4" hidden="1">TRUE</definedName>
    <definedName name="HTML_OS" hidden="1">0</definedName>
    <definedName name="HTML_PathFile" hidden="1">"C:\data\HTML\Systems.htm"</definedName>
    <definedName name="HTML_Title" hidden="1">"SYSEXCEL"</definedName>
    <definedName name="index.use.no.residential">'Cálculos auxiliares'!$J$18</definedName>
    <definedName name="index.use.residential">'Cálculos auxiliares'!$H$55</definedName>
    <definedName name="Internal" hidden="1">#N/A</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L_DATE_SCHEDULE" hidden="1">"c2481"</definedName>
    <definedName name="IQ_CALL_FEATURE" hidden="1">"c2197"</definedName>
    <definedName name="IQ_CALL_PRICE_SCHEDULE" hidden="1">"c2482"</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SH" hidden="1">"c1458"</definedName>
    <definedName name="IQ_CASH_ACQUIRE_CF" hidden="1">"c116"</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PAYOUT" hidden="1">"c3005"</definedName>
    <definedName name="IQ_DISTRIBUTABLE_CASH_SHARE" hidden="1">"c3003"</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INT" hidden="1">"c373"</definedName>
    <definedName name="IQ_EBITDA_MARGIN" hidden="1">"c372"</definedName>
    <definedName name="IQ_EBITDA_OVER_TOTAL_IE" hidden="1">"c1371"</definedName>
    <definedName name="IQ_EBITDAR" hidden="1">"c2989"</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NORM" hidden="1">"c1902"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C_RATIO" hidden="1">"c2783"</definedName>
    <definedName name="IQ_MC_STATUTORY_SURPLUS" hidden="1">"c2772"</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NORMALIZED" hidden="1">"c2207"</definedName>
    <definedName name="IQ_PE_RATIO" hidden="1">"c1610"</definedName>
    <definedName name="IQ_PENSION" hidden="1">"c1031"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T_DATE_SCHEDULE" hidden="1">"c2483"</definedName>
    <definedName name="IQ_PUT_NOTIFICATION" hidden="1">"c2485"</definedName>
    <definedName name="IQ_PUT_PRICE_SCHEDULE" hidden="1">"c2484"</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"c2903"</definedName>
    <definedName name="IQ_RETAIL_ACQUIRED_OWNED_STORES" hidden="1">"c2895"</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UTI" hidden="1">"c1125"</definedName>
    <definedName name="IQ_REVENUE" hidden="1">"c1422"</definedName>
    <definedName name="IQ_REVISION_DATE_" hidden="1">39221.3754976852</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UR_RECEIV" hidden="1">"c1151"</definedName>
    <definedName name="IQ_SECURED_DEBT" hidden="1">"c2546"</definedName>
    <definedName name="IQ_SECURED_DEBT_PCT" hidden="1">"c2547"</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MPLOYEE_AVG" hidden="1">"c1225"</definedName>
    <definedName name="IQ_TEV_TOTAL_REV" hidden="1">"c1226"</definedName>
    <definedName name="IQ_TEV_TOTAL_REV_AVG" hidden="1">"c1227"</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DA" hidden="1">"c2381"</definedName>
    <definedName name="IQ_TR_ACQ_FILING_CURRENCY" hidden="1">"c3033"</definedName>
    <definedName name="IQ_TR_ACQ_MCAP_1DAY" hidden="1">"c2345"</definedName>
    <definedName name="IQ_TR_ACQ_MIN_INT" hidden="1">"c2374"</definedName>
    <definedName name="IQ_TR_ACQ_NET_DEBT" hidden="1">"c2373"</definedName>
    <definedName name="IQ_TR_ACQ_NI" hidden="1">"c2378"</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DA" hidden="1">"c2334"</definedName>
    <definedName name="IQ_TR_TARGET_FILING_CURRENCY" hidden="1">"c3034"</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kyd.Dim.01." hidden="1">"currency"</definedName>
    <definedName name="kyd.Dim.02." hidden="1">"currency"</definedName>
    <definedName name="kyd.ElementType.01." hidden="1">3</definedName>
    <definedName name="kyd.ElementType.02." hidden="1">3</definedName>
    <definedName name="kyd.MemoSortHide." hidden="1">FALSE</definedName>
    <definedName name="kyd.NumLevels.01." hidden="1">999</definedName>
    <definedName name="kyd.NumLevels.02." hidden="1">999</definedName>
    <definedName name="kyd.ParentName.01." hidden="1">"AUD"</definedName>
    <definedName name="kyd.ParentName.02." hidden="1">"AUD"</definedName>
    <definedName name="kyd.PreScreenData." hidden="1">FALSE</definedName>
    <definedName name="kyd.PrintMemo." hidden="1">FALSE</definedName>
    <definedName name="kyd.PrintParent.01." hidden="1">TRUE</definedName>
    <definedName name="kyd.PrintParent.02." hidden="1">TRUE</definedName>
    <definedName name="kyd.PrintStdWhen." hidden="1">3</definedName>
    <definedName name="kyd.SaveAsFile." hidden="1">FALSE</definedName>
    <definedName name="kyd.SaveMemo." hidden="1">FALSE</definedName>
    <definedName name="kyd.SelectString.01." hidden="1">"*"</definedName>
    <definedName name="kyd.SelectString.02." hidden="1">"*"</definedName>
    <definedName name="kyd.StdSortHide." hidden="1">FALSE</definedName>
    <definedName name="kyd.StopRow." hidden="1">16384</definedName>
    <definedName name="kyd.WriteMemWhenOptn." hidden="1">3</definedName>
    <definedName name="Line.rental.churn">Control!$I$11</definedName>
    <definedName name="loading.call.durations.to.global.numbers">'Cálculos auxiliares'!$I$32</definedName>
    <definedName name="loading.call.durations.to.local.fixed.numbers">'Cálculos auxiliares'!$I$16</definedName>
    <definedName name="loading.call.durations.to.local.fixed.numbers.cost.minute.residential">'Cálculos auxiliares'!$H$59</definedName>
    <definedName name="loading.call.durations.to.mobile.numbers">'Cálculos auxiliares'!$I$40</definedName>
    <definedName name="loading.call.durations.to.north.america.fixed.numbers">'Cálculos auxiliares'!$I$24</definedName>
    <definedName name="local.loop.cooper">Control!$I$58</definedName>
    <definedName name="local.loop.FTTC">Control!$I$59</definedName>
    <definedName name="local.loop.optical.average">[1]Listas!$Y$6</definedName>
    <definedName name="local.loop.optical.fiber">Control!$I$60</definedName>
    <definedName name="Marketing.and.sales.minimum.proportion.broadband">Control!$I$26</definedName>
    <definedName name="Marketing.and.sales.minimum.proportion.line.rental">Control!$I$25</definedName>
    <definedName name="Marketing.and.sales.per.gross.add.broadband">Control!$I$22</definedName>
    <definedName name="Marketing.and.sales.per.gross.add.line.rental">Control!$I$21</definedName>
    <definedName name="million">1000000</definedName>
    <definedName name="minutes.per.hour">60</definedName>
    <definedName name="Modalidad">[2]Listas!$C$5:$C$9</definedName>
    <definedName name="Monthly.cost.per.staff">Control!$I$33</definedName>
    <definedName name="months.per.year">12</definedName>
    <definedName name="Netflix1">Control!#REF!</definedName>
    <definedName name="Netflix2">Control!#REF!</definedName>
    <definedName name="Netflix4">Control!#REF!</definedName>
    <definedName name="rate.usd.pesos">Control!#REF!</definedName>
    <definedName name="Rent.per.sqm">Control!$I$43</definedName>
    <definedName name="Retail.minus.additional.calls">'Calculos Renta de Linea y Voz'!$M$97</definedName>
    <definedName name="Retail.minus.additional.calls.retail.minus.items.only">'Calculos Renta de Linea y Voz'!$M$99</definedName>
    <definedName name="Retail.minus.bitstream.retail.minus.items.only">'Tarifas SRL'!$D$36</definedName>
    <definedName name="Retail.minus.int">'Calculos Banda Ancha'!$J$104</definedName>
    <definedName name="Retail.minus.int.retail.minus.items.only">'Calculos Banda Ancha'!$J$106</definedName>
    <definedName name="Retail.minus.line.rental">'Calculos Renta de Linea y Voz'!$J$97</definedName>
    <definedName name="Retail.minus.line.rental.retail.minus.items.only">'Calculos Renta de Linea y Voz'!$J$99</definedName>
    <definedName name="Retail.minus.saib.retail.minus.items.only">'[3]Calculos Banda Ancha'!$J$96</definedName>
    <definedName name="Retail.profit">Control!$I$50</definedName>
    <definedName name="Rwvu.Full_Year." hidden="1">#N/A</definedName>
    <definedName name="saddssd">[4]List!$L$5:$L$10</definedName>
    <definedName name="SAPBEXhrIndnt" hidden="1">1</definedName>
    <definedName name="SAPBEXrevision" hidden="1">6</definedName>
    <definedName name="SAPBEXsysID" hidden="1">"BWP"</definedName>
    <definedName name="SAPBEXwbID" hidden="1">"41D4CLBV2R4F1IQN1VK18MLGT"</definedName>
    <definedName name="seconds.per.hour">3600</definedName>
    <definedName name="seconds.per.minute">60</definedName>
    <definedName name="ServiceNotUsingMSAN" localSheetId="15">'[5]Routing matrix per services'!$G$211:$AH$211</definedName>
    <definedName name="ServiceNotUsingMSAN" localSheetId="14">'[5]Routing matrix per services'!$G$211:$AH$211</definedName>
    <definedName name="ServiceNotUsingMSAN">'[6]Routing matrix per services'!$G$211:$AH$211</definedName>
    <definedName name="solver_cvg" hidden="1">0.001</definedName>
    <definedName name="solver_drv" hidden="1">1</definedName>
    <definedName name="solver_est" hidden="1">1</definedName>
    <definedName name="solver_itr" hidden="1">100</definedName>
    <definedName name="solver_lin" hidden="1">2</definedName>
    <definedName name="solver_neg" hidden="1">2</definedName>
    <definedName name="solver_num" hidden="1">2</definedName>
    <definedName name="solver_nwt" hidden="1">1</definedName>
    <definedName name="solver_pre" hidden="1">0.000001</definedName>
    <definedName name="solver_rel1" hidden="1">3</definedName>
    <definedName name="solver_rel2" hidden="1">3</definedName>
    <definedName name="solver_rhs1" hidden="1">0</definedName>
    <definedName name="solver_rhs2" hidden="1">0</definedName>
    <definedName name="solver_scl" hidden="1">2</definedName>
    <definedName name="solver_sho" hidden="1">2</definedName>
    <definedName name="solver_tim" hidden="1">100</definedName>
    <definedName name="solver_tol" hidden="1">0.05</definedName>
    <definedName name="solver_typ" hidden="1">3</definedName>
    <definedName name="solver_val" hidden="1">0</definedName>
    <definedName name="suscriptores2020">Mercado!$L$148</definedName>
    <definedName name="suscriptores2021">Mercado!$M$148</definedName>
    <definedName name="suscriptores2022">Mercado!$N$148</definedName>
    <definedName name="thousand">1000</definedName>
    <definedName name="Tipo.Cobro" localSheetId="15">[7]List!$L$5:$L$10</definedName>
    <definedName name="Tipo.Cobro" localSheetId="14">[8]List!$L$5:$L$10</definedName>
    <definedName name="Tipo.Cobro">[9]List!$L$5:$L$10</definedName>
    <definedName name="Tipo.Modalidad" localSheetId="15">[7]List!$D$5:$D$9</definedName>
    <definedName name="Tipo.Modalidad" localSheetId="14">[8]List!$D$5:$D$9</definedName>
    <definedName name="Tipo.Modalidad">[9]List!$D$5:$D$9</definedName>
    <definedName name="Tipo.Periodicidad" localSheetId="15">[7]List!$N$5:$N$8</definedName>
    <definedName name="Tipo.Periodicidad" localSheetId="14">[8]List!$N$5:$N$8</definedName>
    <definedName name="Tipo.Periodicidad">[9]List!$N$5:$N$8</definedName>
    <definedName name="Tipo.Servicio" localSheetId="15">[7]List!$B$5:$B$9</definedName>
    <definedName name="Tipo.Servicio" localSheetId="14">[8]List!$B$5:$B$9</definedName>
    <definedName name="Tipo.Servicio">[9]List!$B$5:$B$9</definedName>
    <definedName name="unit.cost.digital.service.1">'Cálculos auxiliares'!$I$7</definedName>
    <definedName name="unit.cost.digital.service.3">'Cálculos auxiliares'!$I$8</definedName>
    <definedName name="unit.cost.digital.service.4">'Cálculos auxiliares'!$I$9</definedName>
    <definedName name="unit.cost.digital.service.5">'Cálculos auxiliares'!$I$10</definedName>
    <definedName name="vector.broadband.plans.names">Listas!$H$4:$H$156</definedName>
    <definedName name="vector.broadband.plans.singleplay.names">Listas!$N$4:$N$156</definedName>
    <definedName name="vector.distribution.users.broadband">'Cálculos principales'!$K$10:$DN$10</definedName>
    <definedName name="vector.downstream.publicited.speed">'Cálculos principales'!$I$58:$DN$58</definedName>
    <definedName name="vector.implicit.prices.broadband.after.discount">'Cálculos principales'!$I$83:$DN$83</definedName>
    <definedName name="vector.implicit.prices.broadband.before.discount">'Cálculos principales'!$I$66:$DN$66</definedName>
    <definedName name="vector.implicit.prices.digitalservices.after.discount">'Cálculos principales'!$I$51:$DN$51</definedName>
    <definedName name="vector.implicit.prices.digitalservices.before.discount">'Cálculos principales'!$I$34:$DN$34</definedName>
    <definedName name="vector.implicit.prices.line.rental.after.discount">'Cálculos principales'!$I$49:$DN$49</definedName>
    <definedName name="vector.implicit.prices.line.rental.before.discount">'Cálculos principales'!$I$27:$DN$27</definedName>
    <definedName name="vector.implicit.prices.line.rental.inside.wlr">'Cálculos principales'!$I$116:$DN$116</definedName>
    <definedName name="vector.implicit.prices.serviciosasociadosbandaancha.afterdiscount">'Cálculos principales'!$I$84:$DN$84</definedName>
    <definedName name="vector.implicit.prices.voice.after.discount">'Cálculos principales'!$I$50:$DN$50</definedName>
    <definedName name="vector.implicit.prices.voice.before.discount">'Cálculos principales'!$I$30:$DN$30</definedName>
    <definedName name="vector.lines.publicited">'Cálculos principales'!$I$25:$DN$25</definedName>
    <definedName name="vector.periodicity">'Cálculos principales'!$I$16:$DN$16</definedName>
    <definedName name="vector.plans.available">'Cálculos principales'!$I$19:$DN$19</definedName>
    <definedName name="vector.plans.names">Listas!$E$4:$E$156</definedName>
    <definedName name="vector.plans.with.line.rental.noresidential">'Cálculos principales'!$I$21:$DN$21</definedName>
    <definedName name="vector.plans.with.line.rental.residential">'Cálculos principales'!$I$20:$DN$20</definedName>
    <definedName name="vector.proportion.of.implicit.prices.line.rental.wlr">'Cálculos principales'!$I$115:$DN$115</definedName>
    <definedName name="vector.telephony.plans.names">Listas!$K$4:$K$156</definedName>
    <definedName name="vector.telephony.plans.singleplay.names">Listas!$Q$4:$Q$156</definedName>
    <definedName name="vector.users.broadband">'Cálculos principales'!$I$9:$DN$9</definedName>
    <definedName name="vector.users.distribution.telephone">'Cálculos principales'!$I$13:$DN$13</definedName>
    <definedName name="vector.users.telephone">'Cálculos principales'!$I$12:$DN$12</definedName>
    <definedName name="weighted.average.local.loop.by.plan">'Cálculos auxiliares'!$D$67:$K$186</definedName>
    <definedName name="weighted.average.local.loop.by.plan.by.tx.media">'Cálculos auxiliares'!$D$339:$J$352</definedName>
    <definedName name="weighted.price.line.rental.no.residential">'Cálculos principales'!$H$120</definedName>
    <definedName name="weighted.price.line.rental.residential">'Cálculos principales'!$H$119</definedName>
    <definedName name="Workbook.Author" localSheetId="15">[7]C!$B$14</definedName>
    <definedName name="Workbook.Author" localSheetId="14">[8]C!$B$14</definedName>
    <definedName name="Workbook.Author">'C'!$B$14</definedName>
    <definedName name="Workbook.Authors_Email_Address" localSheetId="15">[7]C!$B$15</definedName>
    <definedName name="Workbook.Authors_Email_Address" localSheetId="14">[8]C!$B$15</definedName>
    <definedName name="Workbook.Authors_Email_Address">'C'!$B$15</definedName>
    <definedName name="Workbook.Objective" localSheetId="15">[7]C!$B$6</definedName>
    <definedName name="Workbook.Objective" localSheetId="14">[8]C!$B$6</definedName>
    <definedName name="Workbook.Objective">'C'!$B$6</definedName>
    <definedName name="Workbook.Status" localSheetId="15">[7]C!$B$9</definedName>
    <definedName name="Workbook.Status" localSheetId="14">[8]C!$B$9</definedName>
    <definedName name="Workbook.Status">'C'!$B$9</definedName>
    <definedName name="Workbook.Title" localSheetId="15">[7]C!$B$5</definedName>
    <definedName name="Workbook.Title" localSheetId="14">[8]C!$B$5</definedName>
    <definedName name="Workbook.Title">'C'!$B$5</definedName>
    <definedName name="Workbook.Version" localSheetId="15">[7]C!$B$8</definedName>
    <definedName name="Workbook.Version" localSheetId="14">[8]C!$B$8</definedName>
    <definedName name="Workbook.Version">'C'!$B$8</definedName>
    <definedName name="Year.selected">Control!$I$6</definedName>
    <definedName name="Years">Listas!$B$4:$B$9</definedName>
    <definedName name="years.client.retention">Control!$I$55</definedName>
  </definedNames>
  <calcPr calcId="191029"/>
</workbook>
</file>

<file path=xl/calcChain.xml><?xml version="1.0" encoding="utf-8"?>
<calcChain xmlns="http://schemas.openxmlformats.org/spreadsheetml/2006/main">
  <c r="I22" i="59" l="1"/>
  <c r="G1242" i="75"/>
  <c r="H7" i="77" l="1"/>
  <c r="H8" i="77" s="1"/>
  <c r="B8" i="77"/>
  <c r="B7" i="77"/>
  <c r="H340" i="59" l="1"/>
  <c r="H341" i="59" s="1"/>
  <c r="H342" i="59" l="1"/>
  <c r="J341" i="59"/>
  <c r="H343" i="59" l="1"/>
  <c r="J342" i="59"/>
  <c r="H344" i="59" l="1"/>
  <c r="J343" i="59"/>
  <c r="H345" i="59" l="1"/>
  <c r="J344" i="59"/>
  <c r="H346" i="59" l="1"/>
  <c r="J345" i="59"/>
  <c r="H347" i="59" l="1"/>
  <c r="J346" i="59"/>
  <c r="H348" i="59" l="1"/>
  <c r="J347" i="59"/>
  <c r="H349" i="59" l="1"/>
  <c r="J348" i="59"/>
  <c r="H350" i="59" l="1"/>
  <c r="J349" i="59"/>
  <c r="H351" i="59" l="1"/>
  <c r="J350" i="59"/>
  <c r="H352" i="59" l="1"/>
  <c r="J352" i="59" s="1"/>
  <c r="J351" i="59"/>
  <c r="E537" i="59" l="1"/>
  <c r="E535" i="59"/>
  <c r="C55" i="59"/>
  <c r="F1002" i="75" l="1"/>
  <c r="F1003" i="75" s="1"/>
  <c r="E1002" i="75"/>
  <c r="D1002" i="75"/>
  <c r="D1124" i="75"/>
  <c r="K875" i="75" l="1"/>
  <c r="L875" i="75"/>
  <c r="J875" i="75"/>
  <c r="J876" i="75" s="1"/>
  <c r="C504" i="59"/>
  <c r="N494" i="59"/>
  <c r="L876" i="75" l="1"/>
  <c r="K876" i="75"/>
  <c r="C486" i="59"/>
  <c r="C487" i="59" l="1"/>
  <c r="C488" i="59" s="1"/>
  <c r="C489" i="59" s="1"/>
  <c r="C490" i="59" s="1"/>
  <c r="C491" i="59" s="1"/>
  <c r="C492" i="59" s="1"/>
  <c r="C493" i="59" s="1"/>
  <c r="C494" i="59" s="1"/>
  <c r="C495" i="59" s="1"/>
  <c r="C496" i="59" s="1"/>
  <c r="C497" i="59" s="1"/>
  <c r="C498" i="59" s="1"/>
  <c r="F571" i="59" l="1"/>
  <c r="F572" i="59"/>
  <c r="F573" i="59"/>
  <c r="F574" i="59"/>
  <c r="F575" i="59"/>
  <c r="F576" i="59"/>
  <c r="F577" i="59"/>
  <c r="F578" i="59"/>
  <c r="F579" i="59"/>
  <c r="F580" i="59"/>
  <c r="F581" i="59"/>
  <c r="F582" i="59"/>
  <c r="F583" i="59"/>
  <c r="F584" i="59"/>
  <c r="F585" i="59"/>
  <c r="F586" i="59"/>
  <c r="F587" i="59"/>
  <c r="F588" i="59"/>
  <c r="F589" i="59"/>
  <c r="F590" i="59"/>
  <c r="F591" i="59"/>
  <c r="F592" i="59"/>
  <c r="F593" i="59"/>
  <c r="F594" i="59"/>
  <c r="F595" i="59"/>
  <c r="F596" i="59"/>
  <c r="F597" i="59"/>
  <c r="F598" i="59"/>
  <c r="F599" i="59"/>
  <c r="F600" i="59"/>
  <c r="F601" i="59"/>
  <c r="F602" i="59"/>
  <c r="F603" i="59"/>
  <c r="F604" i="59"/>
  <c r="F605" i="59"/>
  <c r="F606" i="59"/>
  <c r="F607" i="59"/>
  <c r="F608" i="59"/>
  <c r="F609" i="59"/>
  <c r="F610" i="59"/>
  <c r="F611" i="59"/>
  <c r="F612" i="59"/>
  <c r="F613" i="59"/>
  <c r="F614" i="59"/>
  <c r="F615" i="59"/>
  <c r="F616" i="59"/>
  <c r="F617" i="59"/>
  <c r="F618" i="59"/>
  <c r="F619" i="59"/>
  <c r="F620" i="59"/>
  <c r="F621" i="59"/>
  <c r="F622" i="59"/>
  <c r="F623" i="59"/>
  <c r="F624" i="59"/>
  <c r="F625" i="59"/>
  <c r="F626" i="59"/>
  <c r="F627" i="59"/>
  <c r="F628" i="59"/>
  <c r="F629" i="59"/>
  <c r="F630" i="59"/>
  <c r="F631" i="59"/>
  <c r="F632" i="59"/>
  <c r="F633" i="59"/>
  <c r="F634" i="59"/>
  <c r="F635" i="59"/>
  <c r="F636" i="59"/>
  <c r="F637" i="59"/>
  <c r="F638" i="59"/>
  <c r="F639" i="59"/>
  <c r="F640" i="59"/>
  <c r="F641" i="59"/>
  <c r="F642" i="59"/>
  <c r="F643" i="59"/>
  <c r="F644" i="59"/>
  <c r="F645" i="59"/>
  <c r="F646" i="59"/>
  <c r="F647" i="59"/>
  <c r="F648" i="59"/>
  <c r="F649" i="59"/>
  <c r="F650" i="59"/>
  <c r="F651" i="59"/>
  <c r="F652" i="59"/>
  <c r="F653" i="59"/>
  <c r="F654" i="59"/>
  <c r="F655" i="59"/>
  <c r="F656" i="59"/>
  <c r="F657" i="59"/>
  <c r="F658" i="59"/>
  <c r="F659" i="59"/>
  <c r="F660" i="59"/>
  <c r="F661" i="59"/>
  <c r="F662" i="59"/>
  <c r="F663" i="59"/>
  <c r="F664" i="59"/>
  <c r="F665" i="59"/>
  <c r="F666" i="59"/>
  <c r="F667" i="59"/>
  <c r="F668" i="59"/>
  <c r="F669" i="59"/>
  <c r="F670" i="59"/>
  <c r="F671" i="59"/>
  <c r="F672" i="59"/>
  <c r="F673" i="59"/>
  <c r="F674" i="59"/>
  <c r="F675" i="59"/>
  <c r="F676" i="59"/>
  <c r="E571" i="59"/>
  <c r="E572" i="59"/>
  <c r="E573" i="59"/>
  <c r="E574" i="59"/>
  <c r="E575" i="59"/>
  <c r="E576" i="59"/>
  <c r="E577" i="59"/>
  <c r="E578" i="59"/>
  <c r="E579" i="59"/>
  <c r="E580" i="59"/>
  <c r="E581" i="59"/>
  <c r="E582" i="59"/>
  <c r="E583" i="59"/>
  <c r="E584" i="59"/>
  <c r="E585" i="59"/>
  <c r="E586" i="59"/>
  <c r="E587" i="59"/>
  <c r="E588" i="59"/>
  <c r="E589" i="59"/>
  <c r="E590" i="59"/>
  <c r="E591" i="59"/>
  <c r="E592" i="59"/>
  <c r="E593" i="59"/>
  <c r="E594" i="59"/>
  <c r="E595" i="59"/>
  <c r="E596" i="59"/>
  <c r="E597" i="59"/>
  <c r="E598" i="59"/>
  <c r="E599" i="59"/>
  <c r="E600" i="59"/>
  <c r="E601" i="59"/>
  <c r="E602" i="59"/>
  <c r="E603" i="59"/>
  <c r="E604" i="59"/>
  <c r="E605" i="59"/>
  <c r="E606" i="59"/>
  <c r="E607" i="59"/>
  <c r="E608" i="59"/>
  <c r="E609" i="59"/>
  <c r="E610" i="59"/>
  <c r="E611" i="59"/>
  <c r="E612" i="59"/>
  <c r="E613" i="59"/>
  <c r="E614" i="59"/>
  <c r="E615" i="59"/>
  <c r="E616" i="59"/>
  <c r="E617" i="59"/>
  <c r="E618" i="59"/>
  <c r="E619" i="59"/>
  <c r="E620" i="59"/>
  <c r="E621" i="59"/>
  <c r="E622" i="59"/>
  <c r="E623" i="59"/>
  <c r="E624" i="59"/>
  <c r="E625" i="59"/>
  <c r="E626" i="59"/>
  <c r="E627" i="59"/>
  <c r="E628" i="59"/>
  <c r="E629" i="59"/>
  <c r="E630" i="59"/>
  <c r="E631" i="59"/>
  <c r="E632" i="59"/>
  <c r="E633" i="59"/>
  <c r="E634" i="59"/>
  <c r="E635" i="59"/>
  <c r="E636" i="59"/>
  <c r="E637" i="59"/>
  <c r="E638" i="59"/>
  <c r="E639" i="59"/>
  <c r="E640" i="59"/>
  <c r="E641" i="59"/>
  <c r="E642" i="59"/>
  <c r="E643" i="59"/>
  <c r="E644" i="59"/>
  <c r="E645" i="59"/>
  <c r="E646" i="59"/>
  <c r="E647" i="59"/>
  <c r="E648" i="59"/>
  <c r="E649" i="59"/>
  <c r="E650" i="59"/>
  <c r="E651" i="59"/>
  <c r="E652" i="59"/>
  <c r="E653" i="59"/>
  <c r="E654" i="59"/>
  <c r="E655" i="59"/>
  <c r="E656" i="59"/>
  <c r="E657" i="59"/>
  <c r="E658" i="59"/>
  <c r="E659" i="59"/>
  <c r="E660" i="59"/>
  <c r="E661" i="59"/>
  <c r="E662" i="59"/>
  <c r="E663" i="59"/>
  <c r="E664" i="59"/>
  <c r="E665" i="59"/>
  <c r="E666" i="59"/>
  <c r="E667" i="59"/>
  <c r="E668" i="59"/>
  <c r="E669" i="59"/>
  <c r="E670" i="59"/>
  <c r="E671" i="59"/>
  <c r="E672" i="59"/>
  <c r="E673" i="59"/>
  <c r="E674" i="59"/>
  <c r="E675" i="59"/>
  <c r="E676" i="59"/>
  <c r="D571" i="59"/>
  <c r="B571" i="59" s="1"/>
  <c r="D572" i="59"/>
  <c r="D573" i="59"/>
  <c r="D574" i="59"/>
  <c r="B574" i="59" s="1"/>
  <c r="D575" i="59"/>
  <c r="D576" i="59"/>
  <c r="D577" i="59"/>
  <c r="D578" i="59"/>
  <c r="B578" i="59" s="1"/>
  <c r="D579" i="59"/>
  <c r="B579" i="59" s="1"/>
  <c r="D580" i="59"/>
  <c r="B580" i="59" s="1"/>
  <c r="D581" i="59"/>
  <c r="D582" i="59"/>
  <c r="B582" i="59" s="1"/>
  <c r="D583" i="59"/>
  <c r="D584" i="59"/>
  <c r="D585" i="59"/>
  <c r="D586" i="59"/>
  <c r="D587" i="59"/>
  <c r="B587" i="59" s="1"/>
  <c r="D588" i="59"/>
  <c r="B588" i="59" s="1"/>
  <c r="D589" i="59"/>
  <c r="D590" i="59"/>
  <c r="B590" i="59" s="1"/>
  <c r="D591" i="59"/>
  <c r="D592" i="59"/>
  <c r="D593" i="59"/>
  <c r="D594" i="59"/>
  <c r="D595" i="59"/>
  <c r="D596" i="59"/>
  <c r="B596" i="59" s="1"/>
  <c r="D597" i="59"/>
  <c r="D598" i="59"/>
  <c r="B598" i="59" s="1"/>
  <c r="D599" i="59"/>
  <c r="D600" i="59"/>
  <c r="D601" i="59"/>
  <c r="D602" i="59"/>
  <c r="D603" i="59"/>
  <c r="B603" i="59" s="1"/>
  <c r="D604" i="59"/>
  <c r="B604" i="59" s="1"/>
  <c r="D605" i="59"/>
  <c r="D606" i="59"/>
  <c r="B606" i="59" s="1"/>
  <c r="D607" i="59"/>
  <c r="D608" i="59"/>
  <c r="D609" i="59"/>
  <c r="D610" i="59"/>
  <c r="D611" i="59"/>
  <c r="B611" i="59" s="1"/>
  <c r="D612" i="59"/>
  <c r="D613" i="59"/>
  <c r="D614" i="59"/>
  <c r="B614" i="59" s="1"/>
  <c r="D615" i="59"/>
  <c r="D616" i="59"/>
  <c r="D617" i="59"/>
  <c r="D618" i="59"/>
  <c r="D619" i="59"/>
  <c r="B619" i="59" s="1"/>
  <c r="D620" i="59"/>
  <c r="B620" i="59" s="1"/>
  <c r="D621" i="59"/>
  <c r="D622" i="59"/>
  <c r="B622" i="59" s="1"/>
  <c r="D623" i="59"/>
  <c r="D624" i="59"/>
  <c r="D625" i="59"/>
  <c r="D626" i="59"/>
  <c r="D627" i="59"/>
  <c r="B627" i="59" s="1"/>
  <c r="D628" i="59"/>
  <c r="D629" i="59"/>
  <c r="D630" i="59"/>
  <c r="B630" i="59" s="1"/>
  <c r="D631" i="59"/>
  <c r="D632" i="59"/>
  <c r="D633" i="59"/>
  <c r="D634" i="59"/>
  <c r="B634" i="59" s="1"/>
  <c r="D635" i="59"/>
  <c r="B635" i="59" s="1"/>
  <c r="D636" i="59"/>
  <c r="B636" i="59" s="1"/>
  <c r="D637" i="59"/>
  <c r="D638" i="59"/>
  <c r="B638" i="59" s="1"/>
  <c r="D639" i="59"/>
  <c r="D640" i="59"/>
  <c r="D641" i="59"/>
  <c r="D642" i="59"/>
  <c r="D643" i="59"/>
  <c r="B643" i="59" s="1"/>
  <c r="D644" i="59"/>
  <c r="B644" i="59" s="1"/>
  <c r="D645" i="59"/>
  <c r="D646" i="59"/>
  <c r="B646" i="59" s="1"/>
  <c r="D647" i="59"/>
  <c r="D648" i="59"/>
  <c r="D649" i="59"/>
  <c r="D650" i="59"/>
  <c r="D651" i="59"/>
  <c r="B651" i="59" s="1"/>
  <c r="D652" i="59"/>
  <c r="B652" i="59" s="1"/>
  <c r="D653" i="59"/>
  <c r="D654" i="59"/>
  <c r="B654" i="59" s="1"/>
  <c r="D655" i="59"/>
  <c r="D656" i="59"/>
  <c r="D657" i="59"/>
  <c r="D658" i="59"/>
  <c r="D659" i="59"/>
  <c r="B659" i="59" s="1"/>
  <c r="D660" i="59"/>
  <c r="B660" i="59" s="1"/>
  <c r="D661" i="59"/>
  <c r="D662" i="59"/>
  <c r="B662" i="59" s="1"/>
  <c r="D663" i="59"/>
  <c r="D664" i="59"/>
  <c r="D665" i="59"/>
  <c r="D666" i="59"/>
  <c r="D667" i="59"/>
  <c r="B667" i="59" s="1"/>
  <c r="D668" i="59"/>
  <c r="B668" i="59" s="1"/>
  <c r="D669" i="59"/>
  <c r="D670" i="59"/>
  <c r="B670" i="59" s="1"/>
  <c r="D671" i="59"/>
  <c r="D672" i="59"/>
  <c r="D673" i="59"/>
  <c r="D674" i="59"/>
  <c r="D675" i="59"/>
  <c r="B675" i="59" s="1"/>
  <c r="D676" i="59"/>
  <c r="B676" i="59" s="1"/>
  <c r="E570" i="59"/>
  <c r="F570" i="59"/>
  <c r="D570" i="59"/>
  <c r="C761" i="75"/>
  <c r="D761" i="75" s="1"/>
  <c r="E761" i="75" s="1"/>
  <c r="F761" i="75" s="1"/>
  <c r="G761" i="75" s="1"/>
  <c r="H761" i="75" s="1"/>
  <c r="I761" i="75" s="1"/>
  <c r="J761" i="75" s="1"/>
  <c r="K761" i="75" s="1"/>
  <c r="L761" i="75" s="1"/>
  <c r="M761" i="75" s="1"/>
  <c r="A768" i="75"/>
  <c r="A769" i="75"/>
  <c r="A770" i="75"/>
  <c r="A771" i="75"/>
  <c r="A772" i="75"/>
  <c r="A773" i="75"/>
  <c r="A774" i="75"/>
  <c r="A775" i="75"/>
  <c r="A776" i="75"/>
  <c r="A777" i="75"/>
  <c r="A778" i="75"/>
  <c r="A779" i="75"/>
  <c r="A780" i="75"/>
  <c r="A781" i="75"/>
  <c r="A782" i="75"/>
  <c r="A783" i="75"/>
  <c r="A784" i="75"/>
  <c r="A785" i="75"/>
  <c r="A786" i="75"/>
  <c r="A787" i="75"/>
  <c r="A788" i="75"/>
  <c r="A789" i="75"/>
  <c r="A790" i="75"/>
  <c r="A791" i="75"/>
  <c r="A792" i="75"/>
  <c r="A793" i="75"/>
  <c r="A794" i="75"/>
  <c r="A795" i="75"/>
  <c r="A796" i="75"/>
  <c r="A797" i="75"/>
  <c r="A798" i="75"/>
  <c r="A799" i="75"/>
  <c r="A800" i="75"/>
  <c r="A801" i="75"/>
  <c r="A802" i="75"/>
  <c r="A803" i="75"/>
  <c r="A804" i="75"/>
  <c r="A805" i="75"/>
  <c r="A806" i="75"/>
  <c r="A807" i="75"/>
  <c r="A808" i="75"/>
  <c r="A809" i="75"/>
  <c r="A810" i="75"/>
  <c r="A811" i="75"/>
  <c r="A812" i="75"/>
  <c r="A813" i="75"/>
  <c r="A814" i="75"/>
  <c r="A815" i="75"/>
  <c r="A816" i="75"/>
  <c r="A817" i="75"/>
  <c r="A818" i="75"/>
  <c r="A819" i="75"/>
  <c r="A820" i="75"/>
  <c r="A821" i="75"/>
  <c r="A822" i="75"/>
  <c r="A823" i="75"/>
  <c r="A824" i="75"/>
  <c r="A825" i="75"/>
  <c r="A826" i="75"/>
  <c r="A827" i="75"/>
  <c r="A828" i="75"/>
  <c r="A829" i="75"/>
  <c r="A830" i="75"/>
  <c r="A831" i="75"/>
  <c r="A832" i="75"/>
  <c r="A833" i="75"/>
  <c r="A834" i="75"/>
  <c r="A835" i="75"/>
  <c r="A836" i="75"/>
  <c r="A837" i="75"/>
  <c r="A838" i="75"/>
  <c r="A839" i="75"/>
  <c r="A840" i="75"/>
  <c r="A841" i="75"/>
  <c r="A842" i="75"/>
  <c r="A843" i="75"/>
  <c r="A844" i="75"/>
  <c r="A845" i="75"/>
  <c r="A846" i="75"/>
  <c r="A847" i="75"/>
  <c r="A848" i="75"/>
  <c r="A849" i="75"/>
  <c r="A850" i="75"/>
  <c r="A851" i="75"/>
  <c r="A852" i="75"/>
  <c r="A853" i="75"/>
  <c r="A854" i="75"/>
  <c r="A855" i="75"/>
  <c r="A856" i="75"/>
  <c r="A857" i="75"/>
  <c r="A858" i="75"/>
  <c r="A859" i="75"/>
  <c r="A860" i="75"/>
  <c r="A861" i="75"/>
  <c r="A862" i="75"/>
  <c r="A863" i="75"/>
  <c r="A864" i="75"/>
  <c r="A865" i="75"/>
  <c r="A866" i="75"/>
  <c r="A867" i="75"/>
  <c r="A868" i="75"/>
  <c r="A869" i="75"/>
  <c r="A870" i="75"/>
  <c r="A871" i="75"/>
  <c r="A872" i="75"/>
  <c r="A873" i="75"/>
  <c r="A767" i="75"/>
  <c r="I677" i="59" s="1"/>
  <c r="B572" i="59"/>
  <c r="I572" i="59" s="1"/>
  <c r="B594" i="59"/>
  <c r="B595" i="59"/>
  <c r="B680" i="59"/>
  <c r="B681" i="59"/>
  <c r="B682" i="59"/>
  <c r="B683" i="59"/>
  <c r="B684" i="59"/>
  <c r="B685" i="59"/>
  <c r="B686" i="59"/>
  <c r="B687" i="59"/>
  <c r="B688" i="59"/>
  <c r="B689" i="59"/>
  <c r="B690" i="59"/>
  <c r="C571" i="59"/>
  <c r="C572" i="59" s="1"/>
  <c r="C573" i="59" s="1"/>
  <c r="C574" i="59" s="1"/>
  <c r="C575" i="59" s="1"/>
  <c r="C576" i="59" s="1"/>
  <c r="C577" i="59" s="1"/>
  <c r="C578" i="59" s="1"/>
  <c r="C579" i="59" s="1"/>
  <c r="C580" i="59" s="1"/>
  <c r="C581" i="59" s="1"/>
  <c r="C582" i="59" s="1"/>
  <c r="C583" i="59" s="1"/>
  <c r="C584" i="59" s="1"/>
  <c r="C585" i="59" s="1"/>
  <c r="C586" i="59" s="1"/>
  <c r="C587" i="59" s="1"/>
  <c r="C588" i="59" s="1"/>
  <c r="C589" i="59" s="1"/>
  <c r="C590" i="59" s="1"/>
  <c r="C591" i="59" s="1"/>
  <c r="C592" i="59" s="1"/>
  <c r="C593" i="59" s="1"/>
  <c r="C594" i="59" s="1"/>
  <c r="C595" i="59" s="1"/>
  <c r="C596" i="59" s="1"/>
  <c r="C597" i="59" s="1"/>
  <c r="C598" i="59" s="1"/>
  <c r="C599" i="59" s="1"/>
  <c r="C600" i="59" s="1"/>
  <c r="C601" i="59" s="1"/>
  <c r="C602" i="59" s="1"/>
  <c r="C603" i="59" s="1"/>
  <c r="C604" i="59" s="1"/>
  <c r="C605" i="59" s="1"/>
  <c r="C606" i="59" s="1"/>
  <c r="C607" i="59" s="1"/>
  <c r="C608" i="59" s="1"/>
  <c r="C609" i="59" s="1"/>
  <c r="C610" i="59" s="1"/>
  <c r="C611" i="59" s="1"/>
  <c r="C612" i="59" s="1"/>
  <c r="C613" i="59" s="1"/>
  <c r="C614" i="59" s="1"/>
  <c r="C615" i="59" s="1"/>
  <c r="C616" i="59" s="1"/>
  <c r="C617" i="59" s="1"/>
  <c r="C618" i="59" s="1"/>
  <c r="C619" i="59" s="1"/>
  <c r="C620" i="59" s="1"/>
  <c r="C621" i="59" s="1"/>
  <c r="C622" i="59" s="1"/>
  <c r="C623" i="59" s="1"/>
  <c r="C624" i="59" s="1"/>
  <c r="C625" i="59" s="1"/>
  <c r="C626" i="59" s="1"/>
  <c r="C627" i="59" s="1"/>
  <c r="C628" i="59" s="1"/>
  <c r="C629" i="59" s="1"/>
  <c r="C630" i="59" s="1"/>
  <c r="C631" i="59" s="1"/>
  <c r="C632" i="59" s="1"/>
  <c r="C633" i="59" s="1"/>
  <c r="C634" i="59" s="1"/>
  <c r="C635" i="59" s="1"/>
  <c r="C636" i="59" s="1"/>
  <c r="C637" i="59" s="1"/>
  <c r="C638" i="59" s="1"/>
  <c r="C639" i="59" s="1"/>
  <c r="C640" i="59" s="1"/>
  <c r="C641" i="59" s="1"/>
  <c r="C642" i="59" s="1"/>
  <c r="C643" i="59" s="1"/>
  <c r="C644" i="59" s="1"/>
  <c r="C645" i="59" s="1"/>
  <c r="C646" i="59" s="1"/>
  <c r="C647" i="59" s="1"/>
  <c r="C648" i="59" s="1"/>
  <c r="C649" i="59" s="1"/>
  <c r="C650" i="59" s="1"/>
  <c r="C651" i="59" s="1"/>
  <c r="C652" i="59" s="1"/>
  <c r="C653" i="59" s="1"/>
  <c r="C654" i="59" s="1"/>
  <c r="C655" i="59" s="1"/>
  <c r="C656" i="59" s="1"/>
  <c r="C657" i="59" s="1"/>
  <c r="C658" i="59" s="1"/>
  <c r="C659" i="59" s="1"/>
  <c r="C660" i="59" s="1"/>
  <c r="C661" i="59" s="1"/>
  <c r="C662" i="59" s="1"/>
  <c r="C663" i="59" s="1"/>
  <c r="C664" i="59" s="1"/>
  <c r="C665" i="59" s="1"/>
  <c r="C666" i="59" s="1"/>
  <c r="C667" i="59" s="1"/>
  <c r="C668" i="59" s="1"/>
  <c r="C669" i="59" s="1"/>
  <c r="C670" i="59" s="1"/>
  <c r="C671" i="59" s="1"/>
  <c r="C672" i="59" s="1"/>
  <c r="C673" i="59" s="1"/>
  <c r="C674" i="59" s="1"/>
  <c r="C675" i="59" s="1"/>
  <c r="C676" i="59" s="1"/>
  <c r="B600" i="59" l="1"/>
  <c r="B664" i="59"/>
  <c r="B640" i="59"/>
  <c r="B632" i="59"/>
  <c r="B624" i="59"/>
  <c r="B576" i="59"/>
  <c r="H576" i="59" s="1"/>
  <c r="B671" i="59"/>
  <c r="I671" i="59" s="1"/>
  <c r="B663" i="59"/>
  <c r="I663" i="59" s="1"/>
  <c r="B655" i="59"/>
  <c r="I655" i="59" s="1"/>
  <c r="B647" i="59"/>
  <c r="B639" i="59"/>
  <c r="B631" i="59"/>
  <c r="B623" i="59"/>
  <c r="B615" i="59"/>
  <c r="H615" i="59" s="1"/>
  <c r="B607" i="59"/>
  <c r="H607" i="59" s="1"/>
  <c r="B599" i="59"/>
  <c r="I599" i="59" s="1"/>
  <c r="B591" i="59"/>
  <c r="B583" i="59"/>
  <c r="B575" i="59"/>
  <c r="B673" i="59"/>
  <c r="H673" i="59" s="1"/>
  <c r="B665" i="59"/>
  <c r="B657" i="59"/>
  <c r="H657" i="59" s="1"/>
  <c r="B649" i="59"/>
  <c r="B641" i="59"/>
  <c r="I641" i="59" s="1"/>
  <c r="B633" i="59"/>
  <c r="B625" i="59"/>
  <c r="H625" i="59" s="1"/>
  <c r="B617" i="59"/>
  <c r="B609" i="59"/>
  <c r="B601" i="59"/>
  <c r="B593" i="59"/>
  <c r="I593" i="59" s="1"/>
  <c r="B585" i="59"/>
  <c r="H585" i="59" s="1"/>
  <c r="B577" i="59"/>
  <c r="H577" i="59" s="1"/>
  <c r="H627" i="59"/>
  <c r="H579" i="59"/>
  <c r="H675" i="59"/>
  <c r="H571" i="59"/>
  <c r="H643" i="59"/>
  <c r="I643" i="59"/>
  <c r="H587" i="59"/>
  <c r="H635" i="59"/>
  <c r="H611" i="59"/>
  <c r="H659" i="59"/>
  <c r="H603" i="59"/>
  <c r="H667" i="59"/>
  <c r="I667" i="59"/>
  <c r="H619" i="59"/>
  <c r="H578" i="59"/>
  <c r="H620" i="59"/>
  <c r="I600" i="59"/>
  <c r="H600" i="59"/>
  <c r="H652" i="59"/>
  <c r="H596" i="59"/>
  <c r="H651" i="59"/>
  <c r="H594" i="59"/>
  <c r="B628" i="59"/>
  <c r="I628" i="59" s="1"/>
  <c r="B612" i="59"/>
  <c r="I612" i="59" s="1"/>
  <c r="H634" i="59"/>
  <c r="H665" i="59"/>
  <c r="H644" i="59"/>
  <c r="I632" i="59"/>
  <c r="H632" i="59"/>
  <c r="H609" i="59"/>
  <c r="H595" i="59"/>
  <c r="I664" i="59"/>
  <c r="H664" i="59"/>
  <c r="H604" i="59"/>
  <c r="H588" i="59"/>
  <c r="H572" i="59"/>
  <c r="B570" i="59"/>
  <c r="I570" i="59" s="1"/>
  <c r="B674" i="59"/>
  <c r="I674" i="59" s="1"/>
  <c r="B666" i="59"/>
  <c r="I666" i="59" s="1"/>
  <c r="B658" i="59"/>
  <c r="I658" i="59" s="1"/>
  <c r="B650" i="59"/>
  <c r="I650" i="59" s="1"/>
  <c r="B642" i="59"/>
  <c r="I642" i="59" s="1"/>
  <c r="B626" i="59"/>
  <c r="I626" i="59" s="1"/>
  <c r="B618" i="59"/>
  <c r="B610" i="59"/>
  <c r="I610" i="59" s="1"/>
  <c r="B602" i="59"/>
  <c r="I602" i="59" s="1"/>
  <c r="B586" i="59"/>
  <c r="I586" i="59" s="1"/>
  <c r="H668" i="59"/>
  <c r="I595" i="59"/>
  <c r="H660" i="59"/>
  <c r="H647" i="59"/>
  <c r="H639" i="59"/>
  <c r="H631" i="59"/>
  <c r="H623" i="59"/>
  <c r="H583" i="59"/>
  <c r="H575" i="59"/>
  <c r="H676" i="59"/>
  <c r="I640" i="59"/>
  <c r="H640" i="59"/>
  <c r="I624" i="59"/>
  <c r="H624" i="59"/>
  <c r="H601" i="59"/>
  <c r="H670" i="59"/>
  <c r="H662" i="59"/>
  <c r="H654" i="59"/>
  <c r="H646" i="59"/>
  <c r="H638" i="59"/>
  <c r="H630" i="59"/>
  <c r="H622" i="59"/>
  <c r="H614" i="59"/>
  <c r="H606" i="59"/>
  <c r="H598" i="59"/>
  <c r="H590" i="59"/>
  <c r="H582" i="59"/>
  <c r="H574" i="59"/>
  <c r="B672" i="59"/>
  <c r="B616" i="59"/>
  <c r="H617" i="59"/>
  <c r="H636" i="59"/>
  <c r="H580" i="59"/>
  <c r="B669" i="59"/>
  <c r="B661" i="59"/>
  <c r="B653" i="59"/>
  <c r="B645" i="59"/>
  <c r="B637" i="59"/>
  <c r="B629" i="59"/>
  <c r="B621" i="59"/>
  <c r="I621" i="59" s="1"/>
  <c r="B613" i="59"/>
  <c r="B605" i="59"/>
  <c r="B597" i="59"/>
  <c r="B589" i="59"/>
  <c r="B581" i="59"/>
  <c r="I581" i="59" s="1"/>
  <c r="B573" i="59"/>
  <c r="I636" i="59"/>
  <c r="I660" i="59"/>
  <c r="I635" i="59"/>
  <c r="I611" i="59"/>
  <c r="I588" i="59"/>
  <c r="I659" i="59"/>
  <c r="I587" i="59"/>
  <c r="I676" i="59"/>
  <c r="I604" i="59"/>
  <c r="I580" i="59"/>
  <c r="I675" i="59"/>
  <c r="I652" i="59"/>
  <c r="I627" i="59"/>
  <c r="I603" i="59"/>
  <c r="I579" i="59"/>
  <c r="I651" i="59"/>
  <c r="I620" i="59"/>
  <c r="I668" i="59"/>
  <c r="I644" i="59"/>
  <c r="I619" i="59"/>
  <c r="I596" i="59"/>
  <c r="I571" i="59"/>
  <c r="B656" i="59"/>
  <c r="B648" i="59"/>
  <c r="B608" i="59"/>
  <c r="B592" i="59"/>
  <c r="I592" i="59" s="1"/>
  <c r="B584" i="59"/>
  <c r="I617" i="59"/>
  <c r="I578" i="59"/>
  <c r="I647" i="59"/>
  <c r="I639" i="59"/>
  <c r="I631" i="59"/>
  <c r="I623" i="59"/>
  <c r="I583" i="59"/>
  <c r="I575" i="59"/>
  <c r="I670" i="59"/>
  <c r="I662" i="59"/>
  <c r="I654" i="59"/>
  <c r="I646" i="59"/>
  <c r="I638" i="59"/>
  <c r="I630" i="59"/>
  <c r="I622" i="59"/>
  <c r="I614" i="59"/>
  <c r="I606" i="59"/>
  <c r="I598" i="59"/>
  <c r="I590" i="59"/>
  <c r="I582" i="59"/>
  <c r="I574" i="59"/>
  <c r="I625" i="59"/>
  <c r="H677" i="59"/>
  <c r="I673" i="59"/>
  <c r="I634" i="59"/>
  <c r="I609" i="59"/>
  <c r="I665" i="59"/>
  <c r="I601" i="59"/>
  <c r="I594" i="59"/>
  <c r="I576" i="59" l="1"/>
  <c r="H593" i="59"/>
  <c r="I615" i="59"/>
  <c r="I657" i="59"/>
  <c r="I607" i="59"/>
  <c r="H655" i="59"/>
  <c r="H671" i="59"/>
  <c r="I649" i="59"/>
  <c r="H649" i="59"/>
  <c r="I585" i="59"/>
  <c r="I591" i="59"/>
  <c r="H591" i="59"/>
  <c r="I633" i="59"/>
  <c r="H633" i="59"/>
  <c r="H641" i="59"/>
  <c r="I577" i="59"/>
  <c r="H599" i="59"/>
  <c r="H663" i="59"/>
  <c r="H608" i="59"/>
  <c r="H589" i="59"/>
  <c r="I589" i="59"/>
  <c r="I653" i="59"/>
  <c r="H653" i="59"/>
  <c r="H626" i="59"/>
  <c r="H581" i="59"/>
  <c r="H645" i="59"/>
  <c r="I648" i="59"/>
  <c r="H648" i="59"/>
  <c r="H597" i="59"/>
  <c r="I597" i="59"/>
  <c r="H661" i="59"/>
  <c r="I661" i="59"/>
  <c r="I616" i="59"/>
  <c r="H616" i="59"/>
  <c r="H642" i="59"/>
  <c r="H618" i="59"/>
  <c r="I656" i="59"/>
  <c r="H656" i="59"/>
  <c r="I605" i="59"/>
  <c r="H605" i="59"/>
  <c r="H669" i="59"/>
  <c r="I669" i="59"/>
  <c r="H672" i="59"/>
  <c r="H650" i="59"/>
  <c r="H612" i="59"/>
  <c r="H592" i="59"/>
  <c r="I618" i="59"/>
  <c r="I672" i="59"/>
  <c r="H613" i="59"/>
  <c r="I613" i="59"/>
  <c r="H658" i="59"/>
  <c r="H628" i="59"/>
  <c r="I645" i="59"/>
  <c r="H621" i="59"/>
  <c r="H586" i="59"/>
  <c r="H666" i="59"/>
  <c r="I629" i="59"/>
  <c r="H629" i="59"/>
  <c r="H602" i="59"/>
  <c r="H674" i="59"/>
  <c r="I584" i="59"/>
  <c r="H584" i="59"/>
  <c r="I573" i="59"/>
  <c r="H573" i="59"/>
  <c r="I637" i="59"/>
  <c r="H637" i="59"/>
  <c r="H610" i="59"/>
  <c r="H570" i="59"/>
  <c r="I608" i="59"/>
  <c r="I690" i="59" l="1"/>
  <c r="H690" i="59"/>
  <c r="A596" i="75"/>
  <c r="A597" i="75"/>
  <c r="A598" i="75"/>
  <c r="A599" i="75"/>
  <c r="A600" i="75"/>
  <c r="A601" i="75"/>
  <c r="A602" i="75"/>
  <c r="A603" i="75"/>
  <c r="A604" i="75"/>
  <c r="A605" i="75"/>
  <c r="A606" i="75"/>
  <c r="A607" i="75"/>
  <c r="A608" i="75"/>
  <c r="A609" i="75"/>
  <c r="A610" i="75"/>
  <c r="A611" i="75"/>
  <c r="A612" i="75"/>
  <c r="A613" i="75"/>
  <c r="A614" i="75"/>
  <c r="A615" i="75"/>
  <c r="A616" i="75"/>
  <c r="A617" i="75"/>
  <c r="A618" i="75"/>
  <c r="A619" i="75"/>
  <c r="A620" i="75"/>
  <c r="A621" i="75"/>
  <c r="A622" i="75"/>
  <c r="A623" i="75"/>
  <c r="A624" i="75"/>
  <c r="A625" i="75"/>
  <c r="A626" i="75"/>
  <c r="A627" i="75"/>
  <c r="A628" i="75"/>
  <c r="A629" i="75"/>
  <c r="A630" i="75"/>
  <c r="A631" i="75"/>
  <c r="A632" i="75"/>
  <c r="A633" i="75"/>
  <c r="A634" i="75"/>
  <c r="A635" i="75"/>
  <c r="A636" i="75"/>
  <c r="A637" i="75"/>
  <c r="A638" i="75"/>
  <c r="A639" i="75"/>
  <c r="A640" i="75"/>
  <c r="A641" i="75"/>
  <c r="A642" i="75"/>
  <c r="A643" i="75"/>
  <c r="A644" i="75"/>
  <c r="A645" i="75"/>
  <c r="A646" i="75"/>
  <c r="A647" i="75"/>
  <c r="A648" i="75"/>
  <c r="A649" i="75"/>
  <c r="A650" i="75"/>
  <c r="A651" i="75"/>
  <c r="A652" i="75"/>
  <c r="A653" i="75"/>
  <c r="A654" i="75"/>
  <c r="A655" i="75"/>
  <c r="A656" i="75"/>
  <c r="A657" i="75"/>
  <c r="A658" i="75"/>
  <c r="A659" i="75"/>
  <c r="A660" i="75"/>
  <c r="A661" i="75"/>
  <c r="A662" i="75"/>
  <c r="A663" i="75"/>
  <c r="A664" i="75"/>
  <c r="A665" i="75"/>
  <c r="A666" i="75"/>
  <c r="A667" i="75"/>
  <c r="A668" i="75"/>
  <c r="A669" i="75"/>
  <c r="A670" i="75"/>
  <c r="A671" i="75"/>
  <c r="A672" i="75"/>
  <c r="A673" i="75"/>
  <c r="A674" i="75"/>
  <c r="A675" i="75"/>
  <c r="A676" i="75"/>
  <c r="A677" i="75"/>
  <c r="A678" i="75"/>
  <c r="A679" i="75"/>
  <c r="A680" i="75"/>
  <c r="A681" i="75"/>
  <c r="A682" i="75"/>
  <c r="A683" i="75"/>
  <c r="A684" i="75"/>
  <c r="A685" i="75"/>
  <c r="A686" i="75"/>
  <c r="A687" i="75"/>
  <c r="A688" i="75"/>
  <c r="A689" i="75"/>
  <c r="A690" i="75"/>
  <c r="A691" i="75"/>
  <c r="A692" i="75"/>
  <c r="A693" i="75"/>
  <c r="A694" i="75"/>
  <c r="A695" i="75"/>
  <c r="A696" i="75"/>
  <c r="A697" i="75"/>
  <c r="A698" i="75"/>
  <c r="A699" i="75"/>
  <c r="A700" i="75"/>
  <c r="A701" i="75"/>
  <c r="A702" i="75"/>
  <c r="A703" i="75"/>
  <c r="A595" i="75"/>
  <c r="C361" i="76" l="1"/>
  <c r="C362" i="76"/>
  <c r="C363" i="76"/>
  <c r="C364" i="76"/>
  <c r="C365" i="76"/>
  <c r="C366" i="76"/>
  <c r="C367" i="76"/>
  <c r="C368" i="76"/>
  <c r="C369" i="76"/>
  <c r="C370" i="76"/>
  <c r="C371" i="76"/>
  <c r="C372" i="76"/>
  <c r="C373" i="76"/>
  <c r="C374" i="76"/>
  <c r="C375" i="76"/>
  <c r="C376" i="76"/>
  <c r="C377" i="76"/>
  <c r="C378" i="76"/>
  <c r="C379" i="76"/>
  <c r="C380" i="76"/>
  <c r="C381" i="76"/>
  <c r="C382" i="76"/>
  <c r="C383" i="76"/>
  <c r="C384" i="76"/>
  <c r="C385" i="76"/>
  <c r="C386" i="76"/>
  <c r="C387" i="76"/>
  <c r="C388" i="76"/>
  <c r="C389" i="76"/>
  <c r="C390" i="76"/>
  <c r="C391" i="76"/>
  <c r="C392" i="76"/>
  <c r="C393" i="76"/>
  <c r="C394" i="76"/>
  <c r="C395" i="76"/>
  <c r="C396" i="76"/>
  <c r="C397" i="76"/>
  <c r="C398" i="76"/>
  <c r="C399" i="76"/>
  <c r="C400" i="76"/>
  <c r="C401" i="76"/>
  <c r="C402" i="76"/>
  <c r="C403" i="76"/>
  <c r="C404" i="76"/>
  <c r="C405" i="76"/>
  <c r="C406" i="76"/>
  <c r="C407" i="76"/>
  <c r="C408" i="76"/>
  <c r="C409" i="76"/>
  <c r="C410" i="76"/>
  <c r="C411" i="76"/>
  <c r="C412" i="76"/>
  <c r="C413" i="76"/>
  <c r="C414" i="76"/>
  <c r="C415" i="76"/>
  <c r="C416" i="76"/>
  <c r="C417" i="76"/>
  <c r="C418" i="76"/>
  <c r="C419" i="76"/>
  <c r="C420" i="76"/>
  <c r="C421" i="76"/>
  <c r="C422" i="76"/>
  <c r="C423" i="76"/>
  <c r="C424" i="76"/>
  <c r="C425" i="76"/>
  <c r="C426" i="76"/>
  <c r="C427" i="76"/>
  <c r="C428" i="76"/>
  <c r="C429" i="76"/>
  <c r="C430" i="76"/>
  <c r="C431" i="76"/>
  <c r="C432" i="76"/>
  <c r="C433" i="76"/>
  <c r="C434" i="76"/>
  <c r="C435" i="76"/>
  <c r="C436" i="76"/>
  <c r="C437" i="76"/>
  <c r="C438" i="76"/>
  <c r="C439" i="76"/>
  <c r="C440" i="76"/>
  <c r="C441" i="76"/>
  <c r="C442" i="76"/>
  <c r="C443" i="76"/>
  <c r="C444" i="76"/>
  <c r="C445" i="76"/>
  <c r="C446" i="76"/>
  <c r="C447" i="76"/>
  <c r="C448" i="76"/>
  <c r="C449" i="76"/>
  <c r="C450" i="76"/>
  <c r="C451" i="76"/>
  <c r="C452" i="76"/>
  <c r="C453" i="76"/>
  <c r="C454" i="76"/>
  <c r="C455" i="76"/>
  <c r="C456" i="76"/>
  <c r="C457" i="76"/>
  <c r="C458" i="76"/>
  <c r="C459" i="76"/>
  <c r="C460" i="76"/>
  <c r="C461" i="76"/>
  <c r="C462" i="76"/>
  <c r="C463" i="76"/>
  <c r="C464" i="76"/>
  <c r="C465" i="76"/>
  <c r="C466" i="76"/>
  <c r="C467" i="76"/>
  <c r="C468" i="76"/>
  <c r="C469" i="76"/>
  <c r="C470" i="76"/>
  <c r="C471" i="76"/>
  <c r="C472" i="76"/>
  <c r="C473" i="76"/>
  <c r="C474" i="76"/>
  <c r="C475" i="76"/>
  <c r="C476" i="76"/>
  <c r="C477" i="76"/>
  <c r="C478" i="76"/>
  <c r="C479" i="76"/>
  <c r="C360" i="76"/>
  <c r="Y361" i="76"/>
  <c r="Y362" i="76"/>
  <c r="Y363" i="76"/>
  <c r="Y364" i="76"/>
  <c r="Y365" i="76"/>
  <c r="Y366" i="76"/>
  <c r="Y367" i="76"/>
  <c r="Y368" i="76"/>
  <c r="Y369" i="76"/>
  <c r="Y370" i="76"/>
  <c r="Y371" i="76"/>
  <c r="Y372" i="76"/>
  <c r="Y373" i="76"/>
  <c r="Y374" i="76"/>
  <c r="Y375" i="76"/>
  <c r="Y376" i="76"/>
  <c r="Y377" i="76"/>
  <c r="Y378" i="76"/>
  <c r="Y379" i="76"/>
  <c r="Y380" i="76"/>
  <c r="Y381" i="76"/>
  <c r="Y382" i="76"/>
  <c r="Y383" i="76"/>
  <c r="Y384" i="76"/>
  <c r="Y385" i="76"/>
  <c r="Y386" i="76"/>
  <c r="Y387" i="76"/>
  <c r="Y388" i="76"/>
  <c r="Y389" i="76"/>
  <c r="Y390" i="76"/>
  <c r="Y391" i="76"/>
  <c r="Y392" i="76"/>
  <c r="Y393" i="76"/>
  <c r="Y394" i="76"/>
  <c r="Y395" i="76"/>
  <c r="Y396" i="76"/>
  <c r="Y397" i="76"/>
  <c r="Y398" i="76"/>
  <c r="Y399" i="76"/>
  <c r="Y400" i="76"/>
  <c r="Y401" i="76"/>
  <c r="Y402" i="76"/>
  <c r="Y403" i="76"/>
  <c r="Y404" i="76"/>
  <c r="Y405" i="76"/>
  <c r="Y406" i="76"/>
  <c r="Y407" i="76"/>
  <c r="Y408" i="76"/>
  <c r="Y409" i="76"/>
  <c r="Y410" i="76"/>
  <c r="Y411" i="76"/>
  <c r="Y412" i="76"/>
  <c r="Y413" i="76"/>
  <c r="Y414" i="76"/>
  <c r="Y415" i="76"/>
  <c r="Y416" i="76"/>
  <c r="Y417" i="76"/>
  <c r="Y418" i="76"/>
  <c r="Y419" i="76"/>
  <c r="Y420" i="76"/>
  <c r="Y421" i="76"/>
  <c r="Y422" i="76"/>
  <c r="Y423" i="76"/>
  <c r="Y424" i="76"/>
  <c r="Y425" i="76"/>
  <c r="Y426" i="76"/>
  <c r="Y427" i="76"/>
  <c r="Y428" i="76"/>
  <c r="Y429" i="76"/>
  <c r="Y430" i="76"/>
  <c r="Y431" i="76"/>
  <c r="Y432" i="76"/>
  <c r="Y433" i="76"/>
  <c r="Y434" i="76"/>
  <c r="Y435" i="76"/>
  <c r="Y436" i="76"/>
  <c r="Y437" i="76"/>
  <c r="Y438" i="76"/>
  <c r="Y439" i="76"/>
  <c r="Y440" i="76"/>
  <c r="Y441" i="76"/>
  <c r="Y442" i="76"/>
  <c r="Y443" i="76"/>
  <c r="Y444" i="76"/>
  <c r="Y445" i="76"/>
  <c r="Y446" i="76"/>
  <c r="Y447" i="76"/>
  <c r="Y448" i="76"/>
  <c r="Y449" i="76"/>
  <c r="Y450" i="76"/>
  <c r="Y451" i="76"/>
  <c r="Y452" i="76"/>
  <c r="Y453" i="76"/>
  <c r="Y454" i="76"/>
  <c r="Y455" i="76"/>
  <c r="Y456" i="76"/>
  <c r="Y457" i="76"/>
  <c r="Y458" i="76"/>
  <c r="Y459" i="76"/>
  <c r="Y460" i="76"/>
  <c r="Y461" i="76"/>
  <c r="Y462" i="76"/>
  <c r="Y463" i="76"/>
  <c r="Y464" i="76"/>
  <c r="Y465" i="76"/>
  <c r="Y466" i="76"/>
  <c r="Y467" i="76"/>
  <c r="Y468" i="76"/>
  <c r="Y469" i="76"/>
  <c r="Y470" i="76"/>
  <c r="Y471" i="76"/>
  <c r="Y472" i="76"/>
  <c r="Y473" i="76"/>
  <c r="Y474" i="76"/>
  <c r="Y475" i="76"/>
  <c r="Y476" i="76"/>
  <c r="Y477" i="76"/>
  <c r="Y478" i="76"/>
  <c r="Y479" i="76"/>
  <c r="Y480" i="76"/>
  <c r="X361" i="76"/>
  <c r="X362" i="76"/>
  <c r="X363" i="76"/>
  <c r="X364" i="76"/>
  <c r="X365" i="76"/>
  <c r="X366" i="76"/>
  <c r="X367" i="76"/>
  <c r="X368" i="76"/>
  <c r="X369" i="76"/>
  <c r="X370" i="76"/>
  <c r="X371" i="76"/>
  <c r="X372" i="76"/>
  <c r="X373" i="76"/>
  <c r="X374" i="76"/>
  <c r="X375" i="76"/>
  <c r="X376" i="76"/>
  <c r="X377" i="76"/>
  <c r="X378" i="76"/>
  <c r="X379" i="76"/>
  <c r="X380" i="76"/>
  <c r="X381" i="76"/>
  <c r="X382" i="76"/>
  <c r="X383" i="76"/>
  <c r="X384" i="76"/>
  <c r="X385" i="76"/>
  <c r="X386" i="76"/>
  <c r="X387" i="76"/>
  <c r="X388" i="76"/>
  <c r="X389" i="76"/>
  <c r="X390" i="76"/>
  <c r="X391" i="76"/>
  <c r="X392" i="76"/>
  <c r="X393" i="76"/>
  <c r="X394" i="76"/>
  <c r="X395" i="76"/>
  <c r="X396" i="76"/>
  <c r="X397" i="76"/>
  <c r="X398" i="76"/>
  <c r="X399" i="76"/>
  <c r="X400" i="76"/>
  <c r="X401" i="76"/>
  <c r="X402" i="76"/>
  <c r="X403" i="76"/>
  <c r="X404" i="76"/>
  <c r="X405" i="76"/>
  <c r="X406" i="76"/>
  <c r="X407" i="76"/>
  <c r="X408" i="76"/>
  <c r="X409" i="76"/>
  <c r="X410" i="76"/>
  <c r="X411" i="76"/>
  <c r="X412" i="76"/>
  <c r="X413" i="76"/>
  <c r="X414" i="76"/>
  <c r="X415" i="76"/>
  <c r="X416" i="76"/>
  <c r="X417" i="76"/>
  <c r="X418" i="76"/>
  <c r="X419" i="76"/>
  <c r="X420" i="76"/>
  <c r="X421" i="76"/>
  <c r="X422" i="76"/>
  <c r="X423" i="76"/>
  <c r="X424" i="76"/>
  <c r="X425" i="76"/>
  <c r="X426" i="76"/>
  <c r="X427" i="76"/>
  <c r="X428" i="76"/>
  <c r="X429" i="76"/>
  <c r="X430" i="76"/>
  <c r="X431" i="76"/>
  <c r="X432" i="76"/>
  <c r="X433" i="76"/>
  <c r="X434" i="76"/>
  <c r="X435" i="76"/>
  <c r="X436" i="76"/>
  <c r="X437" i="76"/>
  <c r="X438" i="76"/>
  <c r="X439" i="76"/>
  <c r="X440" i="76"/>
  <c r="X441" i="76"/>
  <c r="X442" i="76"/>
  <c r="X443" i="76"/>
  <c r="X444" i="76"/>
  <c r="X445" i="76"/>
  <c r="X446" i="76"/>
  <c r="X447" i="76"/>
  <c r="X448" i="76"/>
  <c r="X449" i="76"/>
  <c r="X450" i="76"/>
  <c r="X451" i="76"/>
  <c r="X452" i="76"/>
  <c r="X453" i="76"/>
  <c r="X454" i="76"/>
  <c r="X455" i="76"/>
  <c r="X456" i="76"/>
  <c r="X457" i="76"/>
  <c r="X458" i="76"/>
  <c r="X459" i="76"/>
  <c r="X460" i="76"/>
  <c r="X461" i="76"/>
  <c r="X462" i="76"/>
  <c r="X463" i="76"/>
  <c r="X464" i="76"/>
  <c r="X465" i="76"/>
  <c r="X466" i="76"/>
  <c r="X467" i="76"/>
  <c r="X468" i="76"/>
  <c r="X469" i="76"/>
  <c r="X470" i="76"/>
  <c r="X471" i="76"/>
  <c r="X472" i="76"/>
  <c r="X473" i="76"/>
  <c r="X474" i="76"/>
  <c r="X475" i="76"/>
  <c r="X476" i="76"/>
  <c r="X477" i="76"/>
  <c r="X478" i="76"/>
  <c r="X479" i="76"/>
  <c r="X480" i="76"/>
  <c r="W361" i="76"/>
  <c r="W362" i="76"/>
  <c r="W363" i="76"/>
  <c r="W364" i="76"/>
  <c r="W365" i="76"/>
  <c r="W366" i="76"/>
  <c r="W367" i="76"/>
  <c r="W368" i="76"/>
  <c r="W369" i="76"/>
  <c r="W370" i="76"/>
  <c r="W371" i="76"/>
  <c r="W372" i="76"/>
  <c r="W373" i="76"/>
  <c r="W374" i="76"/>
  <c r="W375" i="76"/>
  <c r="W376" i="76"/>
  <c r="W377" i="76"/>
  <c r="W378" i="76"/>
  <c r="W379" i="76"/>
  <c r="W380" i="76"/>
  <c r="W381" i="76"/>
  <c r="W382" i="76"/>
  <c r="W383" i="76"/>
  <c r="W384" i="76"/>
  <c r="W385" i="76"/>
  <c r="W386" i="76"/>
  <c r="W387" i="76"/>
  <c r="W388" i="76"/>
  <c r="W389" i="76"/>
  <c r="W390" i="76"/>
  <c r="W391" i="76"/>
  <c r="W392" i="76"/>
  <c r="W393" i="76"/>
  <c r="W394" i="76"/>
  <c r="W395" i="76"/>
  <c r="W396" i="76"/>
  <c r="W397" i="76"/>
  <c r="W398" i="76"/>
  <c r="W399" i="76"/>
  <c r="W400" i="76"/>
  <c r="W401" i="76"/>
  <c r="W402" i="76"/>
  <c r="W403" i="76"/>
  <c r="W404" i="76"/>
  <c r="W405" i="76"/>
  <c r="W406" i="76"/>
  <c r="W407" i="76"/>
  <c r="W408" i="76"/>
  <c r="W409" i="76"/>
  <c r="W410" i="76"/>
  <c r="W411" i="76"/>
  <c r="W412" i="76"/>
  <c r="W413" i="76"/>
  <c r="W414" i="76"/>
  <c r="W415" i="76"/>
  <c r="W416" i="76"/>
  <c r="W417" i="76"/>
  <c r="W418" i="76"/>
  <c r="W419" i="76"/>
  <c r="W420" i="76"/>
  <c r="W421" i="76"/>
  <c r="W422" i="76"/>
  <c r="W423" i="76"/>
  <c r="W424" i="76"/>
  <c r="W425" i="76"/>
  <c r="W426" i="76"/>
  <c r="W427" i="76"/>
  <c r="W428" i="76"/>
  <c r="W429" i="76"/>
  <c r="W430" i="76"/>
  <c r="W431" i="76"/>
  <c r="W432" i="76"/>
  <c r="W433" i="76"/>
  <c r="W434" i="76"/>
  <c r="W435" i="76"/>
  <c r="W436" i="76"/>
  <c r="W437" i="76"/>
  <c r="W438" i="76"/>
  <c r="W439" i="76"/>
  <c r="W440" i="76"/>
  <c r="W441" i="76"/>
  <c r="W442" i="76"/>
  <c r="W443" i="76"/>
  <c r="W444" i="76"/>
  <c r="W445" i="76"/>
  <c r="W446" i="76"/>
  <c r="W447" i="76"/>
  <c r="W448" i="76"/>
  <c r="W449" i="76"/>
  <c r="W450" i="76"/>
  <c r="W451" i="76"/>
  <c r="W452" i="76"/>
  <c r="W453" i="76"/>
  <c r="W454" i="76"/>
  <c r="W455" i="76"/>
  <c r="W456" i="76"/>
  <c r="W457" i="76"/>
  <c r="W458" i="76"/>
  <c r="W459" i="76"/>
  <c r="W460" i="76"/>
  <c r="W461" i="76"/>
  <c r="W462" i="76"/>
  <c r="W463" i="76"/>
  <c r="W464" i="76"/>
  <c r="W465" i="76"/>
  <c r="W466" i="76"/>
  <c r="W467" i="76"/>
  <c r="W468" i="76"/>
  <c r="W469" i="76"/>
  <c r="W470" i="76"/>
  <c r="W471" i="76"/>
  <c r="W472" i="76"/>
  <c r="W473" i="76"/>
  <c r="W474" i="76"/>
  <c r="W475" i="76"/>
  <c r="W476" i="76"/>
  <c r="W477" i="76"/>
  <c r="W478" i="76"/>
  <c r="W479" i="76"/>
  <c r="W480" i="76"/>
  <c r="Y360" i="76"/>
  <c r="W360" i="76"/>
  <c r="X360" i="76"/>
  <c r="C578" i="76"/>
  <c r="C579" i="76" s="1"/>
  <c r="C580" i="76" s="1"/>
  <c r="C581" i="76" s="1"/>
  <c r="C582" i="76" s="1"/>
  <c r="C583" i="76" s="1"/>
  <c r="C584" i="76" s="1"/>
  <c r="C585" i="76" s="1"/>
  <c r="C586" i="76" s="1"/>
  <c r="C587" i="76" s="1"/>
  <c r="C588" i="76" s="1"/>
  <c r="C589" i="76" s="1"/>
  <c r="C590" i="76" s="1"/>
  <c r="C591" i="76" s="1"/>
  <c r="C592" i="76" s="1"/>
  <c r="C593" i="76" s="1"/>
  <c r="C594" i="76" s="1"/>
  <c r="C595" i="76" s="1"/>
  <c r="C596" i="76" s="1"/>
  <c r="C597" i="76" s="1"/>
  <c r="C598" i="76" s="1"/>
  <c r="C599" i="76" s="1"/>
  <c r="C600" i="76" s="1"/>
  <c r="C601" i="76" s="1"/>
  <c r="C602" i="76" s="1"/>
  <c r="C603" i="76" s="1"/>
  <c r="C604" i="76" s="1"/>
  <c r="C605" i="76" s="1"/>
  <c r="C606" i="76" s="1"/>
  <c r="C607" i="76" s="1"/>
  <c r="C608" i="76" s="1"/>
  <c r="C609" i="76" s="1"/>
  <c r="C610" i="76" s="1"/>
  <c r="C611" i="76" s="1"/>
  <c r="C612" i="76" s="1"/>
  <c r="C613" i="76" s="1"/>
  <c r="C614" i="76" s="1"/>
  <c r="C615" i="76" s="1"/>
  <c r="C616" i="76" s="1"/>
  <c r="C617" i="76" s="1"/>
  <c r="C618" i="76" s="1"/>
  <c r="C619" i="76" s="1"/>
  <c r="C620" i="76" s="1"/>
  <c r="C621" i="76" s="1"/>
  <c r="C622" i="76" s="1"/>
  <c r="C623" i="76" s="1"/>
  <c r="C624" i="76" s="1"/>
  <c r="C625" i="76" s="1"/>
  <c r="C626" i="76" s="1"/>
  <c r="C627" i="76" s="1"/>
  <c r="C628" i="76" s="1"/>
  <c r="C629" i="76" s="1"/>
  <c r="C630" i="76" s="1"/>
  <c r="C631" i="76" s="1"/>
  <c r="C632" i="76" s="1"/>
  <c r="C633" i="76" s="1"/>
  <c r="C634" i="76" s="1"/>
  <c r="C635" i="76" s="1"/>
  <c r="C636" i="76" s="1"/>
  <c r="C637" i="76" s="1"/>
  <c r="C638" i="76" s="1"/>
  <c r="C639" i="76" s="1"/>
  <c r="C640" i="76" s="1"/>
  <c r="C641" i="76" s="1"/>
  <c r="C642" i="76" s="1"/>
  <c r="C643" i="76" s="1"/>
  <c r="C644" i="76" s="1"/>
  <c r="C645" i="76" s="1"/>
  <c r="C646" i="76" s="1"/>
  <c r="C647" i="76" s="1"/>
  <c r="C648" i="76" s="1"/>
  <c r="C649" i="76" s="1"/>
  <c r="C576" i="76"/>
  <c r="C577" i="76" s="1"/>
  <c r="C489" i="76"/>
  <c r="C490" i="76" s="1"/>
  <c r="C491" i="76" s="1"/>
  <c r="C492" i="76" s="1"/>
  <c r="C493" i="76" s="1"/>
  <c r="C494" i="76" s="1"/>
  <c r="C495" i="76" s="1"/>
  <c r="C496" i="76" s="1"/>
  <c r="C497" i="76" s="1"/>
  <c r="C498" i="76" s="1"/>
  <c r="C499" i="76" s="1"/>
  <c r="C500" i="76" s="1"/>
  <c r="C501" i="76" s="1"/>
  <c r="C502" i="76" s="1"/>
  <c r="C503" i="76" s="1"/>
  <c r="C504" i="76" s="1"/>
  <c r="C505" i="76" s="1"/>
  <c r="C506" i="76" s="1"/>
  <c r="C507" i="76" s="1"/>
  <c r="C508" i="76" s="1"/>
  <c r="C509" i="76" s="1"/>
  <c r="C510" i="76" s="1"/>
  <c r="C511" i="76" s="1"/>
  <c r="C512" i="76" s="1"/>
  <c r="C513" i="76" s="1"/>
  <c r="C514" i="76" s="1"/>
  <c r="C515" i="76" s="1"/>
  <c r="C516" i="76" s="1"/>
  <c r="C517" i="76" s="1"/>
  <c r="C518" i="76" s="1"/>
  <c r="C519" i="76" s="1"/>
  <c r="C520" i="76" s="1"/>
  <c r="C521" i="76" s="1"/>
  <c r="C522" i="76" s="1"/>
  <c r="C523" i="76" s="1"/>
  <c r="C524" i="76" s="1"/>
  <c r="C525" i="76" s="1"/>
  <c r="C526" i="76" s="1"/>
  <c r="C527" i="76" s="1"/>
  <c r="C528" i="76" s="1"/>
  <c r="C529" i="76" s="1"/>
  <c r="C530" i="76" s="1"/>
  <c r="C531" i="76" s="1"/>
  <c r="C532" i="76" s="1"/>
  <c r="C533" i="76" s="1"/>
  <c r="C534" i="76" s="1"/>
  <c r="C535" i="76" s="1"/>
  <c r="C536" i="76" s="1"/>
  <c r="C537" i="76" s="1"/>
  <c r="C538" i="76" s="1"/>
  <c r="C539" i="76" s="1"/>
  <c r="C540" i="76" s="1"/>
  <c r="C541" i="76" s="1"/>
  <c r="C542" i="76" s="1"/>
  <c r="C543" i="76" s="1"/>
  <c r="C544" i="76" s="1"/>
  <c r="C545" i="76" s="1"/>
  <c r="C546" i="76" s="1"/>
  <c r="C547" i="76" s="1"/>
  <c r="C548" i="76" s="1"/>
  <c r="C549" i="76" s="1"/>
  <c r="C550" i="76" s="1"/>
  <c r="C551" i="76" s="1"/>
  <c r="C552" i="76" s="1"/>
  <c r="C553" i="76" s="1"/>
  <c r="C554" i="76" s="1"/>
  <c r="C555" i="76" s="1"/>
  <c r="C556" i="76" s="1"/>
  <c r="C557" i="76" s="1"/>
  <c r="C558" i="76" s="1"/>
  <c r="C559" i="76" s="1"/>
  <c r="C560" i="76" s="1"/>
  <c r="C561" i="76" s="1"/>
  <c r="C562" i="76" s="1"/>
  <c r="C563" i="76" s="1"/>
  <c r="C564" i="76" s="1"/>
  <c r="C565" i="76" s="1"/>
  <c r="C566" i="76" s="1"/>
  <c r="C567" i="76" s="1"/>
  <c r="C269" i="76"/>
  <c r="C270" i="76" s="1"/>
  <c r="C271" i="76" s="1"/>
  <c r="C272" i="76" s="1"/>
  <c r="C273" i="76" s="1"/>
  <c r="C274" i="76" s="1"/>
  <c r="C275" i="76" s="1"/>
  <c r="C276" i="76" s="1"/>
  <c r="C277" i="76" s="1"/>
  <c r="C278" i="76" s="1"/>
  <c r="C279" i="76" s="1"/>
  <c r="C280" i="76" s="1"/>
  <c r="C281" i="76" s="1"/>
  <c r="C282" i="76" s="1"/>
  <c r="C283" i="76" s="1"/>
  <c r="C284" i="76" s="1"/>
  <c r="C285" i="76" s="1"/>
  <c r="C286" i="76" s="1"/>
  <c r="C287" i="76" s="1"/>
  <c r="C288" i="76" s="1"/>
  <c r="C289" i="76" s="1"/>
  <c r="C290" i="76" s="1"/>
  <c r="C291" i="76" s="1"/>
  <c r="C292" i="76" s="1"/>
  <c r="C293" i="76" s="1"/>
  <c r="C294" i="76" s="1"/>
  <c r="C295" i="76" s="1"/>
  <c r="C296" i="76" s="1"/>
  <c r="C297" i="76" s="1"/>
  <c r="C298" i="76" s="1"/>
  <c r="C299" i="76" s="1"/>
  <c r="C300" i="76" s="1"/>
  <c r="C301" i="76" s="1"/>
  <c r="C302" i="76" s="1"/>
  <c r="C303" i="76" s="1"/>
  <c r="C304" i="76" s="1"/>
  <c r="C305" i="76" s="1"/>
  <c r="C306" i="76" s="1"/>
  <c r="C307" i="76" s="1"/>
  <c r="C308" i="76" s="1"/>
  <c r="C309" i="76" s="1"/>
  <c r="C310" i="76" s="1"/>
  <c r="C311" i="76" s="1"/>
  <c r="C312" i="76" s="1"/>
  <c r="C313" i="76" s="1"/>
  <c r="C314" i="76" s="1"/>
  <c r="C315" i="76" s="1"/>
  <c r="C316" i="76" s="1"/>
  <c r="C317" i="76" s="1"/>
  <c r="C318" i="76" s="1"/>
  <c r="C319" i="76" s="1"/>
  <c r="C320" i="76" s="1"/>
  <c r="C321" i="76" s="1"/>
  <c r="C322" i="76" s="1"/>
  <c r="C323" i="76" s="1"/>
  <c r="C324" i="76" s="1"/>
  <c r="C325" i="76" s="1"/>
  <c r="C326" i="76" s="1"/>
  <c r="C327" i="76" s="1"/>
  <c r="C328" i="76" s="1"/>
  <c r="C329" i="76" s="1"/>
  <c r="C330" i="76" s="1"/>
  <c r="C331" i="76" s="1"/>
  <c r="C332" i="76" s="1"/>
  <c r="C333" i="76" s="1"/>
  <c r="C334" i="76" s="1"/>
  <c r="C335" i="76" s="1"/>
  <c r="C336" i="76" s="1"/>
  <c r="C337" i="76" s="1"/>
  <c r="C338" i="76" s="1"/>
  <c r="C339" i="76" s="1"/>
  <c r="C340" i="76" s="1"/>
  <c r="C341" i="76" s="1"/>
  <c r="C342" i="76" s="1"/>
  <c r="C343" i="76" s="1"/>
  <c r="C344" i="76" s="1"/>
  <c r="C345" i="76" s="1"/>
  <c r="C346" i="76" s="1"/>
  <c r="C347" i="76" s="1"/>
  <c r="C232" i="76"/>
  <c r="C233" i="76" s="1"/>
  <c r="C234" i="76" s="1"/>
  <c r="C235" i="76" s="1"/>
  <c r="C236" i="76" s="1"/>
  <c r="C237" i="76" s="1"/>
  <c r="C238" i="76" s="1"/>
  <c r="C239" i="76" s="1"/>
  <c r="C240" i="76" s="1"/>
  <c r="C241" i="76" s="1"/>
  <c r="C242" i="76" s="1"/>
  <c r="C243" i="76" s="1"/>
  <c r="C244" i="76" s="1"/>
  <c r="C245" i="76" s="1"/>
  <c r="C246" i="76" s="1"/>
  <c r="C247" i="76" s="1"/>
  <c r="C248" i="76" s="1"/>
  <c r="C249" i="76" s="1"/>
  <c r="C250" i="76" s="1"/>
  <c r="C251" i="76" s="1"/>
  <c r="C252" i="76" s="1"/>
  <c r="C253" i="76" s="1"/>
  <c r="C254" i="76" s="1"/>
  <c r="C255" i="76" s="1"/>
  <c r="C256" i="76" s="1"/>
  <c r="C257" i="76" s="1"/>
  <c r="C258" i="76" s="1"/>
  <c r="C259" i="76" s="1"/>
  <c r="C260" i="76" s="1"/>
  <c r="A202" i="76"/>
  <c r="A203" i="76" s="1"/>
  <c r="A204" i="76" s="1"/>
  <c r="A205" i="76" s="1"/>
  <c r="A206" i="76" s="1"/>
  <c r="A207" i="76" s="1"/>
  <c r="A208" i="76" s="1"/>
  <c r="A209" i="76" s="1"/>
  <c r="B192" i="76"/>
  <c r="A191" i="76"/>
  <c r="A192" i="76" s="1"/>
  <c r="A193" i="76" s="1"/>
  <c r="A194" i="76" s="1"/>
  <c r="A195" i="76" s="1"/>
  <c r="A196" i="76" s="1"/>
  <c r="A197" i="76" s="1"/>
  <c r="A198" i="76" s="1"/>
  <c r="A199" i="76" s="1"/>
  <c r="A200" i="76" s="1"/>
  <c r="B187" i="76"/>
  <c r="B188" i="76" s="1"/>
  <c r="B189" i="76" s="1"/>
  <c r="A187" i="76"/>
  <c r="A188" i="76" s="1"/>
  <c r="A189" i="76" s="1"/>
  <c r="B182" i="76"/>
  <c r="B183" i="76" s="1"/>
  <c r="B184" i="76" s="1"/>
  <c r="B185" i="76" s="1"/>
  <c r="A182" i="76"/>
  <c r="A183" i="76" s="1"/>
  <c r="A184" i="76" s="1"/>
  <c r="A185" i="76" s="1"/>
  <c r="A173" i="76"/>
  <c r="A174" i="76" s="1"/>
  <c r="A175" i="76" s="1"/>
  <c r="A176" i="76" s="1"/>
  <c r="A177" i="76" s="1"/>
  <c r="A178" i="76" s="1"/>
  <c r="A179" i="76" s="1"/>
  <c r="A180" i="76" s="1"/>
  <c r="A166" i="76"/>
  <c r="A167" i="76" s="1"/>
  <c r="A168" i="76" s="1"/>
  <c r="A169" i="76" s="1"/>
  <c r="A170" i="76" s="1"/>
  <c r="A171" i="76" s="1"/>
  <c r="A157" i="76"/>
  <c r="A158" i="76" s="1"/>
  <c r="A159" i="76" s="1"/>
  <c r="A160" i="76" s="1"/>
  <c r="A161" i="76" s="1"/>
  <c r="A162" i="76" s="1"/>
  <c r="A163" i="76" s="1"/>
  <c r="A164" i="76" s="1"/>
  <c r="A146" i="76"/>
  <c r="A147" i="76" s="1"/>
  <c r="A148" i="76" s="1"/>
  <c r="A149" i="76" s="1"/>
  <c r="A150" i="76" s="1"/>
  <c r="A151" i="76" s="1"/>
  <c r="A152" i="76" s="1"/>
  <c r="A153" i="76" s="1"/>
  <c r="A154" i="76" s="1"/>
  <c r="A155" i="76" s="1"/>
  <c r="B144" i="76"/>
  <c r="A143" i="76"/>
  <c r="A144" i="76" s="1"/>
  <c r="A140" i="76"/>
  <c r="A141" i="76" s="1"/>
  <c r="A138" i="76"/>
  <c r="B128" i="76"/>
  <c r="B129" i="76" s="1"/>
  <c r="B130" i="76" s="1"/>
  <c r="B131" i="76" s="1"/>
  <c r="B132" i="76" s="1"/>
  <c r="B133" i="76" s="1"/>
  <c r="B134" i="76" s="1"/>
  <c r="B135" i="76" s="1"/>
  <c r="B136" i="76" s="1"/>
  <c r="B137" i="76" s="1"/>
  <c r="B138" i="76" s="1"/>
  <c r="B139" i="76" s="1"/>
  <c r="B140" i="76" s="1"/>
  <c r="B141" i="76" s="1"/>
  <c r="A128" i="76"/>
  <c r="A129" i="76" s="1"/>
  <c r="A130" i="76" s="1"/>
  <c r="A131" i="76" s="1"/>
  <c r="A132" i="76" s="1"/>
  <c r="A133" i="76" s="1"/>
  <c r="C117" i="76"/>
  <c r="C118" i="76" s="1"/>
  <c r="C119" i="76" s="1"/>
  <c r="C120" i="76" s="1"/>
  <c r="C121" i="76" s="1"/>
  <c r="C122" i="76" s="1"/>
  <c r="C123" i="76" s="1"/>
  <c r="C124" i="76" s="1"/>
  <c r="C125" i="76" s="1"/>
  <c r="C126" i="76" s="1"/>
  <c r="C127" i="76" s="1"/>
  <c r="C128" i="76" s="1"/>
  <c r="C129" i="76" s="1"/>
  <c r="C130" i="76" s="1"/>
  <c r="C131" i="76" s="1"/>
  <c r="C132" i="76" s="1"/>
  <c r="C133" i="76" s="1"/>
  <c r="C134" i="76" s="1"/>
  <c r="C135" i="76" s="1"/>
  <c r="C136" i="76" s="1"/>
  <c r="C137" i="76" s="1"/>
  <c r="C138" i="76" s="1"/>
  <c r="C139" i="76" s="1"/>
  <c r="C140" i="76" s="1"/>
  <c r="C141" i="76" s="1"/>
  <c r="C142" i="76" s="1"/>
  <c r="C143" i="76" s="1"/>
  <c r="C144" i="76" s="1"/>
  <c r="C145" i="76" s="1"/>
  <c r="C146" i="76" s="1"/>
  <c r="C147" i="76" s="1"/>
  <c r="C148" i="76" s="1"/>
  <c r="C149" i="76" s="1"/>
  <c r="C150" i="76" s="1"/>
  <c r="C151" i="76" s="1"/>
  <c r="C152" i="76" s="1"/>
  <c r="C153" i="76" s="1"/>
  <c r="C154" i="76" s="1"/>
  <c r="C155" i="76" s="1"/>
  <c r="C156" i="76" s="1"/>
  <c r="C157" i="76" s="1"/>
  <c r="C158" i="76" s="1"/>
  <c r="C159" i="76" s="1"/>
  <c r="C160" i="76" s="1"/>
  <c r="C161" i="76" s="1"/>
  <c r="C162" i="76" s="1"/>
  <c r="C163" i="76" s="1"/>
  <c r="C164" i="76" s="1"/>
  <c r="C165" i="76" s="1"/>
  <c r="C166" i="76" s="1"/>
  <c r="C167" i="76" s="1"/>
  <c r="C168" i="76" s="1"/>
  <c r="C169" i="76" s="1"/>
  <c r="C170" i="76" s="1"/>
  <c r="C171" i="76" s="1"/>
  <c r="C172" i="76" s="1"/>
  <c r="C173" i="76" s="1"/>
  <c r="C174" i="76" s="1"/>
  <c r="C175" i="76" s="1"/>
  <c r="C176" i="76" s="1"/>
  <c r="C177" i="76" s="1"/>
  <c r="C178" i="76" s="1"/>
  <c r="C179" i="76" s="1"/>
  <c r="C180" i="76" s="1"/>
  <c r="C181" i="76" s="1"/>
  <c r="C182" i="76" s="1"/>
  <c r="C183" i="76" s="1"/>
  <c r="C184" i="76" s="1"/>
  <c r="C185" i="76" s="1"/>
  <c r="C186" i="76" s="1"/>
  <c r="C187" i="76" s="1"/>
  <c r="C188" i="76" s="1"/>
  <c r="C189" i="76" s="1"/>
  <c r="C190" i="76" s="1"/>
  <c r="C191" i="76" s="1"/>
  <c r="C192" i="76" s="1"/>
  <c r="C193" i="76" s="1"/>
  <c r="C194" i="76" s="1"/>
  <c r="C195" i="76" s="1"/>
  <c r="C196" i="76" s="1"/>
  <c r="C197" i="76" s="1"/>
  <c r="C198" i="76" s="1"/>
  <c r="C199" i="76" s="1"/>
  <c r="C200" i="76" s="1"/>
  <c r="C201" i="76" s="1"/>
  <c r="C202" i="76" s="1"/>
  <c r="C203" i="76" s="1"/>
  <c r="C204" i="76" s="1"/>
  <c r="C205" i="76" s="1"/>
  <c r="C206" i="76" s="1"/>
  <c r="C207" i="76" s="1"/>
  <c r="C208" i="76" s="1"/>
  <c r="C209" i="76" s="1"/>
  <c r="C210" i="76" s="1"/>
  <c r="C211" i="76" s="1"/>
  <c r="C212" i="76" s="1"/>
  <c r="C213" i="76" s="1"/>
  <c r="C214" i="76" s="1"/>
  <c r="C215" i="76" s="1"/>
  <c r="C216" i="76" s="1"/>
  <c r="C217" i="76" s="1"/>
  <c r="C218" i="76" s="1"/>
  <c r="C219" i="76" s="1"/>
  <c r="C220" i="76" s="1"/>
  <c r="C221" i="76" s="1"/>
  <c r="C222" i="76" s="1"/>
  <c r="C223" i="76" s="1"/>
  <c r="B117" i="76"/>
  <c r="A117" i="76"/>
  <c r="C16" i="76"/>
  <c r="C17" i="76" s="1"/>
  <c r="C18" i="76" s="1"/>
  <c r="C19" i="76" s="1"/>
  <c r="C20" i="76" s="1"/>
  <c r="C21" i="76" s="1"/>
  <c r="C22" i="76" s="1"/>
  <c r="C23" i="76" s="1"/>
  <c r="C24" i="76" s="1"/>
  <c r="C25" i="76" s="1"/>
  <c r="C26" i="76" s="1"/>
  <c r="C27" i="76" s="1"/>
  <c r="C28" i="76" s="1"/>
  <c r="C29" i="76" s="1"/>
  <c r="C30" i="76" s="1"/>
  <c r="C31" i="76" s="1"/>
  <c r="C32" i="76" s="1"/>
  <c r="C33" i="76" s="1"/>
  <c r="C34" i="76" s="1"/>
  <c r="C35" i="76" s="1"/>
  <c r="C36" i="76" s="1"/>
  <c r="C37" i="76" s="1"/>
  <c r="C38" i="76" s="1"/>
  <c r="C39" i="76" s="1"/>
  <c r="C40" i="76" s="1"/>
  <c r="C41" i="76" s="1"/>
  <c r="C42" i="76" s="1"/>
  <c r="C43" i="76" s="1"/>
  <c r="C44" i="76" s="1"/>
  <c r="C45" i="76" s="1"/>
  <c r="C46" i="76" s="1"/>
  <c r="C47" i="76" s="1"/>
  <c r="C48" i="76" s="1"/>
  <c r="C49" i="76" s="1"/>
  <c r="C50" i="76" s="1"/>
  <c r="C51" i="76" s="1"/>
  <c r="C52" i="76" s="1"/>
  <c r="C53" i="76" s="1"/>
  <c r="C54" i="76" s="1"/>
  <c r="C55" i="76" s="1"/>
  <c r="C56" i="76" s="1"/>
  <c r="C57" i="76" s="1"/>
  <c r="C58" i="76" s="1"/>
  <c r="C59" i="76" s="1"/>
  <c r="C60" i="76" s="1"/>
  <c r="C61" i="76" s="1"/>
  <c r="C62" i="76" s="1"/>
  <c r="C63" i="76" s="1"/>
  <c r="C64" i="76" s="1"/>
  <c r="C65" i="76" s="1"/>
  <c r="C66" i="76" s="1"/>
  <c r="C67" i="76" s="1"/>
  <c r="C68" i="76" s="1"/>
  <c r="C69" i="76" s="1"/>
  <c r="C70" i="76" s="1"/>
  <c r="C71" i="76" s="1"/>
  <c r="C72" i="76" s="1"/>
  <c r="C73" i="76" s="1"/>
  <c r="C74" i="76" s="1"/>
  <c r="C75" i="76" s="1"/>
  <c r="C76" i="76" s="1"/>
  <c r="C77" i="76" s="1"/>
  <c r="C78" i="76" s="1"/>
  <c r="C79" i="76" s="1"/>
  <c r="C80" i="76" s="1"/>
  <c r="C81" i="76" s="1"/>
  <c r="C82" i="76" s="1"/>
  <c r="C83" i="76" s="1"/>
  <c r="C84" i="76" s="1"/>
  <c r="C85" i="76" s="1"/>
  <c r="C86" i="76" s="1"/>
  <c r="C87" i="76" s="1"/>
  <c r="C88" i="76" s="1"/>
  <c r="C89" i="76" s="1"/>
  <c r="C90" i="76" s="1"/>
  <c r="C480" i="76" l="1"/>
  <c r="B118" i="76"/>
  <c r="A118" i="76"/>
  <c r="A119" i="76" l="1"/>
  <c r="B119" i="76"/>
  <c r="B120" i="76" l="1"/>
  <c r="A120" i="76"/>
  <c r="A121" i="76" l="1"/>
  <c r="B121" i="76"/>
  <c r="B122" i="76" l="1"/>
  <c r="A122" i="76"/>
  <c r="A123" i="76" l="1"/>
  <c r="B123" i="76"/>
  <c r="B124" i="76" l="1"/>
  <c r="A124" i="76"/>
  <c r="A125" i="76" l="1"/>
  <c r="B125" i="76"/>
  <c r="B126" i="76" l="1"/>
  <c r="B224" i="76"/>
  <c r="A126" i="76"/>
  <c r="A224" i="76"/>
  <c r="A225" i="76"/>
  <c r="A226" i="76" l="1"/>
  <c r="A223" i="76"/>
  <c r="B223" i="76"/>
  <c r="B225" i="76"/>
  <c r="B226" i="76"/>
  <c r="B227" i="76" l="1"/>
  <c r="A227" i="76"/>
  <c r="B466" i="75" l="1"/>
  <c r="C466" i="75" s="1"/>
  <c r="D466" i="75" s="1"/>
  <c r="E466" i="75" s="1"/>
  <c r="F466" i="75" s="1"/>
  <c r="G466" i="75" s="1"/>
  <c r="H466" i="75" s="1"/>
  <c r="I466" i="75" s="1"/>
  <c r="J466" i="75" s="1"/>
  <c r="K466" i="75" s="1"/>
  <c r="L466" i="75" s="1"/>
  <c r="M466" i="75" s="1"/>
  <c r="N466" i="75" s="1"/>
  <c r="O466" i="75" s="1"/>
  <c r="P466" i="75" s="1"/>
  <c r="Q466" i="75" s="1"/>
  <c r="R466" i="75" s="1"/>
  <c r="S466" i="75" s="1"/>
  <c r="T466" i="75" s="1"/>
  <c r="U466" i="75" s="1"/>
  <c r="V466" i="75" s="1"/>
  <c r="W466" i="75" s="1"/>
  <c r="X466" i="75" s="1"/>
  <c r="Y466" i="75" s="1"/>
  <c r="Z466" i="75" s="1"/>
  <c r="AA466" i="75" s="1"/>
  <c r="AB466" i="75" s="1"/>
  <c r="AC466" i="75" s="1"/>
  <c r="AD466" i="75" s="1"/>
  <c r="AE466" i="75" s="1"/>
  <c r="AF466" i="75" s="1"/>
  <c r="AG466" i="75" s="1"/>
  <c r="AH466" i="75" s="1"/>
  <c r="AI466" i="75" s="1"/>
  <c r="AJ466" i="75" s="1"/>
  <c r="AK466" i="75" s="1"/>
  <c r="AL466" i="75" s="1"/>
  <c r="AM466" i="75" s="1"/>
  <c r="AN466" i="75" s="1"/>
  <c r="AO466" i="75" s="1"/>
  <c r="AP466" i="75" s="1"/>
  <c r="AQ466" i="75" s="1"/>
  <c r="AR466" i="75" s="1"/>
  <c r="AS466" i="75" s="1"/>
  <c r="AT466" i="75" s="1"/>
  <c r="AU466" i="75" s="1"/>
  <c r="AV466" i="75" s="1"/>
  <c r="AW466" i="75" s="1"/>
  <c r="AX466" i="75" s="1"/>
  <c r="AY466" i="75" s="1"/>
  <c r="AZ466" i="75" s="1"/>
  <c r="BA466" i="75" s="1"/>
  <c r="BB466" i="75" s="1"/>
  <c r="BC466" i="75" s="1"/>
  <c r="BD466" i="75" s="1"/>
  <c r="BE466" i="75" s="1"/>
  <c r="BF466" i="75" s="1"/>
  <c r="BG466" i="75" s="1"/>
  <c r="BH466" i="75" s="1"/>
  <c r="BI466" i="75" s="1"/>
  <c r="BJ466" i="75" s="1"/>
  <c r="BK466" i="75" s="1"/>
  <c r="BL466" i="75" s="1"/>
  <c r="BM466" i="75" s="1"/>
  <c r="BN466" i="75" s="1"/>
  <c r="BO466" i="75" s="1"/>
  <c r="BP466" i="75" s="1"/>
  <c r="BQ466" i="75" s="1"/>
  <c r="BR466" i="75" s="1"/>
  <c r="BS466" i="75" s="1"/>
  <c r="A473" i="75"/>
  <c r="A474" i="75"/>
  <c r="A475" i="75"/>
  <c r="A476" i="75"/>
  <c r="A477" i="75"/>
  <c r="A478" i="75"/>
  <c r="A479" i="75"/>
  <c r="A480" i="75"/>
  <c r="A481" i="75"/>
  <c r="A482" i="75"/>
  <c r="A483" i="75"/>
  <c r="A484" i="75"/>
  <c r="A485" i="75"/>
  <c r="A486" i="75"/>
  <c r="A487" i="75"/>
  <c r="A488" i="75"/>
  <c r="A489" i="75"/>
  <c r="A490" i="75"/>
  <c r="A491" i="75"/>
  <c r="A492" i="75"/>
  <c r="A493" i="75"/>
  <c r="A494" i="75"/>
  <c r="A495" i="75"/>
  <c r="A496" i="75"/>
  <c r="A497" i="75"/>
  <c r="A498" i="75"/>
  <c r="A499" i="75"/>
  <c r="A500" i="75"/>
  <c r="A501" i="75"/>
  <c r="A502" i="75"/>
  <c r="A503" i="75"/>
  <c r="A504" i="75"/>
  <c r="A505" i="75"/>
  <c r="A506" i="75"/>
  <c r="A507" i="75"/>
  <c r="A508" i="75"/>
  <c r="A509" i="75"/>
  <c r="A510" i="75"/>
  <c r="A511" i="75"/>
  <c r="A512" i="75"/>
  <c r="A513" i="75"/>
  <c r="A514" i="75"/>
  <c r="A515" i="75"/>
  <c r="A516" i="75"/>
  <c r="A517" i="75"/>
  <c r="A518" i="75"/>
  <c r="A519" i="75"/>
  <c r="A520" i="75"/>
  <c r="A521" i="75"/>
  <c r="A522" i="75"/>
  <c r="A523" i="75"/>
  <c r="A524" i="75"/>
  <c r="A525" i="75"/>
  <c r="A526" i="75"/>
  <c r="A527" i="75"/>
  <c r="A528" i="75"/>
  <c r="A529" i="75"/>
  <c r="A530" i="75"/>
  <c r="A531" i="75"/>
  <c r="A532" i="75"/>
  <c r="A533" i="75"/>
  <c r="A534" i="75"/>
  <c r="A535" i="75"/>
  <c r="A536" i="75"/>
  <c r="A537" i="75"/>
  <c r="A538" i="75"/>
  <c r="A539" i="75"/>
  <c r="A540" i="75"/>
  <c r="A541" i="75"/>
  <c r="A542" i="75"/>
  <c r="A543" i="75"/>
  <c r="A544" i="75"/>
  <c r="A545" i="75"/>
  <c r="A546" i="75"/>
  <c r="A547" i="75"/>
  <c r="A548" i="75"/>
  <c r="A549" i="75"/>
  <c r="A550" i="75"/>
  <c r="A551" i="75"/>
  <c r="A552" i="75"/>
  <c r="A553" i="75"/>
  <c r="A554" i="75"/>
  <c r="A555" i="75"/>
  <c r="A556" i="75"/>
  <c r="A557" i="75"/>
  <c r="A558" i="75"/>
  <c r="A559" i="75"/>
  <c r="A560" i="75"/>
  <c r="A561" i="75"/>
  <c r="A562" i="75"/>
  <c r="A563" i="75"/>
  <c r="A564" i="75"/>
  <c r="A565" i="75"/>
  <c r="A566" i="75"/>
  <c r="A567" i="75"/>
  <c r="A568" i="75"/>
  <c r="A569" i="75"/>
  <c r="A570" i="75"/>
  <c r="A571" i="75"/>
  <c r="A572" i="75"/>
  <c r="A573" i="75"/>
  <c r="A574" i="75"/>
  <c r="A575" i="75"/>
  <c r="A576" i="75"/>
  <c r="A577" i="75"/>
  <c r="A578" i="75"/>
  <c r="A579" i="75"/>
  <c r="A472" i="75"/>
  <c r="CG19" i="60"/>
  <c r="CH19" i="60"/>
  <c r="CI19" i="60"/>
  <c r="CJ19" i="60"/>
  <c r="CK19" i="60"/>
  <c r="CL19" i="60"/>
  <c r="CM19" i="60"/>
  <c r="CN19" i="60"/>
  <c r="CO19" i="60"/>
  <c r="CP19" i="60"/>
  <c r="CQ19" i="60"/>
  <c r="CR19" i="60"/>
  <c r="CS19" i="60"/>
  <c r="CT19" i="60"/>
  <c r="CU19" i="60"/>
  <c r="CV19" i="60"/>
  <c r="CW19" i="60"/>
  <c r="CX19" i="60"/>
  <c r="CY19" i="60"/>
  <c r="CZ19" i="60"/>
  <c r="DA19" i="60"/>
  <c r="DB19" i="60"/>
  <c r="DC19" i="60"/>
  <c r="DD19" i="60"/>
  <c r="DE19" i="60"/>
  <c r="DF19" i="60"/>
  <c r="DG19" i="60"/>
  <c r="DH19" i="60"/>
  <c r="DI19" i="60"/>
  <c r="DJ19" i="60"/>
  <c r="DK19" i="60"/>
  <c r="DL19" i="60"/>
  <c r="DM19" i="60"/>
  <c r="DN19" i="60"/>
  <c r="I3" i="60" a="1"/>
  <c r="I3" i="60" s="1"/>
  <c r="I69" i="60" l="1"/>
  <c r="I71" i="60"/>
  <c r="I66" i="60"/>
  <c r="L627" i="59"/>
  <c r="L643" i="59"/>
  <c r="L619" i="59"/>
  <c r="L594" i="59"/>
  <c r="L659" i="59"/>
  <c r="L578" i="59"/>
  <c r="L673" i="59"/>
  <c r="L644" i="59"/>
  <c r="L640" i="59"/>
  <c r="L670" i="59"/>
  <c r="L638" i="59"/>
  <c r="L606" i="59"/>
  <c r="L580" i="59"/>
  <c r="L585" i="59"/>
  <c r="L614" i="59"/>
  <c r="L582" i="59"/>
  <c r="L636" i="59"/>
  <c r="L579" i="59"/>
  <c r="L576" i="59"/>
  <c r="L604" i="59"/>
  <c r="L639" i="59"/>
  <c r="L574" i="59"/>
  <c r="L593" i="59"/>
  <c r="L647" i="59"/>
  <c r="L587" i="59"/>
  <c r="L603" i="59"/>
  <c r="L657" i="59"/>
  <c r="L652" i="59"/>
  <c r="L632" i="59"/>
  <c r="L668" i="59"/>
  <c r="L631" i="59"/>
  <c r="L583" i="59"/>
  <c r="L662" i="59"/>
  <c r="L630" i="59"/>
  <c r="L598" i="59"/>
  <c r="L651" i="59"/>
  <c r="L664" i="59"/>
  <c r="L675" i="59"/>
  <c r="L620" i="59"/>
  <c r="L634" i="59"/>
  <c r="L588" i="59"/>
  <c r="L624" i="59"/>
  <c r="L611" i="59"/>
  <c r="L600" i="59"/>
  <c r="L646" i="59"/>
  <c r="L635" i="59"/>
  <c r="L667" i="59"/>
  <c r="L596" i="59"/>
  <c r="L609" i="59"/>
  <c r="L595" i="59"/>
  <c r="L575" i="59"/>
  <c r="L590" i="59"/>
  <c r="L615" i="59"/>
  <c r="L571" i="59"/>
  <c r="L665" i="59"/>
  <c r="L572" i="59"/>
  <c r="L660" i="59"/>
  <c r="L623" i="59"/>
  <c r="L676" i="59"/>
  <c r="L601" i="59"/>
  <c r="L654" i="59"/>
  <c r="L622" i="59"/>
  <c r="L617" i="59"/>
  <c r="L633" i="59"/>
  <c r="L608" i="59"/>
  <c r="L626" i="59"/>
  <c r="L616" i="59"/>
  <c r="L591" i="59"/>
  <c r="L597" i="59"/>
  <c r="L650" i="59"/>
  <c r="L666" i="59"/>
  <c r="L648" i="59"/>
  <c r="L656" i="59"/>
  <c r="L672" i="59"/>
  <c r="L610" i="59"/>
  <c r="L649" i="59"/>
  <c r="L641" i="59"/>
  <c r="L642" i="59"/>
  <c r="L605" i="59"/>
  <c r="L613" i="59"/>
  <c r="L621" i="59"/>
  <c r="L602" i="59"/>
  <c r="L570" i="59"/>
  <c r="L586" i="59"/>
  <c r="L669" i="59"/>
  <c r="L592" i="59"/>
  <c r="L637" i="59"/>
  <c r="L607" i="59"/>
  <c r="L599" i="59"/>
  <c r="L589" i="59"/>
  <c r="L581" i="59"/>
  <c r="L573" i="59"/>
  <c r="L674" i="59"/>
  <c r="L625" i="59"/>
  <c r="L653" i="59"/>
  <c r="L628" i="59"/>
  <c r="L655" i="59"/>
  <c r="L663" i="59"/>
  <c r="L645" i="59"/>
  <c r="L661" i="59"/>
  <c r="L618" i="59"/>
  <c r="L612" i="59"/>
  <c r="L658" i="59"/>
  <c r="L577" i="59"/>
  <c r="L671" i="59"/>
  <c r="L584" i="59"/>
  <c r="L629" i="59"/>
  <c r="DV77" i="60"/>
  <c r="ED77" i="60"/>
  <c r="DS77" i="60"/>
  <c r="EA77" i="60"/>
  <c r="EI77" i="60"/>
  <c r="EQ77" i="60"/>
  <c r="EY77" i="60"/>
  <c r="DT77" i="60"/>
  <c r="EB77" i="60"/>
  <c r="EJ77" i="60"/>
  <c r="ER77" i="60"/>
  <c r="DX77" i="60"/>
  <c r="EK77" i="60"/>
  <c r="EU77" i="60"/>
  <c r="FD77" i="60"/>
  <c r="FL77" i="60"/>
  <c r="FT77" i="60"/>
  <c r="GB77" i="60"/>
  <c r="GJ77" i="60"/>
  <c r="GR77" i="60"/>
  <c r="GZ77" i="60"/>
  <c r="HH77" i="60"/>
  <c r="DO77" i="60"/>
  <c r="DZ77" i="60"/>
  <c r="EM77" i="60"/>
  <c r="EW77" i="60"/>
  <c r="FF77" i="60"/>
  <c r="FN77" i="60"/>
  <c r="FV77" i="60"/>
  <c r="GD77" i="60"/>
  <c r="GL77" i="60"/>
  <c r="GT77" i="60"/>
  <c r="HB77" i="60"/>
  <c r="HJ77" i="60"/>
  <c r="DQ77" i="60"/>
  <c r="EE77" i="60"/>
  <c r="EO77" i="60"/>
  <c r="EZ77" i="60"/>
  <c r="FH77" i="60"/>
  <c r="FP77" i="60"/>
  <c r="FX77" i="60"/>
  <c r="GF77" i="60"/>
  <c r="GN77" i="60"/>
  <c r="GV77" i="60"/>
  <c r="HD77" i="60"/>
  <c r="HL77" i="60"/>
  <c r="DR77" i="60"/>
  <c r="EF77" i="60"/>
  <c r="EP77" i="60"/>
  <c r="FA77" i="60"/>
  <c r="FI77" i="60"/>
  <c r="FQ77" i="60"/>
  <c r="FY77" i="60"/>
  <c r="GG77" i="60"/>
  <c r="GO77" i="60"/>
  <c r="GW77" i="60"/>
  <c r="HE77" i="60"/>
  <c r="DU77" i="60"/>
  <c r="EG77" i="60"/>
  <c r="ES77" i="60"/>
  <c r="FB77" i="60"/>
  <c r="FJ77" i="60"/>
  <c r="FR77" i="60"/>
  <c r="FZ77" i="60"/>
  <c r="GH77" i="60"/>
  <c r="GP77" i="60"/>
  <c r="GX77" i="60"/>
  <c r="HF77" i="60"/>
  <c r="EL77" i="60"/>
  <c r="FK77" i="60"/>
  <c r="GE77" i="60"/>
  <c r="HA77" i="60"/>
  <c r="GI77" i="60"/>
  <c r="EV77" i="60"/>
  <c r="ET77" i="60"/>
  <c r="FO77" i="60"/>
  <c r="GK77" i="60"/>
  <c r="HG77" i="60"/>
  <c r="FS77" i="60"/>
  <c r="DW77" i="60"/>
  <c r="EX77" i="60"/>
  <c r="FU77" i="60"/>
  <c r="GQ77" i="60"/>
  <c r="HK77" i="60"/>
  <c r="FG77" i="60"/>
  <c r="EN77" i="60"/>
  <c r="GM77" i="60"/>
  <c r="DY77" i="60"/>
  <c r="FC77" i="60"/>
  <c r="FW77" i="60"/>
  <c r="GS77" i="60"/>
  <c r="EH77" i="60"/>
  <c r="GY77" i="60"/>
  <c r="FM77" i="60"/>
  <c r="DP77" i="60"/>
  <c r="EC77" i="60"/>
  <c r="FE77" i="60"/>
  <c r="GA77" i="60"/>
  <c r="GU77" i="60"/>
  <c r="GC77" i="60"/>
  <c r="HC77" i="60"/>
  <c r="HI77" i="60"/>
  <c r="I5" i="60"/>
  <c r="I7" i="60"/>
  <c r="I8" i="60" s="1"/>
  <c r="I77" i="60" s="1"/>
  <c r="HH3" i="60"/>
  <c r="HH7" i="60" s="1"/>
  <c r="FL3" i="60"/>
  <c r="FL7" i="60" s="1"/>
  <c r="EF3" i="60"/>
  <c r="EF7" i="60" s="1"/>
  <c r="CB3" i="60"/>
  <c r="CB69" i="60" s="1"/>
  <c r="AF3" i="60"/>
  <c r="FS3" i="60"/>
  <c r="FS7" i="60" s="1"/>
  <c r="EE3" i="60"/>
  <c r="EE7" i="60" s="1"/>
  <c r="CI3" i="60"/>
  <c r="CI69" i="60" s="1"/>
  <c r="CA3" i="60"/>
  <c r="CA69" i="60" s="1"/>
  <c r="BS3" i="60"/>
  <c r="AE3" i="60"/>
  <c r="W3" i="60"/>
  <c r="O3" i="60"/>
  <c r="HF3" i="60"/>
  <c r="HF7" i="60" s="1"/>
  <c r="GX3" i="60"/>
  <c r="GX7" i="60" s="1"/>
  <c r="GP3" i="60"/>
  <c r="GP7" i="60" s="1"/>
  <c r="GH3" i="60"/>
  <c r="GH7" i="60" s="1"/>
  <c r="FZ3" i="60"/>
  <c r="FZ7" i="60" s="1"/>
  <c r="FR3" i="60"/>
  <c r="FR7" i="60" s="1"/>
  <c r="FJ3" i="60"/>
  <c r="FJ7" i="60" s="1"/>
  <c r="FB3" i="60"/>
  <c r="FB7" i="60" s="1"/>
  <c r="ET3" i="60"/>
  <c r="ET7" i="60" s="1"/>
  <c r="EL3" i="60"/>
  <c r="EL7" i="60" s="1"/>
  <c r="ED3" i="60"/>
  <c r="ED7" i="60" s="1"/>
  <c r="DV3" i="60"/>
  <c r="DV7" i="60" s="1"/>
  <c r="DN3" i="60"/>
  <c r="DN69" i="60" s="1"/>
  <c r="DF3" i="60"/>
  <c r="DF69" i="60" s="1"/>
  <c r="CX3" i="60"/>
  <c r="CX69" i="60" s="1"/>
  <c r="CP3" i="60"/>
  <c r="CP69" i="60" s="1"/>
  <c r="CH3" i="60"/>
  <c r="CH69" i="60" s="1"/>
  <c r="BZ3" i="60"/>
  <c r="BZ69" i="60" s="1"/>
  <c r="BR3" i="60"/>
  <c r="BJ3" i="60"/>
  <c r="BB3" i="60"/>
  <c r="AT3" i="60"/>
  <c r="AL3" i="60"/>
  <c r="AD3" i="60"/>
  <c r="V3" i="60"/>
  <c r="N3" i="60"/>
  <c r="GJ3" i="60"/>
  <c r="GJ7" i="60" s="1"/>
  <c r="EV3" i="60"/>
  <c r="EV7" i="60" s="1"/>
  <c r="CZ3" i="60"/>
  <c r="CZ69" i="60" s="1"/>
  <c r="BL3" i="60"/>
  <c r="AV3" i="60"/>
  <c r="EM3" i="60"/>
  <c r="EM7" i="60" s="1"/>
  <c r="FY3" i="60"/>
  <c r="FY7" i="60" s="1"/>
  <c r="CW3" i="60"/>
  <c r="CW69" i="60" s="1"/>
  <c r="BI3" i="60"/>
  <c r="AK3" i="60"/>
  <c r="M3" i="60"/>
  <c r="GR3" i="60"/>
  <c r="GR7" i="60" s="1"/>
  <c r="FD3" i="60"/>
  <c r="FD7" i="60" s="1"/>
  <c r="DP3" i="60"/>
  <c r="DP7" i="60" s="1"/>
  <c r="BT3" i="60"/>
  <c r="X3" i="60"/>
  <c r="GY3" i="60"/>
  <c r="GY7" i="60" s="1"/>
  <c r="FK3" i="60"/>
  <c r="FK7" i="60" s="1"/>
  <c r="DW3" i="60"/>
  <c r="DW7" i="60" s="1"/>
  <c r="CQ3" i="60"/>
  <c r="CQ69" i="60" s="1"/>
  <c r="BK3" i="60"/>
  <c r="HE3" i="60"/>
  <c r="HE7" i="60" s="1"/>
  <c r="FQ3" i="60"/>
  <c r="FQ7" i="60" s="1"/>
  <c r="EK3" i="60"/>
  <c r="EK7" i="60" s="1"/>
  <c r="DE3" i="60"/>
  <c r="DE69" i="60" s="1"/>
  <c r="BQ3" i="60"/>
  <c r="U3" i="60"/>
  <c r="HL3" i="60"/>
  <c r="HL7" i="60" s="1"/>
  <c r="HD3" i="60"/>
  <c r="HD7" i="60" s="1"/>
  <c r="GV3" i="60"/>
  <c r="GV7" i="60" s="1"/>
  <c r="GN3" i="60"/>
  <c r="GN7" i="60" s="1"/>
  <c r="GF3" i="60"/>
  <c r="GF7" i="60" s="1"/>
  <c r="FX3" i="60"/>
  <c r="FX7" i="60" s="1"/>
  <c r="FP3" i="60"/>
  <c r="FP7" i="60" s="1"/>
  <c r="FH3" i="60"/>
  <c r="FH7" i="60" s="1"/>
  <c r="EZ3" i="60"/>
  <c r="EZ7" i="60" s="1"/>
  <c r="ER3" i="60"/>
  <c r="ER7" i="60" s="1"/>
  <c r="EJ3" i="60"/>
  <c r="EJ7" i="60" s="1"/>
  <c r="EB3" i="60"/>
  <c r="EB7" i="60" s="1"/>
  <c r="DT3" i="60"/>
  <c r="DT7" i="60" s="1"/>
  <c r="DL3" i="60"/>
  <c r="DL69" i="60" s="1"/>
  <c r="DD3" i="60"/>
  <c r="DD69" i="60" s="1"/>
  <c r="CV3" i="60"/>
  <c r="CV69" i="60" s="1"/>
  <c r="CN3" i="60"/>
  <c r="CN69" i="60" s="1"/>
  <c r="CF3" i="60"/>
  <c r="CF69" i="60" s="1"/>
  <c r="BX3" i="60"/>
  <c r="BP3" i="60"/>
  <c r="BH3" i="60"/>
  <c r="AZ3" i="60"/>
  <c r="AR3" i="60"/>
  <c r="AJ3" i="60"/>
  <c r="AB3" i="60"/>
  <c r="T3" i="60"/>
  <c r="L3" i="60"/>
  <c r="GZ3" i="60"/>
  <c r="GZ7" i="60" s="1"/>
  <c r="EN3" i="60"/>
  <c r="EN7" i="60" s="1"/>
  <c r="CR3" i="60"/>
  <c r="CR69" i="60" s="1"/>
  <c r="BD3" i="60"/>
  <c r="GI3" i="60"/>
  <c r="GI7" i="60" s="1"/>
  <c r="EU3" i="60"/>
  <c r="EU7" i="60" s="1"/>
  <c r="DO3" i="60"/>
  <c r="DO7" i="60" s="1"/>
  <c r="BC3" i="60"/>
  <c r="GW3" i="60"/>
  <c r="GW7" i="60" s="1"/>
  <c r="FI3" i="60"/>
  <c r="FI7" i="60" s="1"/>
  <c r="DM3" i="60"/>
  <c r="DM69" i="60" s="1"/>
  <c r="BY3" i="60"/>
  <c r="BY69" i="60" s="1"/>
  <c r="AC3" i="60"/>
  <c r="HK3" i="60"/>
  <c r="HK7" i="60" s="1"/>
  <c r="HC3" i="60"/>
  <c r="HC7" i="60" s="1"/>
  <c r="GU3" i="60"/>
  <c r="GU7" i="60" s="1"/>
  <c r="GM3" i="60"/>
  <c r="GM7" i="60" s="1"/>
  <c r="GE3" i="60"/>
  <c r="GE7" i="60" s="1"/>
  <c r="FW3" i="60"/>
  <c r="FW7" i="60" s="1"/>
  <c r="FO3" i="60"/>
  <c r="FO7" i="60" s="1"/>
  <c r="FG3" i="60"/>
  <c r="FG7" i="60" s="1"/>
  <c r="EY3" i="60"/>
  <c r="EY7" i="60" s="1"/>
  <c r="EQ3" i="60"/>
  <c r="EQ7" i="60" s="1"/>
  <c r="EI3" i="60"/>
  <c r="EI7" i="60" s="1"/>
  <c r="EA3" i="60"/>
  <c r="EA7" i="60" s="1"/>
  <c r="DS3" i="60"/>
  <c r="DS7" i="60" s="1"/>
  <c r="DK3" i="60"/>
  <c r="DK69" i="60" s="1"/>
  <c r="DC3" i="60"/>
  <c r="DC69" i="60" s="1"/>
  <c r="CU3" i="60"/>
  <c r="CU69" i="60" s="1"/>
  <c r="CM3" i="60"/>
  <c r="CM69" i="60" s="1"/>
  <c r="CE3" i="60"/>
  <c r="CE69" i="60" s="1"/>
  <c r="BW3" i="60"/>
  <c r="BO3" i="60"/>
  <c r="BG3" i="60"/>
  <c r="AY3" i="60"/>
  <c r="AQ3" i="60"/>
  <c r="AI3" i="60"/>
  <c r="AA3" i="60"/>
  <c r="S3" i="60"/>
  <c r="K3" i="60"/>
  <c r="FT3" i="60"/>
  <c r="FT7" i="60" s="1"/>
  <c r="DX3" i="60"/>
  <c r="DX7" i="60" s="1"/>
  <c r="CJ3" i="60"/>
  <c r="CJ69" i="60" s="1"/>
  <c r="AN3" i="60"/>
  <c r="HG3" i="60"/>
  <c r="HG7" i="60" s="1"/>
  <c r="GA3" i="60"/>
  <c r="GA7" i="60" s="1"/>
  <c r="DG3" i="60"/>
  <c r="DG69" i="60" s="1"/>
  <c r="AM3" i="60"/>
  <c r="GO3" i="60"/>
  <c r="GO7" i="60" s="1"/>
  <c r="FA3" i="60"/>
  <c r="FA7" i="60" s="1"/>
  <c r="EC3" i="60"/>
  <c r="EC7" i="60" s="1"/>
  <c r="CO3" i="60"/>
  <c r="CO69" i="60" s="1"/>
  <c r="AS3" i="60"/>
  <c r="HJ3" i="60"/>
  <c r="HJ7" i="60" s="1"/>
  <c r="HB3" i="60"/>
  <c r="HB7" i="60" s="1"/>
  <c r="GT3" i="60"/>
  <c r="GT7" i="60" s="1"/>
  <c r="GL3" i="60"/>
  <c r="GL7" i="60" s="1"/>
  <c r="GD3" i="60"/>
  <c r="GD7" i="60" s="1"/>
  <c r="FV3" i="60"/>
  <c r="FV7" i="60" s="1"/>
  <c r="FN3" i="60"/>
  <c r="FN7" i="60" s="1"/>
  <c r="FF3" i="60"/>
  <c r="FF7" i="60" s="1"/>
  <c r="EX3" i="60"/>
  <c r="EX7" i="60" s="1"/>
  <c r="EP3" i="60"/>
  <c r="EP7" i="60" s="1"/>
  <c r="EH3" i="60"/>
  <c r="EH7" i="60" s="1"/>
  <c r="DZ3" i="60"/>
  <c r="DZ7" i="60" s="1"/>
  <c r="DR3" i="60"/>
  <c r="DR7" i="60" s="1"/>
  <c r="DJ3" i="60"/>
  <c r="DJ69" i="60" s="1"/>
  <c r="DB3" i="60"/>
  <c r="DB69" i="60" s="1"/>
  <c r="CT3" i="60"/>
  <c r="CT69" i="60" s="1"/>
  <c r="CL3" i="60"/>
  <c r="CL69" i="60" s="1"/>
  <c r="CD3" i="60"/>
  <c r="CD69" i="60" s="1"/>
  <c r="BV3" i="60"/>
  <c r="BN3" i="60"/>
  <c r="BF3" i="60"/>
  <c r="AX3" i="60"/>
  <c r="AP3" i="60"/>
  <c r="AH3" i="60"/>
  <c r="Z3" i="60"/>
  <c r="R3" i="60"/>
  <c r="J3" i="60"/>
  <c r="GB3" i="60"/>
  <c r="GB7" i="60" s="1"/>
  <c r="DH3" i="60"/>
  <c r="DH69" i="60" s="1"/>
  <c r="P3" i="60"/>
  <c r="GQ3" i="60"/>
  <c r="GQ7" i="60" s="1"/>
  <c r="FC3" i="60"/>
  <c r="FC7" i="60" s="1"/>
  <c r="CY3" i="60"/>
  <c r="CY69" i="60" s="1"/>
  <c r="AU3" i="60"/>
  <c r="GG3" i="60"/>
  <c r="GG7" i="60" s="1"/>
  <c r="ES3" i="60"/>
  <c r="ES7" i="60" s="1"/>
  <c r="DU3" i="60"/>
  <c r="DU7" i="60" s="1"/>
  <c r="CG3" i="60"/>
  <c r="CG69" i="60" s="1"/>
  <c r="BA3" i="60"/>
  <c r="HI3" i="60"/>
  <c r="HI7" i="60" s="1"/>
  <c r="HA3" i="60"/>
  <c r="HA7" i="60" s="1"/>
  <c r="GS3" i="60"/>
  <c r="GS7" i="60" s="1"/>
  <c r="GK3" i="60"/>
  <c r="GK7" i="60" s="1"/>
  <c r="GC3" i="60"/>
  <c r="GC7" i="60" s="1"/>
  <c r="FU3" i="60"/>
  <c r="FU7" i="60" s="1"/>
  <c r="FM3" i="60"/>
  <c r="FM7" i="60" s="1"/>
  <c r="FE3" i="60"/>
  <c r="FE7" i="60" s="1"/>
  <c r="EW3" i="60"/>
  <c r="EW7" i="60" s="1"/>
  <c r="EO3" i="60"/>
  <c r="EO7" i="60" s="1"/>
  <c r="EG3" i="60"/>
  <c r="EG7" i="60" s="1"/>
  <c r="DY3" i="60"/>
  <c r="DY7" i="60" s="1"/>
  <c r="DQ3" i="60"/>
  <c r="DQ7" i="60" s="1"/>
  <c r="DI3" i="60"/>
  <c r="DI69" i="60" s="1"/>
  <c r="DA3" i="60"/>
  <c r="DA69" i="60" s="1"/>
  <c r="CS3" i="60"/>
  <c r="CS69" i="60" s="1"/>
  <c r="CK3" i="60"/>
  <c r="CK69" i="60" s="1"/>
  <c r="CC3" i="60"/>
  <c r="CC69" i="60" s="1"/>
  <c r="BU3" i="60"/>
  <c r="BM3" i="60"/>
  <c r="BE3" i="60"/>
  <c r="AW3" i="60"/>
  <c r="AO3" i="60"/>
  <c r="AG3" i="60"/>
  <c r="Y3" i="60"/>
  <c r="Q3" i="60"/>
  <c r="BE71" i="60" l="1"/>
  <c r="BE69" i="60"/>
  <c r="BE66" i="60"/>
  <c r="AH66" i="60"/>
  <c r="AH71" i="60"/>
  <c r="AH69" i="60"/>
  <c r="CT66" i="60"/>
  <c r="CT71" i="60"/>
  <c r="AS69" i="60"/>
  <c r="AS66" i="60"/>
  <c r="AS71" i="60"/>
  <c r="AI66" i="60"/>
  <c r="AI71" i="60"/>
  <c r="AI69" i="60"/>
  <c r="CU66" i="60"/>
  <c r="CU71" i="60"/>
  <c r="AC69" i="60"/>
  <c r="AC66" i="60"/>
  <c r="AC71" i="60"/>
  <c r="AJ69" i="60"/>
  <c r="AJ66" i="60"/>
  <c r="AJ71" i="60"/>
  <c r="CV66" i="60"/>
  <c r="CV71" i="60"/>
  <c r="U69" i="60"/>
  <c r="U71" i="60"/>
  <c r="M69" i="60"/>
  <c r="M71" i="60"/>
  <c r="CZ71" i="60"/>
  <c r="CZ66" i="60"/>
  <c r="BB66" i="60"/>
  <c r="BB71" i="60"/>
  <c r="BB69" i="60"/>
  <c r="DN66" i="60"/>
  <c r="DN71" i="60"/>
  <c r="BS71" i="60"/>
  <c r="BS69" i="60"/>
  <c r="BS66" i="60"/>
  <c r="DH71" i="60"/>
  <c r="DH66" i="60"/>
  <c r="AA66" i="60"/>
  <c r="AA71" i="60"/>
  <c r="AA69" i="60"/>
  <c r="Y69" i="60"/>
  <c r="Y66" i="60"/>
  <c r="CK66" i="60"/>
  <c r="CK71" i="60"/>
  <c r="AG66" i="60"/>
  <c r="AG69" i="60"/>
  <c r="AG71" i="60"/>
  <c r="CS66" i="60"/>
  <c r="CS71" i="60"/>
  <c r="BA69" i="60"/>
  <c r="BA66" i="60"/>
  <c r="BA71" i="60"/>
  <c r="AP66" i="60"/>
  <c r="AP71" i="60"/>
  <c r="AP69" i="60"/>
  <c r="DB66" i="60"/>
  <c r="DB71" i="60"/>
  <c r="CO66" i="60"/>
  <c r="CO71" i="60"/>
  <c r="AN71" i="60"/>
  <c r="AN69" i="60"/>
  <c r="AN66" i="60"/>
  <c r="AQ66" i="60"/>
  <c r="AQ71" i="60"/>
  <c r="AQ69" i="60"/>
  <c r="DC66" i="60"/>
  <c r="DC71" i="60"/>
  <c r="BY66" i="60"/>
  <c r="BY71" i="60"/>
  <c r="BD71" i="60"/>
  <c r="BD69" i="60"/>
  <c r="BD66" i="60"/>
  <c r="AR69" i="60"/>
  <c r="AR71" i="60"/>
  <c r="AR66" i="60"/>
  <c r="DD71" i="60"/>
  <c r="DD66" i="60"/>
  <c r="BQ69" i="60"/>
  <c r="BQ66" i="60"/>
  <c r="BQ71" i="60"/>
  <c r="AK69" i="60"/>
  <c r="AK66" i="60"/>
  <c r="AK71" i="60"/>
  <c r="BJ66" i="60"/>
  <c r="BJ69" i="60"/>
  <c r="BJ71" i="60"/>
  <c r="CA71" i="60"/>
  <c r="CA66" i="60"/>
  <c r="AW66" i="60"/>
  <c r="AW69" i="60"/>
  <c r="AW71" i="60"/>
  <c r="DI66" i="60"/>
  <c r="DI71" i="60"/>
  <c r="AO71" i="60"/>
  <c r="AO69" i="60"/>
  <c r="AO66" i="60"/>
  <c r="DA66" i="60"/>
  <c r="DA71" i="60"/>
  <c r="CG66" i="60"/>
  <c r="CG71" i="60"/>
  <c r="P69" i="60"/>
  <c r="P71" i="60"/>
  <c r="AX66" i="60"/>
  <c r="AX71" i="60"/>
  <c r="AX69" i="60"/>
  <c r="DJ66" i="60"/>
  <c r="DJ71" i="60"/>
  <c r="CJ71" i="60"/>
  <c r="CJ66" i="60"/>
  <c r="AY66" i="60"/>
  <c r="AY71" i="60"/>
  <c r="AY69" i="60"/>
  <c r="DK66" i="60"/>
  <c r="DK71" i="60"/>
  <c r="DM66" i="60"/>
  <c r="DM71" i="60"/>
  <c r="CR71" i="60"/>
  <c r="CR66" i="60"/>
  <c r="AZ69" i="60"/>
  <c r="AZ66" i="60"/>
  <c r="AZ71" i="60"/>
  <c r="DL66" i="60"/>
  <c r="DL71" i="60"/>
  <c r="DE66" i="60"/>
  <c r="DE71" i="60"/>
  <c r="BI69" i="60"/>
  <c r="BI66" i="60"/>
  <c r="BI71" i="60"/>
  <c r="BR66" i="60"/>
  <c r="BR69" i="60"/>
  <c r="BR71" i="60"/>
  <c r="CI71" i="60"/>
  <c r="CI66" i="60"/>
  <c r="I72" i="60"/>
  <c r="I62" i="60"/>
  <c r="I63" i="60" s="1"/>
  <c r="I59" i="60"/>
  <c r="I60" i="60" s="1"/>
  <c r="BG66" i="60"/>
  <c r="BG71" i="60"/>
  <c r="BG69" i="60"/>
  <c r="BH69" i="60"/>
  <c r="BH71" i="60"/>
  <c r="BH66" i="60"/>
  <c r="X69" i="60"/>
  <c r="X71" i="60"/>
  <c r="CW66" i="60"/>
  <c r="CW71" i="60"/>
  <c r="N71" i="60"/>
  <c r="N69" i="60"/>
  <c r="BZ66" i="60"/>
  <c r="BZ71" i="60"/>
  <c r="BF66" i="60"/>
  <c r="BF71" i="60"/>
  <c r="BF69" i="60"/>
  <c r="BO66" i="60"/>
  <c r="BO71" i="60"/>
  <c r="BO69" i="60"/>
  <c r="BP69" i="60"/>
  <c r="BP71" i="60"/>
  <c r="BP66" i="60"/>
  <c r="BT71" i="60"/>
  <c r="BT69" i="60"/>
  <c r="BT66" i="60"/>
  <c r="V71" i="60"/>
  <c r="V69" i="60"/>
  <c r="CH66" i="60"/>
  <c r="CH71" i="60"/>
  <c r="J69" i="60"/>
  <c r="J71" i="60"/>
  <c r="AM71" i="60"/>
  <c r="AM69" i="60"/>
  <c r="AM66" i="60"/>
  <c r="K71" i="60"/>
  <c r="K69" i="60"/>
  <c r="BW66" i="60"/>
  <c r="BW71" i="60"/>
  <c r="BW69" i="60"/>
  <c r="BC71" i="60"/>
  <c r="BC69" i="60"/>
  <c r="BC66" i="60"/>
  <c r="L69" i="60"/>
  <c r="L71" i="60"/>
  <c r="BX69" i="60"/>
  <c r="BX66" i="60"/>
  <c r="BX71" i="60"/>
  <c r="AD66" i="60"/>
  <c r="AD71" i="60"/>
  <c r="AD69" i="60"/>
  <c r="CP66" i="60"/>
  <c r="CP71" i="60"/>
  <c r="O69" i="60"/>
  <c r="O71" i="60"/>
  <c r="AF71" i="60"/>
  <c r="AF69" i="60"/>
  <c r="AF66" i="60"/>
  <c r="BU69" i="60"/>
  <c r="BU71" i="60"/>
  <c r="BU66" i="60"/>
  <c r="AU71" i="60"/>
  <c r="AU69" i="60"/>
  <c r="AU66" i="60"/>
  <c r="R71" i="60"/>
  <c r="R69" i="60"/>
  <c r="CD66" i="60"/>
  <c r="CD71" i="60"/>
  <c r="DG71" i="60"/>
  <c r="DG66" i="60"/>
  <c r="S71" i="60"/>
  <c r="S69" i="60"/>
  <c r="CE66" i="60"/>
  <c r="CE71" i="60"/>
  <c r="T69" i="60"/>
  <c r="T71" i="60"/>
  <c r="CF66" i="60"/>
  <c r="CF71" i="60"/>
  <c r="BK71" i="60"/>
  <c r="BK69" i="60"/>
  <c r="BK66" i="60"/>
  <c r="AV71" i="60"/>
  <c r="AV69" i="60"/>
  <c r="AV66" i="60"/>
  <c r="AL66" i="60"/>
  <c r="AL71" i="60"/>
  <c r="AL69" i="60"/>
  <c r="CX66" i="60"/>
  <c r="CX71" i="60"/>
  <c r="W69" i="60"/>
  <c r="W71" i="60"/>
  <c r="CB71" i="60"/>
  <c r="CB66" i="60"/>
  <c r="BN66" i="60"/>
  <c r="BN69" i="60"/>
  <c r="BN71" i="60"/>
  <c r="BM66" i="60"/>
  <c r="BM71" i="60"/>
  <c r="BM69" i="60"/>
  <c r="BV66" i="60"/>
  <c r="BV69" i="60"/>
  <c r="BV71" i="60"/>
  <c r="Q69" i="60"/>
  <c r="Q71" i="60"/>
  <c r="CC66" i="60"/>
  <c r="CC71" i="60"/>
  <c r="CY71" i="60"/>
  <c r="CY66" i="60"/>
  <c r="Z66" i="60"/>
  <c r="Z71" i="60"/>
  <c r="Z69" i="60"/>
  <c r="CL66" i="60"/>
  <c r="CL71" i="60"/>
  <c r="CM66" i="60"/>
  <c r="CM71" i="60"/>
  <c r="AB69" i="60"/>
  <c r="AB71" i="60"/>
  <c r="AB66" i="60"/>
  <c r="CN66" i="60"/>
  <c r="CN71" i="60"/>
  <c r="CQ71" i="60"/>
  <c r="CQ66" i="60"/>
  <c r="BL71" i="60"/>
  <c r="BL69" i="60"/>
  <c r="BL66" i="60"/>
  <c r="AT66" i="60"/>
  <c r="AT71" i="60"/>
  <c r="AT69" i="60"/>
  <c r="DF66" i="60"/>
  <c r="DF71" i="60"/>
  <c r="AE71" i="60"/>
  <c r="AE69" i="60"/>
  <c r="AE66" i="60"/>
  <c r="J66" i="60"/>
  <c r="Y71" i="60"/>
  <c r="DB30" i="60"/>
  <c r="AQ30" i="60"/>
  <c r="AR30" i="60"/>
  <c r="AY30" i="60"/>
  <c r="BI30" i="60"/>
  <c r="BR30" i="60"/>
  <c r="Q30" i="60"/>
  <c r="Q66" i="60"/>
  <c r="CC30" i="60"/>
  <c r="CY30" i="60"/>
  <c r="Z30" i="60"/>
  <c r="CL30" i="60"/>
  <c r="AA30" i="60"/>
  <c r="CM30" i="60"/>
  <c r="AB30" i="60"/>
  <c r="CN30" i="60"/>
  <c r="CQ30" i="60"/>
  <c r="BL30" i="60"/>
  <c r="AT30" i="60"/>
  <c r="DF30" i="60"/>
  <c r="AE30" i="60"/>
  <c r="Y30" i="60"/>
  <c r="CK30" i="60"/>
  <c r="AH30" i="60"/>
  <c r="CT30" i="60"/>
  <c r="AS30" i="60"/>
  <c r="AI30" i="60"/>
  <c r="CU30" i="60"/>
  <c r="AC30" i="60"/>
  <c r="AJ30" i="60"/>
  <c r="CV30" i="60"/>
  <c r="U30" i="60"/>
  <c r="U66" i="60"/>
  <c r="M30" i="60"/>
  <c r="M66" i="60"/>
  <c r="CZ30" i="60"/>
  <c r="BB30" i="60"/>
  <c r="DN30" i="60"/>
  <c r="BS30" i="60"/>
  <c r="AN30" i="60"/>
  <c r="DC30" i="60"/>
  <c r="DD30" i="60"/>
  <c r="CG30" i="60"/>
  <c r="AX30" i="60"/>
  <c r="DJ30" i="60"/>
  <c r="DM30" i="60"/>
  <c r="CR30" i="60"/>
  <c r="AZ30" i="60"/>
  <c r="DE30" i="60"/>
  <c r="CI30" i="60"/>
  <c r="BF30" i="60"/>
  <c r="BE30" i="60"/>
  <c r="BN30" i="60"/>
  <c r="BO30" i="60"/>
  <c r="BP30" i="60"/>
  <c r="BT30" i="60"/>
  <c r="V30" i="60"/>
  <c r="V66" i="60"/>
  <c r="CH30" i="60"/>
  <c r="AG30" i="60"/>
  <c r="CS30" i="60"/>
  <c r="BA30" i="60"/>
  <c r="AP30" i="60"/>
  <c r="CO30" i="60"/>
  <c r="BY30" i="60"/>
  <c r="BD30" i="60"/>
  <c r="BQ30" i="60"/>
  <c r="AK30" i="60"/>
  <c r="BJ30" i="60"/>
  <c r="CA30" i="60"/>
  <c r="AO30" i="60"/>
  <c r="DA30" i="60"/>
  <c r="P30" i="60"/>
  <c r="P66" i="60"/>
  <c r="CJ30" i="60"/>
  <c r="DK30" i="60"/>
  <c r="DL30" i="60"/>
  <c r="AW30" i="60"/>
  <c r="DI30" i="60"/>
  <c r="BG30" i="60"/>
  <c r="BM30" i="60"/>
  <c r="AM30" i="60"/>
  <c r="K30" i="60"/>
  <c r="K66" i="60"/>
  <c r="BW30" i="60"/>
  <c r="BC30" i="60"/>
  <c r="L30" i="60"/>
  <c r="L66" i="60"/>
  <c r="BX30" i="60"/>
  <c r="DH30" i="60"/>
  <c r="BH30" i="60"/>
  <c r="X30" i="60"/>
  <c r="X66" i="60"/>
  <c r="CW30" i="60"/>
  <c r="N30" i="60"/>
  <c r="N66" i="60"/>
  <c r="BZ30" i="60"/>
  <c r="BV30" i="60"/>
  <c r="AD30" i="60"/>
  <c r="CP30" i="60"/>
  <c r="O30" i="60"/>
  <c r="O66" i="60"/>
  <c r="AF30" i="60"/>
  <c r="BU30" i="60"/>
  <c r="AU30" i="60"/>
  <c r="R30" i="60"/>
  <c r="R66" i="60"/>
  <c r="CD30" i="60"/>
  <c r="DG30" i="60"/>
  <c r="S30" i="60"/>
  <c r="S66" i="60"/>
  <c r="CE30" i="60"/>
  <c r="T30" i="60"/>
  <c r="T66" i="60"/>
  <c r="CF30" i="60"/>
  <c r="BK30" i="60"/>
  <c r="AV30" i="60"/>
  <c r="AL30" i="60"/>
  <c r="CX30" i="60"/>
  <c r="W30" i="60"/>
  <c r="W66" i="60"/>
  <c r="CB30" i="60"/>
  <c r="EX28" i="60"/>
  <c r="EX94" i="60"/>
  <c r="EY28" i="60"/>
  <c r="EY94" i="60"/>
  <c r="EZ28" i="60"/>
  <c r="EZ94" i="60"/>
  <c r="EF28" i="60"/>
  <c r="EF94" i="60"/>
  <c r="EW28" i="60"/>
  <c r="EW94" i="60"/>
  <c r="HI28" i="60"/>
  <c r="HI94" i="60"/>
  <c r="FC28" i="60"/>
  <c r="FC94" i="60"/>
  <c r="FF28" i="60"/>
  <c r="FF94" i="60"/>
  <c r="HG28" i="60"/>
  <c r="HG94" i="60"/>
  <c r="FG28" i="60"/>
  <c r="FG94" i="60"/>
  <c r="GI28" i="60"/>
  <c r="GI94" i="60"/>
  <c r="FH28" i="60"/>
  <c r="FH94" i="60"/>
  <c r="DW28" i="60"/>
  <c r="DW94" i="60"/>
  <c r="FZ28" i="60"/>
  <c r="FZ94" i="60"/>
  <c r="FL28" i="60"/>
  <c r="FL94" i="60"/>
  <c r="DU28" i="60"/>
  <c r="DU94" i="60"/>
  <c r="HA28" i="60"/>
  <c r="HA94" i="60"/>
  <c r="GA28" i="60"/>
  <c r="GA94" i="60"/>
  <c r="HK28" i="60"/>
  <c r="HK94" i="60"/>
  <c r="HL28" i="60"/>
  <c r="HL94" i="60"/>
  <c r="FR28" i="60"/>
  <c r="FR94" i="60"/>
  <c r="FE28" i="60"/>
  <c r="FE94" i="60"/>
  <c r="GQ28" i="60"/>
  <c r="GQ94" i="60"/>
  <c r="FN28" i="60"/>
  <c r="FN94" i="60"/>
  <c r="FO28" i="60"/>
  <c r="FO94" i="60"/>
  <c r="FP28" i="60"/>
  <c r="FP94" i="60"/>
  <c r="FK28" i="60"/>
  <c r="FK94" i="60"/>
  <c r="EV28" i="60"/>
  <c r="EV94" i="60"/>
  <c r="DV28" i="60"/>
  <c r="DV94" i="60"/>
  <c r="GH28" i="60"/>
  <c r="GH94" i="60"/>
  <c r="HH28" i="60"/>
  <c r="HH94" i="60"/>
  <c r="EO28" i="60"/>
  <c r="EO94" i="60"/>
  <c r="HJ28" i="60"/>
  <c r="HJ94" i="60"/>
  <c r="EU28" i="60"/>
  <c r="EU94" i="60"/>
  <c r="GR28" i="60"/>
  <c r="GR94" i="60"/>
  <c r="FM28" i="60"/>
  <c r="FM94" i="60"/>
  <c r="FV28" i="60"/>
  <c r="FV94" i="60"/>
  <c r="EC28" i="60"/>
  <c r="EC94" i="60"/>
  <c r="FW28" i="60"/>
  <c r="FW94" i="60"/>
  <c r="FX28" i="60"/>
  <c r="FX94" i="60"/>
  <c r="GY28" i="60"/>
  <c r="GY94" i="60"/>
  <c r="GJ28" i="60"/>
  <c r="GJ94" i="60"/>
  <c r="ED28" i="60"/>
  <c r="ED94" i="60"/>
  <c r="GP28" i="60"/>
  <c r="GP94" i="60"/>
  <c r="FU28" i="60"/>
  <c r="FU94" i="60"/>
  <c r="DX28" i="60"/>
  <c r="DX94" i="60"/>
  <c r="FI28" i="60"/>
  <c r="FI94" i="60"/>
  <c r="EN28" i="60"/>
  <c r="EN94" i="60"/>
  <c r="DT28" i="60"/>
  <c r="DT94" i="60"/>
  <c r="GF28" i="60"/>
  <c r="GF94" i="60"/>
  <c r="EK28" i="60"/>
  <c r="EK94" i="60"/>
  <c r="EL28" i="60"/>
  <c r="EL94" i="60"/>
  <c r="GX28" i="60"/>
  <c r="GX94" i="60"/>
  <c r="EE28" i="60"/>
  <c r="EE94" i="60"/>
  <c r="GD28" i="60"/>
  <c r="GD94" i="60"/>
  <c r="GE28" i="60"/>
  <c r="GE94" i="60"/>
  <c r="GC28" i="60"/>
  <c r="GC94" i="60"/>
  <c r="ES28" i="60"/>
  <c r="ES94" i="60"/>
  <c r="GB28" i="60"/>
  <c r="GB94" i="60"/>
  <c r="DZ28" i="60"/>
  <c r="DZ94" i="60"/>
  <c r="GL28" i="60"/>
  <c r="GL94" i="60"/>
  <c r="GO28" i="60"/>
  <c r="GO94" i="60"/>
  <c r="FT28" i="60"/>
  <c r="FT94" i="60"/>
  <c r="EA28" i="60"/>
  <c r="EA94" i="60"/>
  <c r="GM28" i="60"/>
  <c r="GM94" i="60"/>
  <c r="GW28" i="60"/>
  <c r="GW94" i="60"/>
  <c r="GZ28" i="60"/>
  <c r="GZ94" i="60"/>
  <c r="EB28" i="60"/>
  <c r="EB94" i="60"/>
  <c r="GN28" i="60"/>
  <c r="GN94" i="60"/>
  <c r="FQ28" i="60"/>
  <c r="FQ94" i="60"/>
  <c r="FY28" i="60"/>
  <c r="FY94" i="60"/>
  <c r="ET28" i="60"/>
  <c r="ET94" i="60"/>
  <c r="HF28" i="60"/>
  <c r="HF94" i="60"/>
  <c r="FS28" i="60"/>
  <c r="FS94" i="60"/>
  <c r="FA28" i="60"/>
  <c r="FA94" i="60"/>
  <c r="DQ28" i="60"/>
  <c r="DQ94" i="60"/>
  <c r="GK28" i="60"/>
  <c r="GK94" i="60"/>
  <c r="GG28" i="60"/>
  <c r="GG94" i="60"/>
  <c r="GT28" i="60"/>
  <c r="GT94" i="60"/>
  <c r="EJ28" i="60"/>
  <c r="EJ94" i="60"/>
  <c r="HE28" i="60"/>
  <c r="HE94" i="60"/>
  <c r="DP28" i="60"/>
  <c r="DP94" i="60"/>
  <c r="EM28" i="60"/>
  <c r="EM94" i="60"/>
  <c r="FB28" i="60"/>
  <c r="FB94" i="60"/>
  <c r="DR28" i="60"/>
  <c r="DR94" i="60"/>
  <c r="DS28" i="60"/>
  <c r="DS94" i="60"/>
  <c r="DY28" i="60"/>
  <c r="DY94" i="60"/>
  <c r="EH28" i="60"/>
  <c r="EH94" i="60"/>
  <c r="EI28" i="60"/>
  <c r="EI94" i="60"/>
  <c r="GU28" i="60"/>
  <c r="GU94" i="60"/>
  <c r="GV28" i="60"/>
  <c r="GV94" i="60"/>
  <c r="EG28" i="60"/>
  <c r="EG94" i="60"/>
  <c r="GS28" i="60"/>
  <c r="GS94" i="60"/>
  <c r="EP28" i="60"/>
  <c r="EP94" i="60"/>
  <c r="HB28" i="60"/>
  <c r="HB94" i="60"/>
  <c r="EQ28" i="60"/>
  <c r="EQ94" i="60"/>
  <c r="HC28" i="60"/>
  <c r="HC94" i="60"/>
  <c r="DO28" i="60"/>
  <c r="DO94" i="60"/>
  <c r="ER28" i="60"/>
  <c r="ER94" i="60"/>
  <c r="HD28" i="60"/>
  <c r="HD94" i="60"/>
  <c r="FD28" i="60"/>
  <c r="FD94" i="60"/>
  <c r="FJ28" i="60"/>
  <c r="FJ94" i="60"/>
  <c r="AU7" i="60"/>
  <c r="AU8" i="60" s="1"/>
  <c r="AU5" i="60"/>
  <c r="R8" i="60"/>
  <c r="R103" i="60" s="1"/>
  <c r="R5" i="60"/>
  <c r="CD7" i="60"/>
  <c r="CD8" i="60" s="1"/>
  <c r="CD5" i="60"/>
  <c r="DG7" i="60"/>
  <c r="DG5" i="60"/>
  <c r="S7" i="60"/>
  <c r="S5" i="60"/>
  <c r="CE7" i="60"/>
  <c r="CE8" i="60" s="1"/>
  <c r="CE5" i="60"/>
  <c r="T7" i="60"/>
  <c r="T5" i="60"/>
  <c r="CF7" i="60"/>
  <c r="CF8" i="60" s="1"/>
  <c r="CF5" i="60"/>
  <c r="BK7" i="60"/>
  <c r="BK5" i="60"/>
  <c r="AV7" i="60"/>
  <c r="AV8" i="60" s="1"/>
  <c r="AV5" i="60"/>
  <c r="AL7" i="60"/>
  <c r="AL5" i="60"/>
  <c r="CX7" i="60"/>
  <c r="CX5" i="60"/>
  <c r="CX94" i="60" s="1"/>
  <c r="W7" i="60"/>
  <c r="W8" i="60" s="1"/>
  <c r="W5" i="60"/>
  <c r="CB7" i="60"/>
  <c r="CB8" i="60" s="1"/>
  <c r="CB5" i="60"/>
  <c r="DH7" i="60"/>
  <c r="DH5" i="60"/>
  <c r="BF7" i="60"/>
  <c r="BF8" i="60" s="1"/>
  <c r="BF5" i="60"/>
  <c r="BE7" i="60"/>
  <c r="BE8" i="60" s="1"/>
  <c r="BE5" i="60"/>
  <c r="BM7" i="60"/>
  <c r="BM5" i="60"/>
  <c r="AM7" i="60"/>
  <c r="AM5" i="60"/>
  <c r="K5" i="60"/>
  <c r="K7" i="60"/>
  <c r="K8" i="60" s="1"/>
  <c r="BC7" i="60"/>
  <c r="BC8" i="60" s="1"/>
  <c r="BC5" i="60"/>
  <c r="AD7" i="60"/>
  <c r="AD8" i="60" s="1"/>
  <c r="AD5" i="60"/>
  <c r="AF7" i="60"/>
  <c r="AF5" i="60"/>
  <c r="BU7" i="60"/>
  <c r="BU5" i="60"/>
  <c r="Q7" i="60"/>
  <c r="Q8" i="60" s="1"/>
  <c r="Q5" i="60"/>
  <c r="CC7" i="60"/>
  <c r="CC8" i="60" s="1"/>
  <c r="CC5" i="60"/>
  <c r="AB5" i="60"/>
  <c r="AB7" i="60"/>
  <c r="AB8" i="60" s="1"/>
  <c r="CN5" i="60"/>
  <c r="CN7" i="60"/>
  <c r="CQ7" i="60"/>
  <c r="CQ5" i="60"/>
  <c r="BL7" i="60"/>
  <c r="BL5" i="60"/>
  <c r="AT7" i="60"/>
  <c r="AT8" i="60" s="1"/>
  <c r="AT5" i="60"/>
  <c r="DF7" i="60"/>
  <c r="DF5" i="60"/>
  <c r="AE7" i="60"/>
  <c r="AE8" i="60" s="1"/>
  <c r="AE5" i="60"/>
  <c r="BV7" i="60"/>
  <c r="BV5" i="60"/>
  <c r="BW7" i="60"/>
  <c r="BW5" i="60"/>
  <c r="L7" i="60"/>
  <c r="L8" i="60" s="1"/>
  <c r="L5" i="60"/>
  <c r="CM7" i="60"/>
  <c r="CM5" i="60"/>
  <c r="AH7" i="60"/>
  <c r="AH8" i="60" s="1"/>
  <c r="AH5" i="60"/>
  <c r="CT7" i="60"/>
  <c r="CT5" i="60"/>
  <c r="CT94" i="60" s="1"/>
  <c r="AS7" i="60"/>
  <c r="AS8" i="60" s="1"/>
  <c r="AS5" i="60"/>
  <c r="AI7" i="60"/>
  <c r="AI8" i="60" s="1"/>
  <c r="AI5" i="60"/>
  <c r="CU7" i="60"/>
  <c r="CU5" i="60"/>
  <c r="CU94" i="60" s="1"/>
  <c r="AC5" i="60"/>
  <c r="AC7" i="60"/>
  <c r="AJ5" i="60"/>
  <c r="AJ7" i="60"/>
  <c r="AJ8" i="60" s="1"/>
  <c r="CV5" i="60"/>
  <c r="CV94" i="60" s="1"/>
  <c r="CV7" i="60"/>
  <c r="U7" i="60"/>
  <c r="U5" i="60"/>
  <c r="M7" i="60"/>
  <c r="M8" i="60" s="1"/>
  <c r="M5" i="60"/>
  <c r="CZ7" i="60"/>
  <c r="CZ8" i="60" s="1"/>
  <c r="CZ5" i="60"/>
  <c r="CZ94" i="60" s="1"/>
  <c r="BB7" i="60"/>
  <c r="BB8" i="60" s="1"/>
  <c r="BB5" i="60"/>
  <c r="DN5" i="60"/>
  <c r="DN7" i="60"/>
  <c r="BS7" i="60"/>
  <c r="BS5" i="60"/>
  <c r="AW7" i="60"/>
  <c r="AW8" i="60" s="1"/>
  <c r="AW5" i="60"/>
  <c r="DI7" i="60"/>
  <c r="DI5" i="60"/>
  <c r="CP7" i="60"/>
  <c r="CP5" i="60"/>
  <c r="O7" i="60"/>
  <c r="O8" i="60" s="1"/>
  <c r="O5" i="60"/>
  <c r="CY7" i="60"/>
  <c r="CY5" i="60"/>
  <c r="CY94" i="60" s="1"/>
  <c r="Z7" i="60"/>
  <c r="Z8" i="60" s="1"/>
  <c r="Z5" i="60"/>
  <c r="CL7" i="60"/>
  <c r="CL5" i="60"/>
  <c r="AA7" i="60"/>
  <c r="AA8" i="60" s="1"/>
  <c r="AA5" i="60"/>
  <c r="BA7" i="60"/>
  <c r="BA8" i="60" s="1"/>
  <c r="BA5" i="60"/>
  <c r="AP7" i="60"/>
  <c r="AP8" i="60" s="1"/>
  <c r="AP5" i="60"/>
  <c r="DB7" i="60"/>
  <c r="DB5" i="60"/>
  <c r="CO5" i="60"/>
  <c r="CO7" i="60"/>
  <c r="AN7" i="60"/>
  <c r="AN5" i="60"/>
  <c r="AQ7" i="60"/>
  <c r="AQ8" i="60" s="1"/>
  <c r="AQ5" i="60"/>
  <c r="DC7" i="60"/>
  <c r="DC5" i="60"/>
  <c r="BY7" i="60"/>
  <c r="BY8" i="60" s="1"/>
  <c r="BY5" i="60"/>
  <c r="BD7" i="60"/>
  <c r="BD8" i="60" s="1"/>
  <c r="BD5" i="60"/>
  <c r="AR5" i="60"/>
  <c r="AR7" i="60"/>
  <c r="AR8" i="60" s="1"/>
  <c r="DD5" i="60"/>
  <c r="DD7" i="60"/>
  <c r="BQ5" i="60"/>
  <c r="BQ7" i="60"/>
  <c r="AK5" i="60"/>
  <c r="AK7" i="60"/>
  <c r="BJ7" i="60"/>
  <c r="BJ5" i="60"/>
  <c r="CA7" i="60"/>
  <c r="CA8" i="60" s="1"/>
  <c r="CA5" i="60"/>
  <c r="J7" i="60"/>
  <c r="J100" i="60" s="1"/>
  <c r="J5" i="60"/>
  <c r="BX5" i="60"/>
  <c r="BX7" i="60"/>
  <c r="Y7" i="60"/>
  <c r="Y8" i="60" s="1"/>
  <c r="Y5" i="60"/>
  <c r="CK7" i="60"/>
  <c r="CK5" i="60"/>
  <c r="AG7" i="60"/>
  <c r="AG5" i="60"/>
  <c r="CS7" i="60"/>
  <c r="CS5" i="60"/>
  <c r="CS94" i="60" s="1"/>
  <c r="AO7" i="60"/>
  <c r="AO8" i="60" s="1"/>
  <c r="AO5" i="60"/>
  <c r="DA7" i="60"/>
  <c r="DA5" i="60"/>
  <c r="DA94" i="60" s="1"/>
  <c r="CG7" i="60"/>
  <c r="CG5" i="60"/>
  <c r="CG94" i="60" s="1"/>
  <c r="P7" i="60"/>
  <c r="P8" i="60" s="1"/>
  <c r="P5" i="60"/>
  <c r="AX7" i="60"/>
  <c r="AX8" i="60" s="1"/>
  <c r="AX5" i="60"/>
  <c r="DJ7" i="60"/>
  <c r="DJ5" i="60"/>
  <c r="CJ7" i="60"/>
  <c r="CJ5" i="60"/>
  <c r="AY7" i="60"/>
  <c r="AY8" i="60" s="1"/>
  <c r="AY5" i="60"/>
  <c r="DK5" i="60"/>
  <c r="DK7" i="60"/>
  <c r="DM5" i="60"/>
  <c r="DM7" i="60"/>
  <c r="CR7" i="60"/>
  <c r="CR5" i="60"/>
  <c r="AZ7" i="60"/>
  <c r="AZ8" i="60" s="1"/>
  <c r="AZ5" i="60"/>
  <c r="DL5" i="60"/>
  <c r="DL7" i="60"/>
  <c r="DE7" i="60"/>
  <c r="DE5" i="60"/>
  <c r="BI5" i="60"/>
  <c r="BI7" i="60"/>
  <c r="BR7" i="60"/>
  <c r="BR5" i="60"/>
  <c r="CI7" i="60"/>
  <c r="CI5" i="60"/>
  <c r="BG7" i="60"/>
  <c r="BG8" i="60" s="1"/>
  <c r="BG5" i="60"/>
  <c r="BH5" i="60"/>
  <c r="BH7" i="60"/>
  <c r="BH8" i="60" s="1"/>
  <c r="X7" i="60"/>
  <c r="X8" i="60" s="1"/>
  <c r="X5" i="60"/>
  <c r="CW5" i="60"/>
  <c r="CW94" i="60" s="1"/>
  <c r="CW7" i="60"/>
  <c r="N7" i="60"/>
  <c r="N8" i="60" s="1"/>
  <c r="N5" i="60"/>
  <c r="BZ7" i="60"/>
  <c r="BZ8" i="60" s="1"/>
  <c r="BZ5" i="60"/>
  <c r="BN7" i="60"/>
  <c r="BN5" i="60"/>
  <c r="BO7" i="60"/>
  <c r="BO5" i="60"/>
  <c r="BP5" i="60"/>
  <c r="BP7" i="60"/>
  <c r="BT7" i="60"/>
  <c r="BT5" i="60"/>
  <c r="V7" i="60"/>
  <c r="V5" i="60"/>
  <c r="CH7" i="60"/>
  <c r="CH8" i="60" s="1"/>
  <c r="CH5" i="60"/>
  <c r="D352" i="59"/>
  <c r="D340" i="59"/>
  <c r="D341" i="59"/>
  <c r="D342" i="59"/>
  <c r="D343" i="59"/>
  <c r="D344" i="59"/>
  <c r="D345" i="59"/>
  <c r="D346" i="59"/>
  <c r="D347" i="59"/>
  <c r="D348" i="59"/>
  <c r="D349" i="59"/>
  <c r="D350" i="59"/>
  <c r="D351" i="59"/>
  <c r="D339" i="59"/>
  <c r="AF469" i="59"/>
  <c r="AF470" i="59"/>
  <c r="AF471" i="59"/>
  <c r="AF472" i="59"/>
  <c r="AF473" i="59"/>
  <c r="AF474" i="59"/>
  <c r="AF475" i="59"/>
  <c r="AF476" i="59"/>
  <c r="AF477" i="59"/>
  <c r="AF478" i="59"/>
  <c r="AF479" i="59"/>
  <c r="AE469" i="59"/>
  <c r="AE470" i="59"/>
  <c r="AE471" i="59"/>
  <c r="AE472" i="59"/>
  <c r="AE473" i="59"/>
  <c r="AE474" i="59"/>
  <c r="AE475" i="59"/>
  <c r="AE476" i="59"/>
  <c r="AE477" i="59"/>
  <c r="AE478" i="59"/>
  <c r="AE479" i="59"/>
  <c r="AD469" i="59"/>
  <c r="AD470" i="59"/>
  <c r="AD471" i="59"/>
  <c r="AD472" i="59"/>
  <c r="AD473" i="59"/>
  <c r="AD474" i="59"/>
  <c r="AD475" i="59"/>
  <c r="AD476" i="59"/>
  <c r="AD477" i="59"/>
  <c r="AD478" i="59"/>
  <c r="AD479" i="59"/>
  <c r="AC469" i="59"/>
  <c r="AC470" i="59"/>
  <c r="AC471" i="59"/>
  <c r="AC472" i="59"/>
  <c r="AC473" i="59"/>
  <c r="AC474" i="59"/>
  <c r="AC475" i="59"/>
  <c r="AC476" i="59"/>
  <c r="AC477" i="59"/>
  <c r="AC478" i="59"/>
  <c r="AC479" i="59"/>
  <c r="AB469" i="59"/>
  <c r="AB470" i="59"/>
  <c r="AB471" i="59"/>
  <c r="AB472" i="59"/>
  <c r="AB473" i="59"/>
  <c r="AB474" i="59"/>
  <c r="AB475" i="59"/>
  <c r="AB476" i="59"/>
  <c r="AB477" i="59"/>
  <c r="AB478" i="59"/>
  <c r="AB479" i="59"/>
  <c r="AA469" i="59"/>
  <c r="AA470" i="59"/>
  <c r="AA471" i="59"/>
  <c r="AA472" i="59"/>
  <c r="AA473" i="59"/>
  <c r="AA474" i="59"/>
  <c r="AA475" i="59"/>
  <c r="AA476" i="59"/>
  <c r="AA477" i="59"/>
  <c r="AA478" i="59"/>
  <c r="AA479" i="59"/>
  <c r="Z469" i="59"/>
  <c r="Z470" i="59"/>
  <c r="Z471" i="59"/>
  <c r="Z472" i="59"/>
  <c r="Z473" i="59"/>
  <c r="Z474" i="59"/>
  <c r="Z475" i="59"/>
  <c r="Z476" i="59"/>
  <c r="Z477" i="59"/>
  <c r="Z478" i="59"/>
  <c r="Z479" i="59"/>
  <c r="Y469" i="59"/>
  <c r="Y470" i="59"/>
  <c r="Y471" i="59"/>
  <c r="Y472" i="59"/>
  <c r="Y473" i="59"/>
  <c r="Y474" i="59"/>
  <c r="Y475" i="59"/>
  <c r="Y476" i="59"/>
  <c r="Y477" i="59"/>
  <c r="Y478" i="59"/>
  <c r="Y479" i="59"/>
  <c r="X469" i="59"/>
  <c r="X470" i="59"/>
  <c r="X471" i="59"/>
  <c r="X472" i="59"/>
  <c r="X473" i="59"/>
  <c r="X474" i="59"/>
  <c r="X475" i="59"/>
  <c r="X476" i="59"/>
  <c r="X477" i="59"/>
  <c r="X478" i="59"/>
  <c r="X479" i="59"/>
  <c r="W469" i="59"/>
  <c r="W470" i="59"/>
  <c r="W471" i="59"/>
  <c r="W472" i="59"/>
  <c r="W473" i="59"/>
  <c r="W474" i="59"/>
  <c r="W475" i="59"/>
  <c r="W476" i="59"/>
  <c r="W477" i="59"/>
  <c r="W478" i="59"/>
  <c r="W479" i="59"/>
  <c r="V469" i="59"/>
  <c r="V470" i="59"/>
  <c r="V471" i="59"/>
  <c r="V472" i="59"/>
  <c r="V473" i="59"/>
  <c r="V474" i="59"/>
  <c r="V475" i="59"/>
  <c r="V476" i="59"/>
  <c r="V477" i="59"/>
  <c r="V478" i="59"/>
  <c r="V479" i="59"/>
  <c r="U469" i="59"/>
  <c r="U470" i="59"/>
  <c r="U471" i="59"/>
  <c r="U472" i="59"/>
  <c r="U473" i="59"/>
  <c r="U474" i="59"/>
  <c r="U475" i="59"/>
  <c r="U476" i="59"/>
  <c r="U477" i="59"/>
  <c r="U478" i="59"/>
  <c r="U479" i="59"/>
  <c r="T469" i="59"/>
  <c r="T470" i="59"/>
  <c r="T471" i="59"/>
  <c r="T472" i="59"/>
  <c r="T473" i="59"/>
  <c r="T474" i="59"/>
  <c r="T475" i="59"/>
  <c r="T476" i="59"/>
  <c r="T477" i="59"/>
  <c r="T478" i="59"/>
  <c r="T479" i="59"/>
  <c r="S469" i="59"/>
  <c r="S470" i="59"/>
  <c r="S471" i="59"/>
  <c r="S472" i="59"/>
  <c r="S473" i="59"/>
  <c r="S474" i="59"/>
  <c r="S475" i="59"/>
  <c r="S476" i="59"/>
  <c r="S477" i="59"/>
  <c r="S478" i="59"/>
  <c r="S479" i="59"/>
  <c r="R469" i="59"/>
  <c r="R470" i="59"/>
  <c r="R471" i="59"/>
  <c r="R472" i="59"/>
  <c r="R473" i="59"/>
  <c r="R474" i="59"/>
  <c r="R475" i="59"/>
  <c r="R476" i="59"/>
  <c r="R477" i="59"/>
  <c r="R478" i="59"/>
  <c r="R479" i="59"/>
  <c r="Q469" i="59"/>
  <c r="Q470" i="59"/>
  <c r="Q471" i="59"/>
  <c r="Q472" i="59"/>
  <c r="Q473" i="59"/>
  <c r="Q474" i="59"/>
  <c r="Q475" i="59"/>
  <c r="Q476" i="59"/>
  <c r="Q477" i="59"/>
  <c r="Q478" i="59"/>
  <c r="Q479" i="59"/>
  <c r="M468" i="59"/>
  <c r="D360" i="59" a="1"/>
  <c r="D360" i="59" s="1"/>
  <c r="H360" i="59" s="1"/>
  <c r="G570" i="59" s="1"/>
  <c r="D194" i="59" a="1"/>
  <c r="D195" i="59" s="1"/>
  <c r="D67" i="59" a="1"/>
  <c r="D67" i="59" s="1"/>
  <c r="F67" i="59" s="1"/>
  <c r="L595" i="75"/>
  <c r="K103" i="60" l="1"/>
  <c r="X103" i="60"/>
  <c r="AZ103" i="60"/>
  <c r="AY103" i="60"/>
  <c r="BA103" i="60"/>
  <c r="AW103" i="60"/>
  <c r="AS103" i="60"/>
  <c r="BC103" i="60"/>
  <c r="AO103" i="60"/>
  <c r="BH103" i="60"/>
  <c r="AA103" i="60"/>
  <c r="M103" i="60"/>
  <c r="CH103" i="60"/>
  <c r="CH104" i="60" s="1"/>
  <c r="CA103" i="60"/>
  <c r="AH103" i="60"/>
  <c r="CC103" i="60"/>
  <c r="AD103" i="60"/>
  <c r="CB103" i="60"/>
  <c r="AV103" i="60"/>
  <c r="CE103" i="60"/>
  <c r="N103" i="60"/>
  <c r="CQ70" i="60"/>
  <c r="AX72" i="60"/>
  <c r="AX61" i="60"/>
  <c r="AO72" i="60"/>
  <c r="AO61" i="60"/>
  <c r="Y72" i="60"/>
  <c r="Y73" i="60" s="1"/>
  <c r="Y61" i="60"/>
  <c r="AQ72" i="60"/>
  <c r="AQ61" i="60"/>
  <c r="AP72" i="60"/>
  <c r="AP61" i="60"/>
  <c r="Z72" i="60"/>
  <c r="Z73" i="60" s="1"/>
  <c r="Z61" i="60"/>
  <c r="BB72" i="60"/>
  <c r="BB61" i="60"/>
  <c r="AI72" i="60"/>
  <c r="AI61" i="60"/>
  <c r="AE72" i="60"/>
  <c r="AE61" i="60"/>
  <c r="Q72" i="60"/>
  <c r="Q61" i="60"/>
  <c r="BC72" i="60"/>
  <c r="BC61" i="60"/>
  <c r="BE72" i="60"/>
  <c r="BE61" i="60"/>
  <c r="W72" i="60"/>
  <c r="W61" i="60"/>
  <c r="AU72" i="60"/>
  <c r="AU61" i="60"/>
  <c r="Q103" i="60"/>
  <c r="CB70" i="60"/>
  <c r="BZ70" i="60"/>
  <c r="BY70" i="60"/>
  <c r="CV70" i="60"/>
  <c r="BG72" i="60"/>
  <c r="BG61" i="60"/>
  <c r="AR72" i="60"/>
  <c r="AR61" i="60"/>
  <c r="CX70" i="60"/>
  <c r="CO70" i="60"/>
  <c r="CH72" i="60"/>
  <c r="CH61" i="60"/>
  <c r="AJ72" i="60"/>
  <c r="AJ61" i="60"/>
  <c r="K72" i="60"/>
  <c r="K61" i="60"/>
  <c r="BB103" i="60"/>
  <c r="AJ103" i="60"/>
  <c r="X72" i="60"/>
  <c r="X61" i="60"/>
  <c r="AZ72" i="60"/>
  <c r="AZ61" i="60"/>
  <c r="AY72" i="60"/>
  <c r="AY61" i="60"/>
  <c r="P72" i="60"/>
  <c r="P61" i="60"/>
  <c r="BD72" i="60"/>
  <c r="BD61" i="60"/>
  <c r="BA72" i="60"/>
  <c r="BA61" i="60"/>
  <c r="AW72" i="60"/>
  <c r="AW61" i="60"/>
  <c r="CZ72" i="60"/>
  <c r="CZ61" i="60"/>
  <c r="AS72" i="60"/>
  <c r="AS61" i="60"/>
  <c r="L72" i="60"/>
  <c r="L61" i="60"/>
  <c r="BF72" i="60"/>
  <c r="BF61" i="60"/>
  <c r="CF72" i="60"/>
  <c r="CF61" i="60"/>
  <c r="CM70" i="60"/>
  <c r="W103" i="60"/>
  <c r="AU103" i="60"/>
  <c r="CH70" i="60"/>
  <c r="BF103" i="60"/>
  <c r="AX103" i="60"/>
  <c r="BD103" i="60"/>
  <c r="N72" i="60"/>
  <c r="N61" i="60"/>
  <c r="CC70" i="60"/>
  <c r="AB72" i="60"/>
  <c r="AB61" i="60"/>
  <c r="CN70" i="60"/>
  <c r="CY70" i="60"/>
  <c r="CP70" i="60"/>
  <c r="CG70" i="60"/>
  <c r="CU70" i="60"/>
  <c r="BE103" i="60"/>
  <c r="BH72" i="60"/>
  <c r="BH61" i="60"/>
  <c r="BY72" i="60"/>
  <c r="BY61" i="60"/>
  <c r="AA72" i="60"/>
  <c r="AA73" i="60" s="1"/>
  <c r="AA61" i="60"/>
  <c r="O72" i="60"/>
  <c r="O61" i="60"/>
  <c r="M72" i="60"/>
  <c r="M61" i="60"/>
  <c r="AT72" i="60"/>
  <c r="AT61" i="60"/>
  <c r="CD72" i="60"/>
  <c r="CD61" i="60"/>
  <c r="AB103" i="60"/>
  <c r="CF103" i="60"/>
  <c r="CE70" i="60"/>
  <c r="CD103" i="60"/>
  <c r="L103" i="60"/>
  <c r="CJ70" i="60"/>
  <c r="CA70" i="60"/>
  <c r="AP103" i="60"/>
  <c r="AI103" i="60"/>
  <c r="BZ72" i="60"/>
  <c r="BZ61" i="60"/>
  <c r="CL70" i="60"/>
  <c r="CR70" i="60"/>
  <c r="AQ103" i="60"/>
  <c r="CK70" i="60"/>
  <c r="CZ103" i="60"/>
  <c r="CZ104" i="60" s="1"/>
  <c r="CA72" i="60"/>
  <c r="CA61" i="60"/>
  <c r="AH72" i="60"/>
  <c r="AH61" i="60"/>
  <c r="CC72" i="60"/>
  <c r="CC61" i="60"/>
  <c r="AD72" i="60"/>
  <c r="AD61" i="60"/>
  <c r="CB72" i="60"/>
  <c r="CB61" i="60"/>
  <c r="AV72" i="60"/>
  <c r="AV61" i="60"/>
  <c r="CE72" i="60"/>
  <c r="CE61" i="60"/>
  <c r="R72" i="60"/>
  <c r="R61" i="60"/>
  <c r="AE103" i="60"/>
  <c r="AT103" i="60"/>
  <c r="Z103" i="60"/>
  <c r="CF70" i="60"/>
  <c r="CD70" i="60"/>
  <c r="O103" i="60"/>
  <c r="BZ103" i="60"/>
  <c r="CW70" i="60"/>
  <c r="BG103" i="60"/>
  <c r="CI70" i="60"/>
  <c r="P103" i="60"/>
  <c r="DA70" i="60"/>
  <c r="AR103" i="60"/>
  <c r="BY103" i="60"/>
  <c r="CS70" i="60"/>
  <c r="Y103" i="60"/>
  <c r="CZ70" i="60"/>
  <c r="CT70" i="60"/>
  <c r="R59" i="60"/>
  <c r="R60" i="60" s="1"/>
  <c r="R62" i="60"/>
  <c r="R63" i="60" s="1"/>
  <c r="AH59" i="60"/>
  <c r="AH60" i="60" s="1"/>
  <c r="AH62" i="60"/>
  <c r="AH63" i="60" s="1"/>
  <c r="CC59" i="60"/>
  <c r="CC60" i="60" s="1"/>
  <c r="CC62" i="60"/>
  <c r="CC63" i="60" s="1"/>
  <c r="AD59" i="60"/>
  <c r="AD60" i="60" s="1"/>
  <c r="AD62" i="60"/>
  <c r="AD63" i="60" s="1"/>
  <c r="CB59" i="60"/>
  <c r="CB60" i="60" s="1"/>
  <c r="CB62" i="60"/>
  <c r="CB63" i="60" s="1"/>
  <c r="AV59" i="60"/>
  <c r="AV60" i="60" s="1"/>
  <c r="AV62" i="60"/>
  <c r="AV63" i="60" s="1"/>
  <c r="CE59" i="60"/>
  <c r="CE60" i="60" s="1"/>
  <c r="CE62" i="60"/>
  <c r="CE63" i="60" s="1"/>
  <c r="AR59" i="60"/>
  <c r="AR60" i="60" s="1"/>
  <c r="AR62" i="60"/>
  <c r="AR63" i="60" s="1"/>
  <c r="BG59" i="60"/>
  <c r="BG60" i="60" s="1"/>
  <c r="BG62" i="60"/>
  <c r="BG63" i="60" s="1"/>
  <c r="CA59" i="60"/>
  <c r="CA60" i="60" s="1"/>
  <c r="CA62" i="60"/>
  <c r="CA63" i="60" s="1"/>
  <c r="CH59" i="60"/>
  <c r="CH60" i="60" s="1"/>
  <c r="CH62" i="60"/>
  <c r="CH63" i="60" s="1"/>
  <c r="AX59" i="60"/>
  <c r="AX60" i="60" s="1"/>
  <c r="AX62" i="60"/>
  <c r="AX63" i="60" s="1"/>
  <c r="AO59" i="60"/>
  <c r="AO60" i="60" s="1"/>
  <c r="AO62" i="60"/>
  <c r="AO63" i="60" s="1"/>
  <c r="Y59" i="60"/>
  <c r="Y60" i="60" s="1"/>
  <c r="Y62" i="60"/>
  <c r="Y63" i="60" s="1"/>
  <c r="AQ59" i="60"/>
  <c r="AQ60" i="60" s="1"/>
  <c r="AQ62" i="60"/>
  <c r="AQ63" i="60" s="1"/>
  <c r="AP59" i="60"/>
  <c r="AP60" i="60" s="1"/>
  <c r="AP62" i="60"/>
  <c r="AP63" i="60" s="1"/>
  <c r="Z59" i="60"/>
  <c r="Z60" i="60" s="1"/>
  <c r="Z62" i="60"/>
  <c r="Z63" i="60" s="1"/>
  <c r="BB59" i="60"/>
  <c r="BB60" i="60" s="1"/>
  <c r="BB62" i="60"/>
  <c r="BB63" i="60" s="1"/>
  <c r="AI59" i="60"/>
  <c r="AI60" i="60" s="1"/>
  <c r="AI62" i="60"/>
  <c r="AI63" i="60" s="1"/>
  <c r="AE59" i="60"/>
  <c r="AE60" i="60" s="1"/>
  <c r="AE62" i="60"/>
  <c r="AE63" i="60" s="1"/>
  <c r="Q59" i="60"/>
  <c r="Q60" i="60" s="1"/>
  <c r="Q62" i="60"/>
  <c r="Q63" i="60" s="1"/>
  <c r="BC59" i="60"/>
  <c r="BC60" i="60" s="1"/>
  <c r="BC62" i="60"/>
  <c r="BC63" i="60" s="1"/>
  <c r="BE59" i="60"/>
  <c r="BE60" i="60" s="1"/>
  <c r="BE62" i="60"/>
  <c r="BE63" i="60" s="1"/>
  <c r="W59" i="60"/>
  <c r="W60" i="60" s="1"/>
  <c r="W62" i="60"/>
  <c r="W63" i="60" s="1"/>
  <c r="AU59" i="60"/>
  <c r="AU60" i="60" s="1"/>
  <c r="AU62" i="60"/>
  <c r="AU63" i="60" s="1"/>
  <c r="N59" i="60"/>
  <c r="N60" i="60" s="1"/>
  <c r="N62" i="60"/>
  <c r="N63" i="60" s="1"/>
  <c r="AJ59" i="60"/>
  <c r="AJ60" i="60" s="1"/>
  <c r="AJ62" i="60"/>
  <c r="AJ63" i="60" s="1"/>
  <c r="K59" i="60"/>
  <c r="K60" i="60" s="1"/>
  <c r="K62" i="60"/>
  <c r="K63" i="60" s="1"/>
  <c r="X59" i="60"/>
  <c r="X60" i="60" s="1"/>
  <c r="X62" i="60"/>
  <c r="X63" i="60" s="1"/>
  <c r="AZ59" i="60"/>
  <c r="AZ60" i="60" s="1"/>
  <c r="AZ62" i="60"/>
  <c r="AZ63" i="60" s="1"/>
  <c r="AY59" i="60"/>
  <c r="AY60" i="60" s="1"/>
  <c r="AY62" i="60"/>
  <c r="AY63" i="60" s="1"/>
  <c r="P59" i="60"/>
  <c r="P60" i="60" s="1"/>
  <c r="P62" i="60"/>
  <c r="P63" i="60" s="1"/>
  <c r="BD59" i="60"/>
  <c r="BD60" i="60" s="1"/>
  <c r="BD62" i="60"/>
  <c r="BD63" i="60" s="1"/>
  <c r="BA59" i="60"/>
  <c r="BA60" i="60" s="1"/>
  <c r="BA62" i="60"/>
  <c r="BA63" i="60" s="1"/>
  <c r="AW59" i="60"/>
  <c r="AW60" i="60" s="1"/>
  <c r="AW62" i="60"/>
  <c r="AW63" i="60" s="1"/>
  <c r="CZ59" i="60"/>
  <c r="CZ60" i="60" s="1"/>
  <c r="CZ62" i="60"/>
  <c r="CZ63" i="60" s="1"/>
  <c r="AS59" i="60"/>
  <c r="AS60" i="60" s="1"/>
  <c r="AS62" i="60"/>
  <c r="AS63" i="60" s="1"/>
  <c r="L59" i="60"/>
  <c r="L60" i="60" s="1"/>
  <c r="L62" i="60"/>
  <c r="L63" i="60" s="1"/>
  <c r="BF59" i="60"/>
  <c r="BF60" i="60" s="1"/>
  <c r="BF62" i="60"/>
  <c r="BF63" i="60" s="1"/>
  <c r="CF59" i="60"/>
  <c r="CF60" i="60" s="1"/>
  <c r="CF62" i="60"/>
  <c r="CF63" i="60" s="1"/>
  <c r="BH59" i="60"/>
  <c r="BH60" i="60" s="1"/>
  <c r="BH62" i="60"/>
  <c r="BH63" i="60" s="1"/>
  <c r="AB59" i="60"/>
  <c r="AB60" i="60" s="1"/>
  <c r="AB62" i="60"/>
  <c r="AB63" i="60" s="1"/>
  <c r="BZ59" i="60"/>
  <c r="BZ60" i="60" s="1"/>
  <c r="BZ62" i="60"/>
  <c r="BZ63" i="60" s="1"/>
  <c r="BY59" i="60"/>
  <c r="BY60" i="60" s="1"/>
  <c r="BY62" i="60"/>
  <c r="BY63" i="60" s="1"/>
  <c r="AA59" i="60"/>
  <c r="AA60" i="60" s="1"/>
  <c r="AA62" i="60"/>
  <c r="AA63" i="60" s="1"/>
  <c r="O59" i="60"/>
  <c r="O60" i="60" s="1"/>
  <c r="O62" i="60"/>
  <c r="O63" i="60" s="1"/>
  <c r="M59" i="60"/>
  <c r="M60" i="60" s="1"/>
  <c r="M62" i="60"/>
  <c r="M63" i="60" s="1"/>
  <c r="AT59" i="60"/>
  <c r="AT60" i="60" s="1"/>
  <c r="AT62" i="60"/>
  <c r="AT63" i="60" s="1"/>
  <c r="CD59" i="60"/>
  <c r="CD60" i="60" s="1"/>
  <c r="CD62" i="60"/>
  <c r="CD63" i="60" s="1"/>
  <c r="CJ94" i="60"/>
  <c r="DI94" i="60"/>
  <c r="CN94" i="60"/>
  <c r="DM94" i="60"/>
  <c r="CP94" i="60"/>
  <c r="CH94" i="60"/>
  <c r="DK94" i="60"/>
  <c r="DL94" i="60"/>
  <c r="R102" i="60"/>
  <c r="R77" i="60"/>
  <c r="DF94" i="60"/>
  <c r="DN94" i="60"/>
  <c r="DJ94" i="60"/>
  <c r="CK94" i="60"/>
  <c r="DG94" i="60"/>
  <c r="AD102" i="60"/>
  <c r="AD77" i="60"/>
  <c r="CZ102" i="60"/>
  <c r="CZ77" i="60"/>
  <c r="CZ76" i="60" s="1"/>
  <c r="BC102" i="60"/>
  <c r="BC77" i="60"/>
  <c r="BE102" i="60"/>
  <c r="BE77" i="60"/>
  <c r="Z102" i="60"/>
  <c r="Z77" i="60"/>
  <c r="K102" i="60"/>
  <c r="K77" i="60"/>
  <c r="AW102" i="60"/>
  <c r="AW77" i="60"/>
  <c r="CH102" i="60"/>
  <c r="CH77" i="60"/>
  <c r="CH76" i="60" s="1"/>
  <c r="AT102" i="60"/>
  <c r="AT77" i="60"/>
  <c r="AO102" i="60"/>
  <c r="AO77" i="60"/>
  <c r="CV8" i="60"/>
  <c r="AX102" i="60"/>
  <c r="AX77" i="60"/>
  <c r="CK8" i="60"/>
  <c r="DD104" i="60"/>
  <c r="BY102" i="60"/>
  <c r="BY77" i="60"/>
  <c r="CO94" i="60"/>
  <c r="CY8" i="60"/>
  <c r="AH102" i="60"/>
  <c r="AH77" i="60"/>
  <c r="BV8" i="60"/>
  <c r="BV36" i="60" s="1"/>
  <c r="AF8" i="60"/>
  <c r="W102" i="60"/>
  <c r="W77" i="60"/>
  <c r="AV102" i="60"/>
  <c r="AV77" i="60"/>
  <c r="CE102" i="60"/>
  <c r="CE77" i="60"/>
  <c r="BT8" i="60"/>
  <c r="BN8" i="60"/>
  <c r="X102" i="60"/>
  <c r="X77" i="60"/>
  <c r="BR8" i="60"/>
  <c r="AZ77" i="60"/>
  <c r="AZ102" i="60"/>
  <c r="CA102" i="60"/>
  <c r="CA77" i="60"/>
  <c r="DD94" i="60"/>
  <c r="DC94" i="60"/>
  <c r="DB94" i="60"/>
  <c r="AA102" i="60"/>
  <c r="AA77" i="60"/>
  <c r="CM94" i="60"/>
  <c r="BL8" i="60"/>
  <c r="BP8" i="60"/>
  <c r="BP25" i="60" s="1"/>
  <c r="BP100" i="60" s="1"/>
  <c r="BH102" i="60"/>
  <c r="BH77" i="60"/>
  <c r="BI8" i="60"/>
  <c r="CR94" i="60"/>
  <c r="AY102" i="60"/>
  <c r="AY77" i="60"/>
  <c r="P77" i="60"/>
  <c r="P102" i="60"/>
  <c r="Y102" i="60"/>
  <c r="Y77" i="60"/>
  <c r="DD8" i="60"/>
  <c r="DC8" i="60"/>
  <c r="DC104" i="60"/>
  <c r="DB8" i="60"/>
  <c r="DB104" i="60"/>
  <c r="CL94" i="60"/>
  <c r="O102" i="60"/>
  <c r="O77" i="60"/>
  <c r="AI102" i="60"/>
  <c r="AI77" i="60"/>
  <c r="CM8" i="60"/>
  <c r="AE102" i="60"/>
  <c r="AE77" i="60"/>
  <c r="CQ94" i="60"/>
  <c r="CC102" i="60"/>
  <c r="CC77" i="60"/>
  <c r="BK8" i="60"/>
  <c r="S8" i="60"/>
  <c r="AU102" i="60"/>
  <c r="AU77" i="60"/>
  <c r="CO8" i="60"/>
  <c r="CO57" i="60" s="1"/>
  <c r="CO58" i="60" s="1"/>
  <c r="BJ8" i="60"/>
  <c r="AR102" i="60"/>
  <c r="AR77" i="60"/>
  <c r="CL8" i="60"/>
  <c r="BS8" i="60"/>
  <c r="AJ77" i="60"/>
  <c r="AJ102" i="60"/>
  <c r="CQ8" i="60"/>
  <c r="AM8" i="60"/>
  <c r="BF102" i="60"/>
  <c r="BF77" i="60"/>
  <c r="CI8" i="60"/>
  <c r="CB77" i="60"/>
  <c r="CB102" i="60"/>
  <c r="CR8" i="60"/>
  <c r="DE94" i="60"/>
  <c r="DM8" i="60"/>
  <c r="DM104" i="60"/>
  <c r="CJ8" i="60"/>
  <c r="CG8" i="60"/>
  <c r="CS8" i="60"/>
  <c r="AK8" i="60"/>
  <c r="AQ102" i="60"/>
  <c r="AQ77" i="60"/>
  <c r="AP102" i="60"/>
  <c r="AP77" i="60"/>
  <c r="CP8" i="60"/>
  <c r="DN8" i="60"/>
  <c r="DN104" i="60"/>
  <c r="M102" i="60"/>
  <c r="M77" i="60"/>
  <c r="AC8" i="60"/>
  <c r="AS102" i="60"/>
  <c r="AS77" i="60"/>
  <c r="L102" i="60"/>
  <c r="L77" i="60"/>
  <c r="DF8" i="60"/>
  <c r="DF104" i="60"/>
  <c r="Q102" i="60"/>
  <c r="Q77" i="60"/>
  <c r="DH94" i="60"/>
  <c r="CX8" i="60"/>
  <c r="CF77" i="60"/>
  <c r="CF102" i="60"/>
  <c r="DG8" i="60"/>
  <c r="DG104" i="60"/>
  <c r="BA102" i="60"/>
  <c r="BA77" i="60"/>
  <c r="CU8" i="60"/>
  <c r="AB102" i="60"/>
  <c r="AB77" i="60"/>
  <c r="BZ102" i="60"/>
  <c r="BZ77" i="60"/>
  <c r="N102" i="60"/>
  <c r="N77" i="60"/>
  <c r="DE8" i="60"/>
  <c r="DE25" i="60" s="1"/>
  <c r="DE28" i="60" s="1"/>
  <c r="DE27" i="60" s="1"/>
  <c r="DE97" i="60" s="1"/>
  <c r="DE104" i="60"/>
  <c r="BX8" i="60"/>
  <c r="DH8" i="60"/>
  <c r="DH104" i="60"/>
  <c r="V8" i="60"/>
  <c r="BB102" i="60"/>
  <c r="BB77" i="60"/>
  <c r="BG102" i="60"/>
  <c r="BG77" i="60"/>
  <c r="BO8" i="60"/>
  <c r="CW8" i="60"/>
  <c r="CI94" i="60"/>
  <c r="DL8" i="60"/>
  <c r="DL104" i="60"/>
  <c r="DK8" i="60"/>
  <c r="DK104" i="60"/>
  <c r="DJ8" i="60"/>
  <c r="DJ104" i="60"/>
  <c r="DA8" i="60"/>
  <c r="AG8" i="60"/>
  <c r="BQ8" i="60"/>
  <c r="BD77" i="60"/>
  <c r="BD102" i="60"/>
  <c r="AN8" i="60"/>
  <c r="DI8" i="60"/>
  <c r="DI104" i="60"/>
  <c r="U8" i="60"/>
  <c r="CT8" i="60"/>
  <c r="BW8" i="60"/>
  <c r="CN8" i="60"/>
  <c r="BU8" i="60"/>
  <c r="BM8" i="60"/>
  <c r="BM25" i="60" s="1"/>
  <c r="BM28" i="60" s="1"/>
  <c r="AL8" i="60"/>
  <c r="T8" i="60"/>
  <c r="CD102" i="60"/>
  <c r="CD77" i="60"/>
  <c r="J8" i="60"/>
  <c r="J77" i="60" s="1"/>
  <c r="N36" i="60"/>
  <c r="N57" i="60"/>
  <c r="AQ57" i="60"/>
  <c r="AQ36" i="60"/>
  <c r="AR57" i="60"/>
  <c r="AR36" i="60"/>
  <c r="M57" i="60"/>
  <c r="M36" i="60"/>
  <c r="AZ57" i="60"/>
  <c r="AZ36" i="60"/>
  <c r="CA36" i="60"/>
  <c r="CA57" i="60"/>
  <c r="CB57" i="60"/>
  <c r="CB36" i="60"/>
  <c r="AA57" i="60"/>
  <c r="AA36" i="60"/>
  <c r="BB36" i="60"/>
  <c r="BB57" i="60"/>
  <c r="Q57" i="60"/>
  <c r="Q36" i="60"/>
  <c r="W36" i="60"/>
  <c r="W57" i="60"/>
  <c r="BE57" i="60"/>
  <c r="BE36" i="60"/>
  <c r="BZ36" i="60"/>
  <c r="BZ57" i="60"/>
  <c r="BC36" i="60"/>
  <c r="BC57" i="60"/>
  <c r="AV57" i="60"/>
  <c r="AV36" i="60"/>
  <c r="R36" i="60"/>
  <c r="R57" i="60"/>
  <c r="CZ57" i="60"/>
  <c r="CZ58" i="60" s="1"/>
  <c r="CZ36" i="60"/>
  <c r="CZ110" i="60" s="1"/>
  <c r="AH36" i="60"/>
  <c r="AH57" i="60"/>
  <c r="CD36" i="60"/>
  <c r="CD57" i="60"/>
  <c r="X57" i="60"/>
  <c r="X36" i="60"/>
  <c r="AT36" i="60"/>
  <c r="AT57" i="60"/>
  <c r="CE57" i="60"/>
  <c r="CE36" i="60"/>
  <c r="AX36" i="60"/>
  <c r="AX57" i="60"/>
  <c r="AP36" i="60"/>
  <c r="AP57" i="60"/>
  <c r="AB57" i="60"/>
  <c r="AB36" i="60"/>
  <c r="AU36" i="60"/>
  <c r="AU57" i="60"/>
  <c r="CH36" i="60"/>
  <c r="CH110" i="60" s="1"/>
  <c r="CH57" i="60"/>
  <c r="CH58" i="60" s="1"/>
  <c r="BH57" i="60"/>
  <c r="BH36" i="60"/>
  <c r="O36" i="60"/>
  <c r="O57" i="60"/>
  <c r="AW57" i="60"/>
  <c r="AW36" i="60"/>
  <c r="BF36" i="60"/>
  <c r="BF57" i="60"/>
  <c r="BG36" i="60"/>
  <c r="BG57" i="60"/>
  <c r="AY36" i="60"/>
  <c r="AY57" i="60"/>
  <c r="AO36" i="60"/>
  <c r="AO57" i="60"/>
  <c r="BD57" i="60"/>
  <c r="BD36" i="60"/>
  <c r="AI36" i="60"/>
  <c r="AI57" i="60"/>
  <c r="AE36" i="60"/>
  <c r="AE57" i="60"/>
  <c r="AD36" i="60"/>
  <c r="AD57" i="60"/>
  <c r="P57" i="60"/>
  <c r="P36" i="60"/>
  <c r="Y36" i="60"/>
  <c r="Y57" i="60"/>
  <c r="Z36" i="60"/>
  <c r="Z57" i="60"/>
  <c r="AJ57" i="60"/>
  <c r="AJ36" i="60"/>
  <c r="CF57" i="60"/>
  <c r="CF36" i="60"/>
  <c r="BY57" i="60"/>
  <c r="BY36" i="60"/>
  <c r="BA57" i="60"/>
  <c r="BA36" i="60"/>
  <c r="AS57" i="60"/>
  <c r="AS36" i="60"/>
  <c r="L57" i="60"/>
  <c r="L36" i="60"/>
  <c r="CC57" i="60"/>
  <c r="CC36" i="60"/>
  <c r="K36" i="60"/>
  <c r="K57" i="60"/>
  <c r="BD25" i="60"/>
  <c r="BD28" i="60" s="1"/>
  <c r="P25" i="60"/>
  <c r="P28" i="60" s="1"/>
  <c r="Y25" i="60"/>
  <c r="Y28" i="60" s="1"/>
  <c r="CF25" i="60"/>
  <c r="CF28" i="60" s="1"/>
  <c r="AE25" i="60"/>
  <c r="AE28" i="60" s="1"/>
  <c r="AS25" i="60"/>
  <c r="AS28" i="60" s="1"/>
  <c r="L25" i="60"/>
  <c r="L28" i="60" s="1"/>
  <c r="CC25" i="60"/>
  <c r="CC28" i="60" s="1"/>
  <c r="BY25" i="60"/>
  <c r="BY28" i="60" s="1"/>
  <c r="CD25" i="60"/>
  <c r="CD28" i="60" s="1"/>
  <c r="X25" i="60"/>
  <c r="X28" i="60" s="1"/>
  <c r="AA25" i="60"/>
  <c r="AA28" i="60" s="1"/>
  <c r="BB25" i="60"/>
  <c r="BB28" i="60" s="1"/>
  <c r="Q25" i="60"/>
  <c r="Q28" i="60" s="1"/>
  <c r="BH25" i="60"/>
  <c r="BH28" i="60" s="1"/>
  <c r="BI25" i="60"/>
  <c r="BI28" i="60" s="1"/>
  <c r="O25" i="60"/>
  <c r="O28" i="60" s="1"/>
  <c r="BF25" i="60"/>
  <c r="BF28" i="60" s="1"/>
  <c r="AV25" i="60"/>
  <c r="AV28" i="60" s="1"/>
  <c r="CE25" i="60"/>
  <c r="CE28" i="60" s="1"/>
  <c r="AH25" i="60"/>
  <c r="AH28" i="60" s="1"/>
  <c r="BG25" i="60"/>
  <c r="BG28" i="60" s="1"/>
  <c r="BZ25" i="60"/>
  <c r="BZ28" i="60" s="1"/>
  <c r="AX25" i="60"/>
  <c r="AX28" i="60" s="1"/>
  <c r="AP25" i="60"/>
  <c r="AP28" i="60" s="1"/>
  <c r="AB25" i="60"/>
  <c r="AB28" i="60" s="1"/>
  <c r="AU25" i="60"/>
  <c r="AU28" i="60" s="1"/>
  <c r="DI20" i="60"/>
  <c r="DI21" i="60"/>
  <c r="CZ25" i="60"/>
  <c r="CM20" i="60"/>
  <c r="CM21" i="60"/>
  <c r="CQ21" i="60"/>
  <c r="CQ20" i="60"/>
  <c r="BC25" i="60"/>
  <c r="BC28" i="60" s="1"/>
  <c r="W25" i="60"/>
  <c r="W28" i="60" s="1"/>
  <c r="DL20" i="60"/>
  <c r="DL21" i="60"/>
  <c r="DC20" i="60"/>
  <c r="DC21" i="60"/>
  <c r="CL20" i="60"/>
  <c r="CL21" i="60"/>
  <c r="CV20" i="60"/>
  <c r="CV21" i="60"/>
  <c r="CU20" i="60"/>
  <c r="CU21" i="60"/>
  <c r="DD20" i="60"/>
  <c r="DD21" i="60"/>
  <c r="AQ25" i="60"/>
  <c r="AQ28" i="60" s="1"/>
  <c r="CH20" i="60"/>
  <c r="CH21" i="60"/>
  <c r="CH25" i="60"/>
  <c r="DA20" i="60"/>
  <c r="DA21" i="60"/>
  <c r="DM20" i="60"/>
  <c r="DM21" i="60"/>
  <c r="CA25" i="60"/>
  <c r="CA28" i="60" s="1"/>
  <c r="AR25" i="60"/>
  <c r="AR28" i="60" s="1"/>
  <c r="DN20" i="60"/>
  <c r="DN21" i="60"/>
  <c r="CT20" i="60"/>
  <c r="CT21" i="60"/>
  <c r="DH21" i="60"/>
  <c r="DH20" i="60"/>
  <c r="R25" i="60"/>
  <c r="N25" i="60"/>
  <c r="N28" i="60" s="1"/>
  <c r="CJ21" i="60"/>
  <c r="CJ20" i="60"/>
  <c r="CO20" i="60"/>
  <c r="CO21" i="60"/>
  <c r="M25" i="60"/>
  <c r="M28" i="60" s="1"/>
  <c r="AT25" i="60"/>
  <c r="AT28" i="60" s="1"/>
  <c r="CX20" i="60"/>
  <c r="CX21" i="60"/>
  <c r="DG21" i="60"/>
  <c r="DG20" i="60"/>
  <c r="CW20" i="60"/>
  <c r="CW21" i="60"/>
  <c r="AY25" i="60"/>
  <c r="AY28" i="60" s="1"/>
  <c r="CN20" i="60"/>
  <c r="CN21" i="60"/>
  <c r="CR21" i="60"/>
  <c r="CR20" i="60"/>
  <c r="Z25" i="60"/>
  <c r="Z28" i="60" s="1"/>
  <c r="CP25" i="60"/>
  <c r="BE25" i="60"/>
  <c r="BE28" i="60" s="1"/>
  <c r="CB25" i="60"/>
  <c r="CB28" i="60" s="1"/>
  <c r="CI21" i="60"/>
  <c r="CI20" i="60"/>
  <c r="DE20" i="60"/>
  <c r="DE21" i="60"/>
  <c r="AZ25" i="60"/>
  <c r="AZ28" i="60" s="1"/>
  <c r="DK20" i="60"/>
  <c r="DK21" i="60"/>
  <c r="DJ20" i="60"/>
  <c r="DJ21" i="60"/>
  <c r="CK20" i="60"/>
  <c r="CK21" i="60"/>
  <c r="DB20" i="60"/>
  <c r="DB21" i="60"/>
  <c r="BA25" i="60"/>
  <c r="BA28" i="60" s="1"/>
  <c r="CP20" i="60"/>
  <c r="CP21" i="60"/>
  <c r="AW25" i="60"/>
  <c r="AW28" i="60" s="1"/>
  <c r="AJ25" i="60"/>
  <c r="AJ28" i="60" s="1"/>
  <c r="K25" i="60"/>
  <c r="K28" i="60" s="1"/>
  <c r="CG20" i="60"/>
  <c r="CG21" i="60"/>
  <c r="AO25" i="60"/>
  <c r="AO28" i="60" s="1"/>
  <c r="AI25" i="60"/>
  <c r="AI28" i="60" s="1"/>
  <c r="AD25" i="60"/>
  <c r="AD28" i="60" s="1"/>
  <c r="CS20" i="60"/>
  <c r="CS21" i="60"/>
  <c r="CY21" i="60"/>
  <c r="CY20" i="60"/>
  <c r="CZ21" i="60"/>
  <c r="CZ20" i="60"/>
  <c r="DF20" i="60"/>
  <c r="DF21" i="60"/>
  <c r="G360" i="59"/>
  <c r="AB468" i="59"/>
  <c r="AD468" i="59"/>
  <c r="AC468" i="59"/>
  <c r="AE468" i="59"/>
  <c r="AF468" i="59"/>
  <c r="V468" i="59"/>
  <c r="Y468" i="59"/>
  <c r="X468" i="59"/>
  <c r="Z468" i="59"/>
  <c r="T468" i="59"/>
  <c r="U468" i="59"/>
  <c r="Q468" i="59"/>
  <c r="W468" i="59"/>
  <c r="AA468" i="59"/>
  <c r="R468" i="59"/>
  <c r="S468" i="59"/>
  <c r="F360" i="59"/>
  <c r="B360" i="59" s="1"/>
  <c r="D447" i="59"/>
  <c r="D423" i="59"/>
  <c r="D399" i="59"/>
  <c r="D383" i="59"/>
  <c r="D438" i="59"/>
  <c r="D422" i="59"/>
  <c r="D406" i="59"/>
  <c r="D390" i="59"/>
  <c r="D366" i="59"/>
  <c r="D469" i="59"/>
  <c r="D461" i="59"/>
  <c r="D453" i="59"/>
  <c r="D445" i="59"/>
  <c r="D437" i="59"/>
  <c r="D429" i="59"/>
  <c r="D421" i="59"/>
  <c r="D413" i="59"/>
  <c r="D405" i="59"/>
  <c r="D397" i="59"/>
  <c r="D389" i="59"/>
  <c r="D381" i="59"/>
  <c r="D373" i="59"/>
  <c r="D365" i="59"/>
  <c r="D446" i="59"/>
  <c r="D430" i="59"/>
  <c r="D414" i="59"/>
  <c r="D398" i="59"/>
  <c r="D382" i="59"/>
  <c r="D374" i="59"/>
  <c r="D468" i="59"/>
  <c r="D460" i="59"/>
  <c r="D452" i="59"/>
  <c r="D444" i="59"/>
  <c r="D436" i="59"/>
  <c r="D428" i="59"/>
  <c r="D420" i="59"/>
  <c r="D412" i="59"/>
  <c r="D404" i="59"/>
  <c r="D396" i="59"/>
  <c r="D388" i="59"/>
  <c r="D380" i="59"/>
  <c r="D372" i="59"/>
  <c r="D364" i="59"/>
  <c r="D455" i="59"/>
  <c r="D431" i="59"/>
  <c r="D407" i="59"/>
  <c r="D367" i="59"/>
  <c r="D451" i="59"/>
  <c r="D427" i="59"/>
  <c r="D395" i="59"/>
  <c r="D458" i="59"/>
  <c r="D442" i="59"/>
  <c r="D434" i="59"/>
  <c r="D426" i="59"/>
  <c r="D418" i="59"/>
  <c r="D410" i="59"/>
  <c r="D402" i="59"/>
  <c r="D394" i="59"/>
  <c r="D386" i="59"/>
  <c r="D378" i="59"/>
  <c r="D370" i="59"/>
  <c r="D362" i="59"/>
  <c r="D463" i="59"/>
  <c r="D439" i="59"/>
  <c r="D415" i="59"/>
  <c r="D391" i="59"/>
  <c r="D375" i="59"/>
  <c r="D462" i="59"/>
  <c r="D467" i="59"/>
  <c r="D443" i="59"/>
  <c r="D419" i="59"/>
  <c r="D403" i="59"/>
  <c r="D379" i="59"/>
  <c r="D363" i="59"/>
  <c r="D466" i="59"/>
  <c r="D465" i="59"/>
  <c r="D457" i="59"/>
  <c r="D449" i="59"/>
  <c r="D441" i="59"/>
  <c r="D433" i="59"/>
  <c r="D425" i="59"/>
  <c r="D417" i="59"/>
  <c r="D409" i="59"/>
  <c r="D401" i="59"/>
  <c r="D393" i="59"/>
  <c r="D385" i="59"/>
  <c r="D377" i="59"/>
  <c r="D369" i="59"/>
  <c r="D361" i="59"/>
  <c r="D454" i="59"/>
  <c r="D459" i="59"/>
  <c r="D435" i="59"/>
  <c r="D411" i="59"/>
  <c r="D387" i="59"/>
  <c r="D371" i="59"/>
  <c r="D450" i="59"/>
  <c r="D464" i="59"/>
  <c r="D456" i="59"/>
  <c r="D448" i="59"/>
  <c r="D440" i="59"/>
  <c r="D432" i="59"/>
  <c r="D424" i="59"/>
  <c r="D416" i="59"/>
  <c r="D408" i="59"/>
  <c r="D400" i="59"/>
  <c r="D392" i="59"/>
  <c r="D384" i="59"/>
  <c r="D376" i="59"/>
  <c r="D368" i="59"/>
  <c r="G67" i="59"/>
  <c r="K195" i="59"/>
  <c r="F195" i="59"/>
  <c r="J195" i="59"/>
  <c r="G195" i="59"/>
  <c r="D298" i="59"/>
  <c r="D282" i="59"/>
  <c r="D266" i="59"/>
  <c r="D242" i="59"/>
  <c r="D226" i="59"/>
  <c r="D202" i="59"/>
  <c r="D297" i="59"/>
  <c r="D281" i="59"/>
  <c r="D265" i="59"/>
  <c r="D249" i="59"/>
  <c r="D233" i="59"/>
  <c r="D217" i="59"/>
  <c r="D209" i="59"/>
  <c r="D296" i="59"/>
  <c r="D280" i="59"/>
  <c r="D264" i="59"/>
  <c r="D248" i="59"/>
  <c r="D232" i="59"/>
  <c r="D224" i="59"/>
  <c r="D200" i="59"/>
  <c r="D303" i="59"/>
  <c r="D295" i="59"/>
  <c r="D287" i="59"/>
  <c r="D279" i="59"/>
  <c r="D271" i="59"/>
  <c r="D263" i="59"/>
  <c r="D255" i="59"/>
  <c r="D247" i="59"/>
  <c r="D239" i="59"/>
  <c r="D231" i="59"/>
  <c r="D223" i="59"/>
  <c r="D215" i="59"/>
  <c r="D207" i="59"/>
  <c r="D199" i="59"/>
  <c r="D290" i="59"/>
  <c r="D274" i="59"/>
  <c r="D258" i="59"/>
  <c r="D250" i="59"/>
  <c r="D234" i="59"/>
  <c r="D210" i="59"/>
  <c r="D289" i="59"/>
  <c r="D273" i="59"/>
  <c r="D257" i="59"/>
  <c r="D241" i="59"/>
  <c r="D225" i="59"/>
  <c r="D201" i="59"/>
  <c r="D288" i="59"/>
  <c r="D272" i="59"/>
  <c r="D256" i="59"/>
  <c r="D240" i="59"/>
  <c r="D216" i="59"/>
  <c r="D208" i="59"/>
  <c r="D302" i="59"/>
  <c r="D294" i="59"/>
  <c r="D286" i="59"/>
  <c r="D278" i="59"/>
  <c r="D270" i="59"/>
  <c r="D262" i="59"/>
  <c r="D254" i="59"/>
  <c r="D246" i="59"/>
  <c r="D238" i="59"/>
  <c r="D230" i="59"/>
  <c r="D222" i="59"/>
  <c r="D214" i="59"/>
  <c r="D206" i="59"/>
  <c r="D198" i="59"/>
  <c r="D194" i="59"/>
  <c r="D301" i="59"/>
  <c r="D293" i="59"/>
  <c r="D285" i="59"/>
  <c r="D277" i="59"/>
  <c r="D269" i="59"/>
  <c r="D261" i="59"/>
  <c r="D253" i="59"/>
  <c r="D245" i="59"/>
  <c r="D237" i="59"/>
  <c r="D229" i="59"/>
  <c r="D221" i="59"/>
  <c r="D213" i="59"/>
  <c r="D205" i="59"/>
  <c r="D197" i="59"/>
  <c r="D300" i="59"/>
  <c r="D292" i="59"/>
  <c r="D284" i="59"/>
  <c r="D276" i="59"/>
  <c r="D268" i="59"/>
  <c r="D260" i="59"/>
  <c r="D252" i="59"/>
  <c r="D244" i="59"/>
  <c r="D236" i="59"/>
  <c r="D228" i="59"/>
  <c r="D220" i="59"/>
  <c r="D212" i="59"/>
  <c r="D204" i="59"/>
  <c r="D196" i="59"/>
  <c r="D218" i="59"/>
  <c r="D299" i="59"/>
  <c r="D291" i="59"/>
  <c r="D283" i="59"/>
  <c r="D275" i="59"/>
  <c r="D267" i="59"/>
  <c r="D259" i="59"/>
  <c r="D251" i="59"/>
  <c r="D243" i="59"/>
  <c r="D235" i="59"/>
  <c r="D227" i="59"/>
  <c r="D219" i="59"/>
  <c r="D211" i="59"/>
  <c r="D203" i="59"/>
  <c r="D170" i="59"/>
  <c r="D146" i="59"/>
  <c r="D122" i="59"/>
  <c r="D90" i="59"/>
  <c r="D177" i="59"/>
  <c r="D145" i="59"/>
  <c r="D137" i="59"/>
  <c r="D129" i="59"/>
  <c r="D121" i="59"/>
  <c r="D113" i="59"/>
  <c r="D105" i="59"/>
  <c r="D97" i="59"/>
  <c r="D89" i="59"/>
  <c r="D81" i="59"/>
  <c r="D73" i="59"/>
  <c r="D176" i="59"/>
  <c r="D168" i="59"/>
  <c r="D160" i="59"/>
  <c r="D152" i="59"/>
  <c r="D144" i="59"/>
  <c r="D136" i="59"/>
  <c r="D128" i="59"/>
  <c r="D120" i="59"/>
  <c r="D112" i="59"/>
  <c r="D104" i="59"/>
  <c r="D96" i="59"/>
  <c r="D88" i="59"/>
  <c r="D80" i="59"/>
  <c r="D72" i="59"/>
  <c r="D162" i="59"/>
  <c r="D106" i="59"/>
  <c r="D175" i="59"/>
  <c r="D167" i="59"/>
  <c r="D159" i="59"/>
  <c r="D151" i="59"/>
  <c r="D143" i="59"/>
  <c r="D135" i="59"/>
  <c r="D127" i="59"/>
  <c r="D119" i="59"/>
  <c r="D111" i="59"/>
  <c r="D103" i="59"/>
  <c r="D95" i="59"/>
  <c r="D87" i="59"/>
  <c r="D79" i="59"/>
  <c r="D71" i="59"/>
  <c r="D154" i="59"/>
  <c r="D130" i="59"/>
  <c r="D98" i="59"/>
  <c r="D161" i="59"/>
  <c r="D174" i="59"/>
  <c r="D166" i="59"/>
  <c r="D158" i="59"/>
  <c r="D150" i="59"/>
  <c r="D142" i="59"/>
  <c r="D134" i="59"/>
  <c r="D126" i="59"/>
  <c r="D118" i="59"/>
  <c r="D110" i="59"/>
  <c r="D102" i="59"/>
  <c r="D94" i="59"/>
  <c r="D86" i="59"/>
  <c r="D78" i="59"/>
  <c r="D70" i="59"/>
  <c r="D74" i="59"/>
  <c r="G74" i="59" s="1"/>
  <c r="D153" i="59"/>
  <c r="D173" i="59"/>
  <c r="D165" i="59"/>
  <c r="D157" i="59"/>
  <c r="D149" i="59"/>
  <c r="D141" i="59"/>
  <c r="D133" i="59"/>
  <c r="D125" i="59"/>
  <c r="D117" i="59"/>
  <c r="D109" i="59"/>
  <c r="D101" i="59"/>
  <c r="D93" i="59"/>
  <c r="D85" i="59"/>
  <c r="D77" i="59"/>
  <c r="D69" i="59"/>
  <c r="D114" i="59"/>
  <c r="D172" i="59"/>
  <c r="D164" i="59"/>
  <c r="D156" i="59"/>
  <c r="D148" i="59"/>
  <c r="D140" i="59"/>
  <c r="D132" i="59"/>
  <c r="D124" i="59"/>
  <c r="D116" i="59"/>
  <c r="D108" i="59"/>
  <c r="D100" i="59"/>
  <c r="D92" i="59"/>
  <c r="D84" i="59"/>
  <c r="D76" i="59"/>
  <c r="D68" i="59"/>
  <c r="D138" i="59"/>
  <c r="D82" i="59"/>
  <c r="D169" i="59"/>
  <c r="D171" i="59"/>
  <c r="D163" i="59"/>
  <c r="D155" i="59"/>
  <c r="D147" i="59"/>
  <c r="D139" i="59"/>
  <c r="D131" i="59"/>
  <c r="D123" i="59"/>
  <c r="D115" i="59"/>
  <c r="D107" i="59"/>
  <c r="D99" i="59"/>
  <c r="D91" i="59"/>
  <c r="D83" i="59"/>
  <c r="D75" i="59"/>
  <c r="I195" i="59"/>
  <c r="H302" i="59"/>
  <c r="E175" i="59" s="1"/>
  <c r="BR471" i="75"/>
  <c r="BS471" i="75"/>
  <c r="BQ471" i="75"/>
  <c r="BP471" i="75"/>
  <c r="BO471" i="75"/>
  <c r="BR538" i="75"/>
  <c r="BS538" i="75"/>
  <c r="BR539" i="75"/>
  <c r="BS539" i="75"/>
  <c r="BR540" i="75"/>
  <c r="BS540" i="75"/>
  <c r="BR543" i="75"/>
  <c r="BS543" i="75"/>
  <c r="BR544" i="75"/>
  <c r="BS544" i="75"/>
  <c r="BR545" i="75"/>
  <c r="BS545" i="75"/>
  <c r="BR547" i="75"/>
  <c r="BS547" i="75"/>
  <c r="BR548" i="75"/>
  <c r="BS548" i="75"/>
  <c r="BR549" i="75"/>
  <c r="BS549" i="75"/>
  <c r="BR554" i="75"/>
  <c r="BS554" i="75"/>
  <c r="BR558" i="75"/>
  <c r="BS558" i="75"/>
  <c r="BR559" i="75"/>
  <c r="BS559" i="75"/>
  <c r="BR560" i="75"/>
  <c r="BS560" i="75"/>
  <c r="BR502" i="75"/>
  <c r="BS502" i="75"/>
  <c r="BR503" i="75"/>
  <c r="BS503" i="75"/>
  <c r="BR504" i="75"/>
  <c r="BS504" i="75"/>
  <c r="BR505" i="75"/>
  <c r="BS505" i="75"/>
  <c r="BR506" i="75"/>
  <c r="BS506" i="75"/>
  <c r="BR507" i="75"/>
  <c r="BS507" i="75"/>
  <c r="BR508" i="75"/>
  <c r="BS508" i="75"/>
  <c r="BR509" i="75"/>
  <c r="BS509" i="75"/>
  <c r="BR510" i="75"/>
  <c r="BS510" i="75"/>
  <c r="BR492" i="75"/>
  <c r="BS492" i="75"/>
  <c r="BR490" i="75"/>
  <c r="BS490" i="75"/>
  <c r="BR489" i="75"/>
  <c r="BS489" i="75"/>
  <c r="BR487" i="75"/>
  <c r="BS487" i="75"/>
  <c r="BR486" i="75"/>
  <c r="BS486" i="75"/>
  <c r="BR485" i="75"/>
  <c r="BS485" i="75"/>
  <c r="BR484" i="75"/>
  <c r="BS484" i="75"/>
  <c r="BQ480" i="75"/>
  <c r="BR480" i="75"/>
  <c r="BS480" i="75"/>
  <c r="BQ558" i="75"/>
  <c r="BQ559" i="75"/>
  <c r="BQ560" i="75"/>
  <c r="BQ580" i="75"/>
  <c r="BQ484" i="75"/>
  <c r="BQ485" i="75"/>
  <c r="BQ486" i="75"/>
  <c r="BQ487" i="75"/>
  <c r="BQ489" i="75"/>
  <c r="BQ490" i="75"/>
  <c r="BQ492" i="75"/>
  <c r="BQ502" i="75"/>
  <c r="BQ503" i="75"/>
  <c r="BQ504" i="75"/>
  <c r="BQ505" i="75"/>
  <c r="BQ506" i="75"/>
  <c r="BQ507" i="75"/>
  <c r="BQ508" i="75"/>
  <c r="BQ509" i="75"/>
  <c r="BQ510" i="75"/>
  <c r="BQ538" i="75"/>
  <c r="BQ539" i="75"/>
  <c r="BQ540" i="75"/>
  <c r="BQ543" i="75"/>
  <c r="BQ544" i="75"/>
  <c r="BQ545" i="75"/>
  <c r="BQ547" i="75"/>
  <c r="BQ548" i="75"/>
  <c r="BQ549" i="75"/>
  <c r="BQ554" i="75"/>
  <c r="BP472" i="75"/>
  <c r="BP473" i="75"/>
  <c r="BP474" i="75"/>
  <c r="BP475" i="75"/>
  <c r="BP476" i="75"/>
  <c r="BP477" i="75"/>
  <c r="BP478" i="75"/>
  <c r="BP479" i="75"/>
  <c r="BP480" i="75"/>
  <c r="BP481" i="75"/>
  <c r="BP482" i="75"/>
  <c r="BP483" i="75"/>
  <c r="BP484" i="75"/>
  <c r="BP485" i="75"/>
  <c r="BP486" i="75"/>
  <c r="BP487" i="75"/>
  <c r="BP488" i="75"/>
  <c r="BP489" i="75"/>
  <c r="BP490" i="75"/>
  <c r="BP491" i="75"/>
  <c r="BP492" i="75"/>
  <c r="BP493" i="75"/>
  <c r="BP494" i="75"/>
  <c r="BP495" i="75"/>
  <c r="BP496" i="75"/>
  <c r="BP497" i="75"/>
  <c r="BP498" i="75"/>
  <c r="BP499" i="75"/>
  <c r="BP500" i="75"/>
  <c r="BP501" i="75"/>
  <c r="BP502" i="75"/>
  <c r="BP503" i="75"/>
  <c r="BP504" i="75"/>
  <c r="BP505" i="75"/>
  <c r="BP506" i="75"/>
  <c r="BP507" i="75"/>
  <c r="BP508" i="75"/>
  <c r="BP509" i="75"/>
  <c r="BP510" i="75"/>
  <c r="BP511" i="75"/>
  <c r="BP512" i="75"/>
  <c r="BP513" i="75"/>
  <c r="BP514" i="75"/>
  <c r="BP515" i="75"/>
  <c r="BP516" i="75"/>
  <c r="BP517" i="75"/>
  <c r="BP518" i="75"/>
  <c r="BP519" i="75"/>
  <c r="BP520" i="75"/>
  <c r="BP521" i="75"/>
  <c r="BP522" i="75"/>
  <c r="BP523" i="75"/>
  <c r="BP524" i="75"/>
  <c r="BP525" i="75"/>
  <c r="BP526" i="75"/>
  <c r="BP527" i="75"/>
  <c r="BP528" i="75"/>
  <c r="BP529" i="75"/>
  <c r="BP530" i="75"/>
  <c r="BP531" i="75"/>
  <c r="BP532" i="75"/>
  <c r="BP533" i="75"/>
  <c r="BP534" i="75"/>
  <c r="BP535" i="75"/>
  <c r="BP536" i="75"/>
  <c r="BP537" i="75"/>
  <c r="BP538" i="75"/>
  <c r="BP539" i="75"/>
  <c r="BP540" i="75"/>
  <c r="BP541" i="75"/>
  <c r="BP542" i="75"/>
  <c r="BP543" i="75"/>
  <c r="BP544" i="75"/>
  <c r="BP545" i="75"/>
  <c r="BP546" i="75"/>
  <c r="BP547" i="75"/>
  <c r="BP548" i="75"/>
  <c r="BP549" i="75"/>
  <c r="BP550" i="75"/>
  <c r="BP551" i="75"/>
  <c r="BP552" i="75"/>
  <c r="BP553" i="75"/>
  <c r="BP554" i="75"/>
  <c r="BP555" i="75"/>
  <c r="BP556" i="75"/>
  <c r="BP557" i="75"/>
  <c r="BP558" i="75"/>
  <c r="BP559" i="75"/>
  <c r="BP560" i="75"/>
  <c r="BP561" i="75"/>
  <c r="BP562" i="75"/>
  <c r="BP563" i="75"/>
  <c r="BP564" i="75"/>
  <c r="BP565" i="75"/>
  <c r="BP566" i="75"/>
  <c r="BP567" i="75"/>
  <c r="BP568" i="75"/>
  <c r="BP569" i="75"/>
  <c r="BP570" i="75"/>
  <c r="BP571" i="75"/>
  <c r="BP572" i="75"/>
  <c r="BP573" i="75"/>
  <c r="BP574" i="75"/>
  <c r="BP575" i="75"/>
  <c r="BP576" i="75"/>
  <c r="BP577" i="75"/>
  <c r="BP578" i="75"/>
  <c r="BP579" i="75"/>
  <c r="BO473" i="75"/>
  <c r="H195" i="59" s="1"/>
  <c r="E68" i="59" s="1"/>
  <c r="BO474" i="75"/>
  <c r="BO475" i="75"/>
  <c r="BO476" i="75"/>
  <c r="BO477" i="75"/>
  <c r="BO478" i="75"/>
  <c r="BO479" i="75"/>
  <c r="BO480" i="75"/>
  <c r="BO481" i="75"/>
  <c r="BO482" i="75"/>
  <c r="BO483" i="75"/>
  <c r="BO484" i="75"/>
  <c r="BO485" i="75"/>
  <c r="BO486" i="75"/>
  <c r="BO487" i="75"/>
  <c r="BO488" i="75"/>
  <c r="BO489" i="75"/>
  <c r="BO490" i="75"/>
  <c r="BO491" i="75"/>
  <c r="BO492" i="75"/>
  <c r="BO493" i="75"/>
  <c r="BO494" i="75"/>
  <c r="BO495" i="75"/>
  <c r="BO496" i="75"/>
  <c r="BO497" i="75"/>
  <c r="BO498" i="75"/>
  <c r="BO499" i="75"/>
  <c r="BO500" i="75"/>
  <c r="BO501" i="75"/>
  <c r="BO502" i="75"/>
  <c r="BO503" i="75"/>
  <c r="BO504" i="75"/>
  <c r="BO505" i="75"/>
  <c r="BO506" i="75"/>
  <c r="BO507" i="75"/>
  <c r="BO508" i="75"/>
  <c r="BO509" i="75"/>
  <c r="BO510" i="75"/>
  <c r="BO511" i="75"/>
  <c r="BO512" i="75"/>
  <c r="BO513" i="75"/>
  <c r="BO514" i="75"/>
  <c r="BO515" i="75"/>
  <c r="BO516" i="75"/>
  <c r="BO517" i="75"/>
  <c r="BO518" i="75"/>
  <c r="BO519" i="75"/>
  <c r="BO520" i="75"/>
  <c r="BO521" i="75"/>
  <c r="BO522" i="75"/>
  <c r="BO523" i="75"/>
  <c r="BO524" i="75"/>
  <c r="BO525" i="75"/>
  <c r="BO526" i="75"/>
  <c r="BO527" i="75"/>
  <c r="BO528" i="75"/>
  <c r="BO529" i="75"/>
  <c r="BO530" i="75"/>
  <c r="BO531" i="75"/>
  <c r="BO532" i="75"/>
  <c r="BO533" i="75"/>
  <c r="BO534" i="75"/>
  <c r="BO535" i="75"/>
  <c r="BO536" i="75"/>
  <c r="BO537" i="75"/>
  <c r="BO538" i="75"/>
  <c r="BO539" i="75"/>
  <c r="BO540" i="75"/>
  <c r="BO541" i="75"/>
  <c r="BO542" i="75"/>
  <c r="BO543" i="75"/>
  <c r="BO544" i="75"/>
  <c r="BO545" i="75"/>
  <c r="BO546" i="75"/>
  <c r="BO547" i="75"/>
  <c r="BO548" i="75"/>
  <c r="BO549" i="75"/>
  <c r="BO550" i="75"/>
  <c r="BO551" i="75"/>
  <c r="BO552" i="75"/>
  <c r="BO553" i="75"/>
  <c r="BO554" i="75"/>
  <c r="BO555" i="75"/>
  <c r="BO556" i="75"/>
  <c r="BO557" i="75"/>
  <c r="BO558" i="75"/>
  <c r="BO559" i="75"/>
  <c r="BO560" i="75"/>
  <c r="BO561" i="75"/>
  <c r="BO562" i="75"/>
  <c r="BO563" i="75"/>
  <c r="BO564" i="75"/>
  <c r="BO565" i="75"/>
  <c r="BO566" i="75"/>
  <c r="BO567" i="75"/>
  <c r="BO568" i="75"/>
  <c r="BO569" i="75"/>
  <c r="BO570" i="75"/>
  <c r="BO571" i="75"/>
  <c r="BO572" i="75"/>
  <c r="BO573" i="75"/>
  <c r="BO574" i="75"/>
  <c r="BO575" i="75"/>
  <c r="BO576" i="75"/>
  <c r="BO577" i="75"/>
  <c r="BO578" i="75"/>
  <c r="BO579" i="75"/>
  <c r="BO472" i="75"/>
  <c r="CJ57" i="60" l="1"/>
  <c r="CJ58" i="60" s="1"/>
  <c r="BI57" i="60"/>
  <c r="DJ61" i="60"/>
  <c r="DJ103" i="60"/>
  <c r="J72" i="60"/>
  <c r="J62" i="60"/>
  <c r="J63" i="60" s="1"/>
  <c r="J59" i="60"/>
  <c r="J60" i="60" s="1"/>
  <c r="BM72" i="60"/>
  <c r="BM61" i="60"/>
  <c r="BM103" i="60"/>
  <c r="AN61" i="60"/>
  <c r="AN103" i="60"/>
  <c r="DA61" i="60"/>
  <c r="DA103" i="60"/>
  <c r="DA104" i="60" s="1"/>
  <c r="CW61" i="60"/>
  <c r="CW103" i="60"/>
  <c r="CW104" i="60" s="1"/>
  <c r="DG72" i="60"/>
  <c r="DG61" i="60"/>
  <c r="DG103" i="60"/>
  <c r="DN61" i="60"/>
  <c r="DN103" i="60"/>
  <c r="CQ72" i="60"/>
  <c r="CQ61" i="60"/>
  <c r="CQ103" i="60"/>
  <c r="CQ104" i="60" s="1"/>
  <c r="BU61" i="60"/>
  <c r="BU103" i="60"/>
  <c r="BO72" i="60"/>
  <c r="BO61" i="60"/>
  <c r="BO103" i="60"/>
  <c r="DE61" i="60"/>
  <c r="DE103" i="60"/>
  <c r="CU72" i="60"/>
  <c r="CU61" i="60"/>
  <c r="CU103" i="60"/>
  <c r="AC61" i="60"/>
  <c r="AC103" i="60"/>
  <c r="CP61" i="60"/>
  <c r="CP103" i="60"/>
  <c r="CP104" i="60" s="1"/>
  <c r="DM61" i="60"/>
  <c r="DM103" i="60"/>
  <c r="CI72" i="60"/>
  <c r="CI61" i="60"/>
  <c r="CI103" i="60"/>
  <c r="CM72" i="60"/>
  <c r="CM61" i="60"/>
  <c r="CM103" i="60"/>
  <c r="CM104" i="60" s="1"/>
  <c r="DC72" i="60"/>
  <c r="DC61" i="60"/>
  <c r="DC103" i="60"/>
  <c r="BP61" i="60"/>
  <c r="BP103" i="60"/>
  <c r="CP36" i="60"/>
  <c r="CP110" i="60" s="1"/>
  <c r="BW61" i="60"/>
  <c r="BW103" i="60"/>
  <c r="CR72" i="60"/>
  <c r="CR61" i="60"/>
  <c r="CR103" i="60"/>
  <c r="BI61" i="60"/>
  <c r="BI103" i="60"/>
  <c r="CV72" i="60"/>
  <c r="CV61" i="60"/>
  <c r="CV103" i="60"/>
  <c r="CV104" i="60" s="1"/>
  <c r="CT61" i="60"/>
  <c r="CT103" i="60"/>
  <c r="CT104" i="60" s="1"/>
  <c r="DK61" i="60"/>
  <c r="DK103" i="60"/>
  <c r="V72" i="60"/>
  <c r="V61" i="60"/>
  <c r="V103" i="60"/>
  <c r="AK61" i="60"/>
  <c r="AK103" i="60"/>
  <c r="S72" i="60"/>
  <c r="S61" i="60"/>
  <c r="S103" i="60"/>
  <c r="BN61" i="60"/>
  <c r="BN103" i="60"/>
  <c r="CY72" i="60"/>
  <c r="CY61" i="60"/>
  <c r="CY103" i="60"/>
  <c r="CY104" i="60" s="1"/>
  <c r="CK72" i="60"/>
  <c r="CK61" i="60"/>
  <c r="CK103" i="60"/>
  <c r="CK104" i="60" s="1"/>
  <c r="DD61" i="60"/>
  <c r="DD103" i="60"/>
  <c r="BL61" i="60"/>
  <c r="BL103" i="60"/>
  <c r="U61" i="60"/>
  <c r="U103" i="60"/>
  <c r="CS61" i="60"/>
  <c r="CS103" i="60"/>
  <c r="CS104" i="60" s="1"/>
  <c r="BJ72" i="60"/>
  <c r="BJ61" i="60"/>
  <c r="BJ103" i="60"/>
  <c r="BK72" i="60"/>
  <c r="BK61" i="60"/>
  <c r="BK103" i="60"/>
  <c r="BT61" i="60"/>
  <c r="BT103" i="60"/>
  <c r="AF72" i="60"/>
  <c r="AF61" i="60"/>
  <c r="AF103" i="60"/>
  <c r="CJ25" i="60"/>
  <c r="CJ28" i="60" s="1"/>
  <c r="CJ27" i="60" s="1"/>
  <c r="CJ97" i="60" s="1"/>
  <c r="T61" i="60"/>
  <c r="T103" i="60"/>
  <c r="BQ72" i="60"/>
  <c r="BQ61" i="60"/>
  <c r="BQ103" i="60"/>
  <c r="DL72" i="60"/>
  <c r="DL61" i="60"/>
  <c r="DL103" i="60"/>
  <c r="DH61" i="60"/>
  <c r="DH103" i="60"/>
  <c r="CX61" i="60"/>
  <c r="CX103" i="60"/>
  <c r="CX104" i="60" s="1"/>
  <c r="DF61" i="60"/>
  <c r="DF103" i="60"/>
  <c r="CG72" i="60"/>
  <c r="CG61" i="60"/>
  <c r="CG103" i="60"/>
  <c r="CG104" i="60" s="1"/>
  <c r="BS61" i="60"/>
  <c r="BS103" i="60"/>
  <c r="CO72" i="60"/>
  <c r="CO61" i="60"/>
  <c r="CO103" i="60"/>
  <c r="BR72" i="60"/>
  <c r="BR61" i="60"/>
  <c r="BR103" i="60"/>
  <c r="BV72" i="60"/>
  <c r="BV61" i="60"/>
  <c r="BV103" i="60"/>
  <c r="CN72" i="60"/>
  <c r="CN61" i="60"/>
  <c r="CN103" i="60"/>
  <c r="CN104" i="60" s="1"/>
  <c r="AL72" i="60"/>
  <c r="AL61" i="60"/>
  <c r="AL103" i="60"/>
  <c r="DI72" i="60"/>
  <c r="DI61" i="60"/>
  <c r="DI103" i="60"/>
  <c r="AG61" i="60"/>
  <c r="AG103" i="60"/>
  <c r="BX61" i="60"/>
  <c r="BX103" i="60"/>
  <c r="CJ61" i="60"/>
  <c r="CJ103" i="60"/>
  <c r="CJ104" i="60" s="1"/>
  <c r="AM72" i="60"/>
  <c r="AM61" i="60"/>
  <c r="AM103" i="60"/>
  <c r="CL72" i="60"/>
  <c r="CL61" i="60"/>
  <c r="CL103" i="60"/>
  <c r="CL104" i="60" s="1"/>
  <c r="DB61" i="60"/>
  <c r="DB103" i="60"/>
  <c r="BX57" i="60"/>
  <c r="BX72" i="60"/>
  <c r="AK25" i="60"/>
  <c r="AK28" i="60" s="1"/>
  <c r="AK72" i="60"/>
  <c r="DA62" i="60"/>
  <c r="DA63" i="60" s="1"/>
  <c r="DA72" i="60"/>
  <c r="BW62" i="60"/>
  <c r="BW63" i="60" s="1"/>
  <c r="BW72" i="60"/>
  <c r="DJ57" i="60"/>
  <c r="DJ58" i="60" s="1"/>
  <c r="DJ72" i="60"/>
  <c r="CS25" i="60"/>
  <c r="CS28" i="60" s="1"/>
  <c r="CS27" i="60" s="1"/>
  <c r="CS97" i="60" s="1"/>
  <c r="CS72" i="60"/>
  <c r="BN62" i="60"/>
  <c r="BN63" i="60" s="1"/>
  <c r="BN72" i="60"/>
  <c r="DH36" i="60"/>
  <c r="DH110" i="60" s="1"/>
  <c r="DH72" i="60"/>
  <c r="CT57" i="60"/>
  <c r="CT58" i="60" s="1"/>
  <c r="CT72" i="60"/>
  <c r="DE57" i="60"/>
  <c r="DE58" i="60" s="1"/>
  <c r="DE72" i="60"/>
  <c r="AC57" i="60"/>
  <c r="AC72" i="60"/>
  <c r="DN36" i="60"/>
  <c r="DN110" i="60" s="1"/>
  <c r="DN72" i="60"/>
  <c r="BP62" i="60"/>
  <c r="BP63" i="60" s="1"/>
  <c r="BP72" i="60"/>
  <c r="BT62" i="60"/>
  <c r="BT63" i="60" s="1"/>
  <c r="BT72" i="60"/>
  <c r="BU62" i="60"/>
  <c r="BU63" i="60" s="1"/>
  <c r="BU72" i="60"/>
  <c r="U62" i="60"/>
  <c r="U63" i="60" s="1"/>
  <c r="U72" i="60"/>
  <c r="DK62" i="60"/>
  <c r="DK63" i="60" s="1"/>
  <c r="DK72" i="60"/>
  <c r="CP57" i="60"/>
  <c r="CP58" i="60" s="1"/>
  <c r="CP72" i="60"/>
  <c r="CJ36" i="60"/>
  <c r="CJ110" i="60" s="1"/>
  <c r="CJ72" i="60"/>
  <c r="BI62" i="60"/>
  <c r="BI63" i="60" s="1"/>
  <c r="BI72" i="60"/>
  <c r="BL62" i="60"/>
  <c r="BL63" i="60" s="1"/>
  <c r="BL72" i="60"/>
  <c r="DD57" i="60"/>
  <c r="DD58" i="60" s="1"/>
  <c r="DD72" i="60"/>
  <c r="T57" i="60"/>
  <c r="T72" i="60"/>
  <c r="CX62" i="60"/>
  <c r="CX63" i="60" s="1"/>
  <c r="CX72" i="60"/>
  <c r="DB62" i="60"/>
  <c r="DB63" i="60" s="1"/>
  <c r="DB72" i="60"/>
  <c r="DF62" i="60"/>
  <c r="DF63" i="60" s="1"/>
  <c r="DF72" i="60"/>
  <c r="DM62" i="60"/>
  <c r="DM63" i="60" s="1"/>
  <c r="DM72" i="60"/>
  <c r="BS62" i="60"/>
  <c r="BS63" i="60" s="1"/>
  <c r="BS72" i="60"/>
  <c r="CW62" i="60"/>
  <c r="CW63" i="60" s="1"/>
  <c r="CW72" i="60"/>
  <c r="AN62" i="60"/>
  <c r="AN63" i="60" s="1"/>
  <c r="AN72" i="60"/>
  <c r="AG62" i="60"/>
  <c r="AG63" i="60" s="1"/>
  <c r="AG72" i="60"/>
  <c r="DK25" i="60"/>
  <c r="DK100" i="60" s="1"/>
  <c r="DK98" i="60" s="1"/>
  <c r="CS57" i="60"/>
  <c r="CS58" i="60" s="1"/>
  <c r="DJ25" i="60"/>
  <c r="DE36" i="60"/>
  <c r="DE110" i="60" s="1"/>
  <c r="DN25" i="60"/>
  <c r="DN100" i="60" s="1"/>
  <c r="DN57" i="60"/>
  <c r="DN58" i="60" s="1"/>
  <c r="CS36" i="60"/>
  <c r="CS110" i="60" s="1"/>
  <c r="CT25" i="60"/>
  <c r="CT28" i="60" s="1"/>
  <c r="CT27" i="60" s="1"/>
  <c r="CT97" i="60" s="1"/>
  <c r="AC36" i="60"/>
  <c r="BT25" i="60"/>
  <c r="BT28" i="60" s="1"/>
  <c r="AC25" i="60"/>
  <c r="AC28" i="60" s="1"/>
  <c r="DJ36" i="60"/>
  <c r="DJ110" i="60" s="1"/>
  <c r="AK36" i="60"/>
  <c r="DD36" i="60"/>
  <c r="DD110" i="60" s="1"/>
  <c r="AK57" i="60"/>
  <c r="BX36" i="60"/>
  <c r="DD25" i="60"/>
  <c r="DD100" i="60" s="1"/>
  <c r="DD98" i="60" s="1"/>
  <c r="BX25" i="60"/>
  <c r="BX28" i="60" s="1"/>
  <c r="U25" i="60"/>
  <c r="U28" i="60" s="1"/>
  <c r="BW57" i="60"/>
  <c r="BU25" i="60"/>
  <c r="BU28" i="60" s="1"/>
  <c r="CW57" i="60"/>
  <c r="CW58" i="60" s="1"/>
  <c r="CT36" i="60"/>
  <c r="CT110" i="60" s="1"/>
  <c r="CM25" i="60"/>
  <c r="CM28" i="60" s="1"/>
  <c r="CM27" i="60" s="1"/>
  <c r="CM97" i="60" s="1"/>
  <c r="CM62" i="60"/>
  <c r="CM63" i="60" s="1"/>
  <c r="T36" i="60"/>
  <c r="AL57" i="60"/>
  <c r="AL62" i="60"/>
  <c r="AL63" i="60" s="1"/>
  <c r="DI59" i="60"/>
  <c r="DI60" i="60" s="1"/>
  <c r="DI62" i="60"/>
  <c r="DI63" i="60" s="1"/>
  <c r="BQ59" i="60"/>
  <c r="BQ60" i="60" s="1"/>
  <c r="BQ62" i="60"/>
  <c r="BQ63" i="60" s="1"/>
  <c r="DL36" i="60"/>
  <c r="DL110" i="60" s="1"/>
  <c r="DL62" i="60"/>
  <c r="DL63" i="60" s="1"/>
  <c r="V25" i="60"/>
  <c r="V28" i="60" s="1"/>
  <c r="V62" i="60"/>
  <c r="V63" i="60" s="1"/>
  <c r="CU25" i="60"/>
  <c r="CU28" i="60" s="1"/>
  <c r="CU27" i="60" s="1"/>
  <c r="CU97" i="60" s="1"/>
  <c r="CU62" i="60"/>
  <c r="CU63" i="60" s="1"/>
  <c r="DG25" i="60"/>
  <c r="DG28" i="60" s="1"/>
  <c r="DG27" i="60" s="1"/>
  <c r="DG97" i="60" s="1"/>
  <c r="DG62" i="60"/>
  <c r="DG63" i="60" s="1"/>
  <c r="AM59" i="60"/>
  <c r="AM60" i="60" s="1"/>
  <c r="AM62" i="60"/>
  <c r="AM63" i="60" s="1"/>
  <c r="BJ25" i="60"/>
  <c r="BJ28" i="60" s="1"/>
  <c r="BJ62" i="60"/>
  <c r="BJ63" i="60" s="1"/>
  <c r="S59" i="60"/>
  <c r="S60" i="60" s="1"/>
  <c r="S62" i="60"/>
  <c r="S63" i="60" s="1"/>
  <c r="AF59" i="60"/>
  <c r="AF60" i="60" s="1"/>
  <c r="AF62" i="60"/>
  <c r="AF63" i="60" s="1"/>
  <c r="CY59" i="60"/>
  <c r="CY60" i="60" s="1"/>
  <c r="CY62" i="60"/>
  <c r="CY63" i="60" s="1"/>
  <c r="CV59" i="60"/>
  <c r="CV60" i="60" s="1"/>
  <c r="CV62" i="60"/>
  <c r="CV63" i="60" s="1"/>
  <c r="BM59" i="60"/>
  <c r="BM60" i="60" s="1"/>
  <c r="BM62" i="60"/>
  <c r="BM63" i="60" s="1"/>
  <c r="CI59" i="60"/>
  <c r="CI60" i="60" s="1"/>
  <c r="CI62" i="60"/>
  <c r="CI63" i="60" s="1"/>
  <c r="CQ59" i="60"/>
  <c r="CQ60" i="60" s="1"/>
  <c r="CQ62" i="60"/>
  <c r="CQ63" i="60" s="1"/>
  <c r="CL59" i="60"/>
  <c r="CL60" i="60" s="1"/>
  <c r="CL62" i="60"/>
  <c r="CL63" i="60" s="1"/>
  <c r="CO59" i="60"/>
  <c r="CO60" i="60" s="1"/>
  <c r="CO62" i="60"/>
  <c r="CO63" i="60" s="1"/>
  <c r="BK59" i="60"/>
  <c r="BK60" i="60" s="1"/>
  <c r="BK62" i="60"/>
  <c r="BK63" i="60" s="1"/>
  <c r="DC59" i="60"/>
  <c r="DC60" i="60" s="1"/>
  <c r="DC62" i="60"/>
  <c r="DC63" i="60" s="1"/>
  <c r="BV59" i="60"/>
  <c r="BV60" i="60" s="1"/>
  <c r="BV62" i="60"/>
  <c r="BV63" i="60" s="1"/>
  <c r="CK59" i="60"/>
  <c r="CK60" i="60" s="1"/>
  <c r="CK62" i="60"/>
  <c r="CK63" i="60" s="1"/>
  <c r="T59" i="60"/>
  <c r="T60" i="60" s="1"/>
  <c r="T62" i="60"/>
  <c r="T63" i="60" s="1"/>
  <c r="DH57" i="60"/>
  <c r="DH58" i="60" s="1"/>
  <c r="DH62" i="60"/>
  <c r="DH63" i="60" s="1"/>
  <c r="CR59" i="60"/>
  <c r="CR60" i="60" s="1"/>
  <c r="CR62" i="60"/>
  <c r="CR63" i="60" s="1"/>
  <c r="DD59" i="60"/>
  <c r="DD60" i="60" s="1"/>
  <c r="DD62" i="60"/>
  <c r="DD63" i="60" s="1"/>
  <c r="CN59" i="60"/>
  <c r="CN60" i="60" s="1"/>
  <c r="CN62" i="60"/>
  <c r="CN63" i="60" s="1"/>
  <c r="BO57" i="60"/>
  <c r="BO62" i="60"/>
  <c r="BO63" i="60" s="1"/>
  <c r="BX59" i="60"/>
  <c r="BX60" i="60" s="1"/>
  <c r="BX62" i="60"/>
  <c r="BX63" i="60" s="1"/>
  <c r="AK59" i="60"/>
  <c r="AK60" i="60" s="1"/>
  <c r="AK62" i="60"/>
  <c r="AK63" i="60" s="1"/>
  <c r="T25" i="60"/>
  <c r="T28" i="60" s="1"/>
  <c r="DJ59" i="60"/>
  <c r="DJ60" i="60" s="1"/>
  <c r="DJ62" i="60"/>
  <c r="DJ63" i="60" s="1"/>
  <c r="CS59" i="60"/>
  <c r="CS60" i="60" s="1"/>
  <c r="CS62" i="60"/>
  <c r="CS63" i="60" s="1"/>
  <c r="CT59" i="60"/>
  <c r="CT60" i="60" s="1"/>
  <c r="CT62" i="60"/>
  <c r="CT63" i="60" s="1"/>
  <c r="DE59" i="60"/>
  <c r="DE60" i="60" s="1"/>
  <c r="DE62" i="60"/>
  <c r="DE63" i="60" s="1"/>
  <c r="AC59" i="60"/>
  <c r="AC60" i="60" s="1"/>
  <c r="AC62" i="60"/>
  <c r="AC63" i="60" s="1"/>
  <c r="DN59" i="60"/>
  <c r="DN60" i="60" s="1"/>
  <c r="DN62" i="60"/>
  <c r="DN63" i="60" s="1"/>
  <c r="CG59" i="60"/>
  <c r="CG60" i="60" s="1"/>
  <c r="CG62" i="60"/>
  <c r="CG63" i="60" s="1"/>
  <c r="BR59" i="60"/>
  <c r="BR60" i="60" s="1"/>
  <c r="BR62" i="60"/>
  <c r="BR63" i="60" s="1"/>
  <c r="CP59" i="60"/>
  <c r="CP60" i="60" s="1"/>
  <c r="CP62" i="60"/>
  <c r="CP63" i="60" s="1"/>
  <c r="CJ59" i="60"/>
  <c r="CJ60" i="60" s="1"/>
  <c r="CJ62" i="60"/>
  <c r="CJ63" i="60" s="1"/>
  <c r="AL25" i="60"/>
  <c r="AL28" i="60" s="1"/>
  <c r="BK25" i="60"/>
  <c r="BK28" i="60" s="1"/>
  <c r="BV25" i="60"/>
  <c r="BV100" i="60" s="1"/>
  <c r="DC36" i="60"/>
  <c r="DC110" i="60" s="1"/>
  <c r="DC25" i="60"/>
  <c r="DC28" i="60" s="1"/>
  <c r="DC27" i="60" s="1"/>
  <c r="DC97" i="60" s="1"/>
  <c r="BQ36" i="60"/>
  <c r="DC57" i="60"/>
  <c r="DC58" i="60" s="1"/>
  <c r="CO25" i="60"/>
  <c r="CO28" i="60" s="1"/>
  <c r="CO27" i="60" s="1"/>
  <c r="CO97" i="60" s="1"/>
  <c r="BM36" i="60"/>
  <c r="V36" i="60"/>
  <c r="CK57" i="60"/>
  <c r="CK58" i="60" s="1"/>
  <c r="DI57" i="60"/>
  <c r="DI58" i="60" s="1"/>
  <c r="BM57" i="60"/>
  <c r="BK57" i="60"/>
  <c r="CK36" i="60"/>
  <c r="CK110" i="60" s="1"/>
  <c r="CK25" i="60"/>
  <c r="CK28" i="60" s="1"/>
  <c r="CK27" i="60" s="1"/>
  <c r="CK97" i="60" s="1"/>
  <c r="BK36" i="60"/>
  <c r="BV57" i="60"/>
  <c r="DI25" i="60"/>
  <c r="DI100" i="60" s="1"/>
  <c r="DI98" i="60" s="1"/>
  <c r="CU57" i="60"/>
  <c r="CU58" i="60" s="1"/>
  <c r="BM100" i="60"/>
  <c r="BQ57" i="60"/>
  <c r="AM25" i="60"/>
  <c r="AM28" i="60" s="1"/>
  <c r="CY25" i="60"/>
  <c r="AM57" i="60"/>
  <c r="BQ25" i="60"/>
  <c r="BQ28" i="60" s="1"/>
  <c r="DI36" i="60"/>
  <c r="DI110" i="60" s="1"/>
  <c r="AM36" i="60"/>
  <c r="S57" i="60"/>
  <c r="CQ57" i="60"/>
  <c r="CQ58" i="60" s="1"/>
  <c r="AF57" i="60"/>
  <c r="CV36" i="60"/>
  <c r="CV110" i="60" s="1"/>
  <c r="CQ36" i="60"/>
  <c r="CQ110" i="60" s="1"/>
  <c r="U36" i="60"/>
  <c r="U59" i="60"/>
  <c r="U60" i="60" s="1"/>
  <c r="DK57" i="60"/>
  <c r="DK58" i="60" s="1"/>
  <c r="DK59" i="60"/>
  <c r="DK60" i="60" s="1"/>
  <c r="CV57" i="60"/>
  <c r="CV58" i="60" s="1"/>
  <c r="CY57" i="60"/>
  <c r="CY58" i="60" s="1"/>
  <c r="BN25" i="60"/>
  <c r="BN28" i="60" s="1"/>
  <c r="BN59" i="60"/>
  <c r="BN60" i="60" s="1"/>
  <c r="S25" i="60"/>
  <c r="AF25" i="60"/>
  <c r="AF28" i="60" s="1"/>
  <c r="BO36" i="60"/>
  <c r="CL57" i="60"/>
  <c r="CL58" i="60" s="1"/>
  <c r="CY36" i="60"/>
  <c r="CY110" i="60" s="1"/>
  <c r="AL36" i="60"/>
  <c r="AL59" i="60"/>
  <c r="AL60" i="60" s="1"/>
  <c r="DL25" i="60"/>
  <c r="DL100" i="60" s="1"/>
  <c r="DL98" i="60" s="1"/>
  <c r="DL59" i="60"/>
  <c r="DL60" i="60" s="1"/>
  <c r="V57" i="60"/>
  <c r="V59" i="60"/>
  <c r="V60" i="60" s="1"/>
  <c r="CX25" i="60"/>
  <c r="CX28" i="60" s="1"/>
  <c r="CX27" i="60" s="1"/>
  <c r="CX97" i="60" s="1"/>
  <c r="CX59" i="60"/>
  <c r="CX60" i="60" s="1"/>
  <c r="BP57" i="60"/>
  <c r="BP59" i="60"/>
  <c r="BP60" i="60" s="1"/>
  <c r="BT57" i="60"/>
  <c r="BT59" i="60"/>
  <c r="BT60" i="60" s="1"/>
  <c r="CL36" i="60"/>
  <c r="CL110" i="60" s="1"/>
  <c r="DK36" i="60"/>
  <c r="DK110" i="60" s="1"/>
  <c r="AN57" i="60"/>
  <c r="AN59" i="60"/>
  <c r="AN60" i="60" s="1"/>
  <c r="AG25" i="60"/>
  <c r="AG28" i="60" s="1"/>
  <c r="AG59" i="60"/>
  <c r="AG60" i="60" s="1"/>
  <c r="CU36" i="60"/>
  <c r="CU110" i="60" s="1"/>
  <c r="CU59" i="60"/>
  <c r="CU60" i="60" s="1"/>
  <c r="DG36" i="60"/>
  <c r="DG110" i="60" s="1"/>
  <c r="DG59" i="60"/>
  <c r="DG60" i="60" s="1"/>
  <c r="DF57" i="60"/>
  <c r="DF58" i="60" s="1"/>
  <c r="DF59" i="60"/>
  <c r="DF60" i="60" s="1"/>
  <c r="DM25" i="60"/>
  <c r="DM28" i="60" s="1"/>
  <c r="DM27" i="60" s="1"/>
  <c r="DM97" i="60" s="1"/>
  <c r="DM59" i="60"/>
  <c r="DM60" i="60" s="1"/>
  <c r="BI36" i="60"/>
  <c r="BI59" i="60"/>
  <c r="BI60" i="60" s="1"/>
  <c r="BL57" i="60"/>
  <c r="BL59" i="60"/>
  <c r="BL60" i="60" s="1"/>
  <c r="BO25" i="60"/>
  <c r="BO28" i="60" s="1"/>
  <c r="BO59" i="60"/>
  <c r="BO60" i="60" s="1"/>
  <c r="CV25" i="60"/>
  <c r="CV28" i="60" s="1"/>
  <c r="CV27" i="60" s="1"/>
  <c r="CV97" i="60" s="1"/>
  <c r="CQ25" i="60"/>
  <c r="CQ28" i="60" s="1"/>
  <c r="CQ27" i="60" s="1"/>
  <c r="CQ97" i="60" s="1"/>
  <c r="CO36" i="60"/>
  <c r="CO110" i="60" s="1"/>
  <c r="BU36" i="60"/>
  <c r="BU59" i="60"/>
  <c r="BU60" i="60" s="1"/>
  <c r="DA36" i="60"/>
  <c r="DA110" i="60" s="1"/>
  <c r="DA59" i="60"/>
  <c r="DA60" i="60" s="1"/>
  <c r="CW36" i="60"/>
  <c r="CW110" i="60" s="1"/>
  <c r="CW59" i="60"/>
  <c r="CW60" i="60" s="1"/>
  <c r="DH25" i="60"/>
  <c r="DH28" i="60" s="1"/>
  <c r="DH27" i="60" s="1"/>
  <c r="DH97" i="60" s="1"/>
  <c r="DH59" i="60"/>
  <c r="DH60" i="60" s="1"/>
  <c r="BS36" i="60"/>
  <c r="BS59" i="60"/>
  <c r="BS60" i="60" s="1"/>
  <c r="BJ36" i="60"/>
  <c r="BJ59" i="60"/>
  <c r="BJ60" i="60" s="1"/>
  <c r="CM57" i="60"/>
  <c r="CM58" i="60" s="1"/>
  <c r="CM59" i="60"/>
  <c r="CM60" i="60" s="1"/>
  <c r="DB57" i="60"/>
  <c r="DB58" i="60" s="1"/>
  <c r="DB59" i="60"/>
  <c r="DB60" i="60" s="1"/>
  <c r="CL25" i="60"/>
  <c r="CL28" i="60" s="1"/>
  <c r="CL27" i="60" s="1"/>
  <c r="CL97" i="60" s="1"/>
  <c r="S36" i="60"/>
  <c r="AF36" i="60"/>
  <c r="BW36" i="60"/>
  <c r="BW59" i="60"/>
  <c r="BW60" i="60" s="1"/>
  <c r="BN57" i="60"/>
  <c r="BT100" i="60"/>
  <c r="DF25" i="60"/>
  <c r="DF28" i="60" s="1"/>
  <c r="DF27" i="60" s="1"/>
  <c r="DF97" i="60" s="1"/>
  <c r="BL25" i="60"/>
  <c r="DB25" i="60"/>
  <c r="DB28" i="60" s="1"/>
  <c r="DB27" i="60" s="1"/>
  <c r="DB97" i="60" s="1"/>
  <c r="BW25" i="60"/>
  <c r="BW100" i="60" s="1"/>
  <c r="AN25" i="60"/>
  <c r="CM36" i="60"/>
  <c r="CM110" i="60" s="1"/>
  <c r="BJ57" i="60"/>
  <c r="AG57" i="60"/>
  <c r="U57" i="60"/>
  <c r="AI100" i="60"/>
  <c r="DA25" i="60"/>
  <c r="DA28" i="60" s="1"/>
  <c r="DA27" i="60" s="1"/>
  <c r="DA97" i="60" s="1"/>
  <c r="DG57" i="60"/>
  <c r="DG58" i="60" s="1"/>
  <c r="DM36" i="60"/>
  <c r="DM110" i="60" s="1"/>
  <c r="AG36" i="60"/>
  <c r="BL36" i="60"/>
  <c r="DF36" i="60"/>
  <c r="DF110" i="60" s="1"/>
  <c r="BS57" i="60"/>
  <c r="BN36" i="60"/>
  <c r="BS25" i="60"/>
  <c r="BS28" i="60" s="1"/>
  <c r="BP28" i="60"/>
  <c r="DM57" i="60"/>
  <c r="DM58" i="60" s="1"/>
  <c r="CX36" i="60"/>
  <c r="CX110" i="60" s="1"/>
  <c r="DA57" i="60"/>
  <c r="DA58" i="60" s="1"/>
  <c r="BP36" i="60"/>
  <c r="BU57" i="60"/>
  <c r="DB36" i="60"/>
  <c r="DB110" i="60" s="1"/>
  <c r="AN36" i="60"/>
  <c r="CX57" i="60"/>
  <c r="CX58" i="60" s="1"/>
  <c r="BT36" i="60"/>
  <c r="CW25" i="60"/>
  <c r="CW28" i="60" s="1"/>
  <c r="CW27" i="60" s="1"/>
  <c r="CW97" i="60" s="1"/>
  <c r="BR102" i="60"/>
  <c r="BR77" i="60"/>
  <c r="CG77" i="60"/>
  <c r="CG76" i="60" s="1"/>
  <c r="CG102" i="60"/>
  <c r="CZ28" i="60"/>
  <c r="CZ27" i="60" s="1"/>
  <c r="CZ97" i="60" s="1"/>
  <c r="BR25" i="60"/>
  <c r="DN28" i="60"/>
  <c r="DN27" i="60" s="1"/>
  <c r="DN97" i="60" s="1"/>
  <c r="DL57" i="60"/>
  <c r="DL58" i="60" s="1"/>
  <c r="DI102" i="60"/>
  <c r="DI77" i="60"/>
  <c r="DI76" i="60" s="1"/>
  <c r="DI67" i="60" s="1"/>
  <c r="DJ100" i="60"/>
  <c r="DJ98" i="60" s="1"/>
  <c r="AM102" i="60"/>
  <c r="AM77" i="60"/>
  <c r="CO104" i="60"/>
  <c r="CO102" i="60"/>
  <c r="CO77" i="60"/>
  <c r="CO76" i="60" s="1"/>
  <c r="S102" i="60"/>
  <c r="S77" i="60"/>
  <c r="AJ100" i="60"/>
  <c r="BT77" i="60"/>
  <c r="BT102" i="60"/>
  <c r="CY28" i="60"/>
  <c r="CY27" i="60" s="1"/>
  <c r="CY97" i="60" s="1"/>
  <c r="BR57" i="60"/>
  <c r="T102" i="60"/>
  <c r="T77" i="60"/>
  <c r="BW102" i="60"/>
  <c r="BW77" i="60"/>
  <c r="DJ102" i="60"/>
  <c r="DJ77" i="60"/>
  <c r="DJ76" i="60" s="1"/>
  <c r="DJ67" i="60" s="1"/>
  <c r="BX102" i="60"/>
  <c r="BX77" i="60"/>
  <c r="CU104" i="60"/>
  <c r="CU102" i="60"/>
  <c r="CU77" i="60"/>
  <c r="CU76" i="60" s="1"/>
  <c r="CJ102" i="60"/>
  <c r="CJ77" i="60"/>
  <c r="CJ76" i="60" s="1"/>
  <c r="BS100" i="60"/>
  <c r="BK100" i="60"/>
  <c r="CM102" i="60"/>
  <c r="CM77" i="60"/>
  <c r="CM76" i="60" s="1"/>
  <c r="CK102" i="60"/>
  <c r="CK77" i="60"/>
  <c r="CK76" i="60" s="1"/>
  <c r="CI104" i="60"/>
  <c r="CI102" i="60"/>
  <c r="CI77" i="60"/>
  <c r="CI76" i="60" s="1"/>
  <c r="CG25" i="60"/>
  <c r="BR36" i="60"/>
  <c r="AN77" i="60"/>
  <c r="AN102" i="60"/>
  <c r="BQ102" i="60"/>
  <c r="BQ77" i="60"/>
  <c r="CW102" i="60"/>
  <c r="CW77" i="60"/>
  <c r="CW76" i="60" s="1"/>
  <c r="DG102" i="60"/>
  <c r="DG77" i="60"/>
  <c r="DG76" i="60" s="1"/>
  <c r="DG67" i="60" s="1"/>
  <c r="CX102" i="60"/>
  <c r="CX77" i="60"/>
  <c r="CX76" i="60" s="1"/>
  <c r="AC100" i="60"/>
  <c r="CQ102" i="60"/>
  <c r="CQ77" i="60"/>
  <c r="CQ76" i="60" s="1"/>
  <c r="BS102" i="60"/>
  <c r="BS77" i="60"/>
  <c r="BK102" i="60"/>
  <c r="BK77" i="60"/>
  <c r="DB102" i="60"/>
  <c r="DB77" i="60"/>
  <c r="DB76" i="60" s="1"/>
  <c r="DB67" i="60" s="1"/>
  <c r="BI100" i="60"/>
  <c r="CV77" i="60"/>
  <c r="CV76" i="60" s="1"/>
  <c r="CV102" i="60"/>
  <c r="CN102" i="60"/>
  <c r="CN77" i="60"/>
  <c r="CN76" i="60" s="1"/>
  <c r="CR104" i="60"/>
  <c r="CR102" i="60"/>
  <c r="CR77" i="60"/>
  <c r="CR76" i="60" s="1"/>
  <c r="CP28" i="60"/>
  <c r="CP27" i="60" s="1"/>
  <c r="CP97" i="60" s="1"/>
  <c r="R28" i="60"/>
  <c r="R100" i="60"/>
  <c r="CI36" i="60"/>
  <c r="CI110" i="60" s="1"/>
  <c r="CN36" i="60"/>
  <c r="CN110" i="60" s="1"/>
  <c r="CR36" i="60"/>
  <c r="CR110" i="60" s="1"/>
  <c r="AL102" i="60"/>
  <c r="AL77" i="60"/>
  <c r="CT102" i="60"/>
  <c r="CT77" i="60"/>
  <c r="CT76" i="60" s="1"/>
  <c r="BO102" i="60"/>
  <c r="BO77" i="60"/>
  <c r="V102" i="60"/>
  <c r="V77" i="60"/>
  <c r="DE100" i="60"/>
  <c r="DE98" i="60" s="1"/>
  <c r="AC102" i="60"/>
  <c r="AC77" i="60"/>
  <c r="BI102" i="60"/>
  <c r="BI77" i="60"/>
  <c r="BP77" i="60"/>
  <c r="BP102" i="60"/>
  <c r="CH28" i="60"/>
  <c r="CH27" i="60" s="1"/>
  <c r="CH97" i="60" s="1"/>
  <c r="CI25" i="60"/>
  <c r="CI57" i="60"/>
  <c r="CI58" i="60" s="1"/>
  <c r="CN57" i="60"/>
  <c r="CN58" i="60" s="1"/>
  <c r="CR57" i="60"/>
  <c r="CR58" i="60" s="1"/>
  <c r="BM102" i="60"/>
  <c r="BM77" i="60"/>
  <c r="AG102" i="60"/>
  <c r="AG77" i="60"/>
  <c r="DK102" i="60"/>
  <c r="DK77" i="60"/>
  <c r="DK76" i="60" s="1"/>
  <c r="DK67" i="60" s="1"/>
  <c r="DE102" i="60"/>
  <c r="DE77" i="60"/>
  <c r="DE76" i="60" s="1"/>
  <c r="DE67" i="60" s="1"/>
  <c r="DN102" i="60"/>
  <c r="DN77" i="60"/>
  <c r="DN76" i="60" s="1"/>
  <c r="DN67" i="60" s="1"/>
  <c r="AK102" i="60"/>
  <c r="AK77" i="60"/>
  <c r="DM102" i="60"/>
  <c r="DM77" i="60"/>
  <c r="DM76" i="60" s="1"/>
  <c r="DM67" i="60" s="1"/>
  <c r="CL102" i="60"/>
  <c r="CL77" i="60"/>
  <c r="CL76" i="60" s="1"/>
  <c r="BJ102" i="60"/>
  <c r="BJ77" i="60"/>
  <c r="AF102" i="60"/>
  <c r="AF77" i="60"/>
  <c r="DJ28" i="60"/>
  <c r="DJ27" i="60" s="1"/>
  <c r="DJ97" i="60" s="1"/>
  <c r="CR25" i="60"/>
  <c r="CG36" i="60"/>
  <c r="CG110" i="60" s="1"/>
  <c r="BU100" i="60"/>
  <c r="U77" i="60"/>
  <c r="U102" i="60"/>
  <c r="DF102" i="60"/>
  <c r="DF77" i="60"/>
  <c r="DF76" i="60" s="1"/>
  <c r="DF67" i="60" s="1"/>
  <c r="CS102" i="60"/>
  <c r="CS77" i="60"/>
  <c r="CS76" i="60" s="1"/>
  <c r="BX100" i="60"/>
  <c r="DC102" i="60"/>
  <c r="DC77" i="60"/>
  <c r="DC76" i="60" s="1"/>
  <c r="DC67" i="60" s="1"/>
  <c r="BL102" i="60"/>
  <c r="BL77" i="60"/>
  <c r="DL77" i="60"/>
  <c r="DL76" i="60" s="1"/>
  <c r="DL67" i="60" s="1"/>
  <c r="DL102" i="60"/>
  <c r="CN25" i="60"/>
  <c r="CG57" i="60"/>
  <c r="CG58" i="60" s="1"/>
  <c r="BU102" i="60"/>
  <c r="BU77" i="60"/>
  <c r="DA102" i="60"/>
  <c r="DA77" i="60"/>
  <c r="DA76" i="60" s="1"/>
  <c r="DH102" i="60"/>
  <c r="DH77" i="60"/>
  <c r="DH76" i="60" s="1"/>
  <c r="DH67" i="60" s="1"/>
  <c r="CP102" i="60"/>
  <c r="CP77" i="60"/>
  <c r="CP76" i="60" s="1"/>
  <c r="DD102" i="60"/>
  <c r="DD77" i="60"/>
  <c r="DD76" i="60" s="1"/>
  <c r="DD67" i="60" s="1"/>
  <c r="BN102" i="60"/>
  <c r="BN77" i="60"/>
  <c r="BV102" i="60"/>
  <c r="BV77" i="60"/>
  <c r="CY102" i="60"/>
  <c r="CY77" i="60"/>
  <c r="CY76" i="60" s="1"/>
  <c r="CZ38" i="60"/>
  <c r="CZ40" i="60" s="1"/>
  <c r="CZ34" i="60" s="1"/>
  <c r="G416" i="59"/>
  <c r="H416" i="59"/>
  <c r="F416" i="59"/>
  <c r="B416" i="59" s="1"/>
  <c r="G371" i="59"/>
  <c r="H371" i="59"/>
  <c r="F371" i="59"/>
  <c r="B371" i="59" s="1"/>
  <c r="G377" i="59"/>
  <c r="H377" i="59"/>
  <c r="F377" i="59"/>
  <c r="B377" i="59" s="1"/>
  <c r="G441" i="59"/>
  <c r="H441" i="59"/>
  <c r="F441" i="59"/>
  <c r="B441" i="59" s="1"/>
  <c r="G419" i="59"/>
  <c r="F419" i="59"/>
  <c r="B419" i="59" s="1"/>
  <c r="H419" i="59"/>
  <c r="H463" i="59"/>
  <c r="G463" i="59"/>
  <c r="F463" i="59"/>
  <c r="B463" i="59" s="1"/>
  <c r="G418" i="59"/>
  <c r="H418" i="59"/>
  <c r="F418" i="59"/>
  <c r="B418" i="59" s="1"/>
  <c r="H367" i="59"/>
  <c r="G367" i="59"/>
  <c r="F367" i="59"/>
  <c r="B367" i="59" s="1"/>
  <c r="H396" i="59"/>
  <c r="G396" i="59"/>
  <c r="F396" i="59"/>
  <c r="B396" i="59" s="1"/>
  <c r="H460" i="59"/>
  <c r="F460" i="59"/>
  <c r="B460" i="59" s="1"/>
  <c r="G460" i="59"/>
  <c r="H365" i="59"/>
  <c r="F365" i="59"/>
  <c r="B365" i="59" s="1"/>
  <c r="G365" i="59"/>
  <c r="H429" i="59"/>
  <c r="F429" i="59"/>
  <c r="B429" i="59" s="1"/>
  <c r="G429" i="59"/>
  <c r="H406" i="59"/>
  <c r="G406" i="59"/>
  <c r="F406" i="59"/>
  <c r="B406" i="59" s="1"/>
  <c r="H424" i="59"/>
  <c r="G424" i="59"/>
  <c r="F424" i="59"/>
  <c r="B424" i="59" s="1"/>
  <c r="G387" i="59"/>
  <c r="F387" i="59"/>
  <c r="B387" i="59" s="1"/>
  <c r="H387" i="59"/>
  <c r="G385" i="59"/>
  <c r="H385" i="59"/>
  <c r="F385" i="59"/>
  <c r="B385" i="59" s="1"/>
  <c r="G449" i="59"/>
  <c r="H449" i="59"/>
  <c r="F449" i="59"/>
  <c r="B449" i="59" s="1"/>
  <c r="G443" i="59"/>
  <c r="H443" i="59"/>
  <c r="F443" i="59"/>
  <c r="B443" i="59" s="1"/>
  <c r="G362" i="59"/>
  <c r="F362" i="59"/>
  <c r="B362" i="59" s="1"/>
  <c r="H362" i="59"/>
  <c r="G426" i="59"/>
  <c r="F426" i="59"/>
  <c r="B426" i="59" s="1"/>
  <c r="H426" i="59"/>
  <c r="H407" i="59"/>
  <c r="F407" i="59"/>
  <c r="B407" i="59" s="1"/>
  <c r="G407" i="59"/>
  <c r="G404" i="59"/>
  <c r="F404" i="59"/>
  <c r="B404" i="59" s="1"/>
  <c r="H404" i="59"/>
  <c r="H373" i="59"/>
  <c r="F373" i="59"/>
  <c r="B373" i="59" s="1"/>
  <c r="G373" i="59"/>
  <c r="H437" i="59"/>
  <c r="F437" i="59"/>
  <c r="B437" i="59" s="1"/>
  <c r="G437" i="59"/>
  <c r="H422" i="59"/>
  <c r="F422" i="59"/>
  <c r="B422" i="59" s="1"/>
  <c r="G422" i="59"/>
  <c r="G432" i="59"/>
  <c r="H432" i="59"/>
  <c r="F432" i="59"/>
  <c r="B432" i="59" s="1"/>
  <c r="G434" i="59"/>
  <c r="H434" i="59"/>
  <c r="F434" i="59"/>
  <c r="B434" i="59" s="1"/>
  <c r="H438" i="59"/>
  <c r="G438" i="59"/>
  <c r="F438" i="59"/>
  <c r="B438" i="59" s="1"/>
  <c r="G401" i="59"/>
  <c r="H401" i="59"/>
  <c r="F401" i="59"/>
  <c r="B401" i="59" s="1"/>
  <c r="G384" i="59"/>
  <c r="H384" i="59"/>
  <c r="F384" i="59"/>
  <c r="B384" i="59" s="1"/>
  <c r="G448" i="59"/>
  <c r="H448" i="59"/>
  <c r="F448" i="59"/>
  <c r="B448" i="59" s="1"/>
  <c r="G459" i="59"/>
  <c r="H459" i="59"/>
  <c r="F459" i="59"/>
  <c r="B459" i="59" s="1"/>
  <c r="G409" i="59"/>
  <c r="H409" i="59"/>
  <c r="F409" i="59"/>
  <c r="B409" i="59" s="1"/>
  <c r="G466" i="59"/>
  <c r="H466" i="59"/>
  <c r="F466" i="59"/>
  <c r="B466" i="59" s="1"/>
  <c r="H375" i="59"/>
  <c r="G375" i="59"/>
  <c r="F375" i="59"/>
  <c r="B375" i="59" s="1"/>
  <c r="G386" i="59"/>
  <c r="H386" i="59"/>
  <c r="F386" i="59"/>
  <c r="B386" i="59" s="1"/>
  <c r="G458" i="59"/>
  <c r="H458" i="59"/>
  <c r="F458" i="59"/>
  <c r="B458" i="59" s="1"/>
  <c r="H364" i="59"/>
  <c r="F364" i="59"/>
  <c r="B364" i="59" s="1"/>
  <c r="G364" i="59"/>
  <c r="H428" i="59"/>
  <c r="F428" i="59"/>
  <c r="B428" i="59" s="1"/>
  <c r="G428" i="59"/>
  <c r="H398" i="59"/>
  <c r="F398" i="59"/>
  <c r="B398" i="59" s="1"/>
  <c r="G398" i="59"/>
  <c r="H397" i="59"/>
  <c r="F397" i="59"/>
  <c r="B397" i="59" s="1"/>
  <c r="G397" i="59"/>
  <c r="H461" i="59"/>
  <c r="F461" i="59"/>
  <c r="B461" i="59" s="1"/>
  <c r="G461" i="59"/>
  <c r="H399" i="59"/>
  <c r="G399" i="59"/>
  <c r="F399" i="59"/>
  <c r="B399" i="59" s="1"/>
  <c r="G457" i="59"/>
  <c r="H457" i="59"/>
  <c r="F457" i="59"/>
  <c r="B457" i="59" s="1"/>
  <c r="H412" i="59"/>
  <c r="F412" i="59"/>
  <c r="B412" i="59" s="1"/>
  <c r="G412" i="59"/>
  <c r="F376" i="59"/>
  <c r="B376" i="59" s="1"/>
  <c r="G376" i="59"/>
  <c r="H376" i="59"/>
  <c r="G435" i="59"/>
  <c r="H435" i="59"/>
  <c r="F435" i="59"/>
  <c r="B435" i="59" s="1"/>
  <c r="G465" i="59"/>
  <c r="H465" i="59"/>
  <c r="F465" i="59"/>
  <c r="B465" i="59" s="1"/>
  <c r="H462" i="59"/>
  <c r="F462" i="59"/>
  <c r="B462" i="59" s="1"/>
  <c r="G462" i="59"/>
  <c r="G378" i="59"/>
  <c r="F378" i="59"/>
  <c r="B378" i="59" s="1"/>
  <c r="H378" i="59"/>
  <c r="G442" i="59"/>
  <c r="F442" i="59"/>
  <c r="B442" i="59" s="1"/>
  <c r="H442" i="59"/>
  <c r="H455" i="59"/>
  <c r="F455" i="59"/>
  <c r="B455" i="59" s="1"/>
  <c r="G455" i="59"/>
  <c r="F420" i="59"/>
  <c r="B420" i="59" s="1"/>
  <c r="G420" i="59"/>
  <c r="H420" i="59"/>
  <c r="H382" i="59"/>
  <c r="F382" i="59"/>
  <c r="B382" i="59" s="1"/>
  <c r="G382" i="59"/>
  <c r="H389" i="59"/>
  <c r="F389" i="59"/>
  <c r="B389" i="59" s="1"/>
  <c r="G389" i="59"/>
  <c r="H453" i="59"/>
  <c r="F453" i="59"/>
  <c r="B453" i="59" s="1"/>
  <c r="G453" i="59"/>
  <c r="H383" i="59"/>
  <c r="G383" i="59"/>
  <c r="F383" i="59"/>
  <c r="B383" i="59" s="1"/>
  <c r="F392" i="59"/>
  <c r="B392" i="59" s="1"/>
  <c r="H392" i="59"/>
  <c r="G392" i="59"/>
  <c r="H456" i="59"/>
  <c r="G456" i="59"/>
  <c r="F456" i="59"/>
  <c r="B456" i="59" s="1"/>
  <c r="H454" i="59"/>
  <c r="G454" i="59"/>
  <c r="F454" i="59"/>
  <c r="B454" i="59" s="1"/>
  <c r="G417" i="59"/>
  <c r="H417" i="59"/>
  <c r="F417" i="59"/>
  <c r="B417" i="59" s="1"/>
  <c r="G363" i="59"/>
  <c r="H363" i="59"/>
  <c r="F363" i="59"/>
  <c r="B363" i="59" s="1"/>
  <c r="H391" i="59"/>
  <c r="F391" i="59"/>
  <c r="B391" i="59" s="1"/>
  <c r="G391" i="59"/>
  <c r="G394" i="59"/>
  <c r="F394" i="59"/>
  <c r="B394" i="59" s="1"/>
  <c r="H394" i="59"/>
  <c r="G395" i="59"/>
  <c r="H395" i="59"/>
  <c r="F395" i="59"/>
  <c r="B395" i="59" s="1"/>
  <c r="G372" i="59"/>
  <c r="H372" i="59"/>
  <c r="F372" i="59"/>
  <c r="B372" i="59" s="1"/>
  <c r="G436" i="59"/>
  <c r="H436" i="59"/>
  <c r="F436" i="59"/>
  <c r="B436" i="59" s="1"/>
  <c r="H414" i="59"/>
  <c r="G414" i="59"/>
  <c r="F414" i="59"/>
  <c r="B414" i="59" s="1"/>
  <c r="H405" i="59"/>
  <c r="F405" i="59"/>
  <c r="B405" i="59" s="1"/>
  <c r="G405" i="59"/>
  <c r="H423" i="59"/>
  <c r="F423" i="59"/>
  <c r="B423" i="59" s="1"/>
  <c r="G423" i="59"/>
  <c r="G368" i="59"/>
  <c r="H368" i="59"/>
  <c r="F368" i="59"/>
  <c r="B368" i="59" s="1"/>
  <c r="G411" i="59"/>
  <c r="H411" i="59"/>
  <c r="F411" i="59"/>
  <c r="B411" i="59" s="1"/>
  <c r="G393" i="59"/>
  <c r="H393" i="59"/>
  <c r="F393" i="59"/>
  <c r="B393" i="59" s="1"/>
  <c r="G467" i="59"/>
  <c r="H467" i="59"/>
  <c r="F467" i="59"/>
  <c r="B467" i="59" s="1"/>
  <c r="G370" i="59"/>
  <c r="H370" i="59"/>
  <c r="F370" i="59"/>
  <c r="B370" i="59" s="1"/>
  <c r="H431" i="59"/>
  <c r="G431" i="59"/>
  <c r="F431" i="59"/>
  <c r="B431" i="59" s="1"/>
  <c r="H374" i="59"/>
  <c r="G374" i="59"/>
  <c r="F374" i="59"/>
  <c r="B374" i="59" s="1"/>
  <c r="H381" i="59"/>
  <c r="F381" i="59"/>
  <c r="B381" i="59" s="1"/>
  <c r="G381" i="59"/>
  <c r="H445" i="59"/>
  <c r="F445" i="59"/>
  <c r="B445" i="59" s="1"/>
  <c r="G445" i="59"/>
  <c r="F440" i="59"/>
  <c r="B440" i="59" s="1"/>
  <c r="G440" i="59"/>
  <c r="H440" i="59"/>
  <c r="G400" i="59"/>
  <c r="H400" i="59"/>
  <c r="F400" i="59"/>
  <c r="B400" i="59" s="1"/>
  <c r="G464" i="59"/>
  <c r="H464" i="59"/>
  <c r="F464" i="59"/>
  <c r="B464" i="59" s="1"/>
  <c r="G361" i="59"/>
  <c r="H361" i="59"/>
  <c r="F361" i="59"/>
  <c r="B361" i="59" s="1"/>
  <c r="G425" i="59"/>
  <c r="H425" i="59"/>
  <c r="F425" i="59"/>
  <c r="B425" i="59" s="1"/>
  <c r="G379" i="59"/>
  <c r="H379" i="59"/>
  <c r="F379" i="59"/>
  <c r="B379" i="59" s="1"/>
  <c r="H415" i="59"/>
  <c r="G415" i="59"/>
  <c r="F415" i="59"/>
  <c r="B415" i="59" s="1"/>
  <c r="G402" i="59"/>
  <c r="H402" i="59"/>
  <c r="F402" i="59"/>
  <c r="B402" i="59" s="1"/>
  <c r="G427" i="59"/>
  <c r="H427" i="59"/>
  <c r="F427" i="59"/>
  <c r="B427" i="59" s="1"/>
  <c r="H380" i="59"/>
  <c r="F380" i="59"/>
  <c r="B380" i="59" s="1"/>
  <c r="G380" i="59"/>
  <c r="H444" i="59"/>
  <c r="F444" i="59"/>
  <c r="B444" i="59" s="1"/>
  <c r="G444" i="59"/>
  <c r="H430" i="59"/>
  <c r="F430" i="59"/>
  <c r="B430" i="59" s="1"/>
  <c r="G430" i="59"/>
  <c r="H413" i="59"/>
  <c r="F413" i="59"/>
  <c r="B413" i="59" s="1"/>
  <c r="G413" i="59"/>
  <c r="H366" i="59"/>
  <c r="F366" i="59"/>
  <c r="B366" i="59" s="1"/>
  <c r="G366" i="59"/>
  <c r="H447" i="59"/>
  <c r="G447" i="59"/>
  <c r="F447" i="59"/>
  <c r="B447" i="59" s="1"/>
  <c r="F408" i="59"/>
  <c r="B408" i="59" s="1"/>
  <c r="G408" i="59"/>
  <c r="H408" i="59"/>
  <c r="G450" i="59"/>
  <c r="H450" i="59"/>
  <c r="F450" i="59"/>
  <c r="B450" i="59" s="1"/>
  <c r="G369" i="59"/>
  <c r="H369" i="59"/>
  <c r="F369" i="59"/>
  <c r="B369" i="59" s="1"/>
  <c r="G433" i="59"/>
  <c r="H433" i="59"/>
  <c r="F433" i="59"/>
  <c r="B433" i="59" s="1"/>
  <c r="G403" i="59"/>
  <c r="H403" i="59"/>
  <c r="F403" i="59"/>
  <c r="B403" i="59" s="1"/>
  <c r="H439" i="59"/>
  <c r="F439" i="59"/>
  <c r="B439" i="59" s="1"/>
  <c r="G439" i="59"/>
  <c r="G410" i="59"/>
  <c r="F410" i="59"/>
  <c r="B410" i="59" s="1"/>
  <c r="H410" i="59"/>
  <c r="G451" i="59"/>
  <c r="F451" i="59"/>
  <c r="B451" i="59" s="1"/>
  <c r="H451" i="59"/>
  <c r="F388" i="59"/>
  <c r="B388" i="59" s="1"/>
  <c r="G388" i="59"/>
  <c r="H388" i="59"/>
  <c r="G452" i="59"/>
  <c r="H452" i="59"/>
  <c r="F452" i="59"/>
  <c r="B452" i="59" s="1"/>
  <c r="H446" i="59"/>
  <c r="F446" i="59"/>
  <c r="B446" i="59" s="1"/>
  <c r="G446" i="59"/>
  <c r="H421" i="59"/>
  <c r="F421" i="59"/>
  <c r="B421" i="59" s="1"/>
  <c r="G421" i="59"/>
  <c r="H390" i="59"/>
  <c r="F390" i="59"/>
  <c r="B390" i="59" s="1"/>
  <c r="G390" i="59"/>
  <c r="G76" i="59"/>
  <c r="F76" i="59"/>
  <c r="F86" i="59"/>
  <c r="G86" i="59"/>
  <c r="F135" i="59"/>
  <c r="G135" i="59"/>
  <c r="F148" i="59"/>
  <c r="G148" i="59"/>
  <c r="F94" i="59"/>
  <c r="G94" i="59"/>
  <c r="G143" i="59"/>
  <c r="F143" i="59"/>
  <c r="F97" i="59"/>
  <c r="G97" i="59"/>
  <c r="F90" i="59"/>
  <c r="G90" i="59"/>
  <c r="F99" i="59"/>
  <c r="G99" i="59"/>
  <c r="F163" i="59"/>
  <c r="G163" i="59"/>
  <c r="G92" i="59"/>
  <c r="F92" i="59"/>
  <c r="F156" i="59"/>
  <c r="G156" i="59"/>
  <c r="G101" i="59"/>
  <c r="F101" i="59"/>
  <c r="G165" i="59"/>
  <c r="F165" i="59"/>
  <c r="F102" i="59"/>
  <c r="G102" i="59"/>
  <c r="G166" i="59"/>
  <c r="F166" i="59"/>
  <c r="F87" i="59"/>
  <c r="G87" i="59"/>
  <c r="G151" i="59"/>
  <c r="F151" i="59"/>
  <c r="F88" i="59"/>
  <c r="G88" i="59"/>
  <c r="G152" i="59"/>
  <c r="F152" i="59"/>
  <c r="F105" i="59"/>
  <c r="G105" i="59"/>
  <c r="F122" i="59"/>
  <c r="G122" i="59"/>
  <c r="F107" i="59"/>
  <c r="G107" i="59"/>
  <c r="F171" i="59"/>
  <c r="G171" i="59"/>
  <c r="G100" i="59"/>
  <c r="F100" i="59"/>
  <c r="F164" i="59"/>
  <c r="G164" i="59"/>
  <c r="G109" i="59"/>
  <c r="F109" i="59"/>
  <c r="F173" i="59"/>
  <c r="G173" i="59"/>
  <c r="F110" i="59"/>
  <c r="G110" i="59"/>
  <c r="G174" i="59"/>
  <c r="F174" i="59"/>
  <c r="F95" i="59"/>
  <c r="G95" i="59"/>
  <c r="G159" i="59"/>
  <c r="F159" i="59"/>
  <c r="F96" i="59"/>
  <c r="G96" i="59"/>
  <c r="F160" i="59"/>
  <c r="G160" i="59"/>
  <c r="F113" i="59"/>
  <c r="G113" i="59"/>
  <c r="G146" i="59"/>
  <c r="F146" i="59"/>
  <c r="F83" i="59"/>
  <c r="G83" i="59"/>
  <c r="G85" i="59"/>
  <c r="F85" i="59"/>
  <c r="F71" i="59"/>
  <c r="G71" i="59"/>
  <c r="F89" i="59"/>
  <c r="G89" i="59"/>
  <c r="F155" i="59"/>
  <c r="G155" i="59"/>
  <c r="G93" i="59"/>
  <c r="F93" i="59"/>
  <c r="G158" i="59"/>
  <c r="F158" i="59"/>
  <c r="F80" i="59"/>
  <c r="G80" i="59"/>
  <c r="F115" i="59"/>
  <c r="G115" i="59"/>
  <c r="G169" i="59"/>
  <c r="F169" i="59"/>
  <c r="G108" i="59"/>
  <c r="F108" i="59"/>
  <c r="F172" i="59"/>
  <c r="G172" i="59"/>
  <c r="G117" i="59"/>
  <c r="F117" i="59"/>
  <c r="G153" i="59"/>
  <c r="F153" i="59"/>
  <c r="F118" i="59"/>
  <c r="G118" i="59"/>
  <c r="G161" i="59"/>
  <c r="F161" i="59"/>
  <c r="F103" i="59"/>
  <c r="G103" i="59"/>
  <c r="F104" i="59"/>
  <c r="G104" i="59"/>
  <c r="G168" i="59"/>
  <c r="F168" i="59"/>
  <c r="F121" i="59"/>
  <c r="G121" i="59"/>
  <c r="G170" i="59"/>
  <c r="F170" i="59"/>
  <c r="F123" i="59"/>
  <c r="G123" i="59"/>
  <c r="G116" i="59"/>
  <c r="F116" i="59"/>
  <c r="F114" i="59"/>
  <c r="G114" i="59"/>
  <c r="G125" i="59"/>
  <c r="F125" i="59"/>
  <c r="F126" i="59"/>
  <c r="G126" i="59"/>
  <c r="F98" i="59"/>
  <c r="G98" i="59"/>
  <c r="F111" i="59"/>
  <c r="G111" i="59"/>
  <c r="F112" i="59"/>
  <c r="G112" i="59"/>
  <c r="F129" i="59"/>
  <c r="G129" i="59"/>
  <c r="F147" i="59"/>
  <c r="G147" i="59"/>
  <c r="G149" i="59"/>
  <c r="F149" i="59"/>
  <c r="F72" i="59"/>
  <c r="G72" i="59"/>
  <c r="F91" i="59"/>
  <c r="G91" i="59"/>
  <c r="F79" i="59"/>
  <c r="G79" i="59"/>
  <c r="F131" i="59"/>
  <c r="G131" i="59"/>
  <c r="F138" i="59"/>
  <c r="G138" i="59"/>
  <c r="G124" i="59"/>
  <c r="F124" i="59"/>
  <c r="F69" i="59"/>
  <c r="G69" i="59"/>
  <c r="G133" i="59"/>
  <c r="F133" i="59"/>
  <c r="F70" i="59"/>
  <c r="G70" i="59"/>
  <c r="F134" i="59"/>
  <c r="G134" i="59"/>
  <c r="F130" i="59"/>
  <c r="G130" i="59"/>
  <c r="F119" i="59"/>
  <c r="G119" i="59"/>
  <c r="F106" i="59"/>
  <c r="G106" i="59"/>
  <c r="F120" i="59"/>
  <c r="G120" i="59"/>
  <c r="F73" i="59"/>
  <c r="G73" i="59"/>
  <c r="F137" i="59"/>
  <c r="G137" i="59"/>
  <c r="F140" i="59"/>
  <c r="G140" i="59"/>
  <c r="G150" i="59"/>
  <c r="F150" i="59"/>
  <c r="F136" i="59"/>
  <c r="G136" i="59"/>
  <c r="G84" i="59"/>
  <c r="F84" i="59"/>
  <c r="F157" i="59"/>
  <c r="G157" i="59"/>
  <c r="G144" i="59"/>
  <c r="F144" i="59"/>
  <c r="G167" i="59"/>
  <c r="F167" i="59"/>
  <c r="F82" i="59"/>
  <c r="G82" i="59"/>
  <c r="F75" i="59"/>
  <c r="G75" i="59"/>
  <c r="F139" i="59"/>
  <c r="G139" i="59"/>
  <c r="G68" i="59"/>
  <c r="F68" i="59"/>
  <c r="G132" i="59"/>
  <c r="F132" i="59"/>
  <c r="G77" i="59"/>
  <c r="F77" i="59"/>
  <c r="F141" i="59"/>
  <c r="G141" i="59"/>
  <c r="F78" i="59"/>
  <c r="G78" i="59"/>
  <c r="G142" i="59"/>
  <c r="F142" i="59"/>
  <c r="G154" i="59"/>
  <c r="F154" i="59"/>
  <c r="F127" i="59"/>
  <c r="G127" i="59"/>
  <c r="G162" i="59"/>
  <c r="F162" i="59"/>
  <c r="F128" i="59"/>
  <c r="G128" i="59"/>
  <c r="F81" i="59"/>
  <c r="G81" i="59"/>
  <c r="G145" i="59"/>
  <c r="F145" i="59"/>
  <c r="K219" i="59"/>
  <c r="F219" i="59"/>
  <c r="J219" i="59"/>
  <c r="G219" i="59"/>
  <c r="K283" i="59"/>
  <c r="F283" i="59"/>
  <c r="J283" i="59"/>
  <c r="G283" i="59"/>
  <c r="K228" i="59"/>
  <c r="F228" i="59"/>
  <c r="J228" i="59"/>
  <c r="G228" i="59"/>
  <c r="J292" i="59"/>
  <c r="K292" i="59"/>
  <c r="F292" i="59"/>
  <c r="G292" i="59"/>
  <c r="G245" i="59"/>
  <c r="K245" i="59"/>
  <c r="J245" i="59"/>
  <c r="F245" i="59"/>
  <c r="G194" i="59"/>
  <c r="J194" i="59"/>
  <c r="K194" i="59"/>
  <c r="F194" i="59"/>
  <c r="G254" i="59"/>
  <c r="F254" i="59"/>
  <c r="K254" i="59"/>
  <c r="J254" i="59"/>
  <c r="J216" i="59"/>
  <c r="G216" i="59"/>
  <c r="K216" i="59"/>
  <c r="F216" i="59"/>
  <c r="F290" i="59"/>
  <c r="G290" i="59"/>
  <c r="J290" i="59"/>
  <c r="K290" i="59"/>
  <c r="K255" i="59"/>
  <c r="G255" i="59"/>
  <c r="F255" i="59"/>
  <c r="J255" i="59"/>
  <c r="J224" i="59"/>
  <c r="K224" i="59"/>
  <c r="G224" i="59"/>
  <c r="F224" i="59"/>
  <c r="J233" i="59"/>
  <c r="G233" i="59"/>
  <c r="K233" i="59"/>
  <c r="F233" i="59"/>
  <c r="F266" i="59"/>
  <c r="G266" i="59"/>
  <c r="J266" i="59"/>
  <c r="K266" i="59"/>
  <c r="K227" i="59"/>
  <c r="F227" i="59"/>
  <c r="J227" i="59"/>
  <c r="G227" i="59"/>
  <c r="K291" i="59"/>
  <c r="F291" i="59"/>
  <c r="J291" i="59"/>
  <c r="G291" i="59"/>
  <c r="J236" i="59"/>
  <c r="K236" i="59"/>
  <c r="F236" i="59"/>
  <c r="G236" i="59"/>
  <c r="K300" i="59"/>
  <c r="J300" i="59"/>
  <c r="F300" i="59"/>
  <c r="G300" i="59"/>
  <c r="G253" i="59"/>
  <c r="K253" i="59"/>
  <c r="F253" i="59"/>
  <c r="J253" i="59"/>
  <c r="G198" i="59"/>
  <c r="K198" i="59"/>
  <c r="F198" i="59"/>
  <c r="J198" i="59"/>
  <c r="G262" i="59"/>
  <c r="F262" i="59"/>
  <c r="K262" i="59"/>
  <c r="J262" i="59"/>
  <c r="J240" i="59"/>
  <c r="G240" i="59"/>
  <c r="K240" i="59"/>
  <c r="F240" i="59"/>
  <c r="J273" i="59"/>
  <c r="G273" i="59"/>
  <c r="K273" i="59"/>
  <c r="F273" i="59"/>
  <c r="G199" i="59"/>
  <c r="K199" i="59"/>
  <c r="F199" i="59"/>
  <c r="J199" i="59"/>
  <c r="K263" i="59"/>
  <c r="G263" i="59"/>
  <c r="F263" i="59"/>
  <c r="J263" i="59"/>
  <c r="J232" i="59"/>
  <c r="K232" i="59"/>
  <c r="G232" i="59"/>
  <c r="F232" i="59"/>
  <c r="G249" i="59"/>
  <c r="J249" i="59"/>
  <c r="K249" i="59"/>
  <c r="F249" i="59"/>
  <c r="F282" i="59"/>
  <c r="J282" i="59"/>
  <c r="G282" i="59"/>
  <c r="K282" i="59"/>
  <c r="K235" i="59"/>
  <c r="F235" i="59"/>
  <c r="J235" i="59"/>
  <c r="G235" i="59"/>
  <c r="K299" i="59"/>
  <c r="F299" i="59"/>
  <c r="J299" i="59"/>
  <c r="G299" i="59"/>
  <c r="K244" i="59"/>
  <c r="J244" i="59"/>
  <c r="F244" i="59"/>
  <c r="G244" i="59"/>
  <c r="G197" i="59"/>
  <c r="K197" i="59"/>
  <c r="J197" i="59"/>
  <c r="F197" i="59"/>
  <c r="G261" i="59"/>
  <c r="J261" i="59"/>
  <c r="K261" i="59"/>
  <c r="F261" i="59"/>
  <c r="G206" i="59"/>
  <c r="F206" i="59"/>
  <c r="K206" i="59"/>
  <c r="J206" i="59"/>
  <c r="F270" i="59"/>
  <c r="G270" i="59"/>
  <c r="K270" i="59"/>
  <c r="J270" i="59"/>
  <c r="J256" i="59"/>
  <c r="K256" i="59"/>
  <c r="G256" i="59"/>
  <c r="F256" i="59"/>
  <c r="J289" i="59"/>
  <c r="G289" i="59"/>
  <c r="K289" i="59"/>
  <c r="F289" i="59"/>
  <c r="F207" i="59"/>
  <c r="G207" i="59"/>
  <c r="K207" i="59"/>
  <c r="J207" i="59"/>
  <c r="G271" i="59"/>
  <c r="K271" i="59"/>
  <c r="F271" i="59"/>
  <c r="J271" i="59"/>
  <c r="J248" i="59"/>
  <c r="K248" i="59"/>
  <c r="G248" i="59"/>
  <c r="F248" i="59"/>
  <c r="G265" i="59"/>
  <c r="J265" i="59"/>
  <c r="K265" i="59"/>
  <c r="F265" i="59"/>
  <c r="F298" i="59"/>
  <c r="J298" i="59"/>
  <c r="G298" i="59"/>
  <c r="K298" i="59"/>
  <c r="K243" i="59"/>
  <c r="F243" i="59"/>
  <c r="J243" i="59"/>
  <c r="G243" i="59"/>
  <c r="F218" i="59"/>
  <c r="J218" i="59"/>
  <c r="G218" i="59"/>
  <c r="K218" i="59"/>
  <c r="K252" i="59"/>
  <c r="F252" i="59"/>
  <c r="J252" i="59"/>
  <c r="G252" i="59"/>
  <c r="G205" i="59"/>
  <c r="K205" i="59"/>
  <c r="F205" i="59"/>
  <c r="J205" i="59"/>
  <c r="G269" i="59"/>
  <c r="K269" i="59"/>
  <c r="J269" i="59"/>
  <c r="F269" i="59"/>
  <c r="F214" i="59"/>
  <c r="G214" i="59"/>
  <c r="K214" i="59"/>
  <c r="J214" i="59"/>
  <c r="G278" i="59"/>
  <c r="K278" i="59"/>
  <c r="F278" i="59"/>
  <c r="J278" i="59"/>
  <c r="J272" i="59"/>
  <c r="K272" i="59"/>
  <c r="G272" i="59"/>
  <c r="F272" i="59"/>
  <c r="F210" i="59"/>
  <c r="G210" i="59"/>
  <c r="J210" i="59"/>
  <c r="K210" i="59"/>
  <c r="K215" i="59"/>
  <c r="G215" i="59"/>
  <c r="F215" i="59"/>
  <c r="J215" i="59"/>
  <c r="K279" i="59"/>
  <c r="G279" i="59"/>
  <c r="J279" i="59"/>
  <c r="F279" i="59"/>
  <c r="J264" i="59"/>
  <c r="G264" i="59"/>
  <c r="K264" i="59"/>
  <c r="F264" i="59"/>
  <c r="J281" i="59"/>
  <c r="G281" i="59"/>
  <c r="K281" i="59"/>
  <c r="F281" i="59"/>
  <c r="K251" i="59"/>
  <c r="F251" i="59"/>
  <c r="J251" i="59"/>
  <c r="G251" i="59"/>
  <c r="K196" i="59"/>
  <c r="F196" i="59"/>
  <c r="J196" i="59"/>
  <c r="G196" i="59"/>
  <c r="K260" i="59"/>
  <c r="F260" i="59"/>
  <c r="J260" i="59"/>
  <c r="G260" i="59"/>
  <c r="G213" i="59"/>
  <c r="J213" i="59"/>
  <c r="K213" i="59"/>
  <c r="F213" i="59"/>
  <c r="G277" i="59"/>
  <c r="K277" i="59"/>
  <c r="F277" i="59"/>
  <c r="J277" i="59"/>
  <c r="G222" i="59"/>
  <c r="F222" i="59"/>
  <c r="K222" i="59"/>
  <c r="J222" i="59"/>
  <c r="G286" i="59"/>
  <c r="F286" i="59"/>
  <c r="K286" i="59"/>
  <c r="J286" i="59"/>
  <c r="J288" i="59"/>
  <c r="G288" i="59"/>
  <c r="K288" i="59"/>
  <c r="F288" i="59"/>
  <c r="F234" i="59"/>
  <c r="J234" i="59"/>
  <c r="G234" i="59"/>
  <c r="K234" i="59"/>
  <c r="K223" i="59"/>
  <c r="G223" i="59"/>
  <c r="F223" i="59"/>
  <c r="J223" i="59"/>
  <c r="G287" i="59"/>
  <c r="K287" i="59"/>
  <c r="F287" i="59"/>
  <c r="J287" i="59"/>
  <c r="J280" i="59"/>
  <c r="K280" i="59"/>
  <c r="G280" i="59"/>
  <c r="F280" i="59"/>
  <c r="G297" i="59"/>
  <c r="J297" i="59"/>
  <c r="K297" i="59"/>
  <c r="F297" i="59"/>
  <c r="K259" i="59"/>
  <c r="F259" i="59"/>
  <c r="J259" i="59"/>
  <c r="G259" i="59"/>
  <c r="K204" i="59"/>
  <c r="J204" i="59"/>
  <c r="F204" i="59"/>
  <c r="G204" i="59"/>
  <c r="J268" i="59"/>
  <c r="K268" i="59"/>
  <c r="F268" i="59"/>
  <c r="G268" i="59"/>
  <c r="G221" i="59"/>
  <c r="K221" i="59"/>
  <c r="J221" i="59"/>
  <c r="F221" i="59"/>
  <c r="G285" i="59"/>
  <c r="J285" i="59"/>
  <c r="K285" i="59"/>
  <c r="F285" i="59"/>
  <c r="G230" i="59"/>
  <c r="F230" i="59"/>
  <c r="K230" i="59"/>
  <c r="J230" i="59"/>
  <c r="F294" i="59"/>
  <c r="G294" i="59"/>
  <c r="K294" i="59"/>
  <c r="J294" i="59"/>
  <c r="G201" i="59"/>
  <c r="F250" i="59"/>
  <c r="J250" i="59"/>
  <c r="G250" i="59"/>
  <c r="K250" i="59"/>
  <c r="K231" i="59"/>
  <c r="G231" i="59"/>
  <c r="F231" i="59"/>
  <c r="J231" i="59"/>
  <c r="K295" i="59"/>
  <c r="G295" i="59"/>
  <c r="J295" i="59"/>
  <c r="F295" i="59"/>
  <c r="J296" i="59"/>
  <c r="K296" i="59"/>
  <c r="G296" i="59"/>
  <c r="F296" i="59"/>
  <c r="F202" i="59"/>
  <c r="J202" i="59"/>
  <c r="G202" i="59"/>
  <c r="K202" i="59"/>
  <c r="J257" i="59"/>
  <c r="G257" i="59"/>
  <c r="K257" i="59"/>
  <c r="F257" i="59"/>
  <c r="K203" i="59"/>
  <c r="F203" i="59"/>
  <c r="J203" i="59"/>
  <c r="G203" i="59"/>
  <c r="K267" i="59"/>
  <c r="F267" i="59"/>
  <c r="J267" i="59"/>
  <c r="G267" i="59"/>
  <c r="J212" i="59"/>
  <c r="K212" i="59"/>
  <c r="F212" i="59"/>
  <c r="G212" i="59"/>
  <c r="K276" i="59"/>
  <c r="J276" i="59"/>
  <c r="F276" i="59"/>
  <c r="G276" i="59"/>
  <c r="G229" i="59"/>
  <c r="K229" i="59"/>
  <c r="F229" i="59"/>
  <c r="J229" i="59"/>
  <c r="G293" i="59"/>
  <c r="K293" i="59"/>
  <c r="J293" i="59"/>
  <c r="F293" i="59"/>
  <c r="G238" i="59"/>
  <c r="K238" i="59"/>
  <c r="F238" i="59"/>
  <c r="J238" i="59"/>
  <c r="J225" i="59"/>
  <c r="G225" i="59"/>
  <c r="K225" i="59"/>
  <c r="F225" i="59"/>
  <c r="F258" i="59"/>
  <c r="J258" i="59"/>
  <c r="G258" i="59"/>
  <c r="K258" i="59"/>
  <c r="K239" i="59"/>
  <c r="G239" i="59"/>
  <c r="J239" i="59"/>
  <c r="F239" i="59"/>
  <c r="J209" i="59"/>
  <c r="G209" i="59"/>
  <c r="K209" i="59"/>
  <c r="F209" i="59"/>
  <c r="F226" i="59"/>
  <c r="J226" i="59"/>
  <c r="G226" i="59"/>
  <c r="K226" i="59"/>
  <c r="K211" i="59"/>
  <c r="F211" i="59"/>
  <c r="J211" i="59"/>
  <c r="G211" i="59"/>
  <c r="K275" i="59"/>
  <c r="F275" i="59"/>
  <c r="J275" i="59"/>
  <c r="G275" i="59"/>
  <c r="K220" i="59"/>
  <c r="F220" i="59"/>
  <c r="J220" i="59"/>
  <c r="G220" i="59"/>
  <c r="K284" i="59"/>
  <c r="F284" i="59"/>
  <c r="J284" i="59"/>
  <c r="G284" i="59"/>
  <c r="G237" i="59"/>
  <c r="J237" i="59"/>
  <c r="K237" i="59"/>
  <c r="F237" i="59"/>
  <c r="F246" i="59"/>
  <c r="G246" i="59"/>
  <c r="K246" i="59"/>
  <c r="J246" i="59"/>
  <c r="J208" i="59"/>
  <c r="K208" i="59"/>
  <c r="G208" i="59"/>
  <c r="F208" i="59"/>
  <c r="J241" i="59"/>
  <c r="G241" i="59"/>
  <c r="K241" i="59"/>
  <c r="F241" i="59"/>
  <c r="F274" i="59"/>
  <c r="J274" i="59"/>
  <c r="G274" i="59"/>
  <c r="K274" i="59"/>
  <c r="G247" i="59"/>
  <c r="K247" i="59"/>
  <c r="J247" i="59"/>
  <c r="F247" i="59"/>
  <c r="J200" i="59"/>
  <c r="K200" i="59"/>
  <c r="G200" i="59"/>
  <c r="F200" i="59"/>
  <c r="G217" i="59"/>
  <c r="J217" i="59"/>
  <c r="K217" i="59"/>
  <c r="F217" i="59"/>
  <c r="F242" i="59"/>
  <c r="G242" i="59"/>
  <c r="J242" i="59"/>
  <c r="K242" i="59"/>
  <c r="H298" i="59"/>
  <c r="E171" i="59" s="1"/>
  <c r="I298" i="59"/>
  <c r="H252" i="59"/>
  <c r="E125" i="59" s="1"/>
  <c r="I252" i="59"/>
  <c r="H222" i="59"/>
  <c r="E95" i="59" s="1"/>
  <c r="I222" i="59"/>
  <c r="H242" i="59"/>
  <c r="E115" i="59" s="1"/>
  <c r="I242" i="59"/>
  <c r="H245" i="59"/>
  <c r="E118" i="59" s="1"/>
  <c r="I245" i="59"/>
  <c r="H206" i="59"/>
  <c r="E79" i="59" s="1"/>
  <c r="I206" i="59"/>
  <c r="H281" i="59"/>
  <c r="E154" i="59" s="1"/>
  <c r="I281" i="59"/>
  <c r="H231" i="59"/>
  <c r="E104" i="59" s="1"/>
  <c r="I231" i="59"/>
  <c r="H295" i="59"/>
  <c r="E168" i="59" s="1"/>
  <c r="I295" i="59"/>
  <c r="H248" i="59"/>
  <c r="E121" i="59" s="1"/>
  <c r="I248" i="59"/>
  <c r="H297" i="59"/>
  <c r="E170" i="59" s="1"/>
  <c r="I297" i="59"/>
  <c r="H211" i="59"/>
  <c r="E84" i="59" s="1"/>
  <c r="I211" i="59"/>
  <c r="H275" i="59"/>
  <c r="E148" i="59" s="1"/>
  <c r="I275" i="59"/>
  <c r="H296" i="59"/>
  <c r="E169" i="59" s="1"/>
  <c r="I296" i="59"/>
  <c r="H196" i="59"/>
  <c r="E69" i="59" s="1"/>
  <c r="I196" i="59"/>
  <c r="H260" i="59"/>
  <c r="E133" i="59" s="1"/>
  <c r="I260" i="59"/>
  <c r="H238" i="59"/>
  <c r="E111" i="59" s="1"/>
  <c r="I238" i="59"/>
  <c r="H290" i="59"/>
  <c r="E163" i="59" s="1"/>
  <c r="I290" i="59"/>
  <c r="H253" i="59"/>
  <c r="E126" i="59" s="1"/>
  <c r="I253" i="59"/>
  <c r="H230" i="59"/>
  <c r="E103" i="59" s="1"/>
  <c r="I230" i="59"/>
  <c r="H218" i="59"/>
  <c r="E91" i="59" s="1"/>
  <c r="I218" i="59"/>
  <c r="H239" i="59"/>
  <c r="E112" i="59" s="1"/>
  <c r="I239" i="59"/>
  <c r="H256" i="59"/>
  <c r="E129" i="59" s="1"/>
  <c r="I256" i="59"/>
  <c r="H210" i="59"/>
  <c r="E83" i="59" s="1"/>
  <c r="I210" i="59"/>
  <c r="H247" i="59"/>
  <c r="E120" i="59" s="1"/>
  <c r="I247" i="59"/>
  <c r="H227" i="59"/>
  <c r="E100" i="59" s="1"/>
  <c r="I227" i="59"/>
  <c r="H291" i="59"/>
  <c r="E164" i="59" s="1"/>
  <c r="I291" i="59"/>
  <c r="H249" i="59"/>
  <c r="E122" i="59" s="1"/>
  <c r="I249" i="59"/>
  <c r="H212" i="59"/>
  <c r="E85" i="59" s="1"/>
  <c r="I212" i="59"/>
  <c r="H276" i="59"/>
  <c r="E149" i="59" s="1"/>
  <c r="I276" i="59"/>
  <c r="H286" i="59"/>
  <c r="E159" i="59" s="1"/>
  <c r="I286" i="59"/>
  <c r="H205" i="59"/>
  <c r="E78" i="59" s="1"/>
  <c r="I205" i="59"/>
  <c r="H269" i="59"/>
  <c r="E142" i="59" s="1"/>
  <c r="I269" i="59"/>
  <c r="H270" i="59"/>
  <c r="E143" i="59" s="1"/>
  <c r="I270" i="59"/>
  <c r="H274" i="59"/>
  <c r="E147" i="59" s="1"/>
  <c r="I274" i="59"/>
  <c r="H255" i="59"/>
  <c r="E128" i="59" s="1"/>
  <c r="I255" i="59"/>
  <c r="H208" i="59"/>
  <c r="E81" i="59" s="1"/>
  <c r="I208" i="59"/>
  <c r="H272" i="59"/>
  <c r="E145" i="59" s="1"/>
  <c r="I272" i="59"/>
  <c r="H258" i="59"/>
  <c r="E131" i="59" s="1"/>
  <c r="I258" i="59"/>
  <c r="H203" i="59"/>
  <c r="E76" i="59" s="1"/>
  <c r="I203" i="59"/>
  <c r="H204" i="59"/>
  <c r="E77" i="59" s="1"/>
  <c r="I204" i="59"/>
  <c r="H264" i="59"/>
  <c r="E137" i="59" s="1"/>
  <c r="I264" i="59"/>
  <c r="H235" i="59"/>
  <c r="E108" i="59" s="1"/>
  <c r="I235" i="59"/>
  <c r="H299" i="59"/>
  <c r="E172" i="59" s="1"/>
  <c r="I299" i="59"/>
  <c r="H289" i="59"/>
  <c r="E162" i="59" s="1"/>
  <c r="I289" i="59"/>
  <c r="H220" i="59"/>
  <c r="E93" i="59" s="1"/>
  <c r="I220" i="59"/>
  <c r="H284" i="59"/>
  <c r="E157" i="59" s="1"/>
  <c r="I284" i="59"/>
  <c r="H280" i="59"/>
  <c r="E153" i="59" s="1"/>
  <c r="I280" i="59"/>
  <c r="H213" i="59"/>
  <c r="E86" i="59" s="1"/>
  <c r="I213" i="59"/>
  <c r="H277" i="59"/>
  <c r="E150" i="59" s="1"/>
  <c r="I277" i="59"/>
  <c r="E167" i="59"/>
  <c r="H199" i="59"/>
  <c r="E72" i="59" s="1"/>
  <c r="I199" i="59"/>
  <c r="H263" i="59"/>
  <c r="E136" i="59" s="1"/>
  <c r="I263" i="59"/>
  <c r="H216" i="59"/>
  <c r="E89" i="59" s="1"/>
  <c r="I216" i="59"/>
  <c r="H288" i="59"/>
  <c r="E161" i="59" s="1"/>
  <c r="I288" i="59"/>
  <c r="H282" i="59"/>
  <c r="E155" i="59" s="1"/>
  <c r="I282" i="59"/>
  <c r="E140" i="59"/>
  <c r="H201" i="59"/>
  <c r="E74" i="59" s="1"/>
  <c r="I201" i="59"/>
  <c r="H226" i="59"/>
  <c r="E99" i="59" s="1"/>
  <c r="I226" i="59"/>
  <c r="H243" i="59"/>
  <c r="E116" i="59" s="1"/>
  <c r="I243" i="59"/>
  <c r="H214" i="59"/>
  <c r="E87" i="59" s="1"/>
  <c r="I214" i="59"/>
  <c r="H202" i="59"/>
  <c r="E75" i="59" s="1"/>
  <c r="I202" i="59"/>
  <c r="H228" i="59"/>
  <c r="E101" i="59" s="1"/>
  <c r="I228" i="59"/>
  <c r="H292" i="59"/>
  <c r="E165" i="59" s="1"/>
  <c r="I292" i="59"/>
  <c r="H225" i="59"/>
  <c r="E98" i="59" s="1"/>
  <c r="I225" i="59"/>
  <c r="H221" i="59"/>
  <c r="E94" i="59" s="1"/>
  <c r="I221" i="59"/>
  <c r="H285" i="59"/>
  <c r="E158" i="59" s="1"/>
  <c r="I285" i="59"/>
  <c r="H209" i="59"/>
  <c r="E82" i="59" s="1"/>
  <c r="I209" i="59"/>
  <c r="H207" i="59"/>
  <c r="E80" i="59" s="1"/>
  <c r="I207" i="59"/>
  <c r="H271" i="59"/>
  <c r="E144" i="59" s="1"/>
  <c r="I271" i="59"/>
  <c r="H224" i="59"/>
  <c r="E97" i="59" s="1"/>
  <c r="I224" i="59"/>
  <c r="H217" i="59"/>
  <c r="E90" i="59" s="1"/>
  <c r="I217" i="59"/>
  <c r="H283" i="59"/>
  <c r="E156" i="59" s="1"/>
  <c r="I283" i="59"/>
  <c r="H197" i="59"/>
  <c r="E70" i="59" s="1"/>
  <c r="I197" i="59"/>
  <c r="H200" i="59"/>
  <c r="E73" i="59" s="1"/>
  <c r="I200" i="59"/>
  <c r="H251" i="59"/>
  <c r="E124" i="59" s="1"/>
  <c r="I251" i="59"/>
  <c r="H254" i="59"/>
  <c r="E127" i="59" s="1"/>
  <c r="I254" i="59"/>
  <c r="H234" i="59"/>
  <c r="E107" i="59" s="1"/>
  <c r="I234" i="59"/>
  <c r="H236" i="59"/>
  <c r="E109" i="59" s="1"/>
  <c r="I236" i="59"/>
  <c r="H300" i="59"/>
  <c r="E173" i="59" s="1"/>
  <c r="I300" i="59"/>
  <c r="H265" i="59"/>
  <c r="E138" i="59" s="1"/>
  <c r="I265" i="59"/>
  <c r="H229" i="59"/>
  <c r="E102" i="59" s="1"/>
  <c r="I229" i="59"/>
  <c r="H293" i="59"/>
  <c r="E166" i="59" s="1"/>
  <c r="I293" i="59"/>
  <c r="H233" i="59"/>
  <c r="E106" i="59" s="1"/>
  <c r="I233" i="59"/>
  <c r="H215" i="59"/>
  <c r="E88" i="59" s="1"/>
  <c r="I215" i="59"/>
  <c r="H279" i="59"/>
  <c r="E152" i="59" s="1"/>
  <c r="I279" i="59"/>
  <c r="H232" i="59"/>
  <c r="E105" i="59" s="1"/>
  <c r="I232" i="59"/>
  <c r="H241" i="59"/>
  <c r="E114" i="59" s="1"/>
  <c r="I241" i="59"/>
  <c r="H219" i="59"/>
  <c r="E92" i="59" s="1"/>
  <c r="I219" i="59"/>
  <c r="H268" i="59"/>
  <c r="E141" i="59" s="1"/>
  <c r="I268" i="59"/>
  <c r="H262" i="59"/>
  <c r="E135" i="59" s="1"/>
  <c r="I262" i="59"/>
  <c r="H261" i="59"/>
  <c r="E134" i="59" s="1"/>
  <c r="I261" i="59"/>
  <c r="H246" i="59"/>
  <c r="E119" i="59" s="1"/>
  <c r="I246" i="59"/>
  <c r="H250" i="59"/>
  <c r="E123" i="59" s="1"/>
  <c r="I250" i="59"/>
  <c r="H259" i="59"/>
  <c r="E132" i="59" s="1"/>
  <c r="I259" i="59"/>
  <c r="H278" i="59"/>
  <c r="E151" i="59" s="1"/>
  <c r="I278" i="59"/>
  <c r="H266" i="59"/>
  <c r="E139" i="59" s="1"/>
  <c r="I266" i="59"/>
  <c r="H244" i="59"/>
  <c r="E117" i="59" s="1"/>
  <c r="I244" i="59"/>
  <c r="H198" i="59"/>
  <c r="E71" i="59" s="1"/>
  <c r="I198" i="59"/>
  <c r="I194" i="59"/>
  <c r="H237" i="59"/>
  <c r="E110" i="59" s="1"/>
  <c r="I237" i="59"/>
  <c r="H301" i="59"/>
  <c r="E174" i="59" s="1"/>
  <c r="J301" i="59"/>
  <c r="K301" i="59"/>
  <c r="I301" i="59"/>
  <c r="H257" i="59"/>
  <c r="E130" i="59" s="1"/>
  <c r="I257" i="59"/>
  <c r="H223" i="59"/>
  <c r="E96" i="59" s="1"/>
  <c r="I223" i="59"/>
  <c r="H287" i="59"/>
  <c r="E160" i="59" s="1"/>
  <c r="I287" i="59"/>
  <c r="H240" i="59"/>
  <c r="E113" i="59" s="1"/>
  <c r="I240" i="59"/>
  <c r="H273" i="59"/>
  <c r="E146" i="59" s="1"/>
  <c r="I273" i="59"/>
  <c r="H194" i="59"/>
  <c r="CY38" i="60" l="1"/>
  <c r="DK28" i="60"/>
  <c r="DK27" i="60" s="1"/>
  <c r="DK97" i="60" s="1"/>
  <c r="AK100" i="60"/>
  <c r="DB100" i="60"/>
  <c r="DB98" i="60" s="1"/>
  <c r="BO100" i="60"/>
  <c r="DJ80" i="60"/>
  <c r="DJ87" i="60" s="1"/>
  <c r="DJ65" i="60"/>
  <c r="DD80" i="60"/>
  <c r="DD83" i="60" s="1"/>
  <c r="DD65" i="60"/>
  <c r="DF65" i="60"/>
  <c r="DF80" i="60"/>
  <c r="DF87" i="60" s="1"/>
  <c r="DI80" i="60"/>
  <c r="DI65" i="60"/>
  <c r="DL65" i="60"/>
  <c r="DL80" i="60"/>
  <c r="DL87" i="60" s="1"/>
  <c r="DN65" i="60"/>
  <c r="DN80" i="60"/>
  <c r="DN87" i="60" s="1"/>
  <c r="DE80" i="60"/>
  <c r="DE65" i="60"/>
  <c r="DG80" i="60"/>
  <c r="DG87" i="60" s="1"/>
  <c r="DG65" i="60"/>
  <c r="DH80" i="60"/>
  <c r="DH83" i="60" s="1"/>
  <c r="DH65" i="60"/>
  <c r="DB80" i="60"/>
  <c r="DB87" i="60" s="1"/>
  <c r="DB65" i="60"/>
  <c r="DC65" i="60"/>
  <c r="DC80" i="60"/>
  <c r="DC87" i="60" s="1"/>
  <c r="DM80" i="60"/>
  <c r="DM87" i="60" s="1"/>
  <c r="DM65" i="60"/>
  <c r="DK80" i="60"/>
  <c r="DK83" i="60" s="1"/>
  <c r="DK65" i="60"/>
  <c r="DI28" i="60"/>
  <c r="DI27" i="60" s="1"/>
  <c r="DI97" i="60" s="1"/>
  <c r="CS38" i="60"/>
  <c r="CS40" i="60" s="1"/>
  <c r="CS34" i="60" s="1"/>
  <c r="CS44" i="60" s="1"/>
  <c r="CS50" i="60" s="1"/>
  <c r="CT38" i="60"/>
  <c r="CT40" i="60" s="1"/>
  <c r="CT34" i="60" s="1"/>
  <c r="CT44" i="60" s="1"/>
  <c r="CT50" i="60" s="1"/>
  <c r="BQ100" i="60"/>
  <c r="T100" i="60"/>
  <c r="DH100" i="60"/>
  <c r="DH98" i="60" s="1"/>
  <c r="DG100" i="60"/>
  <c r="DG98" i="60" s="1"/>
  <c r="DC100" i="60"/>
  <c r="DC98" i="60" s="1"/>
  <c r="DD28" i="60"/>
  <c r="DD27" i="60" s="1"/>
  <c r="DD97" i="60" s="1"/>
  <c r="AF100" i="60"/>
  <c r="BV28" i="60"/>
  <c r="BN100" i="60"/>
  <c r="CV38" i="60"/>
  <c r="CV40" i="60" s="1"/>
  <c r="CV34" i="60" s="1"/>
  <c r="CV44" i="60" s="1"/>
  <c r="CV49" i="60" s="1"/>
  <c r="BJ100" i="60"/>
  <c r="U100" i="60"/>
  <c r="CY40" i="60"/>
  <c r="CY34" i="60" s="1"/>
  <c r="CY44" i="60" s="1"/>
  <c r="CY51" i="60" s="1"/>
  <c r="AL100" i="60"/>
  <c r="V100" i="60"/>
  <c r="DF100" i="60"/>
  <c r="DF98" i="60" s="1"/>
  <c r="AM100" i="60"/>
  <c r="BW28" i="60"/>
  <c r="DA38" i="60"/>
  <c r="DA40" i="60" s="1"/>
  <c r="DA34" i="60" s="1"/>
  <c r="DA44" i="60" s="1"/>
  <c r="DA50" i="60" s="1"/>
  <c r="AG100" i="60"/>
  <c r="DM100" i="60"/>
  <c r="DM98" i="60" s="1"/>
  <c r="S28" i="60"/>
  <c r="S100" i="60"/>
  <c r="CU38" i="60"/>
  <c r="CU40" i="60" s="1"/>
  <c r="CU34" i="60" s="1"/>
  <c r="CU44" i="60" s="1"/>
  <c r="DE83" i="60"/>
  <c r="DL28" i="60"/>
  <c r="DL27" i="60" s="1"/>
  <c r="DL97" i="60" s="1"/>
  <c r="CW38" i="60"/>
  <c r="CW40" i="60" s="1"/>
  <c r="CW34" i="60" s="1"/>
  <c r="CW44" i="60" s="1"/>
  <c r="CX38" i="60"/>
  <c r="CX40" i="60" s="1"/>
  <c r="CX34" i="60" s="1"/>
  <c r="CX44" i="60" s="1"/>
  <c r="CX51" i="60" s="1"/>
  <c r="AN100" i="60"/>
  <c r="AN28" i="60"/>
  <c r="CZ44" i="60"/>
  <c r="CZ49" i="60" s="1"/>
  <c r="BL100" i="60"/>
  <c r="BL28" i="60"/>
  <c r="M446" i="59"/>
  <c r="G656" i="59"/>
  <c r="M380" i="59"/>
  <c r="V380" i="59" s="1"/>
  <c r="G590" i="59"/>
  <c r="M363" i="59"/>
  <c r="AE363" i="59" s="1"/>
  <c r="G573" i="59"/>
  <c r="M383" i="59"/>
  <c r="AE383" i="59" s="1"/>
  <c r="G593" i="59"/>
  <c r="M442" i="59"/>
  <c r="AD442" i="59" s="1"/>
  <c r="G652" i="59"/>
  <c r="M462" i="59"/>
  <c r="AB462" i="59" s="1"/>
  <c r="G672" i="59"/>
  <c r="M397" i="59"/>
  <c r="AD397" i="59" s="1"/>
  <c r="G607" i="59"/>
  <c r="M384" i="59"/>
  <c r="AC384" i="59" s="1"/>
  <c r="G594" i="59"/>
  <c r="M422" i="59"/>
  <c r="AD422" i="59" s="1"/>
  <c r="G632" i="59"/>
  <c r="M362" i="59"/>
  <c r="Z362" i="59" s="1"/>
  <c r="G572" i="59"/>
  <c r="M396" i="59"/>
  <c r="AB396" i="59" s="1"/>
  <c r="G606" i="59"/>
  <c r="M415" i="59"/>
  <c r="AE415" i="59" s="1"/>
  <c r="G625" i="59"/>
  <c r="M361" i="59"/>
  <c r="V361" i="59" s="1"/>
  <c r="G571" i="59"/>
  <c r="M440" i="59"/>
  <c r="AC440" i="59" s="1"/>
  <c r="G650" i="59"/>
  <c r="M381" i="59"/>
  <c r="AE381" i="59" s="1"/>
  <c r="G591" i="59"/>
  <c r="M370" i="59"/>
  <c r="AB370" i="59" s="1"/>
  <c r="G580" i="59"/>
  <c r="M423" i="59"/>
  <c r="AE423" i="59" s="1"/>
  <c r="G633" i="59"/>
  <c r="M436" i="59"/>
  <c r="AE436" i="59" s="1"/>
  <c r="G646" i="59"/>
  <c r="M394" i="59"/>
  <c r="Y394" i="59" s="1"/>
  <c r="G604" i="59"/>
  <c r="M382" i="59"/>
  <c r="AE382" i="59" s="1"/>
  <c r="G592" i="59"/>
  <c r="M364" i="59"/>
  <c r="Z364" i="59" s="1"/>
  <c r="G574" i="59"/>
  <c r="M434" i="59"/>
  <c r="Y434" i="59" s="1"/>
  <c r="G644" i="59"/>
  <c r="M424" i="59"/>
  <c r="AC424" i="59" s="1"/>
  <c r="G634" i="59"/>
  <c r="M463" i="59"/>
  <c r="AE463" i="59" s="1"/>
  <c r="G673" i="59"/>
  <c r="M377" i="59"/>
  <c r="T377" i="59" s="1"/>
  <c r="G587" i="59"/>
  <c r="M403" i="59"/>
  <c r="AF403" i="59" s="1"/>
  <c r="G613" i="59"/>
  <c r="M390" i="59"/>
  <c r="AF390" i="59" s="1"/>
  <c r="G600" i="59"/>
  <c r="M452" i="59"/>
  <c r="AF452" i="59" s="1"/>
  <c r="G662" i="59"/>
  <c r="M410" i="59"/>
  <c r="AF410" i="59" s="1"/>
  <c r="G620" i="59"/>
  <c r="M450" i="59"/>
  <c r="AC450" i="59" s="1"/>
  <c r="G660" i="59"/>
  <c r="M430" i="59"/>
  <c r="AF430" i="59" s="1"/>
  <c r="G640" i="59"/>
  <c r="M427" i="59"/>
  <c r="AA427" i="59" s="1"/>
  <c r="G637" i="59"/>
  <c r="M411" i="59"/>
  <c r="AC411" i="59" s="1"/>
  <c r="G621" i="59"/>
  <c r="M456" i="59"/>
  <c r="AB456" i="59" s="1"/>
  <c r="G666" i="59"/>
  <c r="M420" i="59"/>
  <c r="AA420" i="59" s="1"/>
  <c r="G630" i="59"/>
  <c r="M465" i="59"/>
  <c r="AC465" i="59" s="1"/>
  <c r="G675" i="59"/>
  <c r="M399" i="59"/>
  <c r="AB399" i="59" s="1"/>
  <c r="G609" i="59"/>
  <c r="M375" i="59"/>
  <c r="AC375" i="59" s="1"/>
  <c r="G585" i="59"/>
  <c r="M459" i="59"/>
  <c r="W459" i="59" s="1"/>
  <c r="G669" i="59"/>
  <c r="M385" i="59"/>
  <c r="AC385" i="59" s="1"/>
  <c r="G595" i="59"/>
  <c r="M365" i="59"/>
  <c r="AB365" i="59" s="1"/>
  <c r="G575" i="59"/>
  <c r="M419" i="59"/>
  <c r="AD419" i="59" s="1"/>
  <c r="G629" i="59"/>
  <c r="M447" i="59"/>
  <c r="V447" i="59" s="1"/>
  <c r="G657" i="59"/>
  <c r="M379" i="59"/>
  <c r="AA379" i="59" s="1"/>
  <c r="G589" i="59"/>
  <c r="M417" i="59"/>
  <c r="AF417" i="59" s="1"/>
  <c r="G627" i="59"/>
  <c r="M453" i="59"/>
  <c r="Y453" i="59" s="1"/>
  <c r="G663" i="59"/>
  <c r="M378" i="59"/>
  <c r="AF378" i="59" s="1"/>
  <c r="G588" i="59"/>
  <c r="M398" i="59"/>
  <c r="AE398" i="59" s="1"/>
  <c r="G608" i="59"/>
  <c r="M458" i="59"/>
  <c r="AD458" i="59" s="1"/>
  <c r="G668" i="59"/>
  <c r="M401" i="59"/>
  <c r="AB401" i="59" s="1"/>
  <c r="G611" i="59"/>
  <c r="M437" i="59"/>
  <c r="Y437" i="59" s="1"/>
  <c r="G647" i="59"/>
  <c r="M367" i="59"/>
  <c r="AC367" i="59" s="1"/>
  <c r="G577" i="59"/>
  <c r="M388" i="59"/>
  <c r="AB388" i="59" s="1"/>
  <c r="G598" i="59"/>
  <c r="M433" i="59"/>
  <c r="X433" i="59" s="1"/>
  <c r="G643" i="59"/>
  <c r="M408" i="59"/>
  <c r="AC408" i="59" s="1"/>
  <c r="G618" i="59"/>
  <c r="M366" i="59"/>
  <c r="AC366" i="59" s="1"/>
  <c r="G576" i="59"/>
  <c r="M464" i="59"/>
  <c r="AA464" i="59" s="1"/>
  <c r="G674" i="59"/>
  <c r="M374" i="59"/>
  <c r="AE374" i="59" s="1"/>
  <c r="G584" i="59"/>
  <c r="M467" i="59"/>
  <c r="AC467" i="59" s="1"/>
  <c r="G677" i="59"/>
  <c r="M405" i="59"/>
  <c r="AE405" i="59" s="1"/>
  <c r="G615" i="59"/>
  <c r="M372" i="59"/>
  <c r="AB372" i="59" s="1"/>
  <c r="G582" i="59"/>
  <c r="M392" i="59"/>
  <c r="AC392" i="59" s="1"/>
  <c r="G602" i="59"/>
  <c r="M412" i="59"/>
  <c r="AB412" i="59" s="1"/>
  <c r="G622" i="59"/>
  <c r="M466" i="59"/>
  <c r="Y466" i="59" s="1"/>
  <c r="G676" i="59"/>
  <c r="M432" i="59"/>
  <c r="U432" i="59" s="1"/>
  <c r="G642" i="59"/>
  <c r="M407" i="59"/>
  <c r="AB407" i="59" s="1"/>
  <c r="G617" i="59"/>
  <c r="M443" i="59"/>
  <c r="AB443" i="59" s="1"/>
  <c r="G653" i="59"/>
  <c r="M387" i="59"/>
  <c r="AA387" i="59" s="1"/>
  <c r="G597" i="59"/>
  <c r="M406" i="59"/>
  <c r="AE406" i="59" s="1"/>
  <c r="G616" i="59"/>
  <c r="M371" i="59"/>
  <c r="Y371" i="59" s="1"/>
  <c r="G581" i="59"/>
  <c r="M421" i="59"/>
  <c r="AF421" i="59" s="1"/>
  <c r="G631" i="59"/>
  <c r="M444" i="59"/>
  <c r="AF444" i="59" s="1"/>
  <c r="G654" i="59"/>
  <c r="M402" i="59"/>
  <c r="AE402" i="59" s="1"/>
  <c r="G612" i="59"/>
  <c r="M368" i="59"/>
  <c r="AA368" i="59" s="1"/>
  <c r="G578" i="59"/>
  <c r="M435" i="59"/>
  <c r="AF435" i="59" s="1"/>
  <c r="G645" i="59"/>
  <c r="M461" i="59"/>
  <c r="AE461" i="59" s="1"/>
  <c r="G671" i="59"/>
  <c r="M448" i="59"/>
  <c r="Y448" i="59" s="1"/>
  <c r="G658" i="59"/>
  <c r="M426" i="59"/>
  <c r="AB426" i="59" s="1"/>
  <c r="G636" i="59"/>
  <c r="M460" i="59"/>
  <c r="AC460" i="59" s="1"/>
  <c r="G670" i="59"/>
  <c r="M418" i="59"/>
  <c r="Y418" i="59" s="1"/>
  <c r="G628" i="59"/>
  <c r="M425" i="59"/>
  <c r="AB425" i="59" s="1"/>
  <c r="G635" i="59"/>
  <c r="M445" i="59"/>
  <c r="AE445" i="59" s="1"/>
  <c r="G655" i="59"/>
  <c r="M391" i="59"/>
  <c r="U391" i="59" s="1"/>
  <c r="G601" i="59"/>
  <c r="M389" i="59"/>
  <c r="AE389" i="59" s="1"/>
  <c r="G599" i="59"/>
  <c r="M457" i="59"/>
  <c r="AF457" i="59" s="1"/>
  <c r="G667" i="59"/>
  <c r="M428" i="59"/>
  <c r="X428" i="59" s="1"/>
  <c r="G638" i="59"/>
  <c r="M386" i="59"/>
  <c r="Y386" i="59" s="1"/>
  <c r="G596" i="59"/>
  <c r="M373" i="59"/>
  <c r="AC373" i="59" s="1"/>
  <c r="G583" i="59"/>
  <c r="M441" i="59"/>
  <c r="AE441" i="59" s="1"/>
  <c r="G651" i="59"/>
  <c r="M451" i="59"/>
  <c r="AD451" i="59" s="1"/>
  <c r="G661" i="59"/>
  <c r="M439" i="59"/>
  <c r="AB439" i="59" s="1"/>
  <c r="G649" i="59"/>
  <c r="M369" i="59"/>
  <c r="AD369" i="59" s="1"/>
  <c r="G579" i="59"/>
  <c r="M413" i="59"/>
  <c r="AE413" i="59" s="1"/>
  <c r="G623" i="59"/>
  <c r="M400" i="59"/>
  <c r="AD400" i="59" s="1"/>
  <c r="G610" i="59"/>
  <c r="M431" i="59"/>
  <c r="Z431" i="59" s="1"/>
  <c r="G641" i="59"/>
  <c r="M393" i="59"/>
  <c r="AC393" i="59" s="1"/>
  <c r="G603" i="59"/>
  <c r="M414" i="59"/>
  <c r="AD414" i="59" s="1"/>
  <c r="G624" i="59"/>
  <c r="M395" i="59"/>
  <c r="AA395" i="59" s="1"/>
  <c r="G605" i="59"/>
  <c r="M454" i="59"/>
  <c r="AE454" i="59" s="1"/>
  <c r="G664" i="59"/>
  <c r="M455" i="59"/>
  <c r="AE455" i="59" s="1"/>
  <c r="G665" i="59"/>
  <c r="M376" i="59"/>
  <c r="AA376" i="59" s="1"/>
  <c r="G586" i="59"/>
  <c r="M409" i="59"/>
  <c r="AF409" i="59" s="1"/>
  <c r="G619" i="59"/>
  <c r="M438" i="59"/>
  <c r="AB438" i="59" s="1"/>
  <c r="G648" i="59"/>
  <c r="M404" i="59"/>
  <c r="AF404" i="59" s="1"/>
  <c r="G614" i="59"/>
  <c r="M449" i="59"/>
  <c r="Z449" i="59" s="1"/>
  <c r="G659" i="59"/>
  <c r="M429" i="59"/>
  <c r="AF429" i="59" s="1"/>
  <c r="G639" i="59"/>
  <c r="M416" i="59"/>
  <c r="V416" i="59" s="1"/>
  <c r="G626" i="59"/>
  <c r="CG38" i="60"/>
  <c r="CG40" i="60" s="1"/>
  <c r="CG34" i="60" s="1"/>
  <c r="CR28" i="60"/>
  <c r="CR27" i="60" s="1"/>
  <c r="CR97" i="60" s="1"/>
  <c r="BR28" i="60"/>
  <c r="BR100" i="60"/>
  <c r="DN98" i="60"/>
  <c r="CI28" i="60"/>
  <c r="CI27" i="60" s="1"/>
  <c r="CG28" i="60"/>
  <c r="CG27" i="60" s="1"/>
  <c r="CG97" i="60" s="1"/>
  <c r="CN28" i="60"/>
  <c r="CN27" i="60" s="1"/>
  <c r="CN97" i="60" s="1"/>
  <c r="AA450" i="59"/>
  <c r="AB450" i="59"/>
  <c r="X450" i="59"/>
  <c r="AD450" i="59"/>
  <c r="Y456" i="59"/>
  <c r="Y419" i="59"/>
  <c r="U419" i="59"/>
  <c r="U401" i="59"/>
  <c r="S405" i="59"/>
  <c r="AF407" i="59"/>
  <c r="AE434" i="59"/>
  <c r="AF434" i="59"/>
  <c r="U434" i="59"/>
  <c r="AD434" i="59"/>
  <c r="W434" i="59"/>
  <c r="S434" i="59"/>
  <c r="V434" i="59"/>
  <c r="AC423" i="59"/>
  <c r="W423" i="59"/>
  <c r="U428" i="59"/>
  <c r="AA403" i="59"/>
  <c r="W403" i="59"/>
  <c r="Z403" i="59"/>
  <c r="U403" i="59"/>
  <c r="T403" i="59"/>
  <c r="X403" i="59"/>
  <c r="Q403" i="59"/>
  <c r="AA440" i="59"/>
  <c r="AB440" i="59"/>
  <c r="AD440" i="59"/>
  <c r="U440" i="59"/>
  <c r="W440" i="59"/>
  <c r="AF440" i="59"/>
  <c r="X440" i="59"/>
  <c r="S440" i="59"/>
  <c r="V440" i="59"/>
  <c r="R440" i="59"/>
  <c r="AB436" i="59"/>
  <c r="AD436" i="59"/>
  <c r="AC436" i="59"/>
  <c r="AA436" i="59"/>
  <c r="Y436" i="59"/>
  <c r="X436" i="59"/>
  <c r="Z436" i="59"/>
  <c r="W436" i="59"/>
  <c r="U436" i="59"/>
  <c r="R436" i="59"/>
  <c r="AC377" i="59"/>
  <c r="R377" i="59"/>
  <c r="Y451" i="59"/>
  <c r="AE409" i="59"/>
  <c r="AE449" i="59"/>
  <c r="AC361" i="59"/>
  <c r="R361" i="59"/>
  <c r="V364" i="59"/>
  <c r="Q364" i="59"/>
  <c r="AA446" i="59"/>
  <c r="AB446" i="59"/>
  <c r="AD446" i="59"/>
  <c r="AC446" i="59"/>
  <c r="AE446" i="59"/>
  <c r="AF446" i="59"/>
  <c r="V446" i="59"/>
  <c r="W446" i="59"/>
  <c r="Y446" i="59"/>
  <c r="Z446" i="59"/>
  <c r="T446" i="59"/>
  <c r="S446" i="59"/>
  <c r="U446" i="59"/>
  <c r="R446" i="59"/>
  <c r="X446" i="59"/>
  <c r="Q446" i="59"/>
  <c r="AB380" i="59"/>
  <c r="AD380" i="59"/>
  <c r="AC380" i="59"/>
  <c r="AE380" i="59"/>
  <c r="AF380" i="59"/>
  <c r="AA380" i="59"/>
  <c r="Z380" i="59"/>
  <c r="S380" i="59"/>
  <c r="T380" i="59"/>
  <c r="Q380" i="59"/>
  <c r="T363" i="59"/>
  <c r="AA462" i="59"/>
  <c r="AE462" i="59"/>
  <c r="AF462" i="59"/>
  <c r="V462" i="59"/>
  <c r="W462" i="59"/>
  <c r="Y462" i="59"/>
  <c r="S462" i="59"/>
  <c r="T462" i="59"/>
  <c r="Q462" i="59"/>
  <c r="R462" i="59"/>
  <c r="AB422" i="59"/>
  <c r="U422" i="59"/>
  <c r="AE362" i="59"/>
  <c r="AF362" i="59"/>
  <c r="AA362" i="59"/>
  <c r="X362" i="59"/>
  <c r="AC362" i="59"/>
  <c r="U362" i="59"/>
  <c r="W362" i="59"/>
  <c r="V362" i="59"/>
  <c r="S362" i="59"/>
  <c r="Q362" i="59"/>
  <c r="X396" i="59"/>
  <c r="H135" i="59"/>
  <c r="H136" i="59"/>
  <c r="G320" i="59"/>
  <c r="F320" i="59"/>
  <c r="F321" i="59"/>
  <c r="H157" i="59"/>
  <c r="H148" i="59"/>
  <c r="H151" i="59"/>
  <c r="H144" i="59"/>
  <c r="H126" i="59"/>
  <c r="I122" i="59"/>
  <c r="H141" i="59"/>
  <c r="H153" i="59"/>
  <c r="H165" i="59"/>
  <c r="F332" i="59"/>
  <c r="G332" i="59"/>
  <c r="F327" i="59"/>
  <c r="G327" i="59"/>
  <c r="F325" i="59"/>
  <c r="F324" i="59"/>
  <c r="G324" i="59"/>
  <c r="G325" i="59"/>
  <c r="H145" i="59"/>
  <c r="H121" i="59"/>
  <c r="H129" i="59"/>
  <c r="I173" i="59"/>
  <c r="H139" i="59"/>
  <c r="H163" i="59"/>
  <c r="I160" i="59"/>
  <c r="I150" i="59"/>
  <c r="H171" i="59"/>
  <c r="H155" i="59"/>
  <c r="I133" i="59"/>
  <c r="I124" i="59"/>
  <c r="I172" i="59"/>
  <c r="I164" i="59"/>
  <c r="H169" i="59"/>
  <c r="I142" i="59"/>
  <c r="H122" i="59"/>
  <c r="I159" i="59"/>
  <c r="I147" i="59"/>
  <c r="I131" i="59"/>
  <c r="I123" i="59"/>
  <c r="I120" i="59"/>
  <c r="I166" i="59"/>
  <c r="H149" i="59"/>
  <c r="I169" i="59"/>
  <c r="I167" i="59"/>
  <c r="I158" i="59"/>
  <c r="I161" i="59"/>
  <c r="H142" i="59"/>
  <c r="I138" i="59"/>
  <c r="I143" i="59"/>
  <c r="I134" i="59"/>
  <c r="I135" i="59"/>
  <c r="I157" i="59"/>
  <c r="I140" i="59"/>
  <c r="I130" i="59"/>
  <c r="I126" i="59"/>
  <c r="I119" i="59"/>
  <c r="I136" i="59"/>
  <c r="I128" i="59"/>
  <c r="I148" i="59"/>
  <c r="H150" i="59"/>
  <c r="I127" i="59"/>
  <c r="I168" i="59"/>
  <c r="H170" i="59"/>
  <c r="I145" i="59"/>
  <c r="I121" i="59"/>
  <c r="I129" i="59"/>
  <c r="H173" i="59"/>
  <c r="H119" i="59"/>
  <c r="H120" i="59"/>
  <c r="H166" i="59"/>
  <c r="H140" i="59"/>
  <c r="H167" i="59"/>
  <c r="H143" i="59"/>
  <c r="J143" i="59" s="1"/>
  <c r="I149" i="59"/>
  <c r="H158" i="59"/>
  <c r="I141" i="59"/>
  <c r="I153" i="59"/>
  <c r="I151" i="59"/>
  <c r="H138" i="59"/>
  <c r="I144" i="59"/>
  <c r="H134" i="59"/>
  <c r="H132" i="59"/>
  <c r="H161" i="59"/>
  <c r="H154" i="59"/>
  <c r="H152" i="59"/>
  <c r="I125" i="59"/>
  <c r="H162" i="59"/>
  <c r="H146" i="59"/>
  <c r="I156" i="59"/>
  <c r="H168" i="59"/>
  <c r="H160" i="59"/>
  <c r="H159" i="59"/>
  <c r="J159" i="59" s="1"/>
  <c r="I171" i="59"/>
  <c r="I155" i="59"/>
  <c r="I139" i="59"/>
  <c r="I163" i="59"/>
  <c r="H174" i="59"/>
  <c r="H131" i="59"/>
  <c r="H123" i="59"/>
  <c r="I170" i="59"/>
  <c r="H133" i="59"/>
  <c r="H124" i="59"/>
  <c r="J124" i="59" s="1"/>
  <c r="H137" i="59"/>
  <c r="H172" i="59"/>
  <c r="H164" i="59"/>
  <c r="H130" i="59"/>
  <c r="H147" i="59"/>
  <c r="I165" i="59"/>
  <c r="I162" i="59"/>
  <c r="I154" i="59"/>
  <c r="I132" i="59"/>
  <c r="I137" i="59"/>
  <c r="I146" i="59"/>
  <c r="I152" i="59"/>
  <c r="H128" i="59"/>
  <c r="H127" i="59"/>
  <c r="H125" i="59"/>
  <c r="H156" i="59"/>
  <c r="W424" i="59" l="1"/>
  <c r="AA397" i="59"/>
  <c r="S394" i="59"/>
  <c r="U396" i="59"/>
  <c r="U447" i="59"/>
  <c r="Z401" i="59"/>
  <c r="DE86" i="60"/>
  <c r="DE87" i="60"/>
  <c r="DD86" i="60"/>
  <c r="DD87" i="60"/>
  <c r="DI86" i="60"/>
  <c r="DI87" i="60"/>
  <c r="DK86" i="60"/>
  <c r="DK87" i="60"/>
  <c r="DH86" i="60"/>
  <c r="DH87" i="60"/>
  <c r="DI83" i="60"/>
  <c r="Y396" i="59"/>
  <c r="V363" i="59"/>
  <c r="W447" i="59"/>
  <c r="Z409" i="59"/>
  <c r="V394" i="59"/>
  <c r="AD378" i="59"/>
  <c r="AC363" i="59"/>
  <c r="AF447" i="59"/>
  <c r="S454" i="59"/>
  <c r="AF460" i="59"/>
  <c r="R412" i="59"/>
  <c r="AB394" i="59"/>
  <c r="AD363" i="59"/>
  <c r="AE447" i="59"/>
  <c r="AE395" i="59"/>
  <c r="V368" i="59"/>
  <c r="AA394" i="59"/>
  <c r="J148" i="59"/>
  <c r="T362" i="59"/>
  <c r="Y362" i="59"/>
  <c r="X397" i="59"/>
  <c r="U462" i="59"/>
  <c r="AC462" i="59"/>
  <c r="R380" i="59"/>
  <c r="X380" i="59"/>
  <c r="T416" i="59"/>
  <c r="T431" i="59"/>
  <c r="Q436" i="59"/>
  <c r="V436" i="59"/>
  <c r="Y440" i="59"/>
  <c r="Z440" i="59"/>
  <c r="AB403" i="59"/>
  <c r="AE403" i="59"/>
  <c r="AC368" i="59"/>
  <c r="X434" i="59"/>
  <c r="W374" i="59"/>
  <c r="X381" i="59"/>
  <c r="W419" i="59"/>
  <c r="CS51" i="60"/>
  <c r="AD362" i="59"/>
  <c r="AB362" i="59"/>
  <c r="Y397" i="59"/>
  <c r="X462" i="59"/>
  <c r="AD462" i="59"/>
  <c r="W380" i="59"/>
  <c r="Y380" i="59"/>
  <c r="AD429" i="59"/>
  <c r="X439" i="59"/>
  <c r="T436" i="59"/>
  <c r="AF436" i="59"/>
  <c r="Q440" i="59"/>
  <c r="AE440" i="59"/>
  <c r="R403" i="59"/>
  <c r="AD403" i="59"/>
  <c r="Z434" i="59"/>
  <c r="AC434" i="59"/>
  <c r="AC374" i="59"/>
  <c r="W381" i="59"/>
  <c r="AA375" i="59"/>
  <c r="CS49" i="60"/>
  <c r="R396" i="59"/>
  <c r="R362" i="59"/>
  <c r="AB397" i="59"/>
  <c r="Z462" i="59"/>
  <c r="U380" i="59"/>
  <c r="AB429" i="59"/>
  <c r="V451" i="59"/>
  <c r="S436" i="59"/>
  <c r="T440" i="59"/>
  <c r="Y403" i="59"/>
  <c r="AA386" i="59"/>
  <c r="Q434" i="59"/>
  <c r="AA434" i="59"/>
  <c r="Y424" i="59"/>
  <c r="W401" i="59"/>
  <c r="AF420" i="59"/>
  <c r="Y429" i="59"/>
  <c r="Q409" i="59"/>
  <c r="X395" i="59"/>
  <c r="AC400" i="59"/>
  <c r="V403" i="59"/>
  <c r="AC403" i="59"/>
  <c r="Y445" i="59"/>
  <c r="R368" i="59"/>
  <c r="T434" i="59"/>
  <c r="AB434" i="59"/>
  <c r="W407" i="59"/>
  <c r="AA433" i="59"/>
  <c r="AC453" i="59"/>
  <c r="Z375" i="59"/>
  <c r="Z450" i="59"/>
  <c r="AC429" i="59"/>
  <c r="T409" i="59"/>
  <c r="W395" i="59"/>
  <c r="AA445" i="59"/>
  <c r="Q368" i="59"/>
  <c r="V407" i="59"/>
  <c r="U374" i="59"/>
  <c r="R429" i="59"/>
  <c r="AD409" i="59"/>
  <c r="S400" i="59"/>
  <c r="AB451" i="59"/>
  <c r="T428" i="59"/>
  <c r="V371" i="59"/>
  <c r="T392" i="59"/>
  <c r="AA374" i="59"/>
  <c r="AF419" i="59"/>
  <c r="Q456" i="59"/>
  <c r="S429" i="59"/>
  <c r="V409" i="59"/>
  <c r="X400" i="59"/>
  <c r="Z451" i="59"/>
  <c r="Y428" i="59"/>
  <c r="S426" i="59"/>
  <c r="R371" i="59"/>
  <c r="Z392" i="59"/>
  <c r="W433" i="59"/>
  <c r="U453" i="59"/>
  <c r="S375" i="59"/>
  <c r="AF456" i="59"/>
  <c r="V429" i="59"/>
  <c r="U409" i="59"/>
  <c r="Y395" i="59"/>
  <c r="V400" i="59"/>
  <c r="W451" i="59"/>
  <c r="S403" i="59"/>
  <c r="V445" i="59"/>
  <c r="AC426" i="59"/>
  <c r="R434" i="59"/>
  <c r="U371" i="59"/>
  <c r="AD392" i="59"/>
  <c r="S433" i="59"/>
  <c r="W453" i="59"/>
  <c r="T375" i="59"/>
  <c r="AE456" i="59"/>
  <c r="J133" i="59"/>
  <c r="Z429" i="59"/>
  <c r="W409" i="59"/>
  <c r="T395" i="59"/>
  <c r="AF400" i="59"/>
  <c r="AF451" i="59"/>
  <c r="Z445" i="59"/>
  <c r="AD426" i="59"/>
  <c r="AF371" i="59"/>
  <c r="AB392" i="59"/>
  <c r="Z433" i="59"/>
  <c r="AE453" i="59"/>
  <c r="U375" i="59"/>
  <c r="AA456" i="59"/>
  <c r="U429" i="59"/>
  <c r="AE429" i="59"/>
  <c r="AA438" i="59"/>
  <c r="Y409" i="59"/>
  <c r="Q454" i="59"/>
  <c r="U395" i="59"/>
  <c r="X414" i="59"/>
  <c r="T400" i="59"/>
  <c r="AC413" i="59"/>
  <c r="X451" i="59"/>
  <c r="R391" i="59"/>
  <c r="X460" i="59"/>
  <c r="R435" i="59"/>
  <c r="AD421" i="59"/>
  <c r="Q407" i="59"/>
  <c r="S392" i="59"/>
  <c r="Y374" i="59"/>
  <c r="U433" i="59"/>
  <c r="V401" i="59"/>
  <c r="T453" i="59"/>
  <c r="Z419" i="59"/>
  <c r="AB375" i="59"/>
  <c r="Z456" i="59"/>
  <c r="S450" i="59"/>
  <c r="S416" i="59"/>
  <c r="AF454" i="59"/>
  <c r="AF431" i="59"/>
  <c r="V439" i="59"/>
  <c r="AE416" i="59"/>
  <c r="AC454" i="59"/>
  <c r="AE431" i="59"/>
  <c r="AD416" i="59"/>
  <c r="X429" i="59"/>
  <c r="AA429" i="59"/>
  <c r="R409" i="59"/>
  <c r="AC409" i="59"/>
  <c r="Q395" i="59"/>
  <c r="AF395" i="59"/>
  <c r="R400" i="59"/>
  <c r="U400" i="59"/>
  <c r="Q451" i="59"/>
  <c r="AA451" i="59"/>
  <c r="AA428" i="59"/>
  <c r="AD445" i="59"/>
  <c r="U426" i="59"/>
  <c r="U368" i="59"/>
  <c r="Z371" i="59"/>
  <c r="AA407" i="59"/>
  <c r="AA392" i="59"/>
  <c r="AB374" i="59"/>
  <c r="AD433" i="59"/>
  <c r="AF401" i="59"/>
  <c r="AD453" i="59"/>
  <c r="R375" i="59"/>
  <c r="T456" i="59"/>
  <c r="Z430" i="59"/>
  <c r="AF450" i="59"/>
  <c r="Q429" i="59"/>
  <c r="W429" i="59"/>
  <c r="T438" i="59"/>
  <c r="S409" i="59"/>
  <c r="AB409" i="59"/>
  <c r="AB395" i="59"/>
  <c r="AC395" i="59"/>
  <c r="W400" i="59"/>
  <c r="AB400" i="59"/>
  <c r="S451" i="59"/>
  <c r="AC451" i="59"/>
  <c r="AF428" i="59"/>
  <c r="AF426" i="59"/>
  <c r="Z402" i="59"/>
  <c r="Y443" i="59"/>
  <c r="W392" i="59"/>
  <c r="W467" i="59"/>
  <c r="Q408" i="59"/>
  <c r="AF437" i="59"/>
  <c r="Q453" i="59"/>
  <c r="S419" i="59"/>
  <c r="X375" i="59"/>
  <c r="R456" i="59"/>
  <c r="R450" i="59"/>
  <c r="T429" i="59"/>
  <c r="Z438" i="59"/>
  <c r="X409" i="59"/>
  <c r="AA409" i="59"/>
  <c r="R395" i="59"/>
  <c r="AD395" i="59"/>
  <c r="Z400" i="59"/>
  <c r="AA400" i="59"/>
  <c r="R451" i="59"/>
  <c r="AC428" i="59"/>
  <c r="X435" i="59"/>
  <c r="AE421" i="59"/>
  <c r="Z443" i="59"/>
  <c r="AE467" i="59"/>
  <c r="W408" i="59"/>
  <c r="AD437" i="59"/>
  <c r="X386" i="59"/>
  <c r="T391" i="59"/>
  <c r="Q396" i="59"/>
  <c r="V396" i="59"/>
  <c r="R397" i="59"/>
  <c r="W397" i="59"/>
  <c r="Q363" i="59"/>
  <c r="W363" i="59"/>
  <c r="Z447" i="59"/>
  <c r="AC447" i="59"/>
  <c r="X416" i="59"/>
  <c r="AB416" i="59"/>
  <c r="X438" i="59"/>
  <c r="R454" i="59"/>
  <c r="AD454" i="59"/>
  <c r="Q431" i="59"/>
  <c r="AD431" i="59"/>
  <c r="Y439" i="59"/>
  <c r="AE439" i="59"/>
  <c r="W391" i="59"/>
  <c r="AD460" i="59"/>
  <c r="T435" i="59"/>
  <c r="AE443" i="59"/>
  <c r="T412" i="59"/>
  <c r="V408" i="59"/>
  <c r="U424" i="59"/>
  <c r="T394" i="59"/>
  <c r="AF394" i="59"/>
  <c r="U381" i="59"/>
  <c r="V430" i="59"/>
  <c r="W396" i="59"/>
  <c r="AF396" i="59"/>
  <c r="V397" i="59"/>
  <c r="U397" i="59"/>
  <c r="S363" i="59"/>
  <c r="AB363" i="59"/>
  <c r="Y447" i="59"/>
  <c r="AD447" i="59"/>
  <c r="Q416" i="59"/>
  <c r="AA416" i="59"/>
  <c r="W438" i="59"/>
  <c r="Y454" i="59"/>
  <c r="AB454" i="59"/>
  <c r="R431" i="59"/>
  <c r="AB431" i="59"/>
  <c r="U439" i="59"/>
  <c r="AC439" i="59"/>
  <c r="AF391" i="59"/>
  <c r="Z435" i="59"/>
  <c r="AD443" i="59"/>
  <c r="U412" i="59"/>
  <c r="AF408" i="59"/>
  <c r="R424" i="59"/>
  <c r="AE424" i="59"/>
  <c r="U394" i="59"/>
  <c r="T381" i="59"/>
  <c r="AF381" i="59"/>
  <c r="AB390" i="59"/>
  <c r="T396" i="59"/>
  <c r="AE396" i="59"/>
  <c r="Q397" i="59"/>
  <c r="AF397" i="59"/>
  <c r="X363" i="59"/>
  <c r="Z363" i="59"/>
  <c r="S447" i="59"/>
  <c r="AB447" i="59"/>
  <c r="Z416" i="59"/>
  <c r="V438" i="59"/>
  <c r="X454" i="59"/>
  <c r="W431" i="59"/>
  <c r="AA431" i="59"/>
  <c r="Q439" i="59"/>
  <c r="AD439" i="59"/>
  <c r="T386" i="59"/>
  <c r="AC391" i="59"/>
  <c r="AA435" i="59"/>
  <c r="R421" i="59"/>
  <c r="AF412" i="59"/>
  <c r="AB408" i="59"/>
  <c r="AF424" i="59"/>
  <c r="AD424" i="59"/>
  <c r="W394" i="59"/>
  <c r="Q381" i="59"/>
  <c r="AC381" i="59"/>
  <c r="S396" i="59"/>
  <c r="AC396" i="59"/>
  <c r="T397" i="59"/>
  <c r="AE397" i="59"/>
  <c r="U363" i="59"/>
  <c r="AA363" i="59"/>
  <c r="T447" i="59"/>
  <c r="AA447" i="59"/>
  <c r="W416" i="59"/>
  <c r="U438" i="59"/>
  <c r="AE438" i="59"/>
  <c r="U454" i="59"/>
  <c r="Y431" i="59"/>
  <c r="R439" i="59"/>
  <c r="AA439" i="59"/>
  <c r="Q386" i="59"/>
  <c r="AA391" i="59"/>
  <c r="R460" i="59"/>
  <c r="AC435" i="59"/>
  <c r="U421" i="59"/>
  <c r="AC412" i="59"/>
  <c r="Q424" i="59"/>
  <c r="AB424" i="59"/>
  <c r="AC394" i="59"/>
  <c r="R381" i="59"/>
  <c r="AD381" i="59"/>
  <c r="CV50" i="60"/>
  <c r="AA396" i="59"/>
  <c r="AD396" i="59"/>
  <c r="Z397" i="59"/>
  <c r="AC397" i="59"/>
  <c r="R363" i="59"/>
  <c r="AF363" i="59"/>
  <c r="Q447" i="59"/>
  <c r="X447" i="59"/>
  <c r="Y416" i="59"/>
  <c r="U416" i="59"/>
  <c r="R438" i="59"/>
  <c r="AC438" i="59"/>
  <c r="W454" i="59"/>
  <c r="X431" i="59"/>
  <c r="T439" i="59"/>
  <c r="S386" i="59"/>
  <c r="AA460" i="59"/>
  <c r="S421" i="59"/>
  <c r="X467" i="59"/>
  <c r="S424" i="59"/>
  <c r="AA424" i="59"/>
  <c r="AD394" i="59"/>
  <c r="S381" i="59"/>
  <c r="AB381" i="59"/>
  <c r="U459" i="59"/>
  <c r="Z396" i="59"/>
  <c r="S397" i="59"/>
  <c r="Y363" i="59"/>
  <c r="R447" i="59"/>
  <c r="R416" i="59"/>
  <c r="AF416" i="59"/>
  <c r="S438" i="59"/>
  <c r="AD438" i="59"/>
  <c r="V454" i="59"/>
  <c r="V431" i="59"/>
  <c r="W439" i="59"/>
  <c r="V386" i="59"/>
  <c r="S460" i="59"/>
  <c r="Y421" i="59"/>
  <c r="V443" i="59"/>
  <c r="R467" i="59"/>
  <c r="V424" i="59"/>
  <c r="Q394" i="59"/>
  <c r="X394" i="59"/>
  <c r="Z381" i="59"/>
  <c r="T437" i="59"/>
  <c r="U378" i="59"/>
  <c r="W420" i="59"/>
  <c r="DM83" i="60"/>
  <c r="DM86" i="60"/>
  <c r="DG83" i="60"/>
  <c r="DG86" i="60"/>
  <c r="DC83" i="60"/>
  <c r="DC86" i="60"/>
  <c r="DF83" i="60"/>
  <c r="DF86" i="60"/>
  <c r="DN83" i="60"/>
  <c r="DN86" i="60"/>
  <c r="DB83" i="60"/>
  <c r="DB86" i="60"/>
  <c r="DL83" i="60"/>
  <c r="DL86" i="60"/>
  <c r="DJ83" i="60"/>
  <c r="DJ86" i="60"/>
  <c r="U386" i="59"/>
  <c r="AB386" i="59"/>
  <c r="Z428" i="59"/>
  <c r="S391" i="59"/>
  <c r="AB391" i="59"/>
  <c r="AC445" i="59"/>
  <c r="W460" i="59"/>
  <c r="AE460" i="59"/>
  <c r="W426" i="59"/>
  <c r="U435" i="59"/>
  <c r="AD435" i="59"/>
  <c r="AE368" i="59"/>
  <c r="T421" i="59"/>
  <c r="AA421" i="59"/>
  <c r="AA371" i="59"/>
  <c r="W443" i="59"/>
  <c r="Y407" i="59"/>
  <c r="Q412" i="59"/>
  <c r="Z467" i="59"/>
  <c r="AE437" i="59"/>
  <c r="AE401" i="59"/>
  <c r="V413" i="59"/>
  <c r="Z386" i="59"/>
  <c r="AF386" i="59"/>
  <c r="V428" i="59"/>
  <c r="X391" i="59"/>
  <c r="T445" i="59"/>
  <c r="AB445" i="59"/>
  <c r="Q460" i="59"/>
  <c r="AB460" i="59"/>
  <c r="AA426" i="59"/>
  <c r="Y435" i="59"/>
  <c r="S368" i="59"/>
  <c r="AD368" i="59"/>
  <c r="X421" i="59"/>
  <c r="X371" i="59"/>
  <c r="AE371" i="59"/>
  <c r="AC443" i="59"/>
  <c r="U407" i="59"/>
  <c r="AA412" i="59"/>
  <c r="X392" i="59"/>
  <c r="Y372" i="59"/>
  <c r="AA467" i="59"/>
  <c r="AD374" i="59"/>
  <c r="U408" i="59"/>
  <c r="Y433" i="59"/>
  <c r="R401" i="59"/>
  <c r="AA401" i="59"/>
  <c r="Z453" i="59"/>
  <c r="Q419" i="59"/>
  <c r="AA419" i="59"/>
  <c r="W375" i="59"/>
  <c r="AA399" i="59"/>
  <c r="W456" i="59"/>
  <c r="AD411" i="59"/>
  <c r="Q450" i="59"/>
  <c r="S390" i="59"/>
  <c r="S449" i="59"/>
  <c r="AD386" i="59"/>
  <c r="Q428" i="59"/>
  <c r="AE428" i="59"/>
  <c r="V391" i="59"/>
  <c r="S445" i="59"/>
  <c r="Y425" i="59"/>
  <c r="Z460" i="59"/>
  <c r="Q426" i="59"/>
  <c r="AE426" i="59"/>
  <c r="W435" i="59"/>
  <c r="W368" i="59"/>
  <c r="S444" i="59"/>
  <c r="W421" i="59"/>
  <c r="S371" i="59"/>
  <c r="R443" i="59"/>
  <c r="S407" i="59"/>
  <c r="AE407" i="59"/>
  <c r="X412" i="59"/>
  <c r="V392" i="59"/>
  <c r="S467" i="59"/>
  <c r="R374" i="59"/>
  <c r="Z374" i="59"/>
  <c r="AD408" i="59"/>
  <c r="AC433" i="59"/>
  <c r="R437" i="59"/>
  <c r="Q401" i="59"/>
  <c r="S378" i="59"/>
  <c r="S453" i="59"/>
  <c r="V419" i="59"/>
  <c r="R459" i="59"/>
  <c r="V375" i="59"/>
  <c r="V420" i="59"/>
  <c r="V456" i="59"/>
  <c r="S430" i="59"/>
  <c r="V450" i="59"/>
  <c r="Z441" i="59"/>
  <c r="AC386" i="59"/>
  <c r="W428" i="59"/>
  <c r="Z391" i="59"/>
  <c r="AE391" i="59"/>
  <c r="X445" i="59"/>
  <c r="V460" i="59"/>
  <c r="V426" i="59"/>
  <c r="V435" i="59"/>
  <c r="AE435" i="59"/>
  <c r="Y368" i="59"/>
  <c r="Q421" i="59"/>
  <c r="AC421" i="59"/>
  <c r="W371" i="59"/>
  <c r="T443" i="59"/>
  <c r="R407" i="59"/>
  <c r="Y432" i="59"/>
  <c r="AE412" i="59"/>
  <c r="U392" i="59"/>
  <c r="Y467" i="59"/>
  <c r="X374" i="59"/>
  <c r="R408" i="59"/>
  <c r="V433" i="59"/>
  <c r="AB433" i="59"/>
  <c r="S437" i="59"/>
  <c r="T401" i="59"/>
  <c r="X378" i="59"/>
  <c r="AF453" i="59"/>
  <c r="X419" i="59"/>
  <c r="X459" i="59"/>
  <c r="AD375" i="59"/>
  <c r="AB420" i="59"/>
  <c r="U456" i="59"/>
  <c r="W450" i="59"/>
  <c r="Y450" i="59"/>
  <c r="CT49" i="60"/>
  <c r="CT51" i="60"/>
  <c r="CV51" i="60"/>
  <c r="DE85" i="60"/>
  <c r="DI85" i="60"/>
  <c r="DF85" i="60"/>
  <c r="CZ50" i="60"/>
  <c r="DA49" i="60"/>
  <c r="DA51" i="60"/>
  <c r="DJ85" i="60"/>
  <c r="DN85" i="60"/>
  <c r="DL85" i="60"/>
  <c r="DG85" i="60"/>
  <c r="DK85" i="60"/>
  <c r="CG44" i="60"/>
  <c r="CG50" i="60" s="1"/>
  <c r="DC85" i="60"/>
  <c r="DC84" i="60" s="1"/>
  <c r="DH85" i="60"/>
  <c r="DD85" i="60"/>
  <c r="DM85" i="60"/>
  <c r="DB85" i="60"/>
  <c r="CZ51" i="60"/>
  <c r="W367" i="59"/>
  <c r="AE427" i="59"/>
  <c r="W384" i="59"/>
  <c r="T370" i="59"/>
  <c r="R448" i="59"/>
  <c r="X458" i="59"/>
  <c r="S395" i="59"/>
  <c r="Z395" i="59"/>
  <c r="AB414" i="59"/>
  <c r="Y400" i="59"/>
  <c r="AE400" i="59"/>
  <c r="U451" i="59"/>
  <c r="AE451" i="59"/>
  <c r="S428" i="59"/>
  <c r="AD428" i="59"/>
  <c r="U445" i="59"/>
  <c r="W445" i="59"/>
  <c r="R426" i="59"/>
  <c r="X426" i="59"/>
  <c r="X368" i="59"/>
  <c r="AB368" i="59"/>
  <c r="AB371" i="59"/>
  <c r="AC371" i="59"/>
  <c r="T407" i="59"/>
  <c r="AC407" i="59"/>
  <c r="R392" i="59"/>
  <c r="AF392" i="59"/>
  <c r="Q374" i="59"/>
  <c r="V374" i="59"/>
  <c r="R464" i="59"/>
  <c r="AE433" i="59"/>
  <c r="AF433" i="59"/>
  <c r="S401" i="59"/>
  <c r="AC401" i="59"/>
  <c r="V453" i="59"/>
  <c r="AB453" i="59"/>
  <c r="AB419" i="59"/>
  <c r="AE419" i="59"/>
  <c r="Q375" i="59"/>
  <c r="AF375" i="59"/>
  <c r="X456" i="59"/>
  <c r="AC456" i="59"/>
  <c r="U450" i="59"/>
  <c r="AE450" i="59"/>
  <c r="Y376" i="59"/>
  <c r="AB428" i="59"/>
  <c r="Q445" i="59"/>
  <c r="AF445" i="59"/>
  <c r="Z426" i="59"/>
  <c r="Y426" i="59"/>
  <c r="T368" i="59"/>
  <c r="Z368" i="59"/>
  <c r="T371" i="59"/>
  <c r="AD371" i="59"/>
  <c r="X407" i="59"/>
  <c r="AD407" i="59"/>
  <c r="Q392" i="59"/>
  <c r="AE392" i="59"/>
  <c r="T374" i="59"/>
  <c r="AF374" i="59"/>
  <c r="Q433" i="59"/>
  <c r="T433" i="59"/>
  <c r="X388" i="59"/>
  <c r="X401" i="59"/>
  <c r="AD401" i="59"/>
  <c r="X453" i="59"/>
  <c r="AA453" i="59"/>
  <c r="R419" i="59"/>
  <c r="AC419" i="59"/>
  <c r="AE375" i="59"/>
  <c r="AD456" i="59"/>
  <c r="V410" i="59"/>
  <c r="W376" i="59"/>
  <c r="V395" i="59"/>
  <c r="Q400" i="59"/>
  <c r="T451" i="59"/>
  <c r="R428" i="59"/>
  <c r="Q457" i="59"/>
  <c r="R445" i="59"/>
  <c r="T426" i="59"/>
  <c r="AF368" i="59"/>
  <c r="Q371" i="59"/>
  <c r="AC406" i="59"/>
  <c r="Z407" i="59"/>
  <c r="Y392" i="59"/>
  <c r="S374" i="59"/>
  <c r="R433" i="59"/>
  <c r="Y401" i="59"/>
  <c r="R453" i="59"/>
  <c r="V417" i="59"/>
  <c r="T419" i="59"/>
  <c r="Y375" i="59"/>
  <c r="S456" i="59"/>
  <c r="T450" i="59"/>
  <c r="Y365" i="59"/>
  <c r="AC416" i="59"/>
  <c r="Q438" i="59"/>
  <c r="AF438" i="59"/>
  <c r="Y455" i="59"/>
  <c r="Z454" i="59"/>
  <c r="AA454" i="59"/>
  <c r="S431" i="59"/>
  <c r="AC431" i="59"/>
  <c r="S439" i="59"/>
  <c r="AF439" i="59"/>
  <c r="R386" i="59"/>
  <c r="AE386" i="59"/>
  <c r="Y391" i="59"/>
  <c r="AD391" i="59"/>
  <c r="U460" i="59"/>
  <c r="Y460" i="59"/>
  <c r="Q435" i="59"/>
  <c r="AB435" i="59"/>
  <c r="Z421" i="59"/>
  <c r="AB421" i="59"/>
  <c r="U443" i="59"/>
  <c r="V412" i="59"/>
  <c r="Q467" i="59"/>
  <c r="AF467" i="59"/>
  <c r="S408" i="59"/>
  <c r="T424" i="59"/>
  <c r="X424" i="59"/>
  <c r="S382" i="59"/>
  <c r="Z394" i="59"/>
  <c r="AE394" i="59"/>
  <c r="Y381" i="59"/>
  <c r="AA381" i="59"/>
  <c r="AC437" i="59"/>
  <c r="AB378" i="59"/>
  <c r="AD459" i="59"/>
  <c r="U390" i="59"/>
  <c r="V389" i="59"/>
  <c r="Y379" i="59"/>
  <c r="AB465" i="59"/>
  <c r="AE393" i="59"/>
  <c r="Y366" i="59"/>
  <c r="Y438" i="59"/>
  <c r="T454" i="59"/>
  <c r="U431" i="59"/>
  <c r="Z439" i="59"/>
  <c r="W386" i="59"/>
  <c r="Q391" i="59"/>
  <c r="R463" i="59"/>
  <c r="T460" i="59"/>
  <c r="S435" i="59"/>
  <c r="V421" i="59"/>
  <c r="X443" i="59"/>
  <c r="AF443" i="59"/>
  <c r="S412" i="59"/>
  <c r="AD412" i="59"/>
  <c r="T467" i="59"/>
  <c r="Y408" i="59"/>
  <c r="AE408" i="59"/>
  <c r="Z424" i="59"/>
  <c r="R394" i="59"/>
  <c r="V381" i="59"/>
  <c r="U437" i="59"/>
  <c r="AC378" i="59"/>
  <c r="Y385" i="59"/>
  <c r="Q420" i="59"/>
  <c r="X430" i="59"/>
  <c r="AA425" i="59"/>
  <c r="R432" i="59"/>
  <c r="W399" i="59"/>
  <c r="X411" i="59"/>
  <c r="AD410" i="59"/>
  <c r="S441" i="59"/>
  <c r="S406" i="59"/>
  <c r="R388" i="59"/>
  <c r="Z365" i="59"/>
  <c r="T457" i="59"/>
  <c r="U448" i="59"/>
  <c r="X464" i="59"/>
  <c r="Q402" i="59"/>
  <c r="R372" i="59"/>
  <c r="S458" i="59"/>
  <c r="R417" i="59"/>
  <c r="X422" i="59"/>
  <c r="AA422" i="59"/>
  <c r="T442" i="59"/>
  <c r="AA442" i="59"/>
  <c r="T364" i="59"/>
  <c r="AF364" i="59"/>
  <c r="U361" i="59"/>
  <c r="AD361" i="59"/>
  <c r="V449" i="59"/>
  <c r="AC449" i="59"/>
  <c r="R376" i="59"/>
  <c r="U376" i="59"/>
  <c r="AD455" i="59"/>
  <c r="U414" i="59"/>
  <c r="AA414" i="59"/>
  <c r="U413" i="59"/>
  <c r="AD413" i="59"/>
  <c r="Q377" i="59"/>
  <c r="AD377" i="59"/>
  <c r="X441" i="59"/>
  <c r="AC441" i="59"/>
  <c r="U457" i="59"/>
  <c r="Y457" i="59"/>
  <c r="AD389" i="59"/>
  <c r="X425" i="59"/>
  <c r="AF425" i="59"/>
  <c r="X423" i="59"/>
  <c r="AD423" i="59"/>
  <c r="Q448" i="59"/>
  <c r="AE448" i="59"/>
  <c r="R402" i="59"/>
  <c r="AD402" i="59"/>
  <c r="AC444" i="59"/>
  <c r="U406" i="59"/>
  <c r="AD406" i="59"/>
  <c r="S443" i="59"/>
  <c r="AA443" i="59"/>
  <c r="S432" i="59"/>
  <c r="AE432" i="59"/>
  <c r="W412" i="59"/>
  <c r="Y412" i="59"/>
  <c r="Q372" i="59"/>
  <c r="AA372" i="59"/>
  <c r="AD405" i="59"/>
  <c r="AB467" i="59"/>
  <c r="S464" i="59"/>
  <c r="U464" i="59"/>
  <c r="AB366" i="59"/>
  <c r="X408" i="59"/>
  <c r="U388" i="59"/>
  <c r="Y388" i="59"/>
  <c r="AD382" i="59"/>
  <c r="W437" i="59"/>
  <c r="V458" i="59"/>
  <c r="Y458" i="59"/>
  <c r="Q378" i="59"/>
  <c r="Y417" i="59"/>
  <c r="T417" i="59"/>
  <c r="AE379" i="59"/>
  <c r="W365" i="59"/>
  <c r="AA365" i="59"/>
  <c r="T399" i="59"/>
  <c r="V399" i="59"/>
  <c r="S465" i="59"/>
  <c r="Q411" i="59"/>
  <c r="V411" i="59"/>
  <c r="U427" i="59"/>
  <c r="S410" i="59"/>
  <c r="X410" i="59"/>
  <c r="AD390" i="59"/>
  <c r="S422" i="59"/>
  <c r="AF442" i="59"/>
  <c r="W364" i="59"/>
  <c r="S361" i="59"/>
  <c r="AD449" i="59"/>
  <c r="AE376" i="59"/>
  <c r="W414" i="59"/>
  <c r="S413" i="59"/>
  <c r="AB377" i="59"/>
  <c r="AD441" i="59"/>
  <c r="T425" i="59"/>
  <c r="R423" i="59"/>
  <c r="V464" i="59"/>
  <c r="AA388" i="59"/>
  <c r="W458" i="59"/>
  <c r="Q417" i="59"/>
  <c r="U365" i="59"/>
  <c r="S411" i="59"/>
  <c r="R422" i="59"/>
  <c r="V422" i="59"/>
  <c r="AB384" i="59"/>
  <c r="V442" i="59"/>
  <c r="AE442" i="59"/>
  <c r="S364" i="59"/>
  <c r="AC364" i="59"/>
  <c r="AE361" i="59"/>
  <c r="Z361" i="59"/>
  <c r="Y449" i="59"/>
  <c r="AB449" i="59"/>
  <c r="Q376" i="59"/>
  <c r="AC376" i="59"/>
  <c r="R414" i="59"/>
  <c r="V414" i="59"/>
  <c r="AB393" i="59"/>
  <c r="X413" i="59"/>
  <c r="AA413" i="59"/>
  <c r="X377" i="59"/>
  <c r="Z377" i="59"/>
  <c r="Y441" i="59"/>
  <c r="AB441" i="59"/>
  <c r="R457" i="59"/>
  <c r="AC457" i="59"/>
  <c r="R425" i="59"/>
  <c r="V425" i="59"/>
  <c r="AD463" i="59"/>
  <c r="Y423" i="59"/>
  <c r="AA423" i="59"/>
  <c r="Z448" i="59"/>
  <c r="AD448" i="59"/>
  <c r="U402" i="59"/>
  <c r="Y402" i="59"/>
  <c r="AA370" i="59"/>
  <c r="Z406" i="59"/>
  <c r="AA406" i="59"/>
  <c r="Q432" i="59"/>
  <c r="AD432" i="59"/>
  <c r="T372" i="59"/>
  <c r="AF372" i="59"/>
  <c r="Q464" i="59"/>
  <c r="AE464" i="59"/>
  <c r="Q388" i="59"/>
  <c r="AF388" i="59"/>
  <c r="AB367" i="59"/>
  <c r="T458" i="59"/>
  <c r="AA458" i="59"/>
  <c r="AE417" i="59"/>
  <c r="AC417" i="59"/>
  <c r="Q365" i="59"/>
  <c r="AF365" i="59"/>
  <c r="AB385" i="59"/>
  <c r="R399" i="59"/>
  <c r="AF399" i="59"/>
  <c r="AB411" i="59"/>
  <c r="W411" i="59"/>
  <c r="R410" i="59"/>
  <c r="AB410" i="59"/>
  <c r="S415" i="59"/>
  <c r="W422" i="59"/>
  <c r="AE364" i="59"/>
  <c r="U449" i="59"/>
  <c r="X376" i="59"/>
  <c r="U441" i="59"/>
  <c r="AE457" i="59"/>
  <c r="W448" i="59"/>
  <c r="T402" i="59"/>
  <c r="Y406" i="59"/>
  <c r="V432" i="59"/>
  <c r="U372" i="59"/>
  <c r="W464" i="59"/>
  <c r="V388" i="59"/>
  <c r="R365" i="59"/>
  <c r="U399" i="59"/>
  <c r="Z411" i="59"/>
  <c r="U410" i="59"/>
  <c r="Y410" i="59"/>
  <c r="Q422" i="59"/>
  <c r="AF422" i="59"/>
  <c r="R442" i="59"/>
  <c r="U442" i="59"/>
  <c r="T383" i="59"/>
  <c r="U364" i="59"/>
  <c r="AD364" i="59"/>
  <c r="Y361" i="59"/>
  <c r="AA361" i="59"/>
  <c r="X449" i="59"/>
  <c r="AA449" i="59"/>
  <c r="T376" i="59"/>
  <c r="AD376" i="59"/>
  <c r="T414" i="59"/>
  <c r="AF414" i="59"/>
  <c r="Q413" i="59"/>
  <c r="Y413" i="59"/>
  <c r="S369" i="59"/>
  <c r="W377" i="59"/>
  <c r="AA377" i="59"/>
  <c r="W441" i="59"/>
  <c r="AA441" i="59"/>
  <c r="V457" i="59"/>
  <c r="AD457" i="59"/>
  <c r="U425" i="59"/>
  <c r="Z425" i="59"/>
  <c r="Z423" i="59"/>
  <c r="V423" i="59"/>
  <c r="V418" i="59"/>
  <c r="AF448" i="59"/>
  <c r="AB448" i="59"/>
  <c r="S402" i="59"/>
  <c r="AB402" i="59"/>
  <c r="R406" i="59"/>
  <c r="W406" i="59"/>
  <c r="X387" i="59"/>
  <c r="T432" i="59"/>
  <c r="AB432" i="59"/>
  <c r="S372" i="59"/>
  <c r="AE372" i="59"/>
  <c r="AF464" i="59"/>
  <c r="AC464" i="59"/>
  <c r="T388" i="59"/>
  <c r="AE388" i="59"/>
  <c r="Z458" i="59"/>
  <c r="AF458" i="59"/>
  <c r="S417" i="59"/>
  <c r="AD417" i="59"/>
  <c r="T365" i="59"/>
  <c r="AE365" i="59"/>
  <c r="S399" i="59"/>
  <c r="AE399" i="59"/>
  <c r="R411" i="59"/>
  <c r="AA411" i="59"/>
  <c r="Q410" i="59"/>
  <c r="AA410" i="59"/>
  <c r="AD415" i="59"/>
  <c r="AB442" i="59"/>
  <c r="Q414" i="59"/>
  <c r="AB423" i="59"/>
  <c r="AC448" i="59"/>
  <c r="AB406" i="59"/>
  <c r="AC432" i="59"/>
  <c r="V372" i="59"/>
  <c r="Z422" i="59"/>
  <c r="AE422" i="59"/>
  <c r="W442" i="59"/>
  <c r="X442" i="59"/>
  <c r="AD383" i="59"/>
  <c r="X364" i="59"/>
  <c r="AB364" i="59"/>
  <c r="X361" i="59"/>
  <c r="AF361" i="59"/>
  <c r="T449" i="59"/>
  <c r="AF449" i="59"/>
  <c r="V376" i="59"/>
  <c r="AB376" i="59"/>
  <c r="Y414" i="59"/>
  <c r="AE414" i="59"/>
  <c r="Z413" i="59"/>
  <c r="W413" i="59"/>
  <c r="Z369" i="59"/>
  <c r="AE377" i="59"/>
  <c r="AF377" i="59"/>
  <c r="V441" i="59"/>
  <c r="AF441" i="59"/>
  <c r="X457" i="59"/>
  <c r="AB457" i="59"/>
  <c r="W425" i="59"/>
  <c r="AC425" i="59"/>
  <c r="Q423" i="59"/>
  <c r="U423" i="59"/>
  <c r="AA418" i="59"/>
  <c r="V448" i="59"/>
  <c r="AA448" i="59"/>
  <c r="W402" i="59"/>
  <c r="AA402" i="59"/>
  <c r="T406" i="59"/>
  <c r="V406" i="59"/>
  <c r="AE387" i="59"/>
  <c r="Z432" i="59"/>
  <c r="AA432" i="59"/>
  <c r="W372" i="59"/>
  <c r="AC372" i="59"/>
  <c r="T464" i="59"/>
  <c r="AD464" i="59"/>
  <c r="S388" i="59"/>
  <c r="AC388" i="59"/>
  <c r="U458" i="59"/>
  <c r="AE458" i="59"/>
  <c r="X417" i="59"/>
  <c r="AB417" i="59"/>
  <c r="S365" i="59"/>
  <c r="AC365" i="59"/>
  <c r="Z399" i="59"/>
  <c r="AC399" i="59"/>
  <c r="U411" i="59"/>
  <c r="AF411" i="59"/>
  <c r="Z410" i="59"/>
  <c r="AE410" i="59"/>
  <c r="Q442" i="59"/>
  <c r="AC442" i="59"/>
  <c r="AB361" i="59"/>
  <c r="AB413" i="59"/>
  <c r="S377" i="59"/>
  <c r="Z457" i="59"/>
  <c r="Q425" i="59"/>
  <c r="X402" i="59"/>
  <c r="AB458" i="59"/>
  <c r="Z417" i="59"/>
  <c r="Q399" i="59"/>
  <c r="T422" i="59"/>
  <c r="AC422" i="59"/>
  <c r="S442" i="59"/>
  <c r="Y442" i="59"/>
  <c r="R364" i="59"/>
  <c r="Y364" i="59"/>
  <c r="W361" i="59"/>
  <c r="T361" i="59"/>
  <c r="R449" i="59"/>
  <c r="W449" i="59"/>
  <c r="U404" i="59"/>
  <c r="S376" i="59"/>
  <c r="Z376" i="59"/>
  <c r="S414" i="59"/>
  <c r="AC414" i="59"/>
  <c r="T413" i="59"/>
  <c r="AF413" i="59"/>
  <c r="U377" i="59"/>
  <c r="V377" i="59"/>
  <c r="R441" i="59"/>
  <c r="T441" i="59"/>
  <c r="X373" i="59"/>
  <c r="S457" i="59"/>
  <c r="AA457" i="59"/>
  <c r="AE425" i="59"/>
  <c r="AD425" i="59"/>
  <c r="S423" i="59"/>
  <c r="AF423" i="59"/>
  <c r="S448" i="59"/>
  <c r="X448" i="59"/>
  <c r="T461" i="59"/>
  <c r="V402" i="59"/>
  <c r="AF402" i="59"/>
  <c r="Q406" i="59"/>
  <c r="AF406" i="59"/>
  <c r="X432" i="59"/>
  <c r="AF432" i="59"/>
  <c r="W466" i="59"/>
  <c r="Z372" i="59"/>
  <c r="AD372" i="59"/>
  <c r="Z464" i="59"/>
  <c r="AB464" i="59"/>
  <c r="W388" i="59"/>
  <c r="AD388" i="59"/>
  <c r="Q458" i="59"/>
  <c r="AC458" i="59"/>
  <c r="X398" i="59"/>
  <c r="W417" i="59"/>
  <c r="AA417" i="59"/>
  <c r="V365" i="59"/>
  <c r="AD365" i="59"/>
  <c r="Y399" i="59"/>
  <c r="AD399" i="59"/>
  <c r="Y411" i="59"/>
  <c r="AE411" i="59"/>
  <c r="AC410" i="59"/>
  <c r="Y422" i="59"/>
  <c r="Z442" i="59"/>
  <c r="AA364" i="59"/>
  <c r="Q361" i="59"/>
  <c r="Q449" i="59"/>
  <c r="AC404" i="59"/>
  <c r="AF376" i="59"/>
  <c r="Z414" i="59"/>
  <c r="R413" i="59"/>
  <c r="Y377" i="59"/>
  <c r="Q441" i="59"/>
  <c r="AB373" i="59"/>
  <c r="W457" i="59"/>
  <c r="S425" i="59"/>
  <c r="T423" i="59"/>
  <c r="T448" i="59"/>
  <c r="AD461" i="59"/>
  <c r="AC402" i="59"/>
  <c r="X406" i="59"/>
  <c r="Q443" i="59"/>
  <c r="W432" i="59"/>
  <c r="AA466" i="59"/>
  <c r="Z412" i="59"/>
  <c r="X372" i="59"/>
  <c r="U467" i="59"/>
  <c r="AD467" i="59"/>
  <c r="Y464" i="59"/>
  <c r="T408" i="59"/>
  <c r="AA408" i="59"/>
  <c r="Z388" i="59"/>
  <c r="Z437" i="59"/>
  <c r="R458" i="59"/>
  <c r="AD398" i="59"/>
  <c r="AE378" i="59"/>
  <c r="U417" i="59"/>
  <c r="X365" i="59"/>
  <c r="Z459" i="59"/>
  <c r="X399" i="59"/>
  <c r="AD420" i="59"/>
  <c r="T411" i="59"/>
  <c r="AA430" i="59"/>
  <c r="W410" i="59"/>
  <c r="X390" i="59"/>
  <c r="T378" i="59"/>
  <c r="Y378" i="59"/>
  <c r="T459" i="59"/>
  <c r="AC420" i="59"/>
  <c r="U430" i="59"/>
  <c r="T390" i="59"/>
  <c r="AA390" i="59"/>
  <c r="V437" i="59"/>
  <c r="AB437" i="59"/>
  <c r="W378" i="59"/>
  <c r="Z378" i="59"/>
  <c r="Y459" i="59"/>
  <c r="AA459" i="59"/>
  <c r="S420" i="59"/>
  <c r="AE430" i="59"/>
  <c r="Z390" i="59"/>
  <c r="X437" i="59"/>
  <c r="AA437" i="59"/>
  <c r="R378" i="59"/>
  <c r="AA378" i="59"/>
  <c r="Q459" i="59"/>
  <c r="AE459" i="59"/>
  <c r="Z420" i="59"/>
  <c r="AD430" i="59"/>
  <c r="V390" i="59"/>
  <c r="V467" i="59"/>
  <c r="Z408" i="59"/>
  <c r="Q437" i="59"/>
  <c r="V378" i="59"/>
  <c r="S459" i="59"/>
  <c r="AC459" i="59"/>
  <c r="X420" i="59"/>
  <c r="T430" i="59"/>
  <c r="AB430" i="59"/>
  <c r="T410" i="59"/>
  <c r="AE390" i="59"/>
  <c r="Q384" i="59"/>
  <c r="AD384" i="59"/>
  <c r="S383" i="59"/>
  <c r="AC383" i="59"/>
  <c r="T404" i="59"/>
  <c r="AE404" i="59"/>
  <c r="R455" i="59"/>
  <c r="AC455" i="59"/>
  <c r="R393" i="59"/>
  <c r="AD393" i="59"/>
  <c r="V369" i="59"/>
  <c r="AB369" i="59"/>
  <c r="V373" i="59"/>
  <c r="AD373" i="59"/>
  <c r="S389" i="59"/>
  <c r="AC389" i="59"/>
  <c r="Z463" i="59"/>
  <c r="AC463" i="59"/>
  <c r="Q418" i="59"/>
  <c r="AB418" i="59"/>
  <c r="U461" i="59"/>
  <c r="AC461" i="59"/>
  <c r="T444" i="59"/>
  <c r="AE444" i="59"/>
  <c r="AD370" i="59"/>
  <c r="Z370" i="59"/>
  <c r="R387" i="59"/>
  <c r="AF387" i="59"/>
  <c r="S466" i="59"/>
  <c r="AB466" i="59"/>
  <c r="V405" i="59"/>
  <c r="AC405" i="59"/>
  <c r="S366" i="59"/>
  <c r="AD366" i="59"/>
  <c r="U382" i="59"/>
  <c r="AC382" i="59"/>
  <c r="S367" i="59"/>
  <c r="AD367" i="59"/>
  <c r="S398" i="59"/>
  <c r="AC398" i="59"/>
  <c r="R379" i="59"/>
  <c r="AF379" i="59"/>
  <c r="V385" i="59"/>
  <c r="AD385" i="59"/>
  <c r="V459" i="59"/>
  <c r="AF459" i="59"/>
  <c r="Y465" i="59"/>
  <c r="AD465" i="59"/>
  <c r="T420" i="59"/>
  <c r="AE420" i="59"/>
  <c r="R427" i="59"/>
  <c r="AF427" i="59"/>
  <c r="Q430" i="59"/>
  <c r="AC430" i="59"/>
  <c r="T452" i="59"/>
  <c r="AE452" i="59"/>
  <c r="R390" i="59"/>
  <c r="AC390" i="59"/>
  <c r="Y415" i="59"/>
  <c r="AC415" i="59"/>
  <c r="AF384" i="59"/>
  <c r="Z384" i="59"/>
  <c r="Y383" i="59"/>
  <c r="AB383" i="59"/>
  <c r="S404" i="59"/>
  <c r="AD404" i="59"/>
  <c r="U455" i="59"/>
  <c r="AB455" i="59"/>
  <c r="S393" i="59"/>
  <c r="AA393" i="59"/>
  <c r="Y369" i="59"/>
  <c r="AA369" i="59"/>
  <c r="Y373" i="59"/>
  <c r="Z373" i="59"/>
  <c r="X389" i="59"/>
  <c r="AB389" i="59"/>
  <c r="Y463" i="59"/>
  <c r="AB463" i="59"/>
  <c r="AD418" i="59"/>
  <c r="AF418" i="59"/>
  <c r="Z461" i="59"/>
  <c r="AB461" i="59"/>
  <c r="Z444" i="59"/>
  <c r="AD444" i="59"/>
  <c r="R370" i="59"/>
  <c r="AF370" i="59"/>
  <c r="T387" i="59"/>
  <c r="AC387" i="59"/>
  <c r="U466" i="59"/>
  <c r="AF466" i="59"/>
  <c r="X405" i="59"/>
  <c r="AB405" i="59"/>
  <c r="U366" i="59"/>
  <c r="Z366" i="59"/>
  <c r="T382" i="59"/>
  <c r="AB382" i="59"/>
  <c r="X367" i="59"/>
  <c r="Z367" i="59"/>
  <c r="Z398" i="59"/>
  <c r="AB398" i="59"/>
  <c r="U379" i="59"/>
  <c r="AC379" i="59"/>
  <c r="X385" i="59"/>
  <c r="AA385" i="59"/>
  <c r="V465" i="59"/>
  <c r="AA465" i="59"/>
  <c r="T427" i="59"/>
  <c r="AC427" i="59"/>
  <c r="W452" i="59"/>
  <c r="AD452" i="59"/>
  <c r="W415" i="59"/>
  <c r="AB415" i="59"/>
  <c r="V384" i="59"/>
  <c r="AA384" i="59"/>
  <c r="X383" i="59"/>
  <c r="AA383" i="59"/>
  <c r="Z404" i="59"/>
  <c r="AB404" i="59"/>
  <c r="Z455" i="59"/>
  <c r="AA455" i="59"/>
  <c r="U393" i="59"/>
  <c r="AF393" i="59"/>
  <c r="AE369" i="59"/>
  <c r="AF369" i="59"/>
  <c r="W373" i="59"/>
  <c r="AA373" i="59"/>
  <c r="Y389" i="59"/>
  <c r="AA389" i="59"/>
  <c r="X463" i="59"/>
  <c r="AA463" i="59"/>
  <c r="S418" i="59"/>
  <c r="AE418" i="59"/>
  <c r="X461" i="59"/>
  <c r="AA461" i="59"/>
  <c r="AA444" i="59"/>
  <c r="AB444" i="59"/>
  <c r="S370" i="59"/>
  <c r="AE370" i="59"/>
  <c r="U387" i="59"/>
  <c r="AD387" i="59"/>
  <c r="V466" i="59"/>
  <c r="AE466" i="59"/>
  <c r="Y405" i="59"/>
  <c r="AA405" i="59"/>
  <c r="W366" i="59"/>
  <c r="AA366" i="59"/>
  <c r="Y382" i="59"/>
  <c r="AA382" i="59"/>
  <c r="V367" i="59"/>
  <c r="AA367" i="59"/>
  <c r="Y398" i="59"/>
  <c r="AA398" i="59"/>
  <c r="T379" i="59"/>
  <c r="AD379" i="59"/>
  <c r="T385" i="59"/>
  <c r="AF385" i="59"/>
  <c r="W465" i="59"/>
  <c r="AF465" i="59"/>
  <c r="V427" i="59"/>
  <c r="AD427" i="59"/>
  <c r="Z452" i="59"/>
  <c r="AB452" i="59"/>
  <c r="Z415" i="59"/>
  <c r="AA415" i="59"/>
  <c r="AC452" i="59"/>
  <c r="S384" i="59"/>
  <c r="Y384" i="59"/>
  <c r="Q383" i="59"/>
  <c r="V383" i="59"/>
  <c r="W404" i="59"/>
  <c r="X404" i="59"/>
  <c r="T455" i="59"/>
  <c r="W455" i="59"/>
  <c r="Q393" i="59"/>
  <c r="T393" i="59"/>
  <c r="U369" i="59"/>
  <c r="T369" i="59"/>
  <c r="Q373" i="59"/>
  <c r="U373" i="59"/>
  <c r="Z389" i="59"/>
  <c r="W389" i="59"/>
  <c r="S463" i="59"/>
  <c r="W463" i="59"/>
  <c r="U418" i="59"/>
  <c r="W418" i="59"/>
  <c r="R461" i="59"/>
  <c r="Y461" i="59"/>
  <c r="R444" i="59"/>
  <c r="X444" i="59"/>
  <c r="V370" i="59"/>
  <c r="X370" i="59"/>
  <c r="V387" i="59"/>
  <c r="AB387" i="59"/>
  <c r="AC466" i="59"/>
  <c r="Z466" i="59"/>
  <c r="T405" i="59"/>
  <c r="W405" i="59"/>
  <c r="T366" i="59"/>
  <c r="V366" i="59"/>
  <c r="Z382" i="59"/>
  <c r="W382" i="59"/>
  <c r="Y367" i="59"/>
  <c r="U367" i="59"/>
  <c r="R398" i="59"/>
  <c r="W398" i="59"/>
  <c r="Q379" i="59"/>
  <c r="AB379" i="59"/>
  <c r="Q385" i="59"/>
  <c r="W385" i="59"/>
  <c r="R465" i="59"/>
  <c r="T465" i="59"/>
  <c r="R420" i="59"/>
  <c r="Y420" i="59"/>
  <c r="Q427" i="59"/>
  <c r="Z427" i="59"/>
  <c r="Y430" i="59"/>
  <c r="W430" i="59"/>
  <c r="R452" i="59"/>
  <c r="X452" i="59"/>
  <c r="Q390" i="59"/>
  <c r="W390" i="59"/>
  <c r="Q415" i="59"/>
  <c r="V415" i="59"/>
  <c r="X384" i="59"/>
  <c r="U384" i="59"/>
  <c r="W383" i="59"/>
  <c r="U383" i="59"/>
  <c r="R404" i="59"/>
  <c r="Y404" i="59"/>
  <c r="X455" i="59"/>
  <c r="V455" i="59"/>
  <c r="V393" i="59"/>
  <c r="Y393" i="59"/>
  <c r="Q369" i="59"/>
  <c r="X369" i="59"/>
  <c r="T373" i="59"/>
  <c r="AF373" i="59"/>
  <c r="Q389" i="59"/>
  <c r="U389" i="59"/>
  <c r="U463" i="59"/>
  <c r="V463" i="59"/>
  <c r="AC418" i="59"/>
  <c r="Z418" i="59"/>
  <c r="V461" i="59"/>
  <c r="W461" i="59"/>
  <c r="W444" i="59"/>
  <c r="Y444" i="59"/>
  <c r="U370" i="59"/>
  <c r="Y370" i="59"/>
  <c r="Q387" i="59"/>
  <c r="Z387" i="59"/>
  <c r="Q466" i="59"/>
  <c r="AD466" i="59"/>
  <c r="Q405" i="59"/>
  <c r="U405" i="59"/>
  <c r="Q366" i="59"/>
  <c r="AF366" i="59"/>
  <c r="Q382" i="59"/>
  <c r="V382" i="59"/>
  <c r="T367" i="59"/>
  <c r="AF367" i="59"/>
  <c r="T398" i="59"/>
  <c r="V398" i="59"/>
  <c r="S379" i="59"/>
  <c r="W379" i="59"/>
  <c r="R385" i="59"/>
  <c r="Z385" i="59"/>
  <c r="U465" i="59"/>
  <c r="AE465" i="59"/>
  <c r="S427" i="59"/>
  <c r="W427" i="59"/>
  <c r="U452" i="59"/>
  <c r="Y452" i="59"/>
  <c r="X415" i="59"/>
  <c r="U415" i="59"/>
  <c r="S452" i="59"/>
  <c r="R384" i="59"/>
  <c r="AE384" i="59"/>
  <c r="R383" i="59"/>
  <c r="AF383" i="59"/>
  <c r="AA404" i="59"/>
  <c r="V404" i="59"/>
  <c r="Q455" i="59"/>
  <c r="AF455" i="59"/>
  <c r="W393" i="59"/>
  <c r="Z393" i="59"/>
  <c r="R369" i="59"/>
  <c r="AC369" i="59"/>
  <c r="R373" i="59"/>
  <c r="AE373" i="59"/>
  <c r="R389" i="59"/>
  <c r="AF389" i="59"/>
  <c r="Q463" i="59"/>
  <c r="AF463" i="59"/>
  <c r="T418" i="59"/>
  <c r="X418" i="59"/>
  <c r="Q461" i="59"/>
  <c r="AF461" i="59"/>
  <c r="Q444" i="59"/>
  <c r="V444" i="59"/>
  <c r="Q370" i="59"/>
  <c r="AC370" i="59"/>
  <c r="S387" i="59"/>
  <c r="W387" i="59"/>
  <c r="R466" i="59"/>
  <c r="X466" i="59"/>
  <c r="R405" i="59"/>
  <c r="AF405" i="59"/>
  <c r="X366" i="59"/>
  <c r="AE366" i="59"/>
  <c r="X382" i="59"/>
  <c r="AF382" i="59"/>
  <c r="Q367" i="59"/>
  <c r="AE367" i="59"/>
  <c r="U398" i="59"/>
  <c r="AF398" i="59"/>
  <c r="V379" i="59"/>
  <c r="Z379" i="59"/>
  <c r="S385" i="59"/>
  <c r="AE385" i="59"/>
  <c r="AB459" i="59"/>
  <c r="Q465" i="59"/>
  <c r="Z465" i="59"/>
  <c r="U420" i="59"/>
  <c r="X427" i="59"/>
  <c r="AB427" i="59"/>
  <c r="R430" i="59"/>
  <c r="AA452" i="59"/>
  <c r="V452" i="59"/>
  <c r="Y390" i="59"/>
  <c r="R415" i="59"/>
  <c r="AF415" i="59"/>
  <c r="T384" i="59"/>
  <c r="Z383" i="59"/>
  <c r="Q404" i="59"/>
  <c r="S455" i="59"/>
  <c r="X393" i="59"/>
  <c r="W369" i="59"/>
  <c r="S373" i="59"/>
  <c r="T389" i="59"/>
  <c r="T463" i="59"/>
  <c r="R418" i="59"/>
  <c r="S461" i="59"/>
  <c r="U444" i="59"/>
  <c r="W370" i="59"/>
  <c r="Y387" i="59"/>
  <c r="T466" i="59"/>
  <c r="Z405" i="59"/>
  <c r="R366" i="59"/>
  <c r="R382" i="59"/>
  <c r="R367" i="59"/>
  <c r="Q398" i="59"/>
  <c r="X379" i="59"/>
  <c r="U385" i="59"/>
  <c r="X465" i="59"/>
  <c r="Y427" i="59"/>
  <c r="Q452" i="59"/>
  <c r="T415" i="59"/>
  <c r="J123" i="59"/>
  <c r="CI97" i="60"/>
  <c r="CU50" i="60"/>
  <c r="CU49" i="60"/>
  <c r="CX50" i="60"/>
  <c r="CX49" i="60"/>
  <c r="CU51" i="60"/>
  <c r="CW50" i="60"/>
  <c r="CW49" i="60"/>
  <c r="CW51" i="60"/>
  <c r="CY50" i="60"/>
  <c r="CY49" i="60"/>
  <c r="J139" i="59"/>
  <c r="J172" i="59"/>
  <c r="J135" i="59"/>
  <c r="J122" i="59"/>
  <c r="J136" i="59"/>
  <c r="J144" i="59"/>
  <c r="J151" i="59"/>
  <c r="J169" i="59"/>
  <c r="E320" i="59"/>
  <c r="H320" i="59" s="1"/>
  <c r="J126" i="59"/>
  <c r="J165" i="59"/>
  <c r="J157" i="59"/>
  <c r="J163" i="59"/>
  <c r="J171" i="59"/>
  <c r="J141" i="59"/>
  <c r="J166" i="59"/>
  <c r="J153" i="59"/>
  <c r="J160" i="59"/>
  <c r="J156" i="59"/>
  <c r="E327" i="59"/>
  <c r="H327" i="59" s="1"/>
  <c r="J121" i="59"/>
  <c r="E332" i="59"/>
  <c r="I332" i="59" s="1"/>
  <c r="J173" i="59"/>
  <c r="J129" i="59"/>
  <c r="J145" i="59"/>
  <c r="J158" i="59"/>
  <c r="J149" i="59"/>
  <c r="J150" i="59"/>
  <c r="J127" i="59"/>
  <c r="J128" i="59"/>
  <c r="J147" i="59"/>
  <c r="J167" i="59"/>
  <c r="E324" i="59"/>
  <c r="H324" i="59" s="1"/>
  <c r="J140" i="59"/>
  <c r="E325" i="59"/>
  <c r="H325" i="59" s="1"/>
  <c r="J155" i="59"/>
  <c r="J154" i="59"/>
  <c r="J134" i="59"/>
  <c r="J142" i="59"/>
  <c r="J132" i="59"/>
  <c r="J164" i="59"/>
  <c r="J138" i="59"/>
  <c r="J168" i="59"/>
  <c r="J161" i="59"/>
  <c r="J120" i="59"/>
  <c r="J119" i="59"/>
  <c r="J130" i="59"/>
  <c r="J131" i="59"/>
  <c r="J125" i="59"/>
  <c r="J170" i="59"/>
  <c r="J152" i="59"/>
  <c r="J162" i="59"/>
  <c r="J137" i="59"/>
  <c r="J146" i="59"/>
  <c r="DH84" i="60" l="1"/>
  <c r="DH82" i="60" s="1"/>
  <c r="DE84" i="60"/>
  <c r="DE82" i="60" s="1"/>
  <c r="DM84" i="60"/>
  <c r="DM82" i="60" s="1"/>
  <c r="DN84" i="60"/>
  <c r="DN82" i="60" s="1"/>
  <c r="DI84" i="60"/>
  <c r="DI82" i="60" s="1"/>
  <c r="DL84" i="60"/>
  <c r="DL82" i="60" s="1"/>
  <c r="DK84" i="60"/>
  <c r="DK82" i="60" s="1"/>
  <c r="DF84" i="60"/>
  <c r="DF89" i="60" s="1"/>
  <c r="DD84" i="60"/>
  <c r="DD82" i="60" s="1"/>
  <c r="DJ84" i="60"/>
  <c r="DJ82" i="60" s="1"/>
  <c r="CS48" i="60"/>
  <c r="CV48" i="60"/>
  <c r="CX48" i="60"/>
  <c r="CY48" i="60"/>
  <c r="CZ48" i="60"/>
  <c r="DG84" i="60"/>
  <c r="DG82" i="60" s="1"/>
  <c r="CW48" i="60"/>
  <c r="DB84" i="60"/>
  <c r="DB82" i="60" s="1"/>
  <c r="CT48" i="60"/>
  <c r="DC82" i="60"/>
  <c r="DA48" i="60"/>
  <c r="CU48" i="60"/>
  <c r="CG51" i="60"/>
  <c r="CG49" i="60"/>
  <c r="DC89" i="60"/>
  <c r="I456" i="59"/>
  <c r="J456" i="59" s="1"/>
  <c r="DM89" i="60"/>
  <c r="I460" i="59"/>
  <c r="J460" i="59" s="1"/>
  <c r="I463" i="59"/>
  <c r="J463" i="59" s="1"/>
  <c r="I467" i="59"/>
  <c r="J467" i="59" s="1"/>
  <c r="I462" i="59"/>
  <c r="J462" i="59" s="1"/>
  <c r="DN89" i="60"/>
  <c r="I464" i="59"/>
  <c r="J464" i="59" s="1"/>
  <c r="I465" i="59"/>
  <c r="J465" i="59" s="1"/>
  <c r="I457" i="59"/>
  <c r="J457" i="59" s="1"/>
  <c r="DI89" i="60"/>
  <c r="I455" i="59"/>
  <c r="J455" i="59" s="1"/>
  <c r="DE89" i="60"/>
  <c r="I320" i="59"/>
  <c r="I327" i="59"/>
  <c r="J327" i="59" s="1"/>
  <c r="H332" i="59"/>
  <c r="J332" i="59" s="1"/>
  <c r="I324" i="59"/>
  <c r="J324" i="59" s="1"/>
  <c r="I325" i="59"/>
  <c r="J325" i="59" s="1"/>
  <c r="DF82" i="60" l="1"/>
  <c r="DL89" i="60"/>
  <c r="DG89" i="60"/>
  <c r="DB89" i="60"/>
  <c r="DD89" i="60"/>
  <c r="DK89" i="60"/>
  <c r="DJ89" i="60"/>
  <c r="CG48" i="60"/>
  <c r="I461" i="59"/>
  <c r="J461" i="59" s="1"/>
  <c r="I466" i="59"/>
  <c r="J466" i="59" s="1"/>
  <c r="I458" i="59"/>
  <c r="J458" i="59" s="1"/>
  <c r="I459" i="59"/>
  <c r="J459" i="59" s="1"/>
  <c r="DH89" i="60"/>
  <c r="I46" i="59"/>
  <c r="I38" i="59"/>
  <c r="I30" i="59"/>
  <c r="D40" i="59"/>
  <c r="I529" i="52" a="1"/>
  <c r="J529" i="52" s="1"/>
  <c r="E531" i="52" a="1"/>
  <c r="E531" i="52" s="1"/>
  <c r="I442" i="52" a="1"/>
  <c r="M442" i="52" s="1"/>
  <c r="E444" i="52" a="1"/>
  <c r="E505" i="52" s="1"/>
  <c r="I386" i="52" a="1"/>
  <c r="I386" i="52" s="1"/>
  <c r="I330" i="52" a="1"/>
  <c r="K330" i="52" s="1"/>
  <c r="N312" i="52"/>
  <c r="M312" i="52"/>
  <c r="N310" i="52"/>
  <c r="M310" i="52"/>
  <c r="N303" i="52"/>
  <c r="N257" i="52"/>
  <c r="M257" i="52"/>
  <c r="L596" i="75"/>
  <c r="L597" i="75"/>
  <c r="L598" i="75"/>
  <c r="L599" i="75"/>
  <c r="L600" i="75"/>
  <c r="L601" i="75"/>
  <c r="L602" i="75"/>
  <c r="L603" i="75"/>
  <c r="L604" i="75"/>
  <c r="L605" i="75"/>
  <c r="L606" i="75"/>
  <c r="L607" i="75"/>
  <c r="L608" i="75"/>
  <c r="L609" i="75"/>
  <c r="L610" i="75"/>
  <c r="L611" i="75"/>
  <c r="L612" i="75"/>
  <c r="L613" i="75"/>
  <c r="L614" i="75"/>
  <c r="L615" i="75"/>
  <c r="L616" i="75"/>
  <c r="L617" i="75"/>
  <c r="L618" i="75"/>
  <c r="L619" i="75"/>
  <c r="L620" i="75"/>
  <c r="L621" i="75"/>
  <c r="L622" i="75"/>
  <c r="L623" i="75"/>
  <c r="L624" i="75"/>
  <c r="L625" i="75"/>
  <c r="L626" i="75"/>
  <c r="L627" i="75"/>
  <c r="L628" i="75"/>
  <c r="L629" i="75"/>
  <c r="L630" i="75"/>
  <c r="L631" i="75"/>
  <c r="L632" i="75"/>
  <c r="L633" i="75"/>
  <c r="L634" i="75"/>
  <c r="L635" i="75"/>
  <c r="L636" i="75"/>
  <c r="L637" i="75"/>
  <c r="L638" i="75"/>
  <c r="L639" i="75"/>
  <c r="L640" i="75"/>
  <c r="L641" i="75"/>
  <c r="L642" i="75"/>
  <c r="L643" i="75"/>
  <c r="L644" i="75"/>
  <c r="L645" i="75"/>
  <c r="L646" i="75"/>
  <c r="L647" i="75"/>
  <c r="L648" i="75"/>
  <c r="L649" i="75"/>
  <c r="L650" i="75"/>
  <c r="L651" i="75"/>
  <c r="L652" i="75"/>
  <c r="L653" i="75"/>
  <c r="L654" i="75"/>
  <c r="L655" i="75"/>
  <c r="L656" i="75"/>
  <c r="L657" i="75"/>
  <c r="L658" i="75"/>
  <c r="L659" i="75"/>
  <c r="L660" i="75"/>
  <c r="L661" i="75"/>
  <c r="L662" i="75"/>
  <c r="L663" i="75"/>
  <c r="L664" i="75"/>
  <c r="L665" i="75"/>
  <c r="L666" i="75"/>
  <c r="L667" i="75"/>
  <c r="L668" i="75"/>
  <c r="L669" i="75"/>
  <c r="L670" i="75"/>
  <c r="L671" i="75"/>
  <c r="L672" i="75"/>
  <c r="L673" i="75"/>
  <c r="L674" i="75"/>
  <c r="L675" i="75"/>
  <c r="L676" i="75"/>
  <c r="L677" i="75"/>
  <c r="L678" i="75"/>
  <c r="L679" i="75"/>
  <c r="L680" i="75"/>
  <c r="L681" i="75"/>
  <c r="L682" i="75"/>
  <c r="L683" i="75"/>
  <c r="L684" i="75"/>
  <c r="L685" i="75"/>
  <c r="L686" i="75"/>
  <c r="L687" i="75"/>
  <c r="L688" i="75"/>
  <c r="L689" i="75"/>
  <c r="L690" i="75"/>
  <c r="L691" i="75"/>
  <c r="L692" i="75"/>
  <c r="L693" i="75"/>
  <c r="L694" i="75"/>
  <c r="L695" i="75"/>
  <c r="L696" i="75"/>
  <c r="L697" i="75"/>
  <c r="L698" i="75"/>
  <c r="L699" i="75"/>
  <c r="L700" i="75"/>
  <c r="L701" i="75"/>
  <c r="L702" i="75"/>
  <c r="N529" i="52" l="1"/>
  <c r="M529" i="52"/>
  <c r="I529" i="52"/>
  <c r="L529" i="52"/>
  <c r="K529" i="52"/>
  <c r="E594" i="52"/>
  <c r="C594" i="52" s="1"/>
  <c r="E546" i="52"/>
  <c r="E585" i="52"/>
  <c r="E537" i="52"/>
  <c r="E592" i="52"/>
  <c r="E584" i="52"/>
  <c r="E576" i="52"/>
  <c r="E568" i="52"/>
  <c r="E560" i="52"/>
  <c r="E552" i="52"/>
  <c r="E544" i="52"/>
  <c r="E536" i="52"/>
  <c r="E586" i="52"/>
  <c r="E562" i="52"/>
  <c r="E545" i="52"/>
  <c r="E591" i="52"/>
  <c r="E583" i="52"/>
  <c r="E575" i="52"/>
  <c r="E567" i="52"/>
  <c r="E559" i="52"/>
  <c r="E551" i="52"/>
  <c r="E543" i="52"/>
  <c r="E535" i="52"/>
  <c r="E570" i="52"/>
  <c r="E553" i="52"/>
  <c r="E598" i="52"/>
  <c r="E590" i="52"/>
  <c r="E582" i="52"/>
  <c r="E574" i="52"/>
  <c r="E566" i="52"/>
  <c r="E558" i="52"/>
  <c r="E550" i="52"/>
  <c r="E542" i="52"/>
  <c r="E534" i="52"/>
  <c r="E578" i="52"/>
  <c r="E569" i="52"/>
  <c r="E597" i="52"/>
  <c r="E589" i="52"/>
  <c r="E581" i="52"/>
  <c r="E573" i="52"/>
  <c r="E565" i="52"/>
  <c r="E557" i="52"/>
  <c r="E549" i="52"/>
  <c r="E541" i="52"/>
  <c r="E533" i="52"/>
  <c r="E554" i="52"/>
  <c r="E593" i="52"/>
  <c r="C593" i="52" s="1"/>
  <c r="E561" i="52"/>
  <c r="E596" i="52"/>
  <c r="E588" i="52"/>
  <c r="E580" i="52"/>
  <c r="E572" i="52"/>
  <c r="E564" i="52"/>
  <c r="E556" i="52"/>
  <c r="E548" i="52"/>
  <c r="E540" i="52"/>
  <c r="E532" i="52"/>
  <c r="E538" i="52"/>
  <c r="E577" i="52"/>
  <c r="E595" i="52"/>
  <c r="E587" i="52"/>
  <c r="E579" i="52"/>
  <c r="E571" i="52"/>
  <c r="E563" i="52"/>
  <c r="E555" i="52"/>
  <c r="E547" i="52"/>
  <c r="E539" i="52"/>
  <c r="L442" i="52"/>
  <c r="K442" i="52"/>
  <c r="J442" i="52"/>
  <c r="I442" i="52"/>
  <c r="N442" i="52"/>
  <c r="E450" i="52"/>
  <c r="E458" i="52"/>
  <c r="E466" i="52"/>
  <c r="E474" i="52"/>
  <c r="E482" i="52"/>
  <c r="E490" i="52"/>
  <c r="E498" i="52"/>
  <c r="E506" i="52"/>
  <c r="C506" i="52" s="1"/>
  <c r="E444" i="52"/>
  <c r="E451" i="52"/>
  <c r="E459" i="52"/>
  <c r="E467" i="52"/>
  <c r="E475" i="52"/>
  <c r="E483" i="52"/>
  <c r="E491" i="52"/>
  <c r="E499" i="52"/>
  <c r="E507" i="52"/>
  <c r="C507" i="52" s="1"/>
  <c r="E452" i="52"/>
  <c r="E468" i="52"/>
  <c r="E492" i="52"/>
  <c r="E508" i="52"/>
  <c r="E445" i="52"/>
  <c r="E461" i="52"/>
  <c r="E477" i="52"/>
  <c r="E493" i="52"/>
  <c r="E509" i="52"/>
  <c r="E446" i="52"/>
  <c r="E462" i="52"/>
  <c r="E478" i="52"/>
  <c r="E494" i="52"/>
  <c r="E502" i="52"/>
  <c r="E447" i="52"/>
  <c r="E463" i="52"/>
  <c r="E471" i="52"/>
  <c r="E487" i="52"/>
  <c r="E511" i="52"/>
  <c r="E448" i="52"/>
  <c r="E456" i="52"/>
  <c r="E464" i="52"/>
  <c r="E472" i="52"/>
  <c r="E480" i="52"/>
  <c r="E488" i="52"/>
  <c r="E496" i="52"/>
  <c r="E504" i="52"/>
  <c r="E460" i="52"/>
  <c r="E476" i="52"/>
  <c r="E484" i="52"/>
  <c r="E500" i="52"/>
  <c r="E453" i="52"/>
  <c r="E469" i="52"/>
  <c r="E485" i="52"/>
  <c r="E501" i="52"/>
  <c r="E454" i="52"/>
  <c r="E470" i="52"/>
  <c r="E486" i="52"/>
  <c r="E510" i="52"/>
  <c r="E455" i="52"/>
  <c r="E479" i="52"/>
  <c r="E495" i="52"/>
  <c r="E503" i="52"/>
  <c r="E449" i="52"/>
  <c r="E457" i="52"/>
  <c r="E465" i="52"/>
  <c r="E473" i="52"/>
  <c r="E481" i="52"/>
  <c r="E489" i="52"/>
  <c r="E497" i="52"/>
  <c r="N386" i="52"/>
  <c r="M386" i="52"/>
  <c r="L386" i="52"/>
  <c r="K386" i="52"/>
  <c r="J386" i="52"/>
  <c r="N330" i="52"/>
  <c r="J330" i="52"/>
  <c r="I330" i="52"/>
  <c r="M330" i="52"/>
  <c r="L330" i="52"/>
  <c r="E149" i="52" l="1" a="1"/>
  <c r="E149" i="52" s="1"/>
  <c r="E21" i="52" a="1"/>
  <c r="E21" i="52" s="1"/>
  <c r="M13" i="52"/>
  <c r="G21" i="52" l="1"/>
  <c r="F21" i="52"/>
  <c r="C21" i="52" s="1"/>
  <c r="E252" i="52"/>
  <c r="E220" i="52"/>
  <c r="E180" i="52"/>
  <c r="E251" i="52"/>
  <c r="E211" i="52"/>
  <c r="E195" i="52"/>
  <c r="E155" i="52"/>
  <c r="E250" i="52"/>
  <c r="E242" i="52"/>
  <c r="E234" i="52"/>
  <c r="E226" i="52"/>
  <c r="E218" i="52"/>
  <c r="E210" i="52"/>
  <c r="E202" i="52"/>
  <c r="E194" i="52"/>
  <c r="E186" i="52"/>
  <c r="E178" i="52"/>
  <c r="E170" i="52"/>
  <c r="E162" i="52"/>
  <c r="E154" i="52"/>
  <c r="E228" i="52"/>
  <c r="E196" i="52"/>
  <c r="E249" i="52"/>
  <c r="E241" i="52"/>
  <c r="E233" i="52"/>
  <c r="E225" i="52"/>
  <c r="E217" i="52"/>
  <c r="E209" i="52"/>
  <c r="E201" i="52"/>
  <c r="E193" i="52"/>
  <c r="E185" i="52"/>
  <c r="E177" i="52"/>
  <c r="E169" i="52"/>
  <c r="E161" i="52"/>
  <c r="E153" i="52"/>
  <c r="E236" i="52"/>
  <c r="E172" i="52"/>
  <c r="E227" i="52"/>
  <c r="E203" i="52"/>
  <c r="E163" i="52"/>
  <c r="E256" i="52"/>
  <c r="E248" i="52"/>
  <c r="E240" i="52"/>
  <c r="E232" i="52"/>
  <c r="E224" i="52"/>
  <c r="E216" i="52"/>
  <c r="E208" i="52"/>
  <c r="E200" i="52"/>
  <c r="E192" i="52"/>
  <c r="E184" i="52"/>
  <c r="E176" i="52"/>
  <c r="E168" i="52"/>
  <c r="E160" i="52"/>
  <c r="E152" i="52"/>
  <c r="E212" i="52"/>
  <c r="E156" i="52"/>
  <c r="E219" i="52"/>
  <c r="E171" i="52"/>
  <c r="E255" i="52"/>
  <c r="E247" i="52"/>
  <c r="E239" i="52"/>
  <c r="E231" i="52"/>
  <c r="E223" i="52"/>
  <c r="E215" i="52"/>
  <c r="E207" i="52"/>
  <c r="E199" i="52"/>
  <c r="E191" i="52"/>
  <c r="E183" i="52"/>
  <c r="E175" i="52"/>
  <c r="E167" i="52"/>
  <c r="E159" i="52"/>
  <c r="E151" i="52"/>
  <c r="E244" i="52"/>
  <c r="E188" i="52"/>
  <c r="E243" i="52"/>
  <c r="E187" i="52"/>
  <c r="E254" i="52"/>
  <c r="E246" i="52"/>
  <c r="E238" i="52"/>
  <c r="E230" i="52"/>
  <c r="E222" i="52"/>
  <c r="E214" i="52"/>
  <c r="E206" i="52"/>
  <c r="E198" i="52"/>
  <c r="E190" i="52"/>
  <c r="E182" i="52"/>
  <c r="E174" i="52"/>
  <c r="E166" i="52"/>
  <c r="E158" i="52"/>
  <c r="E150" i="52"/>
  <c r="E204" i="52"/>
  <c r="E164" i="52"/>
  <c r="E235" i="52"/>
  <c r="E179" i="52"/>
  <c r="E253" i="52"/>
  <c r="E245" i="52"/>
  <c r="E237" i="52"/>
  <c r="E229" i="52"/>
  <c r="E221" i="52"/>
  <c r="E213" i="52"/>
  <c r="E205" i="52"/>
  <c r="E197" i="52"/>
  <c r="E189" i="52"/>
  <c r="E181" i="52"/>
  <c r="E173" i="52"/>
  <c r="E165" i="52"/>
  <c r="E157" i="52"/>
  <c r="E124" i="52"/>
  <c r="E84" i="52"/>
  <c r="E60" i="52"/>
  <c r="E123" i="52"/>
  <c r="E83" i="52"/>
  <c r="E67" i="52"/>
  <c r="E27" i="52"/>
  <c r="E122" i="52"/>
  <c r="E114" i="52"/>
  <c r="E106" i="52"/>
  <c r="E98" i="52"/>
  <c r="E90" i="52"/>
  <c r="E82" i="52"/>
  <c r="E74" i="52"/>
  <c r="E66" i="52"/>
  <c r="E58" i="52"/>
  <c r="E50" i="52"/>
  <c r="E42" i="52"/>
  <c r="E34" i="52"/>
  <c r="E26" i="52"/>
  <c r="E100" i="52"/>
  <c r="E52" i="52"/>
  <c r="E99" i="52"/>
  <c r="E51" i="52"/>
  <c r="E113" i="52"/>
  <c r="E65" i="52"/>
  <c r="E33" i="52"/>
  <c r="E25" i="52"/>
  <c r="E92" i="52"/>
  <c r="E36" i="52"/>
  <c r="E91" i="52"/>
  <c r="E35" i="52"/>
  <c r="E24" i="52"/>
  <c r="E116" i="52"/>
  <c r="E76" i="52"/>
  <c r="E28" i="52"/>
  <c r="C28" i="52" s="1"/>
  <c r="E115" i="52"/>
  <c r="E75" i="52"/>
  <c r="E43" i="52"/>
  <c r="E121" i="52"/>
  <c r="E97" i="52"/>
  <c r="E73" i="52"/>
  <c r="E57" i="52"/>
  <c r="E128" i="52"/>
  <c r="E120" i="52"/>
  <c r="E104" i="52"/>
  <c r="E80" i="52"/>
  <c r="E56" i="52"/>
  <c r="E32" i="52"/>
  <c r="E127" i="52"/>
  <c r="E119" i="52"/>
  <c r="E111" i="52"/>
  <c r="E103" i="52"/>
  <c r="E95" i="52"/>
  <c r="E87" i="52"/>
  <c r="E79" i="52"/>
  <c r="E71" i="52"/>
  <c r="E63" i="52"/>
  <c r="E55" i="52"/>
  <c r="E47" i="52"/>
  <c r="E39" i="52"/>
  <c r="E31" i="52"/>
  <c r="E23" i="52"/>
  <c r="E89" i="52"/>
  <c r="E49" i="52"/>
  <c r="E112" i="52"/>
  <c r="E88" i="52"/>
  <c r="E64" i="52"/>
  <c r="E40" i="52"/>
  <c r="E126" i="52"/>
  <c r="E118" i="52"/>
  <c r="E110" i="52"/>
  <c r="E102" i="52"/>
  <c r="E94" i="52"/>
  <c r="E86" i="52"/>
  <c r="E78" i="52"/>
  <c r="E70" i="52"/>
  <c r="E62" i="52"/>
  <c r="E54" i="52"/>
  <c r="E46" i="52"/>
  <c r="E38" i="52"/>
  <c r="E30" i="52"/>
  <c r="E22" i="52"/>
  <c r="E108" i="52"/>
  <c r="E68" i="52"/>
  <c r="E44" i="52"/>
  <c r="E107" i="52"/>
  <c r="E59" i="52"/>
  <c r="E105" i="52"/>
  <c r="E81" i="52"/>
  <c r="E41" i="52"/>
  <c r="E96" i="52"/>
  <c r="E72" i="52"/>
  <c r="E48" i="52"/>
  <c r="E125" i="52"/>
  <c r="E117" i="52"/>
  <c r="E109" i="52"/>
  <c r="E101" i="52"/>
  <c r="E93" i="52"/>
  <c r="E85" i="52"/>
  <c r="E77" i="52"/>
  <c r="E69" i="52"/>
  <c r="E61" i="52"/>
  <c r="E53" i="52"/>
  <c r="E45" i="52"/>
  <c r="E37" i="52"/>
  <c r="E29" i="52"/>
  <c r="M21" i="52" l="1"/>
  <c r="F108" i="52"/>
  <c r="C108" i="52" s="1"/>
  <c r="F128" i="52"/>
  <c r="C128" i="52" s="1"/>
  <c r="F76" i="52"/>
  <c r="F204" i="52" s="1"/>
  <c r="C204" i="52" s="1"/>
  <c r="F37" i="52"/>
  <c r="C37" i="52" s="1"/>
  <c r="F101" i="52"/>
  <c r="C101" i="52" s="1"/>
  <c r="F81" i="52"/>
  <c r="C81" i="52" s="1"/>
  <c r="F30" i="52"/>
  <c r="C30" i="52" s="1"/>
  <c r="F94" i="52"/>
  <c r="C94" i="52" s="1"/>
  <c r="F112" i="52"/>
  <c r="C112" i="52" s="1"/>
  <c r="F63" i="52"/>
  <c r="C63" i="52" s="1"/>
  <c r="F127" i="52"/>
  <c r="C127" i="52" s="1"/>
  <c r="F73" i="52"/>
  <c r="F201" i="52" s="1"/>
  <c r="C201" i="52" s="1"/>
  <c r="F116" i="52"/>
  <c r="C116" i="52" s="1"/>
  <c r="F65" i="52"/>
  <c r="C65" i="52" s="1"/>
  <c r="F42" i="52"/>
  <c r="C42" i="52" s="1"/>
  <c r="F106" i="52"/>
  <c r="C106" i="52" s="1"/>
  <c r="F84" i="52"/>
  <c r="C84" i="52" s="1"/>
  <c r="F85" i="52"/>
  <c r="C85" i="52" s="1"/>
  <c r="F26" i="52"/>
  <c r="F154" i="52" s="1"/>
  <c r="C154" i="52" s="1"/>
  <c r="F86" i="52"/>
  <c r="C86" i="52" s="1"/>
  <c r="F55" i="52"/>
  <c r="C55" i="52" s="1"/>
  <c r="F98" i="52"/>
  <c r="C98" i="52" s="1"/>
  <c r="F38" i="52"/>
  <c r="C38" i="52" s="1"/>
  <c r="F49" i="52"/>
  <c r="C49" i="52" s="1"/>
  <c r="F32" i="52"/>
  <c r="C32" i="52" s="1"/>
  <c r="F97" i="52"/>
  <c r="C97" i="52" s="1"/>
  <c r="F24" i="52"/>
  <c r="C24" i="52" s="1"/>
  <c r="F113" i="52"/>
  <c r="F241" i="52" s="1"/>
  <c r="C241" i="52" s="1"/>
  <c r="F50" i="52"/>
  <c r="C50" i="52" s="1"/>
  <c r="F114" i="52"/>
  <c r="C114" i="52" s="1"/>
  <c r="F124" i="52"/>
  <c r="C124" i="52" s="1"/>
  <c r="F47" i="52"/>
  <c r="C47" i="52" s="1"/>
  <c r="F111" i="52"/>
  <c r="M111" i="52" s="1"/>
  <c r="M239" i="52" s="1"/>
  <c r="F29" i="52"/>
  <c r="C29" i="52" s="1"/>
  <c r="F88" i="52"/>
  <c r="C88" i="52" s="1"/>
  <c r="F119" i="52"/>
  <c r="C119" i="52" s="1"/>
  <c r="F60" i="52"/>
  <c r="C60" i="52" s="1"/>
  <c r="F45" i="52"/>
  <c r="C45" i="52" s="1"/>
  <c r="F71" i="52"/>
  <c r="C71" i="52" s="1"/>
  <c r="F53" i="52"/>
  <c r="C53" i="52" s="1"/>
  <c r="F117" i="52"/>
  <c r="C117" i="52" s="1"/>
  <c r="F59" i="52"/>
  <c r="C59" i="52" s="1"/>
  <c r="F46" i="52"/>
  <c r="C46" i="52" s="1"/>
  <c r="F110" i="52"/>
  <c r="M110" i="52" s="1"/>
  <c r="M238" i="52" s="1"/>
  <c r="F89" i="52"/>
  <c r="C89" i="52" s="1"/>
  <c r="F79" i="52"/>
  <c r="C79" i="52" s="1"/>
  <c r="F56" i="52"/>
  <c r="C56" i="52" s="1"/>
  <c r="F121" i="52"/>
  <c r="C121" i="52" s="1"/>
  <c r="F35" i="52"/>
  <c r="C35" i="52" s="1"/>
  <c r="F51" i="52"/>
  <c r="C51" i="52" s="1"/>
  <c r="F58" i="52"/>
  <c r="C58" i="52" s="1"/>
  <c r="F122" i="52"/>
  <c r="N122" i="52" s="1"/>
  <c r="N250" i="52" s="1"/>
  <c r="F96" i="52"/>
  <c r="C96" i="52" s="1"/>
  <c r="F90" i="52"/>
  <c r="C90" i="52" s="1"/>
  <c r="F93" i="52"/>
  <c r="C93" i="52" s="1"/>
  <c r="F34" i="52"/>
  <c r="C34" i="52" s="1"/>
  <c r="F102" i="52"/>
  <c r="C102" i="52" s="1"/>
  <c r="F125" i="52"/>
  <c r="C125" i="52" s="1"/>
  <c r="F54" i="52"/>
  <c r="F182" i="52" s="1"/>
  <c r="C182" i="52" s="1"/>
  <c r="F118" i="52"/>
  <c r="C118" i="52" s="1"/>
  <c r="F23" i="52"/>
  <c r="C23" i="52" s="1"/>
  <c r="F87" i="52"/>
  <c r="C87" i="52" s="1"/>
  <c r="F80" i="52"/>
  <c r="C80" i="52" s="1"/>
  <c r="F43" i="52"/>
  <c r="C43" i="52" s="1"/>
  <c r="F91" i="52"/>
  <c r="C91" i="52" s="1"/>
  <c r="F99" i="52"/>
  <c r="C99" i="52" s="1"/>
  <c r="F66" i="52"/>
  <c r="C66" i="52" s="1"/>
  <c r="F27" i="52"/>
  <c r="C27" i="52" s="1"/>
  <c r="F78" i="52"/>
  <c r="C78" i="52" s="1"/>
  <c r="N28" i="52"/>
  <c r="N156" i="52" s="1"/>
  <c r="M28" i="52"/>
  <c r="F22" i="52"/>
  <c r="C22" i="52" s="1"/>
  <c r="F57" i="52"/>
  <c r="C57" i="52" s="1"/>
  <c r="F109" i="52"/>
  <c r="C109" i="52" s="1"/>
  <c r="F61" i="52"/>
  <c r="C61" i="52" s="1"/>
  <c r="F69" i="52"/>
  <c r="C69" i="52" s="1"/>
  <c r="F48" i="52"/>
  <c r="C48" i="52" s="1"/>
  <c r="F44" i="52"/>
  <c r="C44" i="52" s="1"/>
  <c r="F62" i="52"/>
  <c r="C62" i="52" s="1"/>
  <c r="F126" i="52"/>
  <c r="C126" i="52" s="1"/>
  <c r="F31" i="52"/>
  <c r="C31" i="52" s="1"/>
  <c r="F95" i="52"/>
  <c r="C95" i="52" s="1"/>
  <c r="F104" i="52"/>
  <c r="C104" i="52" s="1"/>
  <c r="F75" i="52"/>
  <c r="C75" i="52" s="1"/>
  <c r="F36" i="52"/>
  <c r="C36" i="52" s="1"/>
  <c r="F52" i="52"/>
  <c r="C52" i="52" s="1"/>
  <c r="F74" i="52"/>
  <c r="C74" i="52" s="1"/>
  <c r="F67" i="52"/>
  <c r="C67" i="52" s="1"/>
  <c r="F64" i="52"/>
  <c r="C64" i="52" s="1"/>
  <c r="F25" i="52"/>
  <c r="C25" i="52" s="1"/>
  <c r="F123" i="52"/>
  <c r="C123" i="52" s="1"/>
  <c r="F41" i="52"/>
  <c r="C41" i="52" s="1"/>
  <c r="F33" i="52"/>
  <c r="C33" i="52" s="1"/>
  <c r="F105" i="52"/>
  <c r="C105" i="52" s="1"/>
  <c r="F107" i="52"/>
  <c r="C107" i="52" s="1"/>
  <c r="F77" i="52"/>
  <c r="C77" i="52" s="1"/>
  <c r="F72" i="52"/>
  <c r="C72" i="52" s="1"/>
  <c r="F68" i="52"/>
  <c r="C68" i="52" s="1"/>
  <c r="F70" i="52"/>
  <c r="C70" i="52" s="1"/>
  <c r="F40" i="52"/>
  <c r="C40" i="52" s="1"/>
  <c r="F39" i="52"/>
  <c r="C39" i="52" s="1"/>
  <c r="F103" i="52"/>
  <c r="C103" i="52" s="1"/>
  <c r="F120" i="52"/>
  <c r="C120" i="52" s="1"/>
  <c r="F115" i="52"/>
  <c r="C115" i="52" s="1"/>
  <c r="F92" i="52"/>
  <c r="C92" i="52" s="1"/>
  <c r="F100" i="52"/>
  <c r="C100" i="52" s="1"/>
  <c r="F82" i="52"/>
  <c r="C82" i="52" s="1"/>
  <c r="F83" i="52"/>
  <c r="C83" i="52" s="1"/>
  <c r="N21" i="52"/>
  <c r="N149" i="52" s="1"/>
  <c r="G46" i="52"/>
  <c r="G79" i="52"/>
  <c r="G58" i="52"/>
  <c r="G125" i="52"/>
  <c r="G87" i="52"/>
  <c r="G66" i="52"/>
  <c r="G69" i="52"/>
  <c r="G126" i="52"/>
  <c r="G104" i="52"/>
  <c r="G74" i="52"/>
  <c r="G72" i="52"/>
  <c r="G70" i="52"/>
  <c r="G40" i="52"/>
  <c r="G39" i="52"/>
  <c r="G103" i="52"/>
  <c r="G120" i="52"/>
  <c r="G115" i="52"/>
  <c r="G92" i="52"/>
  <c r="G100" i="52"/>
  <c r="G82" i="52"/>
  <c r="G83" i="52"/>
  <c r="G59" i="52"/>
  <c r="G56" i="52"/>
  <c r="F179" i="52"/>
  <c r="C179" i="52" s="1"/>
  <c r="G51" i="52"/>
  <c r="G61" i="52"/>
  <c r="G23" i="52"/>
  <c r="G27" i="52"/>
  <c r="G44" i="52"/>
  <c r="G31" i="52"/>
  <c r="G95" i="52"/>
  <c r="G52" i="52"/>
  <c r="G68" i="52"/>
  <c r="F213" i="52"/>
  <c r="C213" i="52" s="1"/>
  <c r="G85" i="52"/>
  <c r="G96" i="52"/>
  <c r="G108" i="52"/>
  <c r="G78" i="52"/>
  <c r="G64" i="52"/>
  <c r="G47" i="52"/>
  <c r="G111" i="52"/>
  <c r="G239" i="52" s="1"/>
  <c r="G128" i="52"/>
  <c r="F256" i="52"/>
  <c r="C256" i="52" s="1"/>
  <c r="F156" i="52"/>
  <c r="C156" i="52" s="1"/>
  <c r="G28" i="52"/>
  <c r="G25" i="52"/>
  <c r="G26" i="52"/>
  <c r="G90" i="52"/>
  <c r="G123" i="52"/>
  <c r="G89" i="52"/>
  <c r="G121" i="52"/>
  <c r="G118" i="52"/>
  <c r="G43" i="52"/>
  <c r="G48" i="52"/>
  <c r="G67" i="52"/>
  <c r="G77" i="52"/>
  <c r="F157" i="52"/>
  <c r="C157" i="52" s="1"/>
  <c r="G29" i="52"/>
  <c r="G93" i="52"/>
  <c r="G41" i="52"/>
  <c r="G22" i="52"/>
  <c r="G86" i="52"/>
  <c r="G88" i="52"/>
  <c r="G55" i="52"/>
  <c r="F183" i="52"/>
  <c r="C183" i="52" s="1"/>
  <c r="G119" i="52"/>
  <c r="G57" i="52"/>
  <c r="G76" i="52"/>
  <c r="G33" i="52"/>
  <c r="G34" i="52"/>
  <c r="G98" i="52"/>
  <c r="G60" i="52"/>
  <c r="G117" i="52"/>
  <c r="G122" i="52"/>
  <c r="G250" i="52" s="1"/>
  <c r="G54" i="52"/>
  <c r="G91" i="52"/>
  <c r="G75" i="52"/>
  <c r="G37" i="52"/>
  <c r="G101" i="52"/>
  <c r="G81" i="52"/>
  <c r="G30" i="52"/>
  <c r="F158" i="52"/>
  <c r="C158" i="52" s="1"/>
  <c r="G112" i="52"/>
  <c r="G63" i="52"/>
  <c r="F191" i="52"/>
  <c r="C191" i="52" s="1"/>
  <c r="G127" i="52"/>
  <c r="G73" i="52"/>
  <c r="F244" i="52"/>
  <c r="C244" i="52" s="1"/>
  <c r="G116" i="52"/>
  <c r="G65" i="52"/>
  <c r="G42" i="52"/>
  <c r="G106" i="52"/>
  <c r="G84" i="52"/>
  <c r="G53" i="52"/>
  <c r="G110" i="52"/>
  <c r="G238" i="52" s="1"/>
  <c r="G35" i="52"/>
  <c r="G107" i="52"/>
  <c r="G80" i="52"/>
  <c r="G99" i="52"/>
  <c r="G62" i="52"/>
  <c r="G36" i="52"/>
  <c r="G94" i="52"/>
  <c r="G45" i="52"/>
  <c r="F237" i="52"/>
  <c r="C237" i="52" s="1"/>
  <c r="G109" i="52"/>
  <c r="G105" i="52"/>
  <c r="G38" i="52"/>
  <c r="G102" i="52"/>
  <c r="G49" i="52"/>
  <c r="G71" i="52"/>
  <c r="G32" i="52"/>
  <c r="G97" i="52"/>
  <c r="F225" i="52"/>
  <c r="C225" i="52" s="1"/>
  <c r="G24" i="52"/>
  <c r="F152" i="52"/>
  <c r="C152" i="52" s="1"/>
  <c r="G113" i="52"/>
  <c r="G50" i="52"/>
  <c r="G114" i="52"/>
  <c r="G124" i="52"/>
  <c r="F229" i="52" l="1"/>
  <c r="C229" i="52" s="1"/>
  <c r="C76" i="52"/>
  <c r="C54" i="52"/>
  <c r="K360" i="59"/>
  <c r="F239" i="52"/>
  <c r="C239" i="52" s="1"/>
  <c r="F166" i="52"/>
  <c r="C166" i="52" s="1"/>
  <c r="F170" i="52"/>
  <c r="C170" i="52" s="1"/>
  <c r="C73" i="52"/>
  <c r="F165" i="52"/>
  <c r="C165" i="52" s="1"/>
  <c r="F216" i="52"/>
  <c r="C216" i="52" s="1"/>
  <c r="K10" i="60"/>
  <c r="F186" i="52"/>
  <c r="C186" i="52" s="1"/>
  <c r="C122" i="52"/>
  <c r="F214" i="52"/>
  <c r="C214" i="52" s="1"/>
  <c r="C113" i="52"/>
  <c r="C26" i="52"/>
  <c r="K426" i="59" s="1"/>
  <c r="C110" i="52"/>
  <c r="C111" i="52"/>
  <c r="G178" i="52"/>
  <c r="G195" i="52"/>
  <c r="G222" i="52"/>
  <c r="G181" i="52"/>
  <c r="G548" i="52" s="1"/>
  <c r="G209" i="52"/>
  <c r="G182" i="52"/>
  <c r="G462" i="52" s="1"/>
  <c r="G214" i="52"/>
  <c r="G180" i="52"/>
  <c r="G248" i="52"/>
  <c r="G497" i="52" s="1"/>
  <c r="G254" i="52"/>
  <c r="G590" i="52" s="1"/>
  <c r="N103" i="52"/>
  <c r="N231" i="52" s="1"/>
  <c r="M105" i="52"/>
  <c r="M233" i="52" s="1"/>
  <c r="N52" i="52"/>
  <c r="N180" i="52" s="1"/>
  <c r="N44" i="52"/>
  <c r="N172" i="52" s="1"/>
  <c r="N87" i="52"/>
  <c r="N215" i="52" s="1"/>
  <c r="M90" i="52"/>
  <c r="M218" i="52" s="1"/>
  <c r="M79" i="52"/>
  <c r="M207" i="52" s="1"/>
  <c r="N45" i="52"/>
  <c r="N173" i="52" s="1"/>
  <c r="M114" i="52"/>
  <c r="M242" i="52" s="1"/>
  <c r="N98" i="52"/>
  <c r="N226" i="52" s="1"/>
  <c r="M65" i="52"/>
  <c r="M193" i="52" s="1"/>
  <c r="N81" i="52"/>
  <c r="N209" i="52" s="1"/>
  <c r="G232" i="52"/>
  <c r="G212" i="52"/>
  <c r="G201" i="52"/>
  <c r="G229" i="52"/>
  <c r="G487" i="52" s="1"/>
  <c r="G185" i="52"/>
  <c r="G192" i="52"/>
  <c r="G223" i="52"/>
  <c r="G184" i="52"/>
  <c r="G464" i="52" s="1"/>
  <c r="G231" i="52"/>
  <c r="G197" i="52"/>
  <c r="N39" i="52"/>
  <c r="N167" i="52" s="1"/>
  <c r="N33" i="52"/>
  <c r="N161" i="52" s="1"/>
  <c r="N36" i="52"/>
  <c r="N164" i="52" s="1"/>
  <c r="M48" i="52"/>
  <c r="N78" i="52"/>
  <c r="N206" i="52" s="1"/>
  <c r="N23" i="52"/>
  <c r="N151" i="52" s="1"/>
  <c r="M96" i="52"/>
  <c r="M224" i="52" s="1"/>
  <c r="M89" i="52"/>
  <c r="M217" i="52" s="1"/>
  <c r="N60" i="52"/>
  <c r="N188" i="52" s="1"/>
  <c r="M50" i="52"/>
  <c r="M178" i="52" s="1"/>
  <c r="M55" i="52"/>
  <c r="M183" i="52" s="1"/>
  <c r="N116" i="52"/>
  <c r="N244" i="52" s="1"/>
  <c r="N101" i="52"/>
  <c r="N229" i="52" s="1"/>
  <c r="N119" i="52"/>
  <c r="N247" i="52" s="1"/>
  <c r="N113" i="52"/>
  <c r="N241" i="52" s="1"/>
  <c r="N86" i="52"/>
  <c r="N214" i="52" s="1"/>
  <c r="M73" i="52"/>
  <c r="M201" i="52" s="1"/>
  <c r="N37" i="52"/>
  <c r="N165" i="52" s="1"/>
  <c r="G234" i="52"/>
  <c r="G245" i="52"/>
  <c r="G581" i="52" s="1"/>
  <c r="G194" i="52"/>
  <c r="N40" i="52"/>
  <c r="N168" i="52" s="1"/>
  <c r="M75" i="52"/>
  <c r="M203" i="52" s="1"/>
  <c r="N69" i="52"/>
  <c r="N197" i="52" s="1"/>
  <c r="M27" i="52"/>
  <c r="G227" i="52"/>
  <c r="G485" i="52" s="1"/>
  <c r="G188" i="52"/>
  <c r="G221" i="52"/>
  <c r="G249" i="52"/>
  <c r="G498" i="52" s="1"/>
  <c r="G236" i="52"/>
  <c r="G211" i="52"/>
  <c r="G215" i="52"/>
  <c r="G477" i="52" s="1"/>
  <c r="N82" i="52"/>
  <c r="N210" i="52" s="1"/>
  <c r="N70" i="52"/>
  <c r="N198" i="52" s="1"/>
  <c r="N123" i="52"/>
  <c r="N251" i="52" s="1"/>
  <c r="N104" i="52"/>
  <c r="N232" i="52" s="1"/>
  <c r="N61" i="52"/>
  <c r="N189" i="52" s="1"/>
  <c r="F194" i="52"/>
  <c r="C194" i="52" s="1"/>
  <c r="N54" i="52"/>
  <c r="N182" i="52" s="1"/>
  <c r="M58" i="52"/>
  <c r="M186" i="52" s="1"/>
  <c r="N46" i="52"/>
  <c r="N174" i="52" s="1"/>
  <c r="N88" i="52"/>
  <c r="N216" i="52" s="1"/>
  <c r="N24" i="52"/>
  <c r="N152" i="52" s="1"/>
  <c r="M26" i="52"/>
  <c r="M127" i="52"/>
  <c r="M255" i="52" s="1"/>
  <c r="M76" i="52"/>
  <c r="M204" i="52" s="1"/>
  <c r="G199" i="52"/>
  <c r="G241" i="52"/>
  <c r="G190" i="52"/>
  <c r="G255" i="52"/>
  <c r="G504" i="52" s="1"/>
  <c r="G247" i="52"/>
  <c r="G246" i="52"/>
  <c r="G582" i="52" s="1"/>
  <c r="G206" i="52"/>
  <c r="G187" i="52"/>
  <c r="G467" i="52" s="1"/>
  <c r="N83" i="52"/>
  <c r="N211" i="52" s="1"/>
  <c r="N41" i="52"/>
  <c r="N169" i="52" s="1"/>
  <c r="N118" i="52"/>
  <c r="N246" i="52" s="1"/>
  <c r="G233" i="52"/>
  <c r="G491" i="52" s="1"/>
  <c r="G208" i="52"/>
  <c r="G191" i="52"/>
  <c r="G226" i="52"/>
  <c r="G484" i="52" s="1"/>
  <c r="G183" i="52"/>
  <c r="G463" i="52" s="1"/>
  <c r="G217" i="52"/>
  <c r="G479" i="52" s="1"/>
  <c r="G224" i="52"/>
  <c r="G482" i="52" s="1"/>
  <c r="G210" i="52"/>
  <c r="G198" i="52"/>
  <c r="G253" i="52"/>
  <c r="N100" i="52"/>
  <c r="N228" i="52" s="1"/>
  <c r="N68" i="52"/>
  <c r="N196" i="52" s="1"/>
  <c r="M25" i="52"/>
  <c r="N95" i="52"/>
  <c r="N223" i="52" s="1"/>
  <c r="N109" i="52"/>
  <c r="N237" i="52" s="1"/>
  <c r="M99" i="52"/>
  <c r="M227" i="52" s="1"/>
  <c r="N125" i="52"/>
  <c r="N253" i="52" s="1"/>
  <c r="M51" i="52"/>
  <c r="M179" i="52" s="1"/>
  <c r="F187" i="52"/>
  <c r="C187" i="52" s="1"/>
  <c r="M29" i="52"/>
  <c r="M97" i="52"/>
  <c r="M225" i="52" s="1"/>
  <c r="N85" i="52"/>
  <c r="N213" i="52" s="1"/>
  <c r="M63" i="52"/>
  <c r="M191" i="52" s="1"/>
  <c r="M128" i="52"/>
  <c r="M256" i="52" s="1"/>
  <c r="G243" i="52"/>
  <c r="G252" i="52"/>
  <c r="G237" i="52"/>
  <c r="G193" i="52"/>
  <c r="G251" i="52"/>
  <c r="G500" i="52" s="1"/>
  <c r="G213" i="52"/>
  <c r="N92" i="52"/>
  <c r="N220" i="52" s="1"/>
  <c r="N72" i="52"/>
  <c r="N200" i="52" s="1"/>
  <c r="N64" i="52"/>
  <c r="N192" i="52" s="1"/>
  <c r="N31" i="52"/>
  <c r="N159" i="52" s="1"/>
  <c r="N57" i="52"/>
  <c r="N185" i="52" s="1"/>
  <c r="F219" i="52"/>
  <c r="C219" i="52" s="1"/>
  <c r="N102" i="52"/>
  <c r="N230" i="52" s="1"/>
  <c r="N35" i="52"/>
  <c r="N163" i="52" s="1"/>
  <c r="N117" i="52"/>
  <c r="N245" i="52" s="1"/>
  <c r="N32" i="52"/>
  <c r="N160" i="52" s="1"/>
  <c r="N84" i="52"/>
  <c r="N212" i="52" s="1"/>
  <c r="N112" i="52"/>
  <c r="N240" i="52" s="1"/>
  <c r="N108" i="52"/>
  <c r="N236" i="52" s="1"/>
  <c r="G179" i="52"/>
  <c r="G459" i="52" s="1"/>
  <c r="G230" i="52"/>
  <c r="G488" i="52" s="1"/>
  <c r="G225" i="52"/>
  <c r="G570" i="52" s="1"/>
  <c r="G235" i="52"/>
  <c r="G240" i="52"/>
  <c r="G203" i="52"/>
  <c r="G474" i="52" s="1"/>
  <c r="G256" i="52"/>
  <c r="G505" i="52" s="1"/>
  <c r="G228" i="52"/>
  <c r="G573" i="52" s="1"/>
  <c r="G200" i="52"/>
  <c r="G471" i="52" s="1"/>
  <c r="G186" i="52"/>
  <c r="G466" i="52" s="1"/>
  <c r="G242" i="52"/>
  <c r="G244" i="52"/>
  <c r="G580" i="52" s="1"/>
  <c r="G219" i="52"/>
  <c r="G481" i="52" s="1"/>
  <c r="G216" i="52"/>
  <c r="G478" i="52" s="1"/>
  <c r="G205" i="52"/>
  <c r="G218" i="52"/>
  <c r="G567" i="52" s="1"/>
  <c r="G189" i="52"/>
  <c r="G469" i="52" s="1"/>
  <c r="G220" i="52"/>
  <c r="G202" i="52"/>
  <c r="G473" i="52" s="1"/>
  <c r="M115" i="52"/>
  <c r="M243" i="52" s="1"/>
  <c r="N77" i="52"/>
  <c r="N205" i="52" s="1"/>
  <c r="N67" i="52"/>
  <c r="N195" i="52" s="1"/>
  <c r="M126" i="52"/>
  <c r="M254" i="52" s="1"/>
  <c r="M22" i="52"/>
  <c r="M43" i="52"/>
  <c r="N34" i="52"/>
  <c r="N162" i="52" s="1"/>
  <c r="N121" i="52"/>
  <c r="N249" i="52" s="1"/>
  <c r="N53" i="52"/>
  <c r="N181" i="52" s="1"/>
  <c r="M47" i="52"/>
  <c r="N49" i="52"/>
  <c r="N177" i="52" s="1"/>
  <c r="N106" i="52"/>
  <c r="N234" i="52" s="1"/>
  <c r="M94" i="52"/>
  <c r="M222" i="52" s="1"/>
  <c r="G204" i="52"/>
  <c r="G562" i="52" s="1"/>
  <c r="G196" i="52"/>
  <c r="G207" i="52"/>
  <c r="N120" i="52"/>
  <c r="N248" i="52" s="1"/>
  <c r="N107" i="52"/>
  <c r="N235" i="52" s="1"/>
  <c r="N74" i="52"/>
  <c r="N202" i="52" s="1"/>
  <c r="F190" i="52"/>
  <c r="C190" i="52" s="1"/>
  <c r="N80" i="52"/>
  <c r="N208" i="52" s="1"/>
  <c r="N93" i="52"/>
  <c r="N221" i="52" s="1"/>
  <c r="M56" i="52"/>
  <c r="M184" i="52" s="1"/>
  <c r="N71" i="52"/>
  <c r="N199" i="52" s="1"/>
  <c r="N124" i="52"/>
  <c r="N252" i="52" s="1"/>
  <c r="N38" i="52"/>
  <c r="N166" i="52" s="1"/>
  <c r="M42" i="52"/>
  <c r="M30" i="52"/>
  <c r="F301" i="59"/>
  <c r="G301" i="59"/>
  <c r="F251" i="52"/>
  <c r="F500" i="52" s="1"/>
  <c r="C500" i="52" s="1"/>
  <c r="M38" i="52"/>
  <c r="F230" i="52"/>
  <c r="F242" i="52"/>
  <c r="C242" i="52" s="1"/>
  <c r="F224" i="52"/>
  <c r="F482" i="52" s="1"/>
  <c r="C482" i="52" s="1"/>
  <c r="F245" i="52"/>
  <c r="G494" i="52"/>
  <c r="G490" i="52"/>
  <c r="G577" i="52"/>
  <c r="G492" i="52"/>
  <c r="G579" i="52"/>
  <c r="G465" i="52"/>
  <c r="G552" i="52"/>
  <c r="G501" i="52"/>
  <c r="G588" i="52"/>
  <c r="F483" i="52"/>
  <c r="C483" i="52" s="1"/>
  <c r="F570" i="52"/>
  <c r="C570" i="52" s="1"/>
  <c r="G496" i="52"/>
  <c r="G583" i="52"/>
  <c r="G503" i="52"/>
  <c r="G472" i="52"/>
  <c r="G559" i="52"/>
  <c r="G499" i="52"/>
  <c r="G586" i="52"/>
  <c r="F475" i="52"/>
  <c r="C475" i="52" s="1"/>
  <c r="F562" i="52"/>
  <c r="C562" i="52" s="1"/>
  <c r="F487" i="52"/>
  <c r="C487" i="52" s="1"/>
  <c r="F574" i="52"/>
  <c r="C574" i="52" s="1"/>
  <c r="G460" i="52"/>
  <c r="G547" i="52"/>
  <c r="F459" i="52"/>
  <c r="C459" i="52" s="1"/>
  <c r="F546" i="52"/>
  <c r="C546" i="52" s="1"/>
  <c r="G584" i="52"/>
  <c r="G483" i="52"/>
  <c r="F453" i="52"/>
  <c r="C453" i="52" s="1"/>
  <c r="F540" i="52"/>
  <c r="C540" i="52" s="1"/>
  <c r="F448" i="52"/>
  <c r="C448" i="52" s="1"/>
  <c r="F535" i="52"/>
  <c r="C535" i="52" s="1"/>
  <c r="G468" i="52"/>
  <c r="G555" i="52"/>
  <c r="F463" i="52"/>
  <c r="C463" i="52" s="1"/>
  <c r="F550" i="52"/>
  <c r="C550" i="52" s="1"/>
  <c r="G489" i="52"/>
  <c r="G576" i="52"/>
  <c r="G566" i="52"/>
  <c r="G560" i="52"/>
  <c r="G470" i="52"/>
  <c r="G557" i="52"/>
  <c r="G568" i="52"/>
  <c r="F478" i="52"/>
  <c r="C478" i="52" s="1"/>
  <c r="F565" i="52"/>
  <c r="C565" i="52" s="1"/>
  <c r="F505" i="52"/>
  <c r="C505" i="52" s="1"/>
  <c r="F592" i="52"/>
  <c r="C592" i="52" s="1"/>
  <c r="F493" i="52"/>
  <c r="C493" i="52" s="1"/>
  <c r="F580" i="52"/>
  <c r="C580" i="52" s="1"/>
  <c r="F462" i="52"/>
  <c r="C462" i="52" s="1"/>
  <c r="F549" i="52"/>
  <c r="C549" i="52" s="1"/>
  <c r="G476" i="52"/>
  <c r="G563" i="52"/>
  <c r="G592" i="52"/>
  <c r="G502" i="52"/>
  <c r="G589" i="52"/>
  <c r="F472" i="52"/>
  <c r="C472" i="52" s="1"/>
  <c r="F559" i="52"/>
  <c r="C559" i="52" s="1"/>
  <c r="G486" i="52"/>
  <c r="F159" i="52"/>
  <c r="C159" i="52" s="1"/>
  <c r="F217" i="52"/>
  <c r="C217" i="52" s="1"/>
  <c r="F176" i="52"/>
  <c r="C176" i="52" s="1"/>
  <c r="F151" i="52"/>
  <c r="C151" i="52" s="1"/>
  <c r="F178" i="52"/>
  <c r="C178" i="52" s="1"/>
  <c r="F193" i="52"/>
  <c r="C193" i="52" s="1"/>
  <c r="N114" i="52"/>
  <c r="N242" i="52" s="1"/>
  <c r="F150" i="52"/>
  <c r="C150" i="52" s="1"/>
  <c r="F254" i="52"/>
  <c r="C254" i="52" s="1"/>
  <c r="F181" i="52"/>
  <c r="C181" i="52" s="1"/>
  <c r="F162" i="52"/>
  <c r="C162" i="52" s="1"/>
  <c r="F249" i="52"/>
  <c r="C249" i="52" s="1"/>
  <c r="F240" i="52"/>
  <c r="C240" i="52" s="1"/>
  <c r="F236" i="52"/>
  <c r="C236" i="52" s="1"/>
  <c r="F252" i="52"/>
  <c r="C252" i="52" s="1"/>
  <c r="F161" i="52"/>
  <c r="C161" i="52" s="1"/>
  <c r="F243" i="52"/>
  <c r="C243" i="52" s="1"/>
  <c r="F208" i="52"/>
  <c r="C208" i="52" s="1"/>
  <c r="F212" i="52"/>
  <c r="C212" i="52" s="1"/>
  <c r="F199" i="52"/>
  <c r="C199" i="52" s="1"/>
  <c r="F177" i="52"/>
  <c r="C177" i="52" s="1"/>
  <c r="F222" i="52"/>
  <c r="C222" i="52" s="1"/>
  <c r="F205" i="52"/>
  <c r="C205" i="52" s="1"/>
  <c r="F206" i="52"/>
  <c r="C206" i="52" s="1"/>
  <c r="F180" i="52"/>
  <c r="C180" i="52" s="1"/>
  <c r="F215" i="52"/>
  <c r="C215" i="52" s="1"/>
  <c r="F234" i="52"/>
  <c r="C234" i="52" s="1"/>
  <c r="F207" i="52"/>
  <c r="C207" i="52" s="1"/>
  <c r="F172" i="52"/>
  <c r="C172" i="52" s="1"/>
  <c r="F250" i="52"/>
  <c r="F226" i="52"/>
  <c r="C226" i="52" s="1"/>
  <c r="F247" i="52"/>
  <c r="C247" i="52" s="1"/>
  <c r="F238" i="52"/>
  <c r="C238" i="52" s="1"/>
  <c r="F169" i="52"/>
  <c r="C169" i="52" s="1"/>
  <c r="F195" i="52"/>
  <c r="C195" i="52" s="1"/>
  <c r="F168" i="52"/>
  <c r="C168" i="52" s="1"/>
  <c r="F192" i="52"/>
  <c r="C192" i="52" s="1"/>
  <c r="N22" i="52"/>
  <c r="N150" i="52" s="1"/>
  <c r="M88" i="52"/>
  <c r="M216" i="52" s="1"/>
  <c r="F198" i="52"/>
  <c r="C198" i="52" s="1"/>
  <c r="M120" i="52"/>
  <c r="M248" i="52" s="1"/>
  <c r="N111" i="52"/>
  <c r="N239" i="52" s="1"/>
  <c r="M91" i="52"/>
  <c r="M219" i="52" s="1"/>
  <c r="N48" i="52"/>
  <c r="N176" i="52" s="1"/>
  <c r="M59" i="52"/>
  <c r="M187" i="52" s="1"/>
  <c r="M77" i="52"/>
  <c r="M205" i="52" s="1"/>
  <c r="M64" i="52"/>
  <c r="M192" i="52" s="1"/>
  <c r="M23" i="52"/>
  <c r="N26" i="52"/>
  <c r="N154" i="52" s="1"/>
  <c r="F235" i="52"/>
  <c r="C235" i="52" s="1"/>
  <c r="F185" i="52"/>
  <c r="C185" i="52" s="1"/>
  <c r="F171" i="52"/>
  <c r="C171" i="52" s="1"/>
  <c r="F196" i="52"/>
  <c r="C196" i="52" s="1"/>
  <c r="F248" i="52"/>
  <c r="C248" i="52" s="1"/>
  <c r="F197" i="52"/>
  <c r="C197" i="52" s="1"/>
  <c r="M92" i="52"/>
  <c r="M220" i="52" s="1"/>
  <c r="M40" i="52"/>
  <c r="M123" i="52"/>
  <c r="M251" i="52" s="1"/>
  <c r="M57" i="52"/>
  <c r="M185" i="52" s="1"/>
  <c r="M80" i="52"/>
  <c r="M208" i="52" s="1"/>
  <c r="M35" i="52"/>
  <c r="M116" i="52"/>
  <c r="M244" i="52" s="1"/>
  <c r="N30" i="52"/>
  <c r="N158" i="52" s="1"/>
  <c r="F163" i="52"/>
  <c r="C163" i="52" s="1"/>
  <c r="N99" i="52"/>
  <c r="N227" i="52" s="1"/>
  <c r="M121" i="52"/>
  <c r="M249" i="52" s="1"/>
  <c r="F155" i="52"/>
  <c r="C155" i="52" s="1"/>
  <c r="F174" i="52"/>
  <c r="C174" i="52" s="1"/>
  <c r="F164" i="52"/>
  <c r="C164" i="52" s="1"/>
  <c r="F211" i="52"/>
  <c r="C211" i="52" s="1"/>
  <c r="M104" i="52"/>
  <c r="M232" i="52" s="1"/>
  <c r="F233" i="52"/>
  <c r="C233" i="52" s="1"/>
  <c r="F153" i="52"/>
  <c r="C153" i="52" s="1"/>
  <c r="F175" i="52"/>
  <c r="C175" i="52" s="1"/>
  <c r="F167" i="52"/>
  <c r="C167" i="52" s="1"/>
  <c r="F232" i="52"/>
  <c r="C232" i="52" s="1"/>
  <c r="N115" i="52"/>
  <c r="N243" i="52" s="1"/>
  <c r="N105" i="52"/>
  <c r="N233" i="52" s="1"/>
  <c r="M53" i="52"/>
  <c r="M181" i="52" s="1"/>
  <c r="N29" i="52"/>
  <c r="N157" i="52" s="1"/>
  <c r="M83" i="52"/>
  <c r="M211" i="52" s="1"/>
  <c r="M68" i="52"/>
  <c r="M196" i="52" s="1"/>
  <c r="M33" i="52"/>
  <c r="N63" i="52"/>
  <c r="N191" i="52" s="1"/>
  <c r="M62" i="52"/>
  <c r="M190" i="52" s="1"/>
  <c r="M113" i="52"/>
  <c r="M241" i="52" s="1"/>
  <c r="M98" i="52"/>
  <c r="M226" i="52" s="1"/>
  <c r="F218" i="52"/>
  <c r="C218" i="52" s="1"/>
  <c r="N73" i="52"/>
  <c r="N201" i="52" s="1"/>
  <c r="F253" i="52"/>
  <c r="C253" i="52" s="1"/>
  <c r="M74" i="52"/>
  <c r="M202" i="52" s="1"/>
  <c r="M95" i="52"/>
  <c r="M223" i="52" s="1"/>
  <c r="M66" i="52"/>
  <c r="M194" i="52" s="1"/>
  <c r="N90" i="52"/>
  <c r="N218" i="52" s="1"/>
  <c r="N58" i="52"/>
  <c r="N186" i="52" s="1"/>
  <c r="N97" i="52"/>
  <c r="N225" i="52" s="1"/>
  <c r="F160" i="52"/>
  <c r="C160" i="52" s="1"/>
  <c r="F223" i="52"/>
  <c r="C223" i="52" s="1"/>
  <c r="M36" i="52"/>
  <c r="N66" i="52"/>
  <c r="N194" i="52" s="1"/>
  <c r="M102" i="52"/>
  <c r="M230" i="52" s="1"/>
  <c r="N51" i="52"/>
  <c r="N179" i="52" s="1"/>
  <c r="N79" i="52"/>
  <c r="N207" i="52" s="1"/>
  <c r="M117" i="52"/>
  <c r="M245" i="52" s="1"/>
  <c r="M60" i="52"/>
  <c r="M188" i="52" s="1"/>
  <c r="M32" i="52"/>
  <c r="M86" i="52"/>
  <c r="M214" i="52" s="1"/>
  <c r="N42" i="52"/>
  <c r="N170" i="52" s="1"/>
  <c r="M61" i="52"/>
  <c r="M189" i="52" s="1"/>
  <c r="M122" i="52"/>
  <c r="M250" i="52" s="1"/>
  <c r="N47" i="52"/>
  <c r="N175" i="52" s="1"/>
  <c r="F202" i="52"/>
  <c r="C202" i="52" s="1"/>
  <c r="M34" i="52"/>
  <c r="N89" i="52"/>
  <c r="N217" i="52" s="1"/>
  <c r="N94" i="52"/>
  <c r="N222" i="52" s="1"/>
  <c r="F189" i="52"/>
  <c r="C189" i="52" s="1"/>
  <c r="M41" i="52"/>
  <c r="N75" i="52"/>
  <c r="N203" i="52" s="1"/>
  <c r="F227" i="52"/>
  <c r="C227" i="52" s="1"/>
  <c r="F255" i="52"/>
  <c r="C255" i="52" s="1"/>
  <c r="F209" i="52"/>
  <c r="C209" i="52" s="1"/>
  <c r="F246" i="52"/>
  <c r="C246" i="52" s="1"/>
  <c r="M107" i="52"/>
  <c r="M235" i="52" s="1"/>
  <c r="N91" i="52"/>
  <c r="N219" i="52" s="1"/>
  <c r="M93" i="52"/>
  <c r="M221" i="52" s="1"/>
  <c r="M71" i="52"/>
  <c r="M199" i="52" s="1"/>
  <c r="M124" i="52"/>
  <c r="M252" i="52" s="1"/>
  <c r="M100" i="52"/>
  <c r="M228" i="52" s="1"/>
  <c r="M70" i="52"/>
  <c r="M198" i="52" s="1"/>
  <c r="M52" i="52"/>
  <c r="M180" i="52" s="1"/>
  <c r="N62" i="52"/>
  <c r="N190" i="52" s="1"/>
  <c r="M69" i="52"/>
  <c r="M197" i="52" s="1"/>
  <c r="N27" i="52"/>
  <c r="N155" i="52" s="1"/>
  <c r="M87" i="52"/>
  <c r="M215" i="52" s="1"/>
  <c r="M125" i="52"/>
  <c r="M253" i="52" s="1"/>
  <c r="N56" i="52"/>
  <c r="N184" i="52" s="1"/>
  <c r="M46" i="52"/>
  <c r="M119" i="52"/>
  <c r="M247" i="52" s="1"/>
  <c r="N50" i="52"/>
  <c r="N178" i="52" s="1"/>
  <c r="M49" i="52"/>
  <c r="N65" i="52"/>
  <c r="N193" i="52" s="1"/>
  <c r="M106" i="52"/>
  <c r="M234" i="52" s="1"/>
  <c r="N76" i="52"/>
  <c r="N204" i="52" s="1"/>
  <c r="F210" i="52"/>
  <c r="C210" i="52" s="1"/>
  <c r="M112" i="52"/>
  <c r="M240" i="52" s="1"/>
  <c r="M81" i="52"/>
  <c r="M209" i="52" s="1"/>
  <c r="N128" i="52"/>
  <c r="N256" i="52" s="1"/>
  <c r="M103" i="52"/>
  <c r="M231" i="52" s="1"/>
  <c r="F203" i="52"/>
  <c r="C203" i="52" s="1"/>
  <c r="F184" i="52"/>
  <c r="C184" i="52" s="1"/>
  <c r="F231" i="52"/>
  <c r="C231" i="52" s="1"/>
  <c r="F200" i="52"/>
  <c r="C200" i="52" s="1"/>
  <c r="M39" i="52"/>
  <c r="M67" i="52"/>
  <c r="M195" i="52" s="1"/>
  <c r="M44" i="52"/>
  <c r="N43" i="52"/>
  <c r="N171" i="52" s="1"/>
  <c r="N59" i="52"/>
  <c r="N187" i="52" s="1"/>
  <c r="M45" i="52"/>
  <c r="F228" i="52"/>
  <c r="C228" i="52" s="1"/>
  <c r="M82" i="52"/>
  <c r="M210" i="52" s="1"/>
  <c r="M72" i="52"/>
  <c r="M200" i="52" s="1"/>
  <c r="M31" i="52"/>
  <c r="M109" i="52"/>
  <c r="M237" i="52" s="1"/>
  <c r="M118" i="52"/>
  <c r="M246" i="52" s="1"/>
  <c r="N96" i="52"/>
  <c r="N224" i="52" s="1"/>
  <c r="M85" i="52"/>
  <c r="M213" i="52" s="1"/>
  <c r="M101" i="52"/>
  <c r="M229" i="52" s="1"/>
  <c r="F173" i="52"/>
  <c r="C173" i="52" s="1"/>
  <c r="F188" i="52"/>
  <c r="C188" i="52" s="1"/>
  <c r="F221" i="52"/>
  <c r="C221" i="52" s="1"/>
  <c r="F220" i="52"/>
  <c r="C220" i="52" s="1"/>
  <c r="N25" i="52"/>
  <c r="N153" i="52" s="1"/>
  <c r="N126" i="52"/>
  <c r="N254" i="52" s="1"/>
  <c r="M78" i="52"/>
  <c r="M206" i="52" s="1"/>
  <c r="M54" i="52"/>
  <c r="M182" i="52" s="1"/>
  <c r="N110" i="52"/>
  <c r="N238" i="52" s="1"/>
  <c r="M24" i="52"/>
  <c r="N55" i="52"/>
  <c r="N183" i="52" s="1"/>
  <c r="M84" i="52"/>
  <c r="M212" i="52" s="1"/>
  <c r="N127" i="52"/>
  <c r="N255" i="52" s="1"/>
  <c r="M37" i="52"/>
  <c r="M108" i="52"/>
  <c r="M236" i="52" s="1"/>
  <c r="N13" i="52"/>
  <c r="O13" i="52"/>
  <c r="G556" i="52" l="1"/>
  <c r="F568" i="52"/>
  <c r="C568" i="52" s="1"/>
  <c r="G546" i="52"/>
  <c r="F481" i="52"/>
  <c r="C481" i="52" s="1"/>
  <c r="G475" i="52"/>
  <c r="G495" i="52"/>
  <c r="G461" i="52"/>
  <c r="F467" i="52"/>
  <c r="C467" i="52" s="1"/>
  <c r="G480" i="52"/>
  <c r="F554" i="52"/>
  <c r="C554" i="52" s="1"/>
  <c r="K453" i="59"/>
  <c r="G549" i="52"/>
  <c r="F536" i="52"/>
  <c r="C536" i="52" s="1"/>
  <c r="F449" i="52"/>
  <c r="C449" i="52" s="1"/>
  <c r="G550" i="52"/>
  <c r="K441" i="59"/>
  <c r="K458" i="59"/>
  <c r="K406" i="59"/>
  <c r="K448" i="59"/>
  <c r="K467" i="59"/>
  <c r="K400" i="59"/>
  <c r="K386" i="59"/>
  <c r="K398" i="59"/>
  <c r="K430" i="59"/>
  <c r="K397" i="59"/>
  <c r="K446" i="59"/>
  <c r="K416" i="59"/>
  <c r="G575" i="52"/>
  <c r="K464" i="59"/>
  <c r="K447" i="59"/>
  <c r="K457" i="59"/>
  <c r="K434" i="59"/>
  <c r="K384" i="59"/>
  <c r="K366" i="59"/>
  <c r="K362" i="59"/>
  <c r="K389" i="59"/>
  <c r="K413" i="59"/>
  <c r="K445" i="59"/>
  <c r="K418" i="59"/>
  <c r="K408" i="59"/>
  <c r="K420" i="59"/>
  <c r="K462" i="59"/>
  <c r="K421" i="59"/>
  <c r="K376" i="59"/>
  <c r="K387" i="59"/>
  <c r="K431" i="59"/>
  <c r="K363" i="59"/>
  <c r="K461" i="59"/>
  <c r="K465" i="59"/>
  <c r="K433" i="59"/>
  <c r="K452" i="59"/>
  <c r="K377" i="59"/>
  <c r="K410" i="59"/>
  <c r="K382" i="59"/>
  <c r="G553" i="52"/>
  <c r="G587" i="52"/>
  <c r="K425" i="59"/>
  <c r="K370" i="59"/>
  <c r="K417" i="59"/>
  <c r="K367" i="59"/>
  <c r="K450" i="59"/>
  <c r="K401" i="59"/>
  <c r="K375" i="59"/>
  <c r="K374" i="59"/>
  <c r="K415" i="59"/>
  <c r="K409" i="59"/>
  <c r="K395" i="59"/>
  <c r="K380" i="59"/>
  <c r="K439" i="59"/>
  <c r="G551" i="52"/>
  <c r="K412" i="59"/>
  <c r="K390" i="59"/>
  <c r="K454" i="59"/>
  <c r="K435" i="59"/>
  <c r="K396" i="59"/>
  <c r="K437" i="59"/>
  <c r="K379" i="59"/>
  <c r="K373" i="59"/>
  <c r="K378" i="59"/>
  <c r="K402" i="59"/>
  <c r="K438" i="59"/>
  <c r="K443" i="59"/>
  <c r="K444" i="59"/>
  <c r="K405" i="59"/>
  <c r="G554" i="52"/>
  <c r="K463" i="59"/>
  <c r="K455" i="59"/>
  <c r="K411" i="59"/>
  <c r="K364" i="59"/>
  <c r="K368" i="59"/>
  <c r="K381" i="59"/>
  <c r="K383" i="59"/>
  <c r="K365" i="59"/>
  <c r="K399" i="59"/>
  <c r="K436" i="59"/>
  <c r="K385" i="59"/>
  <c r="K451" i="59"/>
  <c r="K423" i="59"/>
  <c r="K422" i="59"/>
  <c r="K460" i="59"/>
  <c r="K371" i="59"/>
  <c r="K393" i="59"/>
  <c r="K372" i="59"/>
  <c r="K456" i="59"/>
  <c r="K391" i="59"/>
  <c r="K419" i="59"/>
  <c r="K429" i="59"/>
  <c r="K369" i="59"/>
  <c r="K394" i="59"/>
  <c r="K449" i="59"/>
  <c r="K428" i="59"/>
  <c r="K392" i="59"/>
  <c r="K404" i="59"/>
  <c r="K361" i="59"/>
  <c r="K407" i="59"/>
  <c r="K424" i="59"/>
  <c r="K388" i="59"/>
  <c r="K427" i="59"/>
  <c r="K403" i="59"/>
  <c r="K432" i="59"/>
  <c r="K414" i="59"/>
  <c r="K440" i="59"/>
  <c r="K466" i="59"/>
  <c r="K459" i="59"/>
  <c r="K442" i="59"/>
  <c r="F553" i="52"/>
  <c r="C553" i="52" s="1"/>
  <c r="F466" i="52"/>
  <c r="C466" i="52" s="1"/>
  <c r="G591" i="52"/>
  <c r="G565" i="52"/>
  <c r="DA10" i="60"/>
  <c r="G572" i="52"/>
  <c r="G561" i="52"/>
  <c r="G578" i="52"/>
  <c r="G574" i="52"/>
  <c r="DD10" i="60"/>
  <c r="CT10" i="60"/>
  <c r="AA10" i="60"/>
  <c r="Z10" i="60"/>
  <c r="W10" i="60"/>
  <c r="AC10" i="60"/>
  <c r="BY10" i="60"/>
  <c r="CS10" i="60"/>
  <c r="BL10" i="60"/>
  <c r="S10" i="60"/>
  <c r="BD10" i="60"/>
  <c r="BK10" i="60"/>
  <c r="CC10" i="60"/>
  <c r="BN10" i="60"/>
  <c r="P10" i="60"/>
  <c r="AJ10" i="60"/>
  <c r="CW10" i="60"/>
  <c r="N10" i="60"/>
  <c r="AM10" i="60"/>
  <c r="CV10" i="60"/>
  <c r="J10" i="60"/>
  <c r="BE10" i="60"/>
  <c r="CL10" i="60"/>
  <c r="CB10" i="60"/>
  <c r="AF10" i="60"/>
  <c r="CF10" i="60"/>
  <c r="F586" i="52"/>
  <c r="C586" i="52" s="1"/>
  <c r="C250" i="52"/>
  <c r="F587" i="52"/>
  <c r="C587" i="52" s="1"/>
  <c r="C251" i="52"/>
  <c r="BT10" i="60"/>
  <c r="CK10" i="60"/>
  <c r="DK10" i="60"/>
  <c r="AO10" i="60"/>
  <c r="CR10" i="60"/>
  <c r="AS10" i="60"/>
  <c r="AU10" i="60"/>
  <c r="DB10" i="60"/>
  <c r="BX10" i="60"/>
  <c r="BO10" i="60"/>
  <c r="CU10" i="60"/>
  <c r="Q10" i="60"/>
  <c r="AB10" i="60"/>
  <c r="BW10" i="60"/>
  <c r="U10" i="60"/>
  <c r="T10" i="60"/>
  <c r="CJ10" i="60"/>
  <c r="BG10" i="60"/>
  <c r="CQ10" i="60"/>
  <c r="AD10" i="60"/>
  <c r="CG10" i="60"/>
  <c r="Y10" i="60"/>
  <c r="AH10" i="60"/>
  <c r="BP10" i="60"/>
  <c r="CI10" i="60"/>
  <c r="DH10" i="60"/>
  <c r="AN10" i="60"/>
  <c r="G558" i="52"/>
  <c r="G569" i="52"/>
  <c r="G564" i="52"/>
  <c r="CO10" i="60"/>
  <c r="AI10" i="60"/>
  <c r="BV10" i="60"/>
  <c r="CD10" i="60"/>
  <c r="CY10" i="60"/>
  <c r="BC10" i="60"/>
  <c r="DE10" i="60"/>
  <c r="BQ10" i="60"/>
  <c r="AT10" i="60"/>
  <c r="L10" i="60"/>
  <c r="I10" i="60"/>
  <c r="O10" i="60"/>
  <c r="AK10" i="60"/>
  <c r="AL10" i="60"/>
  <c r="G571" i="52"/>
  <c r="G585" i="52"/>
  <c r="F494" i="52"/>
  <c r="C494" i="52" s="1"/>
  <c r="C245" i="52"/>
  <c r="DM10" i="60"/>
  <c r="CE10" i="60"/>
  <c r="BU10" i="60"/>
  <c r="AR10" i="60"/>
  <c r="AZ10" i="60"/>
  <c r="DN10" i="60"/>
  <c r="CA10" i="60"/>
  <c r="CN10" i="60"/>
  <c r="AY10" i="60"/>
  <c r="BJ10" i="60"/>
  <c r="AW10" i="60"/>
  <c r="BM10" i="60"/>
  <c r="AP10" i="60"/>
  <c r="AE10" i="60"/>
  <c r="F575" i="52"/>
  <c r="C575" i="52" s="1"/>
  <c r="C230" i="52"/>
  <c r="G493" i="52"/>
  <c r="F569" i="52"/>
  <c r="C569" i="52" s="1"/>
  <c r="C224" i="52"/>
  <c r="CH10" i="60"/>
  <c r="BR10" i="60"/>
  <c r="BB10" i="60"/>
  <c r="BI10" i="60"/>
  <c r="BZ10" i="60"/>
  <c r="AG10" i="60"/>
  <c r="DJ10" i="60"/>
  <c r="DC10" i="60"/>
  <c r="CX10" i="60"/>
  <c r="BA10" i="60"/>
  <c r="DL10" i="60"/>
  <c r="DI10" i="60"/>
  <c r="CP10" i="60"/>
  <c r="M10" i="60"/>
  <c r="F488" i="52"/>
  <c r="C488" i="52" s="1"/>
  <c r="R10" i="60"/>
  <c r="V10" i="60"/>
  <c r="AQ10" i="60"/>
  <c r="AV10" i="60"/>
  <c r="DF10" i="60"/>
  <c r="BF10" i="60"/>
  <c r="CZ10" i="60"/>
  <c r="X10" i="60"/>
  <c r="DG10" i="60"/>
  <c r="CM10" i="60"/>
  <c r="AX10" i="60"/>
  <c r="BS10" i="60"/>
  <c r="BH10" i="60"/>
  <c r="F581" i="52"/>
  <c r="C581" i="52" s="1"/>
  <c r="F460" i="52"/>
  <c r="C460" i="52" s="1"/>
  <c r="F547" i="52"/>
  <c r="C547" i="52" s="1"/>
  <c r="F503" i="52"/>
  <c r="C503" i="52" s="1"/>
  <c r="F590" i="52"/>
  <c r="C590" i="52" s="1"/>
  <c r="F456" i="52"/>
  <c r="C456" i="52" s="1"/>
  <c r="F543" i="52"/>
  <c r="C543" i="52" s="1"/>
  <c r="F471" i="52"/>
  <c r="C471" i="52" s="1"/>
  <c r="F558" i="52"/>
  <c r="C558" i="52" s="1"/>
  <c r="F504" i="52"/>
  <c r="C504" i="52" s="1"/>
  <c r="F591" i="52"/>
  <c r="C591" i="52" s="1"/>
  <c r="F473" i="52"/>
  <c r="C473" i="52" s="1"/>
  <c r="F560" i="52"/>
  <c r="C560" i="52" s="1"/>
  <c r="F480" i="52"/>
  <c r="C480" i="52" s="1"/>
  <c r="F567" i="52"/>
  <c r="C567" i="52" s="1"/>
  <c r="F491" i="52"/>
  <c r="C491" i="52" s="1"/>
  <c r="F578" i="52"/>
  <c r="C578" i="52" s="1"/>
  <c r="F446" i="52"/>
  <c r="C446" i="52" s="1"/>
  <c r="F533" i="52"/>
  <c r="C533" i="52" s="1"/>
  <c r="F496" i="52"/>
  <c r="C496" i="52" s="1"/>
  <c r="F583" i="52"/>
  <c r="C583" i="52" s="1"/>
  <c r="F468" i="52"/>
  <c r="C468" i="52" s="1"/>
  <c r="F555" i="52"/>
  <c r="C555" i="52" s="1"/>
  <c r="F485" i="52"/>
  <c r="C485" i="52" s="1"/>
  <c r="F572" i="52"/>
  <c r="C572" i="52" s="1"/>
  <c r="F484" i="52"/>
  <c r="C484" i="52" s="1"/>
  <c r="F571" i="52"/>
  <c r="C571" i="52" s="1"/>
  <c r="F476" i="52"/>
  <c r="C476" i="52" s="1"/>
  <c r="F563" i="52"/>
  <c r="C563" i="52" s="1"/>
  <c r="F501" i="52"/>
  <c r="C501" i="52" s="1"/>
  <c r="F588" i="52"/>
  <c r="C588" i="52" s="1"/>
  <c r="F486" i="52"/>
  <c r="C486" i="52" s="1"/>
  <c r="F573" i="52"/>
  <c r="C573" i="52" s="1"/>
  <c r="F464" i="52"/>
  <c r="C464" i="52" s="1"/>
  <c r="F551" i="52"/>
  <c r="C551" i="52" s="1"/>
  <c r="F497" i="52"/>
  <c r="C497" i="52" s="1"/>
  <c r="F584" i="52"/>
  <c r="C584" i="52" s="1"/>
  <c r="F499" i="52"/>
  <c r="C499" i="52" s="1"/>
  <c r="F489" i="52"/>
  <c r="C489" i="52" s="1"/>
  <c r="F576" i="52"/>
  <c r="C576" i="52" s="1"/>
  <c r="F474" i="52"/>
  <c r="C474" i="52" s="1"/>
  <c r="F561" i="52"/>
  <c r="C561" i="52" s="1"/>
  <c r="F447" i="52"/>
  <c r="C447" i="52" s="1"/>
  <c r="F534" i="52"/>
  <c r="C534" i="52" s="1"/>
  <c r="F455" i="52"/>
  <c r="C455" i="52" s="1"/>
  <c r="F542" i="52"/>
  <c r="C542" i="52" s="1"/>
  <c r="F469" i="52"/>
  <c r="C469" i="52" s="1"/>
  <c r="F556" i="52"/>
  <c r="C556" i="52" s="1"/>
  <c r="F490" i="52"/>
  <c r="C490" i="52" s="1"/>
  <c r="F577" i="52"/>
  <c r="C577" i="52" s="1"/>
  <c r="F457" i="52"/>
  <c r="C457" i="52" s="1"/>
  <c r="F544" i="52"/>
  <c r="C544" i="52" s="1"/>
  <c r="F454" i="52"/>
  <c r="C454" i="52" s="1"/>
  <c r="F541" i="52"/>
  <c r="C541" i="52" s="1"/>
  <c r="F451" i="52"/>
  <c r="C451" i="52" s="1"/>
  <c r="F538" i="52"/>
  <c r="C538" i="52" s="1"/>
  <c r="F470" i="52"/>
  <c r="C470" i="52" s="1"/>
  <c r="F557" i="52"/>
  <c r="C557" i="52" s="1"/>
  <c r="F498" i="52"/>
  <c r="C498" i="52" s="1"/>
  <c r="F585" i="52"/>
  <c r="C585" i="52" s="1"/>
  <c r="F450" i="52"/>
  <c r="C450" i="52" s="1"/>
  <c r="F537" i="52"/>
  <c r="C537" i="52" s="1"/>
  <c r="F465" i="52"/>
  <c r="C465" i="52" s="1"/>
  <c r="F552" i="52"/>
  <c r="C552" i="52" s="1"/>
  <c r="F492" i="52"/>
  <c r="C492" i="52" s="1"/>
  <c r="F579" i="52"/>
  <c r="C579" i="52" s="1"/>
  <c r="F445" i="52"/>
  <c r="C445" i="52" s="1"/>
  <c r="F532" i="52"/>
  <c r="C532" i="52" s="1"/>
  <c r="F495" i="52"/>
  <c r="C495" i="52" s="1"/>
  <c r="F582" i="52"/>
  <c r="C582" i="52" s="1"/>
  <c r="F502" i="52"/>
  <c r="C502" i="52" s="1"/>
  <c r="F589" i="52"/>
  <c r="C589" i="52" s="1"/>
  <c r="F458" i="52"/>
  <c r="C458" i="52" s="1"/>
  <c r="F545" i="52"/>
  <c r="C545" i="52" s="1"/>
  <c r="F452" i="52"/>
  <c r="C452" i="52" s="1"/>
  <c r="F539" i="52"/>
  <c r="C539" i="52" s="1"/>
  <c r="F477" i="52"/>
  <c r="C477" i="52" s="1"/>
  <c r="F564" i="52"/>
  <c r="C564" i="52" s="1"/>
  <c r="F461" i="52"/>
  <c r="C461" i="52" s="1"/>
  <c r="F548" i="52"/>
  <c r="C548" i="52" s="1"/>
  <c r="F479" i="52"/>
  <c r="C479" i="52" s="1"/>
  <c r="F566" i="52"/>
  <c r="C566" i="52" s="1"/>
  <c r="N148" i="52"/>
  <c r="F553" i="59" l="1"/>
  <c r="F552" i="59"/>
  <c r="F529" i="59" l="1"/>
  <c r="F528" i="59"/>
  <c r="R482" i="59" l="1"/>
  <c r="S482" i="59"/>
  <c r="T482" i="59"/>
  <c r="U482" i="59"/>
  <c r="V482" i="59"/>
  <c r="W482" i="59"/>
  <c r="X482" i="59"/>
  <c r="Z482" i="59"/>
  <c r="AB482" i="59"/>
  <c r="AC482" i="59"/>
  <c r="AE482" i="59"/>
  <c r="AF482" i="59"/>
  <c r="Q482" i="59"/>
  <c r="N37" i="58" l="1"/>
  <c r="F781" i="59" l="1"/>
  <c r="F782" i="59"/>
  <c r="F783" i="59"/>
  <c r="F784" i="59"/>
  <c r="F785" i="59"/>
  <c r="E781" i="59"/>
  <c r="E782" i="59"/>
  <c r="E783" i="59"/>
  <c r="E784" i="59"/>
  <c r="E785" i="59"/>
  <c r="F780" i="59"/>
  <c r="E780" i="59"/>
  <c r="F772" i="59"/>
  <c r="F773" i="59"/>
  <c r="F774" i="59"/>
  <c r="F775" i="59"/>
  <c r="F776" i="59"/>
  <c r="F771" i="59"/>
  <c r="E772" i="59"/>
  <c r="E773" i="59"/>
  <c r="E774" i="59"/>
  <c r="E775" i="59"/>
  <c r="E776" i="59"/>
  <c r="E771" i="59"/>
  <c r="CF19" i="60" l="1"/>
  <c r="CE19" i="60"/>
  <c r="CD19" i="60"/>
  <c r="CC19" i="60"/>
  <c r="CB19" i="60"/>
  <c r="CA19" i="60"/>
  <c r="I331" i="52"/>
  <c r="J331" i="52"/>
  <c r="I13" i="52"/>
  <c r="J13" i="52"/>
  <c r="K13" i="52"/>
  <c r="L13" i="52"/>
  <c r="M303" i="52"/>
  <c r="J20" i="52"/>
  <c r="M5" i="51"/>
  <c r="M6" i="51" s="1"/>
  <c r="M7" i="51" s="1"/>
  <c r="M8" i="51" s="1"/>
  <c r="M9" i="51" s="1"/>
  <c r="M10" i="51" s="1"/>
  <c r="M11" i="51" s="1"/>
  <c r="M12" i="51" s="1"/>
  <c r="M13" i="51" s="1"/>
  <c r="M14" i="51" s="1"/>
  <c r="M15" i="51" s="1"/>
  <c r="M16" i="51" s="1"/>
  <c r="M17" i="51" s="1"/>
  <c r="M18" i="51" s="1"/>
  <c r="M19" i="51" s="1"/>
  <c r="M20" i="51" s="1"/>
  <c r="M21" i="51" s="1"/>
  <c r="M22" i="51" s="1"/>
  <c r="M23" i="51" s="1"/>
  <c r="M24" i="51" s="1"/>
  <c r="M25" i="51" s="1"/>
  <c r="M26" i="51" s="1"/>
  <c r="M27" i="51" s="1"/>
  <c r="M28" i="51" s="1"/>
  <c r="M29" i="51" s="1"/>
  <c r="M30" i="51" s="1"/>
  <c r="M31" i="51" s="1"/>
  <c r="M32" i="51" s="1"/>
  <c r="M33" i="51" s="1"/>
  <c r="M34" i="51" s="1"/>
  <c r="M35" i="51" s="1"/>
  <c r="M36" i="51" s="1"/>
  <c r="M37" i="51" s="1"/>
  <c r="M38" i="51" s="1"/>
  <c r="M39" i="51" s="1"/>
  <c r="M40" i="51" s="1"/>
  <c r="M41" i="51" s="1"/>
  <c r="M42" i="51" s="1"/>
  <c r="M43" i="51" s="1"/>
  <c r="M44" i="51" s="1"/>
  <c r="M45" i="51" s="1"/>
  <c r="M46" i="51" s="1"/>
  <c r="M47" i="51" s="1"/>
  <c r="M48" i="51" s="1"/>
  <c r="M49" i="51" s="1"/>
  <c r="M50" i="51" s="1"/>
  <c r="M51" i="51" s="1"/>
  <c r="M52" i="51" s="1"/>
  <c r="M53" i="51" s="1"/>
  <c r="M54" i="51" s="1"/>
  <c r="M55" i="51" s="1"/>
  <c r="M56" i="51" s="1"/>
  <c r="M57" i="51" s="1"/>
  <c r="M58" i="51" s="1"/>
  <c r="M59" i="51" s="1"/>
  <c r="M60" i="51" s="1"/>
  <c r="M61" i="51" s="1"/>
  <c r="M62" i="51" s="1"/>
  <c r="M63" i="51" s="1"/>
  <c r="M64" i="51" s="1"/>
  <c r="M65" i="51" s="1"/>
  <c r="M66" i="51" s="1"/>
  <c r="M67" i="51" s="1"/>
  <c r="M68" i="51" s="1"/>
  <c r="M69" i="51" s="1"/>
  <c r="M70" i="51" s="1"/>
  <c r="M71" i="51" s="1"/>
  <c r="M72" i="51" s="1"/>
  <c r="M73" i="51" s="1"/>
  <c r="M74" i="51" s="1"/>
  <c r="M75" i="51" s="1"/>
  <c r="M76" i="51" s="1"/>
  <c r="M77" i="51" s="1"/>
  <c r="M78" i="51" s="1"/>
  <c r="M79" i="51" s="1"/>
  <c r="M80" i="51" s="1"/>
  <c r="M81" i="51" s="1"/>
  <c r="M82" i="51" s="1"/>
  <c r="M83" i="51" s="1"/>
  <c r="M84" i="51" s="1"/>
  <c r="M85" i="51" s="1"/>
  <c r="M86" i="51" s="1"/>
  <c r="M87" i="51" s="1"/>
  <c r="M88" i="51" s="1"/>
  <c r="M89" i="51" s="1"/>
  <c r="M90" i="51" s="1"/>
  <c r="M91" i="51" s="1"/>
  <c r="M92" i="51" s="1"/>
  <c r="M93" i="51" s="1"/>
  <c r="M94" i="51" s="1"/>
  <c r="M95" i="51" s="1"/>
  <c r="M96" i="51" s="1"/>
  <c r="M97" i="51" s="1"/>
  <c r="M98" i="51" s="1"/>
  <c r="M99" i="51" s="1"/>
  <c r="M100" i="51" s="1"/>
  <c r="M101" i="51" s="1"/>
  <c r="M102" i="51" s="1"/>
  <c r="M103" i="51" s="1"/>
  <c r="M104" i="51" s="1"/>
  <c r="M105" i="51" s="1"/>
  <c r="M106" i="51" s="1"/>
  <c r="M107" i="51" s="1"/>
  <c r="M108" i="51" s="1"/>
  <c r="M109" i="51" s="1"/>
  <c r="M110" i="51" s="1"/>
  <c r="M111" i="51" s="1"/>
  <c r="M112" i="51" s="1"/>
  <c r="M113" i="51" s="1"/>
  <c r="M114" i="51" s="1"/>
  <c r="M115" i="51" s="1"/>
  <c r="M116" i="51" s="1"/>
  <c r="M117" i="51" s="1"/>
  <c r="M118" i="51" s="1"/>
  <c r="M119" i="51" s="1"/>
  <c r="M120" i="51" s="1"/>
  <c r="M121" i="51" s="1"/>
  <c r="M122" i="51" s="1"/>
  <c r="M123" i="51" s="1"/>
  <c r="M124" i="51" s="1"/>
  <c r="M125" i="51" s="1"/>
  <c r="M126" i="51" s="1"/>
  <c r="M127" i="51" s="1"/>
  <c r="M128" i="51" s="1"/>
  <c r="M129" i="51" s="1"/>
  <c r="M130" i="51" s="1"/>
  <c r="M131" i="51" s="1"/>
  <c r="M132" i="51" s="1"/>
  <c r="M133" i="51" s="1"/>
  <c r="M134" i="51" s="1"/>
  <c r="M135" i="51" s="1"/>
  <c r="M136" i="51" s="1"/>
  <c r="M137" i="51" s="1"/>
  <c r="M138" i="51" s="1"/>
  <c r="M139" i="51" s="1"/>
  <c r="M140" i="51" s="1"/>
  <c r="M141" i="51" s="1"/>
  <c r="M142" i="51" s="1"/>
  <c r="M143" i="51" s="1"/>
  <c r="M144" i="51" s="1"/>
  <c r="M145" i="51" s="1"/>
  <c r="M146" i="51" s="1"/>
  <c r="M147" i="51" s="1"/>
  <c r="M148" i="51" s="1"/>
  <c r="M149" i="51" s="1"/>
  <c r="M150" i="51" s="1"/>
  <c r="M151" i="51" s="1"/>
  <c r="M152" i="51" s="1"/>
  <c r="M153" i="51" s="1"/>
  <c r="M154" i="51" s="1"/>
  <c r="M155" i="51" s="1"/>
  <c r="M156" i="51" s="1"/>
  <c r="P43" i="51"/>
  <c r="P44" i="51" s="1"/>
  <c r="P45" i="51" s="1"/>
  <c r="P46" i="51" s="1"/>
  <c r="G73" i="51"/>
  <c r="G74" i="51" s="1"/>
  <c r="G75" i="51" s="1"/>
  <c r="G76" i="51" s="1"/>
  <c r="G77" i="51" s="1"/>
  <c r="G78" i="51" s="1"/>
  <c r="G79" i="51" s="1"/>
  <c r="G80" i="51" s="1"/>
  <c r="G81" i="51" s="1"/>
  <c r="G82" i="51" s="1"/>
  <c r="G83" i="51" s="1"/>
  <c r="G84" i="51" s="1"/>
  <c r="G85" i="51" s="1"/>
  <c r="G86" i="51" s="1"/>
  <c r="G87" i="51" s="1"/>
  <c r="G88" i="51" s="1"/>
  <c r="G89" i="51" s="1"/>
  <c r="G90" i="51" s="1"/>
  <c r="G91" i="51" s="1"/>
  <c r="G92" i="51" s="1"/>
  <c r="G93" i="51" s="1"/>
  <c r="G94" i="51" s="1"/>
  <c r="G95" i="51" s="1"/>
  <c r="G96" i="51" s="1"/>
  <c r="G97" i="51" s="1"/>
  <c r="G98" i="51" s="1"/>
  <c r="G99" i="51" s="1"/>
  <c r="G100" i="51" s="1"/>
  <c r="G101" i="51" s="1"/>
  <c r="G102" i="51" s="1"/>
  <c r="G103" i="51" s="1"/>
  <c r="G104" i="51" s="1"/>
  <c r="G105" i="51" s="1"/>
  <c r="G106" i="51" s="1"/>
  <c r="G107" i="51" s="1"/>
  <c r="G108" i="51" s="1"/>
  <c r="G109" i="51" s="1"/>
  <c r="G110" i="51" s="1"/>
  <c r="G111" i="51" s="1"/>
  <c r="G112" i="51" s="1"/>
  <c r="G113" i="51" s="1"/>
  <c r="G114" i="51" s="1"/>
  <c r="G115" i="51" s="1"/>
  <c r="G116" i="51" s="1"/>
  <c r="G117" i="51" s="1"/>
  <c r="G118" i="51" s="1"/>
  <c r="G119" i="51" s="1"/>
  <c r="G120" i="51" s="1"/>
  <c r="G121" i="51" s="1"/>
  <c r="G122" i="51" s="1"/>
  <c r="G123" i="51" s="1"/>
  <c r="G124" i="51" s="1"/>
  <c r="G125" i="51" s="1"/>
  <c r="G126" i="51" s="1"/>
  <c r="G127" i="51" s="1"/>
  <c r="G128" i="51" s="1"/>
  <c r="G129" i="51" s="1"/>
  <c r="G130" i="51" s="1"/>
  <c r="G131" i="51" s="1"/>
  <c r="G132" i="51" s="1"/>
  <c r="G133" i="51" s="1"/>
  <c r="G134" i="51" s="1"/>
  <c r="G135" i="51" s="1"/>
  <c r="G136" i="51" s="1"/>
  <c r="G137" i="51" s="1"/>
  <c r="G138" i="51" s="1"/>
  <c r="G139" i="51" s="1"/>
  <c r="G140" i="51" s="1"/>
  <c r="G141" i="51" s="1"/>
  <c r="G142" i="51" s="1"/>
  <c r="G143" i="51" s="1"/>
  <c r="G144" i="51" s="1"/>
  <c r="G145" i="51" s="1"/>
  <c r="G146" i="51" s="1"/>
  <c r="G147" i="51" s="1"/>
  <c r="G148" i="51" s="1"/>
  <c r="G149" i="51" s="1"/>
  <c r="G150" i="51" s="1"/>
  <c r="G151" i="51" s="1"/>
  <c r="G152" i="51" s="1"/>
  <c r="G153" i="51" s="1"/>
  <c r="G154" i="51" s="1"/>
  <c r="G155" i="51" s="1"/>
  <c r="G156" i="51" s="1"/>
  <c r="AE68" i="51"/>
  <c r="AE74" i="51"/>
  <c r="AE75" i="51"/>
  <c r="AE76" i="51"/>
  <c r="AE77" i="51"/>
  <c r="AE69" i="51"/>
  <c r="AE66" i="51"/>
  <c r="AE4" i="51"/>
  <c r="AE5" i="51"/>
  <c r="N20" i="52" l="1"/>
  <c r="I20" i="52"/>
  <c r="P47" i="51"/>
  <c r="AE60" i="51"/>
  <c r="AE52" i="51"/>
  <c r="AE44" i="51"/>
  <c r="AE36" i="51"/>
  <c r="AE28" i="51"/>
  <c r="AE20" i="51"/>
  <c r="AE12" i="51"/>
  <c r="AE67" i="51"/>
  <c r="AE59" i="51"/>
  <c r="AE51" i="51"/>
  <c r="AE43" i="51"/>
  <c r="AE35" i="51"/>
  <c r="AE27" i="51"/>
  <c r="AE19" i="51"/>
  <c r="AE11" i="51"/>
  <c r="AE58" i="51"/>
  <c r="AE50" i="51"/>
  <c r="AE42" i="51"/>
  <c r="AE34" i="51"/>
  <c r="AE26" i="51"/>
  <c r="AE18" i="51"/>
  <c r="AE10" i="51"/>
  <c r="AE73" i="51"/>
  <c r="AE65" i="51"/>
  <c r="AE57" i="51"/>
  <c r="AE49" i="51"/>
  <c r="AE41" i="51"/>
  <c r="AE33" i="51"/>
  <c r="AE25" i="51"/>
  <c r="AE17" i="51"/>
  <c r="AE9" i="51"/>
  <c r="AE72" i="51"/>
  <c r="AE64" i="51"/>
  <c r="AE56" i="51"/>
  <c r="AE48" i="51"/>
  <c r="AE40" i="51"/>
  <c r="AE32" i="51"/>
  <c r="AE24" i="51"/>
  <c r="AE16" i="51"/>
  <c r="AE8" i="51"/>
  <c r="AE71" i="51"/>
  <c r="AE63" i="51"/>
  <c r="AE55" i="51"/>
  <c r="AE47" i="51"/>
  <c r="AE39" i="51"/>
  <c r="AE31" i="51"/>
  <c r="AE23" i="51"/>
  <c r="AE15" i="51"/>
  <c r="AE7" i="51"/>
  <c r="AE70" i="51"/>
  <c r="AE62" i="51"/>
  <c r="AE54" i="51"/>
  <c r="AE46" i="51"/>
  <c r="AE38" i="51"/>
  <c r="AE30" i="51"/>
  <c r="AE22" i="51"/>
  <c r="AE14" i="51"/>
  <c r="AE6" i="51"/>
  <c r="AE61" i="51"/>
  <c r="AE53" i="51"/>
  <c r="AE45" i="51"/>
  <c r="AE37" i="51"/>
  <c r="AE29" i="51"/>
  <c r="AE21" i="51"/>
  <c r="AE13" i="51"/>
  <c r="BQ104" i="60" l="1"/>
  <c r="BQ38" i="60"/>
  <c r="CA58" i="60"/>
  <c r="CA76" i="60"/>
  <c r="U38" i="60"/>
  <c r="U104" i="60"/>
  <c r="AP104" i="60"/>
  <c r="BA38" i="60"/>
  <c r="V38" i="60"/>
  <c r="BC38" i="60"/>
  <c r="T104" i="60"/>
  <c r="T38" i="60"/>
  <c r="CF76" i="60"/>
  <c r="CF58" i="60"/>
  <c r="BE38" i="60"/>
  <c r="BD38" i="60"/>
  <c r="BF38" i="60"/>
  <c r="AM38" i="60"/>
  <c r="AM104" i="60"/>
  <c r="BG38" i="60"/>
  <c r="AL38" i="60"/>
  <c r="AL104" i="60"/>
  <c r="P38" i="60"/>
  <c r="BM104" i="60"/>
  <c r="BT38" i="60"/>
  <c r="BT104" i="60"/>
  <c r="BN104" i="60"/>
  <c r="BO104" i="60"/>
  <c r="BU38" i="60"/>
  <c r="BU104" i="60"/>
  <c r="J36" i="60"/>
  <c r="J104" i="60"/>
  <c r="BV38" i="60"/>
  <c r="BV104" i="60"/>
  <c r="BW104" i="60"/>
  <c r="BW38" i="60"/>
  <c r="BB38" i="60"/>
  <c r="AZ38" i="60"/>
  <c r="BS38" i="60"/>
  <c r="BS104" i="60"/>
  <c r="AH104" i="60"/>
  <c r="AK104" i="60"/>
  <c r="AI104" i="60"/>
  <c r="N38" i="60"/>
  <c r="L38" i="60"/>
  <c r="BK104" i="60"/>
  <c r="Q104" i="60"/>
  <c r="Q38" i="60"/>
  <c r="CC58" i="60"/>
  <c r="CC76" i="60"/>
  <c r="R38" i="60"/>
  <c r="R104" i="60"/>
  <c r="CD76" i="60"/>
  <c r="CD58" i="60"/>
  <c r="S104" i="60"/>
  <c r="S38" i="60"/>
  <c r="CE104" i="60"/>
  <c r="CE58" i="60"/>
  <c r="CE76" i="60"/>
  <c r="BR38" i="60"/>
  <c r="BR104" i="60"/>
  <c r="BL104" i="60"/>
  <c r="BJ104" i="60"/>
  <c r="W38" i="60"/>
  <c r="M38" i="60"/>
  <c r="CB58" i="60"/>
  <c r="CB76" i="60"/>
  <c r="BP104" i="60"/>
  <c r="BP38" i="60"/>
  <c r="O38" i="60"/>
  <c r="M176" i="52"/>
  <c r="M157" i="52"/>
  <c r="M172" i="52"/>
  <c r="M168" i="52"/>
  <c r="M164" i="52"/>
  <c r="M171" i="52"/>
  <c r="M160" i="52"/>
  <c r="M175" i="52"/>
  <c r="M156" i="52"/>
  <c r="M163" i="52"/>
  <c r="M152" i="52"/>
  <c r="M167" i="52"/>
  <c r="M155" i="52"/>
  <c r="M177" i="52"/>
  <c r="M159" i="52"/>
  <c r="M174" i="52"/>
  <c r="M170" i="52"/>
  <c r="M161" i="52"/>
  <c r="M151" i="52"/>
  <c r="M166" i="52"/>
  <c r="M169" i="52"/>
  <c r="M162" i="52"/>
  <c r="M153" i="52"/>
  <c r="M158" i="52"/>
  <c r="M173" i="52"/>
  <c r="M154" i="52"/>
  <c r="M149" i="52"/>
  <c r="G177" i="52"/>
  <c r="G160" i="52"/>
  <c r="G164" i="52"/>
  <c r="G157" i="52"/>
  <c r="G175" i="52"/>
  <c r="G156" i="52"/>
  <c r="G174" i="52"/>
  <c r="G167" i="52"/>
  <c r="G155" i="52"/>
  <c r="G168" i="52"/>
  <c r="G153" i="52"/>
  <c r="G172" i="52"/>
  <c r="G169" i="52"/>
  <c r="G171" i="52"/>
  <c r="G165" i="52"/>
  <c r="G154" i="52"/>
  <c r="G176" i="52"/>
  <c r="G173" i="52"/>
  <c r="G170" i="52"/>
  <c r="G163" i="52"/>
  <c r="G152" i="52"/>
  <c r="G150" i="52"/>
  <c r="G158" i="52"/>
  <c r="G151" i="52"/>
  <c r="G162" i="52"/>
  <c r="G166" i="52"/>
  <c r="G161" i="52"/>
  <c r="G159" i="52"/>
  <c r="P48" i="51"/>
  <c r="AE104" i="60" l="1"/>
  <c r="G450" i="52"/>
  <c r="G537" i="52"/>
  <c r="G448" i="52"/>
  <c r="G535" i="52"/>
  <c r="G457" i="52"/>
  <c r="G544" i="52"/>
  <c r="G451" i="52"/>
  <c r="G538" i="52"/>
  <c r="G454" i="52"/>
  <c r="G541" i="52"/>
  <c r="G452" i="52"/>
  <c r="G539" i="52"/>
  <c r="G458" i="52"/>
  <c r="G545" i="52"/>
  <c r="G446" i="52"/>
  <c r="G533" i="52"/>
  <c r="G455" i="52"/>
  <c r="G542" i="52"/>
  <c r="G456" i="52"/>
  <c r="G543" i="52"/>
  <c r="G453" i="52"/>
  <c r="G540" i="52"/>
  <c r="G447" i="52"/>
  <c r="G534" i="52"/>
  <c r="G449" i="52"/>
  <c r="G536" i="52"/>
  <c r="G445" i="52"/>
  <c r="G532" i="52"/>
  <c r="BY94" i="60"/>
  <c r="CE94" i="60"/>
  <c r="CA94" i="60"/>
  <c r="CF94" i="60"/>
  <c r="BB94" i="60"/>
  <c r="BK94" i="60"/>
  <c r="AQ94" i="60"/>
  <c r="CB94" i="60"/>
  <c r="AZ94" i="60"/>
  <c r="BW94" i="60"/>
  <c r="BR94" i="60"/>
  <c r="BP94" i="60"/>
  <c r="AY94" i="60"/>
  <c r="AW94" i="60"/>
  <c r="BX94" i="60"/>
  <c r="BU94" i="60"/>
  <c r="AT94" i="60"/>
  <c r="BT94" i="60"/>
  <c r="BF94" i="60"/>
  <c r="BA94" i="60"/>
  <c r="BQ94" i="60"/>
  <c r="BL94" i="60"/>
  <c r="BZ94" i="60"/>
  <c r="BJ94" i="60"/>
  <c r="BI94" i="60"/>
  <c r="BO94" i="60"/>
  <c r="BM94" i="60"/>
  <c r="BD94" i="60"/>
  <c r="BC94" i="60"/>
  <c r="AP94" i="60"/>
  <c r="AX94" i="60"/>
  <c r="BN94" i="60"/>
  <c r="AV94" i="60"/>
  <c r="BV94" i="60"/>
  <c r="CD94" i="60"/>
  <c r="BH94" i="60"/>
  <c r="BS94" i="60"/>
  <c r="AR94" i="60"/>
  <c r="AU94" i="60"/>
  <c r="AS94" i="60"/>
  <c r="BG94" i="60"/>
  <c r="BE94" i="60"/>
  <c r="AO94" i="60"/>
  <c r="AN94" i="60"/>
  <c r="CC94" i="60"/>
  <c r="BF104" i="60"/>
  <c r="K104" i="60"/>
  <c r="Y104" i="60"/>
  <c r="N104" i="60"/>
  <c r="AV104" i="60"/>
  <c r="BB104" i="60"/>
  <c r="AO104" i="60"/>
  <c r="O104" i="60"/>
  <c r="AW104" i="60"/>
  <c r="AT104" i="60"/>
  <c r="AY104" i="60"/>
  <c r="CB110" i="60"/>
  <c r="CC110" i="60"/>
  <c r="AC104" i="60"/>
  <c r="BI104" i="60"/>
  <c r="AR104" i="60"/>
  <c r="AS104" i="60"/>
  <c r="BG104" i="60"/>
  <c r="V104" i="60"/>
  <c r="BZ104" i="60"/>
  <c r="CD104" i="60"/>
  <c r="BE104" i="60"/>
  <c r="CF110" i="60"/>
  <c r="CF38" i="60"/>
  <c r="CF40" i="60" s="1"/>
  <c r="CF34" i="60" s="1"/>
  <c r="CD110" i="60"/>
  <c r="CD38" i="60"/>
  <c r="CD40" i="60" s="1"/>
  <c r="CD34" i="60" s="1"/>
  <c r="BH104" i="60"/>
  <c r="CE110" i="60"/>
  <c r="CE38" i="60"/>
  <c r="CE40" i="60" s="1"/>
  <c r="CE34" i="60" s="1"/>
  <c r="CC104" i="60"/>
  <c r="L104" i="60"/>
  <c r="AZ104" i="60"/>
  <c r="AQ104" i="60"/>
  <c r="BA104" i="60"/>
  <c r="CA104" i="60"/>
  <c r="AX104" i="60"/>
  <c r="AA104" i="60"/>
  <c r="W104" i="60"/>
  <c r="AG104" i="60"/>
  <c r="AU104" i="60"/>
  <c r="AD104" i="60"/>
  <c r="AN104" i="60"/>
  <c r="X104" i="60"/>
  <c r="BX104" i="60"/>
  <c r="Z104" i="60"/>
  <c r="AF104" i="60"/>
  <c r="P104" i="60"/>
  <c r="CB104" i="60"/>
  <c r="M104" i="60"/>
  <c r="BY104" i="60"/>
  <c r="AJ104" i="60"/>
  <c r="BD104" i="60"/>
  <c r="CF104" i="60"/>
  <c r="BC104" i="60"/>
  <c r="AB104" i="60"/>
  <c r="CA110" i="60"/>
  <c r="CD20" i="60"/>
  <c r="CD21" i="60"/>
  <c r="CF20" i="60"/>
  <c r="CF21" i="60"/>
  <c r="CA21" i="60"/>
  <c r="CA20" i="60"/>
  <c r="CE20" i="60"/>
  <c r="CE21" i="60"/>
  <c r="CC20" i="60"/>
  <c r="CC21" i="60"/>
  <c r="CB20" i="60"/>
  <c r="CB21" i="60"/>
  <c r="M150" i="52"/>
  <c r="M165" i="52"/>
  <c r="P49" i="51"/>
  <c r="BS98" i="60" l="1"/>
  <c r="BQ98" i="60"/>
  <c r="AN98" i="60"/>
  <c r="BP98" i="60"/>
  <c r="BM98" i="60"/>
  <c r="BR98" i="60"/>
  <c r="BL98" i="60"/>
  <c r="BV98" i="60"/>
  <c r="BO98" i="60"/>
  <c r="BT98" i="60"/>
  <c r="BW98" i="60"/>
  <c r="BK98" i="60"/>
  <c r="BI98" i="60"/>
  <c r="BN98" i="60"/>
  <c r="BJ98" i="60"/>
  <c r="BU98" i="60"/>
  <c r="BX98" i="60"/>
  <c r="L148" i="52"/>
  <c r="M20" i="52"/>
  <c r="M148" i="52"/>
  <c r="P50" i="51"/>
  <c r="P51" i="51" l="1"/>
  <c r="P52" i="51" l="1"/>
  <c r="P53" i="51" l="1"/>
  <c r="P54" i="51" l="1"/>
  <c r="P55" i="51" l="1"/>
  <c r="P56" i="51" l="1"/>
  <c r="P57" i="51" l="1"/>
  <c r="P58" i="51" l="1"/>
  <c r="P59" i="51" l="1"/>
  <c r="P60" i="51" l="1"/>
  <c r="P61" i="51" l="1"/>
  <c r="P62" i="51" l="1"/>
  <c r="P63" i="51" l="1"/>
  <c r="P64" i="51" l="1"/>
  <c r="P65" i="51" l="1"/>
  <c r="P66" i="51" l="1"/>
  <c r="P67" i="51" l="1"/>
  <c r="P68" i="51" l="1"/>
  <c r="P69" i="51" l="1"/>
  <c r="P70" i="51" l="1"/>
  <c r="P71" i="51" l="1"/>
  <c r="P72" i="51" l="1"/>
  <c r="P73" i="51" l="1"/>
  <c r="I110" i="60"/>
  <c r="P74" i="51" l="1"/>
  <c r="P75" i="51" s="1"/>
  <c r="P76" i="51" s="1"/>
  <c r="P77" i="51" s="1"/>
  <c r="P78" i="51" s="1"/>
  <c r="P79" i="51" s="1"/>
  <c r="P80" i="51" s="1"/>
  <c r="P81" i="51" s="1"/>
  <c r="P82" i="51" s="1"/>
  <c r="P83" i="51" s="1"/>
  <c r="P84" i="51" s="1"/>
  <c r="P85" i="51" s="1"/>
  <c r="P86" i="51" s="1"/>
  <c r="P87" i="51" s="1"/>
  <c r="P88" i="51" s="1"/>
  <c r="P89" i="51" s="1"/>
  <c r="P90" i="51" s="1"/>
  <c r="P91" i="51" s="1"/>
  <c r="P92" i="51" s="1"/>
  <c r="P93" i="51" s="1"/>
  <c r="P94" i="51" s="1"/>
  <c r="P95" i="51" s="1"/>
  <c r="P96" i="51" s="1"/>
  <c r="P97" i="51" s="1"/>
  <c r="P98" i="51" s="1"/>
  <c r="P99" i="51" s="1"/>
  <c r="P100" i="51" s="1"/>
  <c r="P101" i="51" s="1"/>
  <c r="P102" i="51" s="1"/>
  <c r="P103" i="51" s="1"/>
  <c r="P104" i="51" s="1"/>
  <c r="P105" i="51" s="1"/>
  <c r="P106" i="51" s="1"/>
  <c r="P107" i="51" s="1"/>
  <c r="P108" i="51" s="1"/>
  <c r="P109" i="51" s="1"/>
  <c r="P110" i="51" s="1"/>
  <c r="P111" i="51" s="1"/>
  <c r="P112" i="51" s="1"/>
  <c r="P113" i="51" s="1"/>
  <c r="P114" i="51" s="1"/>
  <c r="P115" i="51" s="1"/>
  <c r="P116" i="51" s="1"/>
  <c r="P117" i="51" s="1"/>
  <c r="P118" i="51" s="1"/>
  <c r="P119" i="51" s="1"/>
  <c r="P120" i="51" s="1"/>
  <c r="P121" i="51" s="1"/>
  <c r="P122" i="51" s="1"/>
  <c r="P123" i="51" s="1"/>
  <c r="P124" i="51" s="1"/>
  <c r="P125" i="51" s="1"/>
  <c r="P126" i="51" s="1"/>
  <c r="P127" i="51" s="1"/>
  <c r="P128" i="51" s="1"/>
  <c r="P129" i="51" s="1"/>
  <c r="P130" i="51" s="1"/>
  <c r="P131" i="51" s="1"/>
  <c r="P132" i="51" s="1"/>
  <c r="P133" i="51" s="1"/>
  <c r="P134" i="51" s="1"/>
  <c r="P135" i="51" s="1"/>
  <c r="P136" i="51" s="1"/>
  <c r="P137" i="51" s="1"/>
  <c r="P138" i="51" s="1"/>
  <c r="P139" i="51" s="1"/>
  <c r="P140" i="51" s="1"/>
  <c r="P141" i="51" s="1"/>
  <c r="P142" i="51" s="1"/>
  <c r="P143" i="51" s="1"/>
  <c r="P144" i="51" s="1"/>
  <c r="P145" i="51" s="1"/>
  <c r="P146" i="51" s="1"/>
  <c r="P147" i="51" s="1"/>
  <c r="P148" i="51" s="1"/>
  <c r="P149" i="51" s="1"/>
  <c r="P150" i="51" s="1"/>
  <c r="P151" i="51" s="1"/>
  <c r="P152" i="51" s="1"/>
  <c r="P153" i="51" s="1"/>
  <c r="P154" i="51" s="1"/>
  <c r="P155" i="51" s="1"/>
  <c r="P156" i="51" s="1"/>
  <c r="F530" i="59"/>
  <c r="E745" i="59" l="1"/>
  <c r="M716" i="59"/>
  <c r="M717" i="59"/>
  <c r="M718" i="59"/>
  <c r="M719" i="59"/>
  <c r="M720" i="59"/>
  <c r="M721" i="59"/>
  <c r="M722" i="59"/>
  <c r="M715" i="59"/>
  <c r="M714" i="59"/>
  <c r="K715" i="59"/>
  <c r="O723" i="59" l="1"/>
  <c r="K359" i="59" l="1"/>
  <c r="N36" i="58" l="1"/>
  <c r="E555" i="59" l="1"/>
  <c r="G67" i="65" l="1"/>
  <c r="G59" i="65"/>
  <c r="G41" i="65"/>
  <c r="G28" i="65"/>
  <c r="G23" i="65"/>
  <c r="G17" i="65"/>
  <c r="G11" i="65"/>
  <c r="G779" i="59" l="1"/>
  <c r="F791" i="59"/>
  <c r="F792" i="59"/>
  <c r="F793" i="59"/>
  <c r="F794" i="59"/>
  <c r="F789" i="59"/>
  <c r="F790" i="59"/>
  <c r="K723" i="59"/>
  <c r="K736" i="59" l="1"/>
  <c r="K735" i="59"/>
  <c r="K717" i="59"/>
  <c r="H483" i="59" l="1"/>
  <c r="BG19" i="60" l="1"/>
  <c r="BH19" i="60"/>
  <c r="BI19" i="60"/>
  <c r="BJ19" i="60"/>
  <c r="BK19" i="60"/>
  <c r="BL19" i="60"/>
  <c r="BM19" i="60"/>
  <c r="BN19" i="60"/>
  <c r="BO19" i="60"/>
  <c r="BP19" i="60"/>
  <c r="BQ19" i="60"/>
  <c r="BR19" i="60"/>
  <c r="BS19" i="60"/>
  <c r="BT19" i="60"/>
  <c r="BU19" i="60"/>
  <c r="BV19" i="60"/>
  <c r="BW19" i="60"/>
  <c r="BX19" i="60"/>
  <c r="BY19" i="60"/>
  <c r="BZ19" i="60"/>
  <c r="J76" i="60" l="1"/>
  <c r="J67" i="60" s="1"/>
  <c r="J65" i="60" l="1"/>
  <c r="J80" i="60"/>
  <c r="J87" i="60" s="1"/>
  <c r="R76" i="60"/>
  <c r="R67" i="60" s="1"/>
  <c r="K76" i="60"/>
  <c r="P76" i="60"/>
  <c r="P67" i="60" s="1"/>
  <c r="I76" i="60"/>
  <c r="I67" i="60" s="1"/>
  <c r="O76" i="60"/>
  <c r="M76" i="60"/>
  <c r="N76" i="60"/>
  <c r="Q76" i="60"/>
  <c r="Q67" i="60" s="1"/>
  <c r="L76" i="60"/>
  <c r="AH76" i="60"/>
  <c r="AX76" i="60"/>
  <c r="BN76" i="60"/>
  <c r="BN67" i="60" s="1"/>
  <c r="AA76" i="60"/>
  <c r="AQ76" i="60"/>
  <c r="BG76" i="60"/>
  <c r="BW76" i="60"/>
  <c r="BW67" i="60" s="1"/>
  <c r="AK76" i="60"/>
  <c r="AK67" i="60" s="1"/>
  <c r="BQ76" i="60"/>
  <c r="BQ67" i="60" s="1"/>
  <c r="AF76" i="60"/>
  <c r="AF67" i="60" s="1"/>
  <c r="BL76" i="60"/>
  <c r="BL67" i="60" s="1"/>
  <c r="Y76" i="60"/>
  <c r="BE76" i="60"/>
  <c r="BP76" i="60"/>
  <c r="BP67" i="60" s="1"/>
  <c r="V76" i="60"/>
  <c r="V67" i="60" s="1"/>
  <c r="AL76" i="60"/>
  <c r="AL67" i="60" s="1"/>
  <c r="BB76" i="60"/>
  <c r="BR76" i="60"/>
  <c r="BR67" i="60" s="1"/>
  <c r="AE76" i="60"/>
  <c r="AE67" i="60" s="1"/>
  <c r="AU76" i="60"/>
  <c r="BK76" i="60"/>
  <c r="BK67" i="60" s="1"/>
  <c r="AS76" i="60"/>
  <c r="BY76" i="60"/>
  <c r="AN76" i="60"/>
  <c r="AN67" i="60" s="1"/>
  <c r="BT76" i="60"/>
  <c r="BT67" i="60" s="1"/>
  <c r="AG76" i="60"/>
  <c r="AG67" i="60" s="1"/>
  <c r="BM76" i="60"/>
  <c r="BM67" i="60" s="1"/>
  <c r="AB76" i="60"/>
  <c r="AR76" i="60"/>
  <c r="BH76" i="60"/>
  <c r="Z76" i="60"/>
  <c r="AP76" i="60"/>
  <c r="BF76" i="60"/>
  <c r="BV76" i="60"/>
  <c r="BV67" i="60" s="1"/>
  <c r="S76" i="60"/>
  <c r="S67" i="60" s="1"/>
  <c r="AI76" i="60"/>
  <c r="AI67" i="60" s="1"/>
  <c r="AY76" i="60"/>
  <c r="BO76" i="60"/>
  <c r="BO67" i="60" s="1"/>
  <c r="U76" i="60"/>
  <c r="U67" i="60" s="1"/>
  <c r="BA76" i="60"/>
  <c r="AV76" i="60"/>
  <c r="AO76" i="60"/>
  <c r="BU76" i="60"/>
  <c r="BU67" i="60" s="1"/>
  <c r="AJ76" i="60"/>
  <c r="AJ67" i="60" s="1"/>
  <c r="BX76" i="60"/>
  <c r="BX67" i="60" s="1"/>
  <c r="AD76" i="60"/>
  <c r="AT76" i="60"/>
  <c r="BJ76" i="60"/>
  <c r="BJ67" i="60" s="1"/>
  <c r="BZ76" i="60"/>
  <c r="W76" i="60"/>
  <c r="W67" i="60" s="1"/>
  <c r="AM76" i="60"/>
  <c r="AM67" i="60" s="1"/>
  <c r="BC76" i="60"/>
  <c r="BS76" i="60"/>
  <c r="BS67" i="60" s="1"/>
  <c r="AC76" i="60"/>
  <c r="AC67" i="60" s="1"/>
  <c r="BI76" i="60"/>
  <c r="BI67" i="60" s="1"/>
  <c r="X76" i="60"/>
  <c r="X67" i="60" s="1"/>
  <c r="BD76" i="60"/>
  <c r="AW76" i="60"/>
  <c r="AZ76" i="60"/>
  <c r="BN58" i="60"/>
  <c r="AQ58" i="60"/>
  <c r="BW58" i="60"/>
  <c r="BQ58" i="60"/>
  <c r="AF58" i="60"/>
  <c r="Y58" i="60"/>
  <c r="T58" i="60"/>
  <c r="BH58" i="60"/>
  <c r="BP58" i="60"/>
  <c r="V58" i="60"/>
  <c r="AL58" i="60"/>
  <c r="BB58" i="60"/>
  <c r="BR58" i="60"/>
  <c r="O58" i="60"/>
  <c r="AE58" i="60"/>
  <c r="AU58" i="60"/>
  <c r="BK58" i="60"/>
  <c r="M58" i="60"/>
  <c r="AS58" i="60"/>
  <c r="BY58" i="60"/>
  <c r="AN58" i="60"/>
  <c r="BT58" i="60"/>
  <c r="AG58" i="60"/>
  <c r="BM58" i="60"/>
  <c r="AB58" i="60"/>
  <c r="AR58" i="60"/>
  <c r="N58" i="60"/>
  <c r="AD58" i="60"/>
  <c r="AT58" i="60"/>
  <c r="BJ58" i="60"/>
  <c r="BZ58" i="60"/>
  <c r="W58" i="60"/>
  <c r="AM58" i="60"/>
  <c r="BC58" i="60"/>
  <c r="BS58" i="60"/>
  <c r="AC58" i="60"/>
  <c r="BI58" i="60"/>
  <c r="X58" i="60"/>
  <c r="BD58" i="60"/>
  <c r="Q58" i="60"/>
  <c r="AW58" i="60"/>
  <c r="L58" i="60"/>
  <c r="R58" i="60"/>
  <c r="AH58" i="60"/>
  <c r="AX58" i="60"/>
  <c r="AA58" i="60"/>
  <c r="BG58" i="60"/>
  <c r="AK58" i="60"/>
  <c r="BL58" i="60"/>
  <c r="BE58" i="60"/>
  <c r="Z58" i="60"/>
  <c r="AP58" i="60"/>
  <c r="BF58" i="60"/>
  <c r="BV58" i="60"/>
  <c r="S58" i="60"/>
  <c r="AI58" i="60"/>
  <c r="AY58" i="60"/>
  <c r="BO58" i="60"/>
  <c r="U58" i="60"/>
  <c r="BA58" i="60"/>
  <c r="P58" i="60"/>
  <c r="AV58" i="60"/>
  <c r="I104" i="60"/>
  <c r="AO58" i="60"/>
  <c r="BU58" i="60"/>
  <c r="AJ58" i="60"/>
  <c r="BX58" i="60"/>
  <c r="AZ58" i="60"/>
  <c r="J83" i="60" l="1"/>
  <c r="J86" i="60"/>
  <c r="AM80" i="60"/>
  <c r="AM65" i="60"/>
  <c r="BU80" i="60"/>
  <c r="BU65" i="60"/>
  <c r="S65" i="60"/>
  <c r="S80" i="60"/>
  <c r="S87" i="60" s="1"/>
  <c r="BM80" i="60"/>
  <c r="BM87" i="60" s="1"/>
  <c r="BM65" i="60"/>
  <c r="AE80" i="60"/>
  <c r="AE65" i="60"/>
  <c r="BL80" i="60"/>
  <c r="BL83" i="60" s="1"/>
  <c r="BL65" i="60"/>
  <c r="BN80" i="60"/>
  <c r="BN83" i="60" s="1"/>
  <c r="BN65" i="60"/>
  <c r="AJ80" i="60"/>
  <c r="AJ65" i="60"/>
  <c r="W80" i="60"/>
  <c r="W87" i="60" s="1"/>
  <c r="W65" i="60"/>
  <c r="BV80" i="60"/>
  <c r="BV83" i="60" s="1"/>
  <c r="BV65" i="60"/>
  <c r="AG80" i="60"/>
  <c r="AG83" i="60" s="1"/>
  <c r="AG65" i="60"/>
  <c r="BR65" i="60"/>
  <c r="BR80" i="60"/>
  <c r="BR87" i="60" s="1"/>
  <c r="AF80" i="60"/>
  <c r="AF65" i="60"/>
  <c r="P65" i="60"/>
  <c r="P80" i="60"/>
  <c r="P87" i="60" s="1"/>
  <c r="BT80" i="60"/>
  <c r="BT65" i="60"/>
  <c r="BQ65" i="60"/>
  <c r="BQ80" i="60"/>
  <c r="BQ87" i="60" s="1"/>
  <c r="BS80" i="60"/>
  <c r="BS65" i="60"/>
  <c r="X80" i="60"/>
  <c r="X65" i="60"/>
  <c r="BJ65" i="60"/>
  <c r="BJ80" i="60"/>
  <c r="BJ87" i="60" s="1"/>
  <c r="AN80" i="60"/>
  <c r="AN87" i="60" s="1"/>
  <c r="AN65" i="60"/>
  <c r="AL65" i="60"/>
  <c r="AL80" i="60"/>
  <c r="AL87" i="60" s="1"/>
  <c r="AK80" i="60"/>
  <c r="AK87" i="60" s="1"/>
  <c r="AK65" i="60"/>
  <c r="R80" i="60"/>
  <c r="R65" i="60"/>
  <c r="AI65" i="60"/>
  <c r="AI80" i="60"/>
  <c r="AI87" i="60" s="1"/>
  <c r="BI80" i="60"/>
  <c r="BI65" i="60"/>
  <c r="U80" i="60"/>
  <c r="U83" i="60" s="1"/>
  <c r="U65" i="60"/>
  <c r="V80" i="60"/>
  <c r="V65" i="60"/>
  <c r="BW80" i="60"/>
  <c r="BW87" i="60" s="1"/>
  <c r="BW65" i="60"/>
  <c r="Q80" i="60"/>
  <c r="Q87" i="60" s="1"/>
  <c r="Q65" i="60"/>
  <c r="BX65" i="60"/>
  <c r="BX80" i="60"/>
  <c r="BX83" i="60" s="1"/>
  <c r="BK80" i="60"/>
  <c r="BK65" i="60"/>
  <c r="AC65" i="60"/>
  <c r="AC80" i="60"/>
  <c r="AC87" i="60" s="1"/>
  <c r="BO65" i="60"/>
  <c r="BO80" i="60"/>
  <c r="BP80" i="60"/>
  <c r="BP65" i="60"/>
  <c r="X83" i="60"/>
  <c r="BT83" i="60"/>
  <c r="BI83" i="60"/>
  <c r="AF83" i="60"/>
  <c r="AE83" i="60"/>
  <c r="BS83" i="60"/>
  <c r="BO83" i="60"/>
  <c r="I80" i="60"/>
  <c r="I87" i="60" s="1"/>
  <c r="I65" i="60"/>
  <c r="AM83" i="60"/>
  <c r="AJ83" i="60"/>
  <c r="BU83" i="60"/>
  <c r="J85" i="60"/>
  <c r="S94" i="60"/>
  <c r="Z94" i="60"/>
  <c r="AA94" i="60"/>
  <c r="R94" i="60"/>
  <c r="W94" i="60"/>
  <c r="AD94" i="60"/>
  <c r="N94" i="60"/>
  <c r="O94" i="60"/>
  <c r="V94" i="60"/>
  <c r="K94" i="60"/>
  <c r="BI110" i="60"/>
  <c r="BH110" i="60"/>
  <c r="AZ110" i="60"/>
  <c r="R110" i="60"/>
  <c r="BT110" i="60"/>
  <c r="M110" i="60"/>
  <c r="O110" i="60"/>
  <c r="V110" i="60"/>
  <c r="Q110" i="60"/>
  <c r="AC110" i="60"/>
  <c r="W110" i="60"/>
  <c r="AD110" i="60"/>
  <c r="AJ110" i="60"/>
  <c r="P110" i="60"/>
  <c r="AY110" i="60"/>
  <c r="BF110" i="60"/>
  <c r="BX110" i="60"/>
  <c r="AF110" i="60"/>
  <c r="BG110" i="60"/>
  <c r="BN110" i="60"/>
  <c r="AB110" i="60"/>
  <c r="AN110" i="60"/>
  <c r="BK110" i="60"/>
  <c r="BR110" i="60"/>
  <c r="T110" i="60"/>
  <c r="AI94" i="60"/>
  <c r="AH94" i="60"/>
  <c r="AW110" i="60"/>
  <c r="AT110" i="60"/>
  <c r="BO110" i="60"/>
  <c r="BV110" i="60"/>
  <c r="BW110" i="60"/>
  <c r="K110" i="60"/>
  <c r="K38" i="60"/>
  <c r="AR110" i="60"/>
  <c r="BD110" i="60"/>
  <c r="BS110" i="60"/>
  <c r="BZ110" i="60"/>
  <c r="N110" i="60"/>
  <c r="BU110" i="60"/>
  <c r="BA110" i="60"/>
  <c r="AI110" i="60"/>
  <c r="AP110" i="60"/>
  <c r="BE110" i="60"/>
  <c r="BQ110" i="60"/>
  <c r="AQ110" i="60"/>
  <c r="AX110" i="60"/>
  <c r="BM110" i="60"/>
  <c r="BY110" i="60"/>
  <c r="AU110" i="60"/>
  <c r="BB110" i="60"/>
  <c r="AM94" i="60"/>
  <c r="AE94" i="60"/>
  <c r="AL94" i="60"/>
  <c r="AM110" i="60"/>
  <c r="AV110" i="60"/>
  <c r="BL110" i="60"/>
  <c r="AJ94" i="60"/>
  <c r="P94" i="60"/>
  <c r="U94" i="60"/>
  <c r="AK94" i="60"/>
  <c r="L94" i="60"/>
  <c r="Q94" i="60"/>
  <c r="X94" i="60"/>
  <c r="AC94" i="60"/>
  <c r="AB94" i="60"/>
  <c r="AG94" i="60"/>
  <c r="M94" i="60"/>
  <c r="T94" i="60"/>
  <c r="Y94" i="60"/>
  <c r="AF94" i="60"/>
  <c r="L110" i="60"/>
  <c r="BC110" i="60"/>
  <c r="BJ110" i="60"/>
  <c r="BP110" i="60"/>
  <c r="AO110" i="60"/>
  <c r="U110" i="60"/>
  <c r="S110" i="60"/>
  <c r="Z110" i="60"/>
  <c r="AK110" i="60"/>
  <c r="AA110" i="60"/>
  <c r="AH110" i="60"/>
  <c r="AG110" i="60"/>
  <c r="AS110" i="60"/>
  <c r="AE110" i="60"/>
  <c r="AL110" i="60"/>
  <c r="K58" i="60"/>
  <c r="BI20" i="60"/>
  <c r="BI21" i="60"/>
  <c r="BS20" i="60"/>
  <c r="BS21" i="60"/>
  <c r="BT21" i="60"/>
  <c r="BT20" i="60"/>
  <c r="BL20" i="60"/>
  <c r="BL21" i="60"/>
  <c r="BM21" i="60"/>
  <c r="BM20" i="60"/>
  <c r="BR20" i="60"/>
  <c r="BR21" i="60"/>
  <c r="BP21" i="60"/>
  <c r="BP20" i="60"/>
  <c r="BH20" i="60"/>
  <c r="BH21" i="60"/>
  <c r="BJ21" i="60"/>
  <c r="BJ20" i="60"/>
  <c r="BU20" i="60"/>
  <c r="BU21" i="60"/>
  <c r="BX20" i="60"/>
  <c r="BX21" i="60"/>
  <c r="BO21" i="60"/>
  <c r="BO20" i="60"/>
  <c r="BV21" i="60"/>
  <c r="BV20" i="60"/>
  <c r="BK21" i="60"/>
  <c r="BK20" i="60"/>
  <c r="BQ20" i="60"/>
  <c r="BQ21" i="60"/>
  <c r="BW20" i="60"/>
  <c r="BW21" i="60"/>
  <c r="BN20" i="60"/>
  <c r="BN21" i="60"/>
  <c r="BG20" i="60"/>
  <c r="BG21" i="60"/>
  <c r="BZ21" i="60"/>
  <c r="BZ20" i="60"/>
  <c r="BY20" i="60"/>
  <c r="BY21" i="60"/>
  <c r="BK86" i="60" l="1"/>
  <c r="BK87" i="60"/>
  <c r="V86" i="60"/>
  <c r="V87" i="60"/>
  <c r="R86" i="60"/>
  <c r="R87" i="60"/>
  <c r="BT86" i="60"/>
  <c r="BT87" i="60"/>
  <c r="AG86" i="60"/>
  <c r="AG87" i="60"/>
  <c r="BN86" i="60"/>
  <c r="BN87" i="60"/>
  <c r="BX86" i="60"/>
  <c r="BX87" i="60"/>
  <c r="BP86" i="60"/>
  <c r="BP87" i="60"/>
  <c r="U86" i="60"/>
  <c r="U87" i="60"/>
  <c r="X86" i="60"/>
  <c r="X87" i="60"/>
  <c r="BV86" i="60"/>
  <c r="BV87" i="60"/>
  <c r="BL86" i="60"/>
  <c r="BL87" i="60"/>
  <c r="BU86" i="60"/>
  <c r="BU87" i="60"/>
  <c r="BO86" i="60"/>
  <c r="BO87" i="60"/>
  <c r="BI86" i="60"/>
  <c r="BI87" i="60"/>
  <c r="BS86" i="60"/>
  <c r="BS87" i="60"/>
  <c r="AF86" i="60"/>
  <c r="AF87" i="60"/>
  <c r="AE86" i="60"/>
  <c r="AE87" i="60"/>
  <c r="AM86" i="60"/>
  <c r="AM87" i="60"/>
  <c r="AJ86" i="60"/>
  <c r="AJ87" i="60"/>
  <c r="P83" i="60"/>
  <c r="P86" i="60"/>
  <c r="I83" i="60"/>
  <c r="I86" i="60"/>
  <c r="AK83" i="60"/>
  <c r="AK86" i="60"/>
  <c r="BP83" i="60"/>
  <c r="AL83" i="60"/>
  <c r="AL86" i="60"/>
  <c r="Q83" i="60"/>
  <c r="Q86" i="60"/>
  <c r="W83" i="60"/>
  <c r="W86" i="60"/>
  <c r="S83" i="60"/>
  <c r="S86" i="60"/>
  <c r="BK83" i="60"/>
  <c r="V83" i="60"/>
  <c r="R83" i="60"/>
  <c r="AC83" i="60"/>
  <c r="AC86" i="60"/>
  <c r="AI83" i="60"/>
  <c r="AI86" i="60"/>
  <c r="BQ83" i="60"/>
  <c r="BQ86" i="60"/>
  <c r="BR83" i="60"/>
  <c r="BR86" i="60"/>
  <c r="BJ83" i="60"/>
  <c r="BJ86" i="60"/>
  <c r="BW83" i="60"/>
  <c r="BW86" i="60"/>
  <c r="AN83" i="60"/>
  <c r="AN86" i="60"/>
  <c r="BM83" i="60"/>
  <c r="BM86" i="60"/>
  <c r="BS85" i="60"/>
  <c r="Q85" i="60"/>
  <c r="I85" i="60"/>
  <c r="R85" i="60"/>
  <c r="AN85" i="60"/>
  <c r="BQ85" i="60"/>
  <c r="AC85" i="60"/>
  <c r="BT85" i="60"/>
  <c r="W85" i="60"/>
  <c r="X85" i="60"/>
  <c r="AJ85" i="60"/>
  <c r="AL85" i="60"/>
  <c r="BM85" i="60"/>
  <c r="BI85" i="60"/>
  <c r="P85" i="60"/>
  <c r="AM85" i="60"/>
  <c r="V85" i="60"/>
  <c r="BJ85" i="60"/>
  <c r="BL85" i="60"/>
  <c r="BW85" i="60"/>
  <c r="BN85" i="60"/>
  <c r="S85" i="60"/>
  <c r="AI85" i="60"/>
  <c r="BP85" i="60"/>
  <c r="BK85" i="60"/>
  <c r="AE85" i="60"/>
  <c r="BR85" i="60"/>
  <c r="BU85" i="60"/>
  <c r="AK85" i="60"/>
  <c r="AF85" i="60"/>
  <c r="AG85" i="60"/>
  <c r="BV85" i="60"/>
  <c r="BX85" i="60"/>
  <c r="BO85" i="60"/>
  <c r="U85" i="60"/>
  <c r="I67" i="59"/>
  <c r="H67" i="59"/>
  <c r="M360" i="59"/>
  <c r="Y110" i="60"/>
  <c r="X110" i="60"/>
  <c r="F149" i="52"/>
  <c r="C149" i="52" s="1"/>
  <c r="E498" i="59" l="1"/>
  <c r="E497" i="59"/>
  <c r="I9" i="60"/>
  <c r="V9" i="60"/>
  <c r="CX9" i="60"/>
  <c r="CF9" i="60"/>
  <c r="CM9" i="60"/>
  <c r="DC9" i="60"/>
  <c r="BR9" i="60"/>
  <c r="DA9" i="60"/>
  <c r="AB9" i="60"/>
  <c r="BA9" i="60"/>
  <c r="AW9" i="60"/>
  <c r="CN9" i="60"/>
  <c r="AJ9" i="60"/>
  <c r="DM9" i="60"/>
  <c r="BY9" i="60"/>
  <c r="N9" i="60"/>
  <c r="BE9" i="60"/>
  <c r="AN9" i="60"/>
  <c r="DI9" i="60"/>
  <c r="L9" i="60"/>
  <c r="CD9" i="60"/>
  <c r="BH9" i="60"/>
  <c r="AG9" i="60"/>
  <c r="O9" i="60"/>
  <c r="CU9" i="60"/>
  <c r="AV9" i="60"/>
  <c r="BJ9" i="60"/>
  <c r="BQ9" i="60"/>
  <c r="BC9" i="60"/>
  <c r="AR9" i="60"/>
  <c r="BX9" i="60"/>
  <c r="AI9" i="60"/>
  <c r="J9" i="60"/>
  <c r="AE9" i="60"/>
  <c r="Q9" i="60"/>
  <c r="CL9" i="60"/>
  <c r="CK9" i="60"/>
  <c r="P9" i="60"/>
  <c r="CI9" i="60"/>
  <c r="CG9" i="60"/>
  <c r="CQ9" i="60"/>
  <c r="U9" i="60"/>
  <c r="BW9" i="60"/>
  <c r="DE9" i="60"/>
  <c r="AH9" i="60"/>
  <c r="AU9" i="60"/>
  <c r="CR9" i="60"/>
  <c r="CJ9" i="60"/>
  <c r="R9" i="60"/>
  <c r="BT9" i="60"/>
  <c r="AY9" i="60"/>
  <c r="CP9" i="60"/>
  <c r="CB9" i="60"/>
  <c r="AM9" i="60"/>
  <c r="AO9" i="60"/>
  <c r="AL9" i="60"/>
  <c r="AC9" i="60"/>
  <c r="CW9" i="60"/>
  <c r="AA9" i="60"/>
  <c r="AK9" i="60"/>
  <c r="AX9" i="60"/>
  <c r="BK9" i="60"/>
  <c r="DF9" i="60"/>
  <c r="AT9" i="60"/>
  <c r="BM9" i="60"/>
  <c r="DK9" i="60"/>
  <c r="Z9" i="60"/>
  <c r="BD9" i="60"/>
  <c r="DL9" i="60"/>
  <c r="DG9" i="60"/>
  <c r="CE9" i="60"/>
  <c r="DJ9" i="60"/>
  <c r="BU9" i="60"/>
  <c r="BZ9" i="60"/>
  <c r="CZ9" i="60"/>
  <c r="AQ9" i="60"/>
  <c r="CH9" i="60"/>
  <c r="CS9" i="60"/>
  <c r="DH9" i="60"/>
  <c r="AZ9" i="60"/>
  <c r="AD9" i="60"/>
  <c r="BS9" i="60"/>
  <c r="DN9" i="60"/>
  <c r="CO9" i="60"/>
  <c r="T9" i="60"/>
  <c r="X9" i="60"/>
  <c r="BP9" i="60"/>
  <c r="BI9" i="60"/>
  <c r="CV9" i="60"/>
  <c r="BF9" i="60"/>
  <c r="BV9" i="60"/>
  <c r="BG9" i="60"/>
  <c r="AP9" i="60"/>
  <c r="BL9" i="60"/>
  <c r="W9" i="60"/>
  <c r="BN9" i="60"/>
  <c r="K9" i="60"/>
  <c r="DD9" i="60"/>
  <c r="Y9" i="60"/>
  <c r="AS9" i="60"/>
  <c r="CC9" i="60"/>
  <c r="CY9" i="60"/>
  <c r="BB9" i="60"/>
  <c r="CT9" i="60"/>
  <c r="DB9" i="60"/>
  <c r="S9" i="60"/>
  <c r="CA9" i="60"/>
  <c r="M9" i="60"/>
  <c r="AF9" i="60"/>
  <c r="BO9" i="60"/>
  <c r="N554" i="52"/>
  <c r="M554" i="52"/>
  <c r="M562" i="52"/>
  <c r="M536" i="52"/>
  <c r="M568" i="52"/>
  <c r="N536" i="52"/>
  <c r="M553" i="52"/>
  <c r="M540" i="52"/>
  <c r="M559" i="52"/>
  <c r="N568" i="52"/>
  <c r="N549" i="52"/>
  <c r="N570" i="52"/>
  <c r="N553" i="52"/>
  <c r="M535" i="52"/>
  <c r="N540" i="52"/>
  <c r="N559" i="52"/>
  <c r="M570" i="52"/>
  <c r="M565" i="52"/>
  <c r="N535" i="52"/>
  <c r="M574" i="52"/>
  <c r="N546" i="52"/>
  <c r="M592" i="52"/>
  <c r="N550" i="52"/>
  <c r="N565" i="52"/>
  <c r="N574" i="52"/>
  <c r="M546" i="52"/>
  <c r="N592" i="52"/>
  <c r="N580" i="52"/>
  <c r="N562" i="52"/>
  <c r="M580" i="52"/>
  <c r="M549" i="52"/>
  <c r="M550" i="52"/>
  <c r="M577" i="52"/>
  <c r="M572" i="52"/>
  <c r="M551" i="52"/>
  <c r="M552" i="52"/>
  <c r="M557" i="52"/>
  <c r="N555" i="52"/>
  <c r="M564" i="52"/>
  <c r="M542" i="52"/>
  <c r="N563" i="52"/>
  <c r="M569" i="52"/>
  <c r="M585" i="52"/>
  <c r="N586" i="52"/>
  <c r="M563" i="52"/>
  <c r="N585" i="52"/>
  <c r="M586" i="52"/>
  <c r="M575" i="52"/>
  <c r="N545" i="52"/>
  <c r="N532" i="52"/>
  <c r="N577" i="52"/>
  <c r="N572" i="52"/>
  <c r="N551" i="52"/>
  <c r="N552" i="52"/>
  <c r="N557" i="52"/>
  <c r="M555" i="52"/>
  <c r="N564" i="52"/>
  <c r="N542" i="52"/>
  <c r="N569" i="52"/>
  <c r="M532" i="52"/>
  <c r="N581" i="52"/>
  <c r="N575" i="52"/>
  <c r="M561" i="52"/>
  <c r="N578" i="52"/>
  <c r="N547" i="52"/>
  <c r="M556" i="52"/>
  <c r="M589" i="52"/>
  <c r="M567" i="52"/>
  <c r="M582" i="52"/>
  <c r="N571" i="52"/>
  <c r="M583" i="52"/>
  <c r="M533" i="52"/>
  <c r="M544" i="52"/>
  <c r="N533" i="52"/>
  <c r="N544" i="52"/>
  <c r="M541" i="52"/>
  <c r="N591" i="52"/>
  <c r="N584" i="52"/>
  <c r="N561" i="52"/>
  <c r="M578" i="52"/>
  <c r="M547" i="52"/>
  <c r="N556" i="52"/>
  <c r="N589" i="52"/>
  <c r="N567" i="52"/>
  <c r="N582" i="52"/>
  <c r="M571" i="52"/>
  <c r="N583" i="52"/>
  <c r="M584" i="52"/>
  <c r="N588" i="52"/>
  <c r="N541" i="52"/>
  <c r="N587" i="52"/>
  <c r="M558" i="52"/>
  <c r="N579" i="52"/>
  <c r="M576" i="52"/>
  <c r="N538" i="52"/>
  <c r="M543" i="52"/>
  <c r="M537" i="52"/>
  <c r="M566" i="52"/>
  <c r="M560" i="52"/>
  <c r="N539" i="52"/>
  <c r="M534" i="52"/>
  <c r="N560" i="52"/>
  <c r="N534" i="52"/>
  <c r="M545" i="52"/>
  <c r="N573" i="52"/>
  <c r="M587" i="52"/>
  <c r="N558" i="52"/>
  <c r="M579" i="52"/>
  <c r="N576" i="52"/>
  <c r="M538" i="52"/>
  <c r="N543" i="52"/>
  <c r="N537" i="52"/>
  <c r="N566" i="52"/>
  <c r="M539" i="52"/>
  <c r="M590" i="52"/>
  <c r="N548" i="52"/>
  <c r="N590" i="52"/>
  <c r="M573" i="52"/>
  <c r="M581" i="52"/>
  <c r="M548" i="52"/>
  <c r="M591" i="52"/>
  <c r="M588" i="52"/>
  <c r="AA360" i="59"/>
  <c r="AD360" i="59"/>
  <c r="Y360" i="59"/>
  <c r="N286" i="52"/>
  <c r="N280" i="52"/>
  <c r="E486" i="59"/>
  <c r="E485" i="59"/>
  <c r="E494" i="59"/>
  <c r="F330" i="59"/>
  <c r="G330" i="59"/>
  <c r="I86" i="59"/>
  <c r="H105" i="59"/>
  <c r="H96" i="59"/>
  <c r="H97" i="59"/>
  <c r="H92" i="59"/>
  <c r="H73" i="59"/>
  <c r="H71" i="59"/>
  <c r="H77" i="59"/>
  <c r="H114" i="59"/>
  <c r="H106" i="59"/>
  <c r="H99" i="59"/>
  <c r="H108" i="59"/>
  <c r="I100" i="59"/>
  <c r="I76" i="59"/>
  <c r="I95" i="59"/>
  <c r="I75" i="59"/>
  <c r="I101" i="59"/>
  <c r="I116" i="59"/>
  <c r="I98" i="59"/>
  <c r="I74" i="59"/>
  <c r="I107" i="59"/>
  <c r="I70" i="59"/>
  <c r="I118" i="59"/>
  <c r="I103" i="59"/>
  <c r="I93" i="59"/>
  <c r="I88" i="59"/>
  <c r="I117" i="59"/>
  <c r="I113" i="59"/>
  <c r="I89" i="59"/>
  <c r="H88" i="59"/>
  <c r="H117" i="59"/>
  <c r="I82" i="59"/>
  <c r="I83" i="59"/>
  <c r="I79" i="59"/>
  <c r="I81" i="59"/>
  <c r="H85" i="59"/>
  <c r="I80" i="59"/>
  <c r="AF360" i="59"/>
  <c r="AE360" i="59"/>
  <c r="I68" i="59"/>
  <c r="I111" i="59"/>
  <c r="I102" i="59"/>
  <c r="I110" i="59"/>
  <c r="I85" i="59"/>
  <c r="H86" i="59"/>
  <c r="H116" i="59"/>
  <c r="H98" i="59"/>
  <c r="H95" i="59"/>
  <c r="H90" i="59"/>
  <c r="H69" i="59"/>
  <c r="H72" i="59"/>
  <c r="H115" i="59"/>
  <c r="H82" i="59"/>
  <c r="H102" i="59"/>
  <c r="H91" i="59"/>
  <c r="H80" i="59"/>
  <c r="H84" i="59"/>
  <c r="I105" i="59"/>
  <c r="I96" i="59"/>
  <c r="I97" i="59"/>
  <c r="I92" i="59"/>
  <c r="I73" i="59"/>
  <c r="I71" i="59"/>
  <c r="I77" i="59"/>
  <c r="I114" i="59"/>
  <c r="I106" i="59"/>
  <c r="I99" i="59"/>
  <c r="I108" i="59"/>
  <c r="E67" i="59"/>
  <c r="G319" i="59"/>
  <c r="G329" i="59"/>
  <c r="F323" i="59"/>
  <c r="G331" i="59"/>
  <c r="F326" i="59"/>
  <c r="F328" i="59"/>
  <c r="G321" i="59"/>
  <c r="F319" i="59"/>
  <c r="F329" i="59"/>
  <c r="G322" i="59"/>
  <c r="F331" i="59"/>
  <c r="F322" i="59"/>
  <c r="G323" i="59"/>
  <c r="G326" i="59"/>
  <c r="G328" i="59"/>
  <c r="I104" i="59"/>
  <c r="I109" i="59"/>
  <c r="H113" i="59"/>
  <c r="H104" i="59"/>
  <c r="H83" i="59"/>
  <c r="H75" i="59"/>
  <c r="H109" i="59"/>
  <c r="H100" i="59"/>
  <c r="H101" i="59"/>
  <c r="H79" i="59"/>
  <c r="H89" i="59"/>
  <c r="H81" i="59"/>
  <c r="H76" i="59"/>
  <c r="H74" i="59"/>
  <c r="H107" i="59"/>
  <c r="H70" i="59"/>
  <c r="H118" i="59"/>
  <c r="H103" i="59"/>
  <c r="H93" i="59"/>
  <c r="I90" i="59"/>
  <c r="I69" i="59"/>
  <c r="I72" i="59"/>
  <c r="I115" i="59"/>
  <c r="I78" i="59"/>
  <c r="I112" i="59"/>
  <c r="I91" i="59"/>
  <c r="I94" i="59"/>
  <c r="I87" i="59"/>
  <c r="I84" i="59"/>
  <c r="H68" i="59"/>
  <c r="H111" i="59"/>
  <c r="H78" i="59"/>
  <c r="H112" i="59"/>
  <c r="H94" i="59"/>
  <c r="H87" i="59"/>
  <c r="H110" i="59"/>
  <c r="Z360" i="59"/>
  <c r="T360" i="59"/>
  <c r="AB360" i="59"/>
  <c r="AC360" i="59"/>
  <c r="R360" i="59"/>
  <c r="Q360" i="59"/>
  <c r="X360" i="59"/>
  <c r="U360" i="59"/>
  <c r="V360" i="59"/>
  <c r="W360" i="59"/>
  <c r="S360" i="59"/>
  <c r="M280" i="52"/>
  <c r="M286" i="52"/>
  <c r="E330" i="59" l="1"/>
  <c r="H330" i="59" s="1"/>
  <c r="E536" i="59"/>
  <c r="E326" i="59"/>
  <c r="H326" i="59" s="1"/>
  <c r="E331" i="59"/>
  <c r="I331" i="59" s="1"/>
  <c r="E319" i="59"/>
  <c r="I319" i="59" s="1"/>
  <c r="E322" i="59"/>
  <c r="I322" i="59" s="1"/>
  <c r="E323" i="59"/>
  <c r="I323" i="59" s="1"/>
  <c r="E321" i="59"/>
  <c r="H321" i="59" s="1"/>
  <c r="E329" i="59"/>
  <c r="H329" i="59" s="1"/>
  <c r="E328" i="59"/>
  <c r="I328" i="59" s="1"/>
  <c r="E557" i="59" l="1"/>
  <c r="F536" i="59"/>
  <c r="H536" i="59" s="1"/>
  <c r="F535" i="59"/>
  <c r="F537" i="59"/>
  <c r="H537" i="59" s="1"/>
  <c r="K625" i="59"/>
  <c r="K633" i="59"/>
  <c r="K599" i="59"/>
  <c r="K662" i="59"/>
  <c r="K623" i="59"/>
  <c r="K668" i="59"/>
  <c r="K620" i="59"/>
  <c r="K651" i="59"/>
  <c r="K631" i="59"/>
  <c r="K663" i="59"/>
  <c r="K624" i="59"/>
  <c r="K570" i="59"/>
  <c r="K615" i="59"/>
  <c r="K602" i="59"/>
  <c r="K600" i="59"/>
  <c r="K606" i="59"/>
  <c r="K675" i="59"/>
  <c r="K640" i="59"/>
  <c r="K646" i="59"/>
  <c r="K658" i="59"/>
  <c r="K604" i="59"/>
  <c r="K676" i="59"/>
  <c r="K664" i="59"/>
  <c r="K601" i="59"/>
  <c r="K619" i="59"/>
  <c r="K650" i="59"/>
  <c r="K636" i="59"/>
  <c r="K667" i="59"/>
  <c r="K612" i="59"/>
  <c r="K628" i="59"/>
  <c r="K630" i="59"/>
  <c r="K603" i="59"/>
  <c r="K654" i="59"/>
  <c r="K652" i="59"/>
  <c r="K622" i="59"/>
  <c r="K610" i="59"/>
  <c r="K609" i="59"/>
  <c r="K666" i="59"/>
  <c r="K674" i="59"/>
  <c r="K659" i="59"/>
  <c r="K632" i="59"/>
  <c r="K607" i="59"/>
  <c r="K611" i="59"/>
  <c r="K641" i="59"/>
  <c r="K649" i="59"/>
  <c r="K644" i="59"/>
  <c r="K655" i="59"/>
  <c r="K627" i="59"/>
  <c r="K639" i="59"/>
  <c r="K614" i="59"/>
  <c r="K642" i="59"/>
  <c r="K647" i="59"/>
  <c r="K638" i="59"/>
  <c r="K671" i="59"/>
  <c r="K657" i="59"/>
  <c r="K643" i="59"/>
  <c r="K626" i="59"/>
  <c r="K621" i="59"/>
  <c r="K670" i="59"/>
  <c r="K635" i="59"/>
  <c r="K617" i="59"/>
  <c r="K660" i="59"/>
  <c r="K634" i="59"/>
  <c r="K673" i="59"/>
  <c r="K665" i="59"/>
  <c r="K653" i="59"/>
  <c r="K618" i="59"/>
  <c r="K648" i="59"/>
  <c r="K616" i="59"/>
  <c r="K629" i="59"/>
  <c r="K669" i="59"/>
  <c r="K672" i="59"/>
  <c r="K661" i="59"/>
  <c r="K608" i="59"/>
  <c r="K645" i="59"/>
  <c r="K605" i="59"/>
  <c r="K613" i="59"/>
  <c r="K637" i="59"/>
  <c r="K656" i="59"/>
  <c r="J601" i="59"/>
  <c r="J609" i="59"/>
  <c r="J617" i="59"/>
  <c r="J625" i="59"/>
  <c r="J633" i="59"/>
  <c r="J641" i="59"/>
  <c r="J649" i="59"/>
  <c r="J657" i="59"/>
  <c r="J665" i="59"/>
  <c r="J673" i="59"/>
  <c r="J604" i="59"/>
  <c r="J612" i="59"/>
  <c r="J620" i="59"/>
  <c r="J628" i="59"/>
  <c r="J636" i="59"/>
  <c r="J644" i="59"/>
  <c r="J652" i="59"/>
  <c r="J660" i="59"/>
  <c r="J668" i="59"/>
  <c r="J676" i="59"/>
  <c r="J599" i="59"/>
  <c r="J607" i="59"/>
  <c r="J615" i="59"/>
  <c r="J623" i="59"/>
  <c r="J631" i="59"/>
  <c r="J639" i="59"/>
  <c r="J647" i="59"/>
  <c r="J655" i="59"/>
  <c r="J663" i="59"/>
  <c r="J671" i="59"/>
  <c r="J602" i="59"/>
  <c r="J610" i="59"/>
  <c r="J618" i="59"/>
  <c r="J626" i="59"/>
  <c r="J634" i="59"/>
  <c r="J642" i="59"/>
  <c r="J650" i="59"/>
  <c r="J658" i="59"/>
  <c r="J666" i="59"/>
  <c r="J674" i="59"/>
  <c r="J605" i="59"/>
  <c r="J613" i="59"/>
  <c r="J621" i="59"/>
  <c r="J629" i="59"/>
  <c r="J637" i="59"/>
  <c r="J645" i="59"/>
  <c r="J653" i="59"/>
  <c r="J661" i="59"/>
  <c r="J669" i="59"/>
  <c r="J600" i="59"/>
  <c r="J608" i="59"/>
  <c r="J616" i="59"/>
  <c r="J624" i="59"/>
  <c r="J632" i="59"/>
  <c r="J640" i="59"/>
  <c r="J648" i="59"/>
  <c r="J656" i="59"/>
  <c r="J664" i="59"/>
  <c r="J672" i="59"/>
  <c r="J603" i="59"/>
  <c r="J611" i="59"/>
  <c r="J619" i="59"/>
  <c r="J627" i="59"/>
  <c r="J635" i="59"/>
  <c r="J643" i="59"/>
  <c r="J651" i="59"/>
  <c r="J659" i="59"/>
  <c r="J667" i="59"/>
  <c r="J675" i="59"/>
  <c r="J606" i="59"/>
  <c r="J614" i="59"/>
  <c r="J622" i="59"/>
  <c r="J630" i="59"/>
  <c r="J638" i="59"/>
  <c r="J646" i="59"/>
  <c r="J654" i="59"/>
  <c r="J662" i="59"/>
  <c r="J670" i="59"/>
  <c r="I330" i="59"/>
  <c r="J330" i="59" s="1"/>
  <c r="H331" i="59"/>
  <c r="J331" i="59" s="1"/>
  <c r="J596" i="59"/>
  <c r="J598" i="59"/>
  <c r="J597" i="59"/>
  <c r="K598" i="59"/>
  <c r="I321" i="59"/>
  <c r="J321" i="59" s="1"/>
  <c r="K597" i="59"/>
  <c r="K596" i="59"/>
  <c r="H319" i="59"/>
  <c r="J319" i="59" s="1"/>
  <c r="I326" i="59"/>
  <c r="J326" i="59" s="1"/>
  <c r="J320" i="59"/>
  <c r="I329" i="59"/>
  <c r="J329" i="59" s="1"/>
  <c r="H322" i="59"/>
  <c r="J322" i="59" s="1"/>
  <c r="H323" i="59"/>
  <c r="J323" i="59" s="1"/>
  <c r="H328" i="59"/>
  <c r="J328" i="59" s="1"/>
  <c r="H535" i="59" l="1"/>
  <c r="F538" i="59"/>
  <c r="F52" i="59"/>
  <c r="G52" i="59"/>
  <c r="J52" i="59" l="1"/>
  <c r="G780" i="59"/>
  <c r="G781" i="59"/>
  <c r="G782" i="59"/>
  <c r="I63" i="58" l="1"/>
  <c r="CH67" i="60" l="1"/>
  <c r="CZ67" i="60"/>
  <c r="CP67" i="60"/>
  <c r="CO67" i="60"/>
  <c r="CQ67" i="60"/>
  <c r="CL67" i="60"/>
  <c r="CR67" i="60"/>
  <c r="CX67" i="60"/>
  <c r="CN67" i="60"/>
  <c r="CM67" i="60"/>
  <c r="CI67" i="60"/>
  <c r="CV67" i="60"/>
  <c r="CT67" i="60"/>
  <c r="CY67" i="60"/>
  <c r="DA67" i="60"/>
  <c r="CW67" i="60"/>
  <c r="CS67" i="60"/>
  <c r="CU67" i="60"/>
  <c r="CK67" i="60"/>
  <c r="CJ67" i="60"/>
  <c r="CG67" i="60"/>
  <c r="CE67" i="60"/>
  <c r="CD67" i="60"/>
  <c r="CF67" i="60"/>
  <c r="CB67" i="60"/>
  <c r="CA67" i="60"/>
  <c r="CC67" i="60"/>
  <c r="M67" i="60"/>
  <c r="AZ67" i="60"/>
  <c r="BF67" i="60"/>
  <c r="AT67" i="60"/>
  <c r="N67" i="60"/>
  <c r="AV67" i="60"/>
  <c r="BC67" i="60"/>
  <c r="AW67" i="60"/>
  <c r="BB67" i="60"/>
  <c r="Z67" i="60"/>
  <c r="Z80" i="60" s="1"/>
  <c r="Z87" i="60" s="1"/>
  <c r="AB67" i="60"/>
  <c r="AO67" i="60"/>
  <c r="AH67" i="60"/>
  <c r="BY67" i="60"/>
  <c r="BZ67" i="60"/>
  <c r="AU67" i="60"/>
  <c r="AX67" i="60"/>
  <c r="K67" i="60"/>
  <c r="AY67" i="60"/>
  <c r="AS67" i="60"/>
  <c r="L67" i="60"/>
  <c r="Y67" i="60"/>
  <c r="Y80" i="60" s="1"/>
  <c r="Y87" i="60" s="1"/>
  <c r="BE67" i="60"/>
  <c r="AR67" i="60"/>
  <c r="AD67" i="60"/>
  <c r="O67" i="60"/>
  <c r="BG67" i="60"/>
  <c r="AA67" i="60"/>
  <c r="AA80" i="60" s="1"/>
  <c r="AA87" i="60" s="1"/>
  <c r="BD67" i="60"/>
  <c r="BA67" i="60"/>
  <c r="BH67" i="60"/>
  <c r="AP67" i="60"/>
  <c r="AQ67" i="60"/>
  <c r="K716" i="59"/>
  <c r="K718" i="59"/>
  <c r="K720" i="59"/>
  <c r="K721" i="59"/>
  <c r="K722" i="59"/>
  <c r="K714" i="59"/>
  <c r="L714" i="59" s="1"/>
  <c r="N714" i="59" s="1"/>
  <c r="CF80" i="60" l="1"/>
  <c r="CF87" i="60" s="1"/>
  <c r="CW80" i="60"/>
  <c r="CW87" i="60" s="1"/>
  <c r="CX80" i="60"/>
  <c r="CX87" i="60" s="1"/>
  <c r="CD80" i="60"/>
  <c r="CD87" i="60" s="1"/>
  <c r="DA80" i="60"/>
  <c r="DA87" i="60" s="1"/>
  <c r="CR80" i="60"/>
  <c r="CR87" i="60" s="1"/>
  <c r="CY80" i="60"/>
  <c r="CY87" i="60" s="1"/>
  <c r="CL80" i="60"/>
  <c r="CL87" i="60" s="1"/>
  <c r="CG80" i="60"/>
  <c r="CG87" i="60" s="1"/>
  <c r="CT80" i="60"/>
  <c r="CT87" i="60" s="1"/>
  <c r="CQ80" i="60"/>
  <c r="CQ87" i="60" s="1"/>
  <c r="CE80" i="60"/>
  <c r="CE87" i="60" s="1"/>
  <c r="CJ80" i="60"/>
  <c r="CJ87" i="60" s="1"/>
  <c r="CV80" i="60"/>
  <c r="CV87" i="60" s="1"/>
  <c r="CO80" i="60"/>
  <c r="CO87" i="60" s="1"/>
  <c r="CC80" i="60"/>
  <c r="CC87" i="60" s="1"/>
  <c r="CK80" i="60"/>
  <c r="CK87" i="60" s="1"/>
  <c r="CI80" i="60"/>
  <c r="CI87" i="60" s="1"/>
  <c r="CP80" i="60"/>
  <c r="CP87" i="60" s="1"/>
  <c r="BZ80" i="60"/>
  <c r="BZ87" i="60" s="1"/>
  <c r="CA80" i="60"/>
  <c r="CA87" i="60" s="1"/>
  <c r="CU80" i="60"/>
  <c r="CU87" i="60" s="1"/>
  <c r="CM80" i="60"/>
  <c r="CM87" i="60" s="1"/>
  <c r="CZ80" i="60"/>
  <c r="CZ87" i="60" s="1"/>
  <c r="BY80" i="60"/>
  <c r="BY87" i="60" s="1"/>
  <c r="CB80" i="60"/>
  <c r="CB87" i="60" s="1"/>
  <c r="CS80" i="60"/>
  <c r="CS87" i="60" s="1"/>
  <c r="CN80" i="60"/>
  <c r="CN87" i="60" s="1"/>
  <c r="CH80" i="60"/>
  <c r="CH87" i="60" s="1"/>
  <c r="AH80" i="60"/>
  <c r="AH87" i="60" s="1"/>
  <c r="AH65" i="60"/>
  <c r="AH85" i="60"/>
  <c r="AS80" i="60"/>
  <c r="AS65" i="60"/>
  <c r="CR65" i="60"/>
  <c r="BG65" i="60"/>
  <c r="BG80" i="60"/>
  <c r="AY65" i="60"/>
  <c r="AY80" i="60"/>
  <c r="AY87" i="60" s="1"/>
  <c r="AB65" i="60"/>
  <c r="AB80" i="60"/>
  <c r="AB87" i="60" s="1"/>
  <c r="BF80" i="60"/>
  <c r="BF87" i="60" s="1"/>
  <c r="BF65" i="60"/>
  <c r="CE65" i="60"/>
  <c r="CY65" i="60"/>
  <c r="CL65" i="60"/>
  <c r="O65" i="60"/>
  <c r="O80" i="60"/>
  <c r="O87" i="60" s="1"/>
  <c r="K80" i="60"/>
  <c r="K87" i="60" s="1"/>
  <c r="K65" i="60"/>
  <c r="Z65" i="60"/>
  <c r="AZ65" i="60"/>
  <c r="AZ80" i="60"/>
  <c r="AZ87" i="60" s="1"/>
  <c r="CG65" i="60"/>
  <c r="CT65" i="60"/>
  <c r="CQ65" i="60"/>
  <c r="L80" i="60"/>
  <c r="L65" i="60"/>
  <c r="CW65" i="60"/>
  <c r="CW85" i="60"/>
  <c r="DA65" i="60"/>
  <c r="AD65" i="60"/>
  <c r="AD80" i="60"/>
  <c r="AD87" i="60" s="1"/>
  <c r="AX80" i="60"/>
  <c r="AX87" i="60" s="1"/>
  <c r="AX65" i="60"/>
  <c r="BB80" i="60"/>
  <c r="BB87" i="60" s="1"/>
  <c r="BB65" i="60"/>
  <c r="M65" i="60"/>
  <c r="M80" i="60"/>
  <c r="CJ65" i="60"/>
  <c r="CV65" i="60"/>
  <c r="CO65" i="60"/>
  <c r="CX65" i="60"/>
  <c r="CD65" i="60"/>
  <c r="AP80" i="60"/>
  <c r="AP87" i="60" s="1"/>
  <c r="AP65" i="60"/>
  <c r="AR65" i="60"/>
  <c r="AR80" i="60"/>
  <c r="AR87" i="60" s="1"/>
  <c r="AU80" i="60"/>
  <c r="AU87" i="60" s="1"/>
  <c r="AU65" i="60"/>
  <c r="AW80" i="60"/>
  <c r="AW87" i="60" s="1"/>
  <c r="AW65" i="60"/>
  <c r="CC65" i="60"/>
  <c r="CK65" i="60"/>
  <c r="CI65" i="60"/>
  <c r="CP65" i="60"/>
  <c r="BD80" i="60"/>
  <c r="BD87" i="60" s="1"/>
  <c r="BD65" i="60"/>
  <c r="CF65" i="60"/>
  <c r="AO80" i="60"/>
  <c r="AO87" i="60" s="1"/>
  <c r="AO65" i="60"/>
  <c r="AQ80" i="60"/>
  <c r="AQ87" i="60" s="1"/>
  <c r="AQ65" i="60"/>
  <c r="BH65" i="60"/>
  <c r="BH80" i="60"/>
  <c r="BH87" i="60" s="1"/>
  <c r="BE65" i="60"/>
  <c r="BE80" i="60"/>
  <c r="BE87" i="60" s="1"/>
  <c r="BZ65" i="60"/>
  <c r="BC80" i="60"/>
  <c r="BC87" i="60" s="1"/>
  <c r="BC65" i="60"/>
  <c r="CA65" i="60"/>
  <c r="CU65" i="60"/>
  <c r="CM65" i="60"/>
  <c r="CZ65" i="60"/>
  <c r="N65" i="60"/>
  <c r="N80" i="60"/>
  <c r="N87" i="60" s="1"/>
  <c r="AA65" i="60"/>
  <c r="AT65" i="60"/>
  <c r="AT80" i="60"/>
  <c r="AT87" i="60" s="1"/>
  <c r="BA65" i="60"/>
  <c r="BA80" i="60"/>
  <c r="BA87" i="60" s="1"/>
  <c r="Y65" i="60"/>
  <c r="Y86" i="60"/>
  <c r="BY65" i="60"/>
  <c r="AV65" i="60"/>
  <c r="AV80" i="60"/>
  <c r="AV87" i="60" s="1"/>
  <c r="CB65" i="60"/>
  <c r="CS65" i="60"/>
  <c r="CN65" i="60"/>
  <c r="CH65" i="60"/>
  <c r="O714" i="59"/>
  <c r="L716" i="59"/>
  <c r="N716" i="59" s="1"/>
  <c r="N85" i="60" l="1"/>
  <c r="AT85" i="60"/>
  <c r="AO85" i="60"/>
  <c r="BE85" i="60"/>
  <c r="BB85" i="60"/>
  <c r="M85" i="60"/>
  <c r="M87" i="60"/>
  <c r="AS85" i="60"/>
  <c r="AS87" i="60"/>
  <c r="AY85" i="60"/>
  <c r="CE85" i="60"/>
  <c r="BF85" i="60"/>
  <c r="BG85" i="60"/>
  <c r="BG87" i="60"/>
  <c r="L85" i="60"/>
  <c r="L87" i="60"/>
  <c r="BZ83" i="60"/>
  <c r="BZ86" i="60"/>
  <c r="CC83" i="60"/>
  <c r="CC86" i="60"/>
  <c r="CE83" i="60"/>
  <c r="CE86" i="60"/>
  <c r="CL83" i="60"/>
  <c r="I439" i="59" s="1"/>
  <c r="J439" i="59" s="1"/>
  <c r="CL86" i="60"/>
  <c r="BE83" i="60"/>
  <c r="BE86" i="60"/>
  <c r="AO83" i="60"/>
  <c r="AO86" i="60"/>
  <c r="AY83" i="60"/>
  <c r="AY86" i="60"/>
  <c r="CN83" i="60"/>
  <c r="I441" i="59" s="1"/>
  <c r="J441" i="59" s="1"/>
  <c r="CN86" i="60"/>
  <c r="CZ83" i="60"/>
  <c r="I453" i="59" s="1"/>
  <c r="J453" i="59" s="1"/>
  <c r="CZ86" i="60"/>
  <c r="CD83" i="60"/>
  <c r="CD86" i="60"/>
  <c r="K83" i="60"/>
  <c r="K86" i="60"/>
  <c r="AS83" i="60"/>
  <c r="AS86" i="60"/>
  <c r="CS83" i="60"/>
  <c r="I446" i="59" s="1"/>
  <c r="J446" i="59" s="1"/>
  <c r="CS86" i="60"/>
  <c r="CM83" i="60"/>
  <c r="I440" i="59" s="1"/>
  <c r="J440" i="59" s="1"/>
  <c r="CM86" i="60"/>
  <c r="CP83" i="60"/>
  <c r="I443" i="59" s="1"/>
  <c r="J443" i="59" s="1"/>
  <c r="CP86" i="60"/>
  <c r="CO83" i="60"/>
  <c r="I442" i="59" s="1"/>
  <c r="J442" i="59" s="1"/>
  <c r="CO86" i="60"/>
  <c r="CQ83" i="60"/>
  <c r="I444" i="59" s="1"/>
  <c r="J444" i="59" s="1"/>
  <c r="CQ86" i="60"/>
  <c r="O83" i="60"/>
  <c r="O86" i="60"/>
  <c r="CY83" i="60"/>
  <c r="I452" i="59" s="1"/>
  <c r="CY86" i="60"/>
  <c r="CX83" i="60"/>
  <c r="I451" i="59" s="1"/>
  <c r="CX86" i="60"/>
  <c r="BB83" i="60"/>
  <c r="BB86" i="60"/>
  <c r="BA83" i="60"/>
  <c r="BA86" i="60"/>
  <c r="N83" i="60"/>
  <c r="N86" i="60"/>
  <c r="BD83" i="60"/>
  <c r="BD86" i="60"/>
  <c r="AX83" i="60"/>
  <c r="AX86" i="60"/>
  <c r="BG83" i="60"/>
  <c r="BG86" i="60"/>
  <c r="CU83" i="60"/>
  <c r="I448" i="59" s="1"/>
  <c r="J448" i="59" s="1"/>
  <c r="CU86" i="60"/>
  <c r="CI83" i="60"/>
  <c r="I436" i="59" s="1"/>
  <c r="J436" i="59" s="1"/>
  <c r="CI86" i="60"/>
  <c r="CR83" i="60"/>
  <c r="I445" i="59" s="1"/>
  <c r="J445" i="59" s="1"/>
  <c r="CR86" i="60"/>
  <c r="CW83" i="60"/>
  <c r="I450" i="59" s="1"/>
  <c r="CW86" i="60"/>
  <c r="CW84" i="60" s="1"/>
  <c r="BH83" i="60"/>
  <c r="BH86" i="60"/>
  <c r="AP83" i="60"/>
  <c r="AP86" i="60"/>
  <c r="AW83" i="60"/>
  <c r="AW86" i="60"/>
  <c r="AD83" i="60"/>
  <c r="AD86" i="60"/>
  <c r="AZ83" i="60"/>
  <c r="AZ86" i="60"/>
  <c r="BF83" i="60"/>
  <c r="BF86" i="60"/>
  <c r="AH83" i="60"/>
  <c r="AH86" i="60"/>
  <c r="CB83" i="60"/>
  <c r="CB86" i="60"/>
  <c r="CV83" i="60"/>
  <c r="I449" i="59" s="1"/>
  <c r="CV86" i="60"/>
  <c r="CT83" i="60"/>
  <c r="I447" i="59" s="1"/>
  <c r="J447" i="59" s="1"/>
  <c r="CT86" i="60"/>
  <c r="BC83" i="60"/>
  <c r="BC86" i="60"/>
  <c r="AQ83" i="60"/>
  <c r="AQ86" i="60"/>
  <c r="M83" i="60"/>
  <c r="M86" i="60"/>
  <c r="L83" i="60"/>
  <c r="L86" i="60"/>
  <c r="AB83" i="60"/>
  <c r="AB86" i="60"/>
  <c r="CH83" i="60"/>
  <c r="I435" i="59" s="1"/>
  <c r="J435" i="59" s="1"/>
  <c r="CH86" i="60"/>
  <c r="BY83" i="60"/>
  <c r="BY86" i="60"/>
  <c r="CA83" i="60"/>
  <c r="CA86" i="60"/>
  <c r="CK83" i="60"/>
  <c r="I438" i="59" s="1"/>
  <c r="J438" i="59" s="1"/>
  <c r="CK86" i="60"/>
  <c r="CG83" i="60"/>
  <c r="I434" i="59" s="1"/>
  <c r="J434" i="59" s="1"/>
  <c r="CG86" i="60"/>
  <c r="DA83" i="60"/>
  <c r="I454" i="59" s="1"/>
  <c r="J454" i="59" s="1"/>
  <c r="DA86" i="60"/>
  <c r="CF83" i="60"/>
  <c r="CF86" i="60"/>
  <c r="AR83" i="60"/>
  <c r="AR86" i="60"/>
  <c r="AA83" i="60"/>
  <c r="AA86" i="60"/>
  <c r="AV83" i="60"/>
  <c r="AV86" i="60"/>
  <c r="AT83" i="60"/>
  <c r="AT86" i="60"/>
  <c r="AU83" i="60"/>
  <c r="AU86" i="60"/>
  <c r="Z83" i="60"/>
  <c r="Z86" i="60"/>
  <c r="CJ83" i="60"/>
  <c r="I437" i="59" s="1"/>
  <c r="J437" i="59" s="1"/>
  <c r="CJ86" i="60"/>
  <c r="AU85" i="60"/>
  <c r="CK85" i="60"/>
  <c r="CK84" i="60" s="1"/>
  <c r="CL85" i="60"/>
  <c r="CM85" i="60"/>
  <c r="CM84" i="60" s="1"/>
  <c r="CP85" i="60"/>
  <c r="CC85" i="60"/>
  <c r="CO85" i="60"/>
  <c r="CN85" i="60"/>
  <c r="DA85" i="60"/>
  <c r="DA84" i="60" s="1"/>
  <c r="O85" i="60"/>
  <c r="BC85" i="60"/>
  <c r="BH85" i="60"/>
  <c r="CD85" i="60"/>
  <c r="CV85" i="60"/>
  <c r="Z85" i="60"/>
  <c r="AA85" i="60"/>
  <c r="CT85" i="60"/>
  <c r="K85" i="60"/>
  <c r="CM82" i="60"/>
  <c r="CM89" i="60"/>
  <c r="AV85" i="60"/>
  <c r="BA85" i="60"/>
  <c r="AD85" i="60"/>
  <c r="CS85" i="60"/>
  <c r="CS84" i="60" s="1"/>
  <c r="CU85" i="60"/>
  <c r="CF85" i="60"/>
  <c r="AR85" i="60"/>
  <c r="CG85" i="60"/>
  <c r="CG84" i="60" s="1"/>
  <c r="BZ85" i="60"/>
  <c r="CI85" i="60"/>
  <c r="CX85" i="60"/>
  <c r="BY85" i="60"/>
  <c r="CH85" i="60"/>
  <c r="CH84" i="60" s="1"/>
  <c r="CZ85" i="60"/>
  <c r="CZ84" i="60" s="1"/>
  <c r="AQ85" i="60"/>
  <c r="AW85" i="60"/>
  <c r="CJ85" i="60"/>
  <c r="CQ85" i="60"/>
  <c r="CQ84" i="60" s="1"/>
  <c r="CY85" i="60"/>
  <c r="CB85" i="60"/>
  <c r="CA85" i="60"/>
  <c r="BD85" i="60"/>
  <c r="AP85" i="60"/>
  <c r="AX85" i="60"/>
  <c r="AZ85" i="60"/>
  <c r="AB85" i="60"/>
  <c r="CR85" i="60"/>
  <c r="CR84" i="60" s="1"/>
  <c r="O716" i="59"/>
  <c r="CY84" i="60" l="1"/>
  <c r="CJ84" i="60"/>
  <c r="CP84" i="60"/>
  <c r="CP89" i="60" s="1"/>
  <c r="CL84" i="60"/>
  <c r="CL89" i="60" s="1"/>
  <c r="CT84" i="60"/>
  <c r="CT82" i="60" s="1"/>
  <c r="CN84" i="60"/>
  <c r="CN89" i="60" s="1"/>
  <c r="CX84" i="60"/>
  <c r="CX89" i="60" s="1"/>
  <c r="CO84" i="60"/>
  <c r="CO89" i="60" s="1"/>
  <c r="CI84" i="60"/>
  <c r="CW89" i="60"/>
  <c r="DA82" i="60"/>
  <c r="F493" i="59"/>
  <c r="H493" i="59" s="1"/>
  <c r="J493" i="59" s="1"/>
  <c r="CK89" i="60"/>
  <c r="CK82" i="60"/>
  <c r="CU84" i="60"/>
  <c r="CU89" i="60" s="1"/>
  <c r="CV84" i="60"/>
  <c r="CV82" i="60" s="1"/>
  <c r="DA89" i="60"/>
  <c r="CW82" i="60"/>
  <c r="CP82" i="60"/>
  <c r="CQ82" i="60"/>
  <c r="CQ89" i="60"/>
  <c r="CY82" i="60"/>
  <c r="CY89" i="60"/>
  <c r="CS82" i="60"/>
  <c r="CS89" i="60"/>
  <c r="CR82" i="60"/>
  <c r="CR89" i="60"/>
  <c r="CJ82" i="60"/>
  <c r="CJ89" i="60"/>
  <c r="CZ82" i="60"/>
  <c r="CZ89" i="60"/>
  <c r="CI82" i="60"/>
  <c r="CI89" i="60"/>
  <c r="CG82" i="60"/>
  <c r="CG89" i="60"/>
  <c r="CH82" i="60"/>
  <c r="CH89" i="60"/>
  <c r="CX82" i="60" l="1"/>
  <c r="CT89" i="60"/>
  <c r="CN82" i="60"/>
  <c r="CL82" i="60"/>
  <c r="CO82" i="60"/>
  <c r="CU82" i="60"/>
  <c r="CV89" i="60"/>
  <c r="H568" i="59"/>
  <c r="L717" i="59" l="1"/>
  <c r="N717" i="59" s="1"/>
  <c r="O717" i="59" l="1"/>
  <c r="J81" i="63"/>
  <c r="C782" i="59" l="1"/>
  <c r="C783" i="59" s="1"/>
  <c r="C784" i="59" s="1"/>
  <c r="C785" i="59" s="1"/>
  <c r="M725" i="59" l="1"/>
  <c r="K732" i="59"/>
  <c r="J58" i="64" l="1"/>
  <c r="N35" i="58" l="1"/>
  <c r="I33" i="58" s="1"/>
  <c r="J67" i="63" l="1"/>
  <c r="J340" i="59" l="1"/>
  <c r="I19" i="60" l="1"/>
  <c r="I10" i="59" l="1"/>
  <c r="I7" i="59"/>
  <c r="DM38" i="60" l="1"/>
  <c r="DM40" i="60" s="1"/>
  <c r="DM34" i="60" s="1"/>
  <c r="DM44" i="60" s="1"/>
  <c r="DI38" i="60"/>
  <c r="DI40" i="60" s="1"/>
  <c r="DI34" i="60" s="1"/>
  <c r="DH38" i="60"/>
  <c r="DH40" i="60" s="1"/>
  <c r="DH34" i="60" s="1"/>
  <c r="DH44" i="60" s="1"/>
  <c r="DD38" i="60"/>
  <c r="DD40" i="60" s="1"/>
  <c r="DD34" i="60" s="1"/>
  <c r="DJ38" i="60"/>
  <c r="DJ40" i="60" s="1"/>
  <c r="DJ34" i="60" s="1"/>
  <c r="DL38" i="60"/>
  <c r="DL40" i="60" s="1"/>
  <c r="DL34" i="60" s="1"/>
  <c r="DN38" i="60"/>
  <c r="DN40" i="60" s="1"/>
  <c r="DN34" i="60" s="1"/>
  <c r="DK38" i="60"/>
  <c r="DK40" i="60" s="1"/>
  <c r="DK34" i="60" s="1"/>
  <c r="DK44" i="60" s="1"/>
  <c r="DC38" i="60"/>
  <c r="DC40" i="60" s="1"/>
  <c r="DC34" i="60" s="1"/>
  <c r="DC44" i="60" s="1"/>
  <c r="DE38" i="60"/>
  <c r="DE40" i="60" s="1"/>
  <c r="DE34" i="60" s="1"/>
  <c r="DE44" i="60" s="1"/>
  <c r="DG38" i="60"/>
  <c r="DG40" i="60" s="1"/>
  <c r="DG34" i="60" s="1"/>
  <c r="DF38" i="60"/>
  <c r="DF40" i="60" s="1"/>
  <c r="DF34" i="60" s="1"/>
  <c r="DB38" i="60"/>
  <c r="DB40" i="60" s="1"/>
  <c r="DB34" i="60" s="1"/>
  <c r="BO38" i="60"/>
  <c r="BO40" i="60" s="1"/>
  <c r="AK38" i="60"/>
  <c r="BL38" i="60"/>
  <c r="BL40" i="60" s="1"/>
  <c r="BI38" i="60"/>
  <c r="BI40" i="60" s="1"/>
  <c r="BM38" i="60"/>
  <c r="BM40" i="60" s="1"/>
  <c r="BK38" i="60"/>
  <c r="BK40" i="60" s="1"/>
  <c r="BK34" i="60" s="1"/>
  <c r="BJ38" i="60"/>
  <c r="BJ40" i="60" s="1"/>
  <c r="AE38" i="60"/>
  <c r="AJ38" i="60"/>
  <c r="BN38" i="60"/>
  <c r="BN40" i="60" s="1"/>
  <c r="AI38" i="60"/>
  <c r="AF38" i="60"/>
  <c r="BH38" i="60"/>
  <c r="BH40" i="60" s="1"/>
  <c r="BP40" i="60"/>
  <c r="BU40" i="60"/>
  <c r="BG40" i="60"/>
  <c r="BS40" i="60"/>
  <c r="BQ40" i="60"/>
  <c r="BV40" i="60"/>
  <c r="BV34" i="60" s="1"/>
  <c r="BR40" i="60"/>
  <c r="BW40" i="60"/>
  <c r="BW34" i="60" s="1"/>
  <c r="BT40" i="60"/>
  <c r="DK51" i="60" l="1"/>
  <c r="DK50" i="60"/>
  <c r="DK49" i="60"/>
  <c r="DD44" i="60"/>
  <c r="DD51" i="60" s="1"/>
  <c r="DB44" i="60"/>
  <c r="DB51" i="60" s="1"/>
  <c r="DH51" i="60"/>
  <c r="DH49" i="60"/>
  <c r="DH50" i="60"/>
  <c r="DF44" i="60"/>
  <c r="DF51" i="60" s="1"/>
  <c r="DN44" i="60"/>
  <c r="DN51" i="60" s="1"/>
  <c r="DI44" i="60"/>
  <c r="DI51" i="60" s="1"/>
  <c r="DG44" i="60"/>
  <c r="DG51" i="60" s="1"/>
  <c r="DL44" i="60"/>
  <c r="DL51" i="60" s="1"/>
  <c r="DM51" i="60"/>
  <c r="DM50" i="60"/>
  <c r="DM49" i="60"/>
  <c r="DM48" i="60" s="1"/>
  <c r="DE51" i="60"/>
  <c r="DE49" i="60"/>
  <c r="DE50" i="60"/>
  <c r="DC51" i="60"/>
  <c r="DC50" i="60"/>
  <c r="DC49" i="60"/>
  <c r="DJ44" i="60"/>
  <c r="BG34" i="60"/>
  <c r="BU34" i="60"/>
  <c r="BO34" i="60"/>
  <c r="BJ34" i="60"/>
  <c r="BR34" i="60"/>
  <c r="BM34" i="60"/>
  <c r="BQ34" i="60"/>
  <c r="BP34" i="60"/>
  <c r="BI34" i="60"/>
  <c r="BS34" i="60"/>
  <c r="BT34" i="60"/>
  <c r="BH34" i="60"/>
  <c r="BN34" i="60"/>
  <c r="BL34" i="60"/>
  <c r="DC48" i="60" l="1"/>
  <c r="DK48" i="60"/>
  <c r="DH48" i="60"/>
  <c r="DE48" i="60"/>
  <c r="DI50" i="60"/>
  <c r="DI49" i="60"/>
  <c r="DB49" i="60"/>
  <c r="DB50" i="60"/>
  <c r="DN49" i="60"/>
  <c r="DN50" i="60"/>
  <c r="DJ50" i="60"/>
  <c r="DJ49" i="60"/>
  <c r="DD50" i="60"/>
  <c r="DD49" i="60"/>
  <c r="DD48" i="60" s="1"/>
  <c r="DL50" i="60"/>
  <c r="DL49" i="60"/>
  <c r="DL48" i="60" s="1"/>
  <c r="DF50" i="60"/>
  <c r="DF49" i="60"/>
  <c r="DJ51" i="60"/>
  <c r="DG50" i="60"/>
  <c r="DG49" i="60"/>
  <c r="C748" i="59"/>
  <c r="C749" i="59" s="1"/>
  <c r="C750" i="59" s="1"/>
  <c r="C751" i="59" s="1"/>
  <c r="C752" i="59" s="1"/>
  <c r="C753" i="59" s="1"/>
  <c r="C754" i="59" s="1"/>
  <c r="C756" i="59" s="1"/>
  <c r="C757" i="59" s="1"/>
  <c r="C758" i="59" s="1"/>
  <c r="P715" i="59"/>
  <c r="P716" i="59" s="1"/>
  <c r="P717" i="59" s="1"/>
  <c r="P718" i="59" s="1"/>
  <c r="P719" i="59" s="1"/>
  <c r="P720" i="59" s="1"/>
  <c r="P721" i="59" s="1"/>
  <c r="P722" i="59" s="1"/>
  <c r="P725" i="59" s="1"/>
  <c r="P726" i="59" s="1"/>
  <c r="P727" i="59" s="1"/>
  <c r="P728" i="59" s="1"/>
  <c r="P729" i="59" s="1"/>
  <c r="P730" i="59" s="1"/>
  <c r="P731" i="59" s="1"/>
  <c r="P732" i="59" s="1"/>
  <c r="P733" i="59" s="1"/>
  <c r="P734" i="59" s="1"/>
  <c r="M734" i="59"/>
  <c r="DG48" i="60" l="1"/>
  <c r="DF48" i="60"/>
  <c r="DJ48" i="60"/>
  <c r="DI48" i="60"/>
  <c r="DN48" i="60"/>
  <c r="DB48" i="60"/>
  <c r="K742" i="59"/>
  <c r="L742" i="59" s="1"/>
  <c r="K741" i="59"/>
  <c r="L741" i="59" s="1"/>
  <c r="K740" i="59"/>
  <c r="L740" i="59" s="1"/>
  <c r="K739" i="59"/>
  <c r="L739" i="59" s="1"/>
  <c r="K738" i="59"/>
  <c r="L738" i="59" s="1"/>
  <c r="K737" i="59"/>
  <c r="L737" i="59" s="1"/>
  <c r="K734" i="59"/>
  <c r="L734" i="59" s="1"/>
  <c r="M733" i="59"/>
  <c r="K733" i="59"/>
  <c r="L733" i="59" s="1"/>
  <c r="M732" i="59"/>
  <c r="L732" i="59"/>
  <c r="M731" i="59"/>
  <c r="K731" i="59"/>
  <c r="L731" i="59" s="1"/>
  <c r="M730" i="59"/>
  <c r="K730" i="59"/>
  <c r="L730" i="59" s="1"/>
  <c r="M729" i="59"/>
  <c r="K729" i="59"/>
  <c r="L729" i="59" s="1"/>
  <c r="M728" i="59"/>
  <c r="K728" i="59"/>
  <c r="L728" i="59" s="1"/>
  <c r="M727" i="59"/>
  <c r="K727" i="59"/>
  <c r="L727" i="59" s="1"/>
  <c r="K726" i="59"/>
  <c r="L726" i="59" s="1"/>
  <c r="K725" i="59"/>
  <c r="L725" i="59" s="1"/>
  <c r="L722" i="59"/>
  <c r="O722" i="59" s="1"/>
  <c r="L721" i="59"/>
  <c r="O721" i="59" s="1"/>
  <c r="L720" i="59"/>
  <c r="N720" i="59" s="1"/>
  <c r="L719" i="59"/>
  <c r="N719" i="59" s="1"/>
  <c r="L718" i="59"/>
  <c r="N718" i="59" s="1"/>
  <c r="L715" i="59"/>
  <c r="N715" i="59" s="1"/>
  <c r="C715" i="59"/>
  <c r="C716" i="59" s="1"/>
  <c r="C717" i="59" s="1"/>
  <c r="C718" i="59" s="1"/>
  <c r="C719" i="59" s="1"/>
  <c r="C720" i="59" s="1"/>
  <c r="C721" i="59" s="1"/>
  <c r="C722" i="59" s="1"/>
  <c r="C723" i="59" s="1"/>
  <c r="C725" i="59" s="1"/>
  <c r="C726" i="59" s="1"/>
  <c r="C727" i="59" s="1"/>
  <c r="C728" i="59" s="1"/>
  <c r="C729" i="59" s="1"/>
  <c r="C730" i="59" s="1"/>
  <c r="C731" i="59" s="1"/>
  <c r="C732" i="59" s="1"/>
  <c r="C733" i="59" s="1"/>
  <c r="C734" i="59" s="1"/>
  <c r="C735" i="59" s="1"/>
  <c r="C736" i="59" s="1"/>
  <c r="C737" i="59" s="1"/>
  <c r="C738" i="59" s="1"/>
  <c r="C739" i="59" s="1"/>
  <c r="C740" i="59" s="1"/>
  <c r="C741" i="59" s="1"/>
  <c r="C742" i="59" s="1"/>
  <c r="E738" i="59"/>
  <c r="E739" i="59" s="1"/>
  <c r="E740" i="59" s="1"/>
  <c r="E741" i="59" s="1"/>
  <c r="E742" i="59" s="1"/>
  <c r="D738" i="59"/>
  <c r="D739" i="59" s="1"/>
  <c r="D740" i="59" s="1"/>
  <c r="D741" i="59" s="1"/>
  <c r="D742" i="59" s="1"/>
  <c r="E726" i="59"/>
  <c r="E727" i="59" s="1"/>
  <c r="E728" i="59" s="1"/>
  <c r="E729" i="59" s="1"/>
  <c r="E730" i="59" s="1"/>
  <c r="E731" i="59" s="1"/>
  <c r="E732" i="59" s="1"/>
  <c r="E733" i="59" s="1"/>
  <c r="E734" i="59" s="1"/>
  <c r="E735" i="59" s="1"/>
  <c r="E736" i="59" s="1"/>
  <c r="D726" i="59"/>
  <c r="D727" i="59" s="1"/>
  <c r="D728" i="59" s="1"/>
  <c r="D729" i="59" s="1"/>
  <c r="D730" i="59" s="1"/>
  <c r="D731" i="59" s="1"/>
  <c r="D732" i="59" s="1"/>
  <c r="D733" i="59" s="1"/>
  <c r="D734" i="59" s="1"/>
  <c r="D735" i="59" s="1"/>
  <c r="D736" i="59" s="1"/>
  <c r="E715" i="59"/>
  <c r="E716" i="59" s="1"/>
  <c r="E717" i="59" s="1"/>
  <c r="E718" i="59" s="1"/>
  <c r="E719" i="59" s="1"/>
  <c r="E720" i="59" s="1"/>
  <c r="E721" i="59" s="1"/>
  <c r="E722" i="59" s="1"/>
  <c r="E723" i="59" s="1"/>
  <c r="D715" i="59"/>
  <c r="D716" i="59" s="1"/>
  <c r="D717" i="59" s="1"/>
  <c r="D718" i="59" s="1"/>
  <c r="D719" i="59" s="1"/>
  <c r="D720" i="59" s="1"/>
  <c r="D721" i="59" s="1"/>
  <c r="D722" i="59" s="1"/>
  <c r="D723" i="59" s="1"/>
  <c r="I715" i="59"/>
  <c r="I716" i="59" s="1"/>
  <c r="I717" i="59" s="1"/>
  <c r="I718" i="59" s="1"/>
  <c r="I719" i="59" s="1"/>
  <c r="I720" i="59" s="1"/>
  <c r="I721" i="59" s="1"/>
  <c r="I722" i="59" s="1"/>
  <c r="H715" i="59"/>
  <c r="H716" i="59" s="1"/>
  <c r="H717" i="59" s="1"/>
  <c r="H718" i="59" s="1"/>
  <c r="H719" i="59" s="1"/>
  <c r="H720" i="59" s="1"/>
  <c r="H721" i="59" s="1"/>
  <c r="H722" i="59" s="1"/>
  <c r="O718" i="59" l="1"/>
  <c r="N722" i="59"/>
  <c r="O720" i="59"/>
  <c r="O715" i="59"/>
  <c r="N721" i="59"/>
  <c r="O719" i="59"/>
  <c r="I725" i="59"/>
  <c r="I726" i="59" s="1"/>
  <c r="I727" i="59" s="1"/>
  <c r="I728" i="59" s="1"/>
  <c r="I729" i="59" s="1"/>
  <c r="I730" i="59" s="1"/>
  <c r="I731" i="59" s="1"/>
  <c r="I732" i="59" s="1"/>
  <c r="I733" i="59" s="1"/>
  <c r="I734" i="59" s="1"/>
  <c r="I737" i="59" s="1"/>
  <c r="I738" i="59" s="1"/>
  <c r="I739" i="59" s="1"/>
  <c r="I740" i="59" s="1"/>
  <c r="I741" i="59" s="1"/>
  <c r="I742" i="59" s="1"/>
  <c r="I723" i="59"/>
  <c r="H725" i="59"/>
  <c r="H726" i="59" s="1"/>
  <c r="H727" i="59" s="1"/>
  <c r="H728" i="59" s="1"/>
  <c r="H729" i="59" s="1"/>
  <c r="H730" i="59" s="1"/>
  <c r="H731" i="59" s="1"/>
  <c r="H732" i="59" s="1"/>
  <c r="H733" i="59" s="1"/>
  <c r="H734" i="59" s="1"/>
  <c r="H737" i="59" s="1"/>
  <c r="H738" i="59" s="1"/>
  <c r="H739" i="59" s="1"/>
  <c r="H740" i="59" s="1"/>
  <c r="H741" i="59" s="1"/>
  <c r="H742" i="59" s="1"/>
  <c r="H723" i="59"/>
  <c r="O730" i="59"/>
  <c r="O731" i="59"/>
  <c r="N725" i="59"/>
  <c r="O725" i="59"/>
  <c r="O726" i="59"/>
  <c r="N726" i="59"/>
  <c r="O728" i="59"/>
  <c r="N728" i="59"/>
  <c r="N730" i="59"/>
  <c r="O732" i="59"/>
  <c r="N732" i="59"/>
  <c r="O734" i="59"/>
  <c r="N734" i="59"/>
  <c r="O727" i="59"/>
  <c r="N727" i="59"/>
  <c r="O729" i="59"/>
  <c r="N729" i="59"/>
  <c r="N731" i="59"/>
  <c r="O733" i="59"/>
  <c r="N733" i="59"/>
  <c r="E748" i="59" l="1"/>
  <c r="J339" i="59"/>
  <c r="J449" i="59" l="1"/>
  <c r="J450" i="59"/>
  <c r="J451" i="59"/>
  <c r="J452" i="59"/>
  <c r="F555" i="59"/>
  <c r="F491" i="59" l="1"/>
  <c r="H491" i="59" s="1"/>
  <c r="J491" i="59" s="1"/>
  <c r="C96" i="64"/>
  <c r="D66" i="58"/>
  <c r="F533" i="59"/>
  <c r="E533" i="59"/>
  <c r="C195" i="59" l="1"/>
  <c r="C196" i="59" s="1"/>
  <c r="C197" i="59" s="1"/>
  <c r="C198" i="59" s="1"/>
  <c r="C199" i="59" s="1"/>
  <c r="C200" i="59" s="1"/>
  <c r="C201" i="59" s="1"/>
  <c r="C202" i="59" s="1"/>
  <c r="C203" i="59" s="1"/>
  <c r="C204" i="59" s="1"/>
  <c r="C205" i="59" s="1"/>
  <c r="C206" i="59" s="1"/>
  <c r="C207" i="59" s="1"/>
  <c r="C208" i="59" s="1"/>
  <c r="C209" i="59" s="1"/>
  <c r="C210" i="59" s="1"/>
  <c r="C211" i="59" s="1"/>
  <c r="C212" i="59" s="1"/>
  <c r="C213" i="59" s="1"/>
  <c r="C214" i="59" s="1"/>
  <c r="C215" i="59" s="1"/>
  <c r="C216" i="59" s="1"/>
  <c r="C217" i="59" s="1"/>
  <c r="C218" i="59" s="1"/>
  <c r="C219" i="59" s="1"/>
  <c r="C220" i="59" s="1"/>
  <c r="C221" i="59" s="1"/>
  <c r="C222" i="59" s="1"/>
  <c r="C223" i="59" s="1"/>
  <c r="C224" i="59" s="1"/>
  <c r="C225" i="59" s="1"/>
  <c r="C226" i="59" s="1"/>
  <c r="C227" i="59" s="1"/>
  <c r="C228" i="59" s="1"/>
  <c r="C229" i="59" s="1"/>
  <c r="C230" i="59" s="1"/>
  <c r="C231" i="59" s="1"/>
  <c r="C232" i="59" s="1"/>
  <c r="C233" i="59" s="1"/>
  <c r="C234" i="59" s="1"/>
  <c r="C235" i="59" s="1"/>
  <c r="C236" i="59" s="1"/>
  <c r="C237" i="59" s="1"/>
  <c r="C238" i="59" s="1"/>
  <c r="C239" i="59" s="1"/>
  <c r="C240" i="59" s="1"/>
  <c r="C241" i="59" s="1"/>
  <c r="C242" i="59" s="1"/>
  <c r="C243" i="59" s="1"/>
  <c r="C244" i="59" s="1"/>
  <c r="C245" i="59" s="1"/>
  <c r="C246" i="59" s="1"/>
  <c r="C247" i="59" s="1"/>
  <c r="C248" i="59" s="1"/>
  <c r="C249" i="59" s="1"/>
  <c r="C250" i="59" s="1"/>
  <c r="C251" i="59" s="1"/>
  <c r="C252" i="59" s="1"/>
  <c r="C253" i="59" s="1"/>
  <c r="C254" i="59" s="1"/>
  <c r="C255" i="59" s="1"/>
  <c r="C256" i="59" s="1"/>
  <c r="C257" i="59" s="1"/>
  <c r="C258" i="59" s="1"/>
  <c r="C259" i="59" s="1"/>
  <c r="C260" i="59" s="1"/>
  <c r="C261" i="59" s="1"/>
  <c r="C262" i="59" s="1"/>
  <c r="C263" i="59" s="1"/>
  <c r="C264" i="59" s="1"/>
  <c r="C265" i="59" s="1"/>
  <c r="C266" i="59" s="1"/>
  <c r="C267" i="59" s="1"/>
  <c r="C268" i="59" s="1"/>
  <c r="C269" i="59" s="1"/>
  <c r="C270" i="59" s="1"/>
  <c r="C271" i="59" s="1"/>
  <c r="C272" i="59" s="1"/>
  <c r="C273" i="59" s="1"/>
  <c r="C274" i="59" s="1"/>
  <c r="C275" i="59" s="1"/>
  <c r="C276" i="59" s="1"/>
  <c r="C277" i="59" s="1"/>
  <c r="C278" i="59" s="1"/>
  <c r="C279" i="59" s="1"/>
  <c r="C280" i="59" s="1"/>
  <c r="C281" i="59" s="1"/>
  <c r="C282" i="59" s="1"/>
  <c r="C283" i="59" s="1"/>
  <c r="C284" i="59" s="1"/>
  <c r="C285" i="59" s="1"/>
  <c r="C286" i="59" s="1"/>
  <c r="C287" i="59" s="1"/>
  <c r="C288" i="59" s="1"/>
  <c r="C289" i="59" s="1"/>
  <c r="C290" i="59" s="1"/>
  <c r="C291" i="59" s="1"/>
  <c r="C292" i="59" s="1"/>
  <c r="C293" i="59" s="1"/>
  <c r="C294" i="59" s="1"/>
  <c r="C295" i="59" s="1"/>
  <c r="C296" i="59" s="1"/>
  <c r="C297" i="59" s="1"/>
  <c r="C298" i="59" s="1"/>
  <c r="C299" i="59" s="1"/>
  <c r="C300" i="59" s="1"/>
  <c r="C301" i="59" s="1"/>
  <c r="C302" i="59" s="1"/>
  <c r="C303" i="59" s="1"/>
  <c r="C304" i="59" s="1"/>
  <c r="C305" i="59" s="1"/>
  <c r="C306" i="59" s="1"/>
  <c r="C307" i="59" s="1"/>
  <c r="C308" i="59" s="1"/>
  <c r="C309" i="59" s="1"/>
  <c r="C310" i="59" s="1"/>
  <c r="C311" i="59" s="1"/>
  <c r="C312" i="59" s="1"/>
  <c r="C313" i="59" s="1"/>
  <c r="Y19" i="60" l="1"/>
  <c r="X19" i="60"/>
  <c r="T76" i="60"/>
  <c r="T67" i="60" s="1"/>
  <c r="W19" i="60"/>
  <c r="V19" i="60"/>
  <c r="U19" i="60"/>
  <c r="T19" i="60"/>
  <c r="S19" i="60"/>
  <c r="R19" i="60"/>
  <c r="Q19" i="60"/>
  <c r="P19" i="60"/>
  <c r="O19" i="60"/>
  <c r="N19" i="60"/>
  <c r="M19" i="60"/>
  <c r="L19" i="60"/>
  <c r="K19" i="60"/>
  <c r="T80" i="60" l="1"/>
  <c r="T87" i="60" s="1"/>
  <c r="T65" i="60"/>
  <c r="Z19" i="60"/>
  <c r="T83" i="60" l="1"/>
  <c r="T86" i="60"/>
  <c r="T85" i="60"/>
  <c r="D13" i="65" l="1"/>
  <c r="D18" i="65" l="1"/>
  <c r="D24" i="65" s="1"/>
  <c r="D29" i="65" s="1"/>
  <c r="B16" i="66"/>
  <c r="B6" i="66"/>
  <c r="J59" i="64"/>
  <c r="J63" i="64"/>
  <c r="D9" i="64"/>
  <c r="D8" i="64"/>
  <c r="J82" i="64"/>
  <c r="J78" i="64"/>
  <c r="J74" i="64"/>
  <c r="J69" i="64"/>
  <c r="J64" i="64"/>
  <c r="J54" i="64"/>
  <c r="J50" i="64"/>
  <c r="D50" i="64"/>
  <c r="C50" i="64"/>
  <c r="C51" i="64" s="1"/>
  <c r="C54" i="64" s="1"/>
  <c r="C55" i="64" s="1"/>
  <c r="C58" i="64" s="1"/>
  <c r="C59" i="64" s="1"/>
  <c r="C42" i="64"/>
  <c r="C43" i="64" s="1"/>
  <c r="J30" i="64"/>
  <c r="D27" i="64"/>
  <c r="D26" i="64"/>
  <c r="J21" i="64"/>
  <c r="D18" i="64"/>
  <c r="D17" i="64"/>
  <c r="J12" i="64"/>
  <c r="M85" i="63"/>
  <c r="J85" i="63"/>
  <c r="M81" i="63"/>
  <c r="M77" i="63"/>
  <c r="J77" i="63"/>
  <c r="M72" i="63"/>
  <c r="J72" i="63"/>
  <c r="M67" i="63"/>
  <c r="M62" i="63"/>
  <c r="J62" i="63"/>
  <c r="M58" i="63"/>
  <c r="J58" i="63"/>
  <c r="D58" i="63"/>
  <c r="C58" i="63"/>
  <c r="C50" i="63"/>
  <c r="C51" i="63" s="1"/>
  <c r="C60" i="64" l="1"/>
  <c r="C63" i="64"/>
  <c r="C64" i="64" s="1"/>
  <c r="C65" i="64" s="1"/>
  <c r="C68" i="64" s="1"/>
  <c r="C69" i="64" s="1"/>
  <c r="C70" i="64" s="1"/>
  <c r="C71" i="64" s="1"/>
  <c r="C73" i="64" s="1"/>
  <c r="C74" i="64" s="1"/>
  <c r="C75" i="64" s="1"/>
  <c r="C76" i="64" s="1"/>
  <c r="C78" i="64" s="1"/>
  <c r="C79" i="64" s="1"/>
  <c r="C82" i="64" s="1"/>
  <c r="C85" i="64" s="1"/>
  <c r="C86" i="64" s="1"/>
  <c r="C90" i="64" s="1"/>
  <c r="C91" i="64" s="1"/>
  <c r="C92" i="64" s="1"/>
  <c r="C59" i="63"/>
  <c r="C62" i="63" s="1"/>
  <c r="C97" i="64" l="1"/>
  <c r="C98" i="64" s="1"/>
  <c r="C99" i="64" s="1"/>
  <c r="C105" i="64" s="1"/>
  <c r="C106" i="64" s="1"/>
  <c r="C63" i="63"/>
  <c r="C66" i="63"/>
  <c r="C67" i="63" s="1"/>
  <c r="C68" i="63" s="1"/>
  <c r="C71" i="63" s="1"/>
  <c r="C72" i="63" s="1"/>
  <c r="C73" i="63" s="1"/>
  <c r="C74" i="63" s="1"/>
  <c r="C76" i="63" s="1"/>
  <c r="C77" i="63" s="1"/>
  <c r="C78" i="63" s="1"/>
  <c r="C79" i="63" s="1"/>
  <c r="C81" i="63" s="1"/>
  <c r="C82" i="63" s="1"/>
  <c r="C85" i="63" s="1"/>
  <c r="C88" i="63" s="1"/>
  <c r="C89" i="63" s="1"/>
  <c r="C93" i="63" s="1"/>
  <c r="C94" i="63" s="1"/>
  <c r="C95" i="63" l="1"/>
  <c r="C98" i="63"/>
  <c r="C99" i="63" s="1"/>
  <c r="J30" i="63"/>
  <c r="M30" i="63" s="1"/>
  <c r="D27" i="63"/>
  <c r="D26" i="63"/>
  <c r="J21" i="63"/>
  <c r="M21" i="63" s="1"/>
  <c r="D18" i="63"/>
  <c r="D17" i="63"/>
  <c r="J12" i="63"/>
  <c r="M12" i="63" s="1"/>
  <c r="D9" i="63"/>
  <c r="D8" i="63"/>
  <c r="E317" i="59" l="1"/>
  <c r="I316" i="59"/>
  <c r="H317" i="59"/>
  <c r="C320" i="59"/>
  <c r="C321" i="59" s="1"/>
  <c r="C322" i="59" s="1"/>
  <c r="C323" i="59" s="1"/>
  <c r="C324" i="59" s="1"/>
  <c r="C325" i="59" s="1"/>
  <c r="C326" i="59" s="1"/>
  <c r="C327" i="59" s="1"/>
  <c r="C328" i="59" s="1"/>
  <c r="C329" i="59" s="1"/>
  <c r="C330" i="59" s="1"/>
  <c r="C331" i="59" s="1"/>
  <c r="C332" i="59" s="1"/>
  <c r="J192" i="59"/>
  <c r="C505" i="59" l="1"/>
  <c r="C506" i="59" s="1"/>
  <c r="C507" i="59" s="1"/>
  <c r="C508" i="59" s="1"/>
  <c r="C509" i="59" s="1"/>
  <c r="C510" i="59" s="1"/>
  <c r="C511" i="59" s="1"/>
  <c r="C512" i="59" s="1"/>
  <c r="C513" i="59" s="1"/>
  <c r="C514" i="59" s="1"/>
  <c r="C515" i="59" s="1"/>
  <c r="C516" i="59" s="1"/>
  <c r="E484" i="59"/>
  <c r="BF19" i="60" l="1"/>
  <c r="BE19" i="60"/>
  <c r="BD19" i="60"/>
  <c r="BC19" i="60"/>
  <c r="BB19" i="60"/>
  <c r="BA19" i="60"/>
  <c r="AZ19" i="60"/>
  <c r="AY19" i="60"/>
  <c r="AX19" i="60"/>
  <c r="AW19" i="60"/>
  <c r="AV19" i="60"/>
  <c r="AU19" i="60"/>
  <c r="AT19" i="60"/>
  <c r="AS19" i="60"/>
  <c r="AR19" i="60"/>
  <c r="AQ19" i="60"/>
  <c r="AP19" i="60"/>
  <c r="AO19" i="60"/>
  <c r="AN19" i="60"/>
  <c r="AM19" i="60"/>
  <c r="AL19" i="60"/>
  <c r="AK19" i="60"/>
  <c r="AJ19" i="60"/>
  <c r="AI19" i="60"/>
  <c r="AH19" i="60"/>
  <c r="AG19" i="60"/>
  <c r="AF19" i="60"/>
  <c r="AE19" i="60"/>
  <c r="AD19" i="60"/>
  <c r="AC19" i="60"/>
  <c r="AB19" i="60"/>
  <c r="AA19" i="60"/>
  <c r="J19" i="60"/>
  <c r="C361" i="59" l="1"/>
  <c r="C362" i="59" s="1"/>
  <c r="C363" i="59" s="1"/>
  <c r="C364" i="59" s="1"/>
  <c r="C365" i="59" s="1"/>
  <c r="C366" i="59" s="1"/>
  <c r="C367" i="59" s="1"/>
  <c r="C368" i="59" s="1"/>
  <c r="C369" i="59" s="1"/>
  <c r="C370" i="59" s="1"/>
  <c r="C371" i="59" s="1"/>
  <c r="C372" i="59" s="1"/>
  <c r="C373" i="59" s="1"/>
  <c r="C374" i="59" s="1"/>
  <c r="C375" i="59" s="1"/>
  <c r="C376" i="59" s="1"/>
  <c r="C377" i="59" s="1"/>
  <c r="C378" i="59" s="1"/>
  <c r="C379" i="59" s="1"/>
  <c r="C380" i="59" s="1"/>
  <c r="C381" i="59" s="1"/>
  <c r="C382" i="59" s="1"/>
  <c r="C383" i="59" s="1"/>
  <c r="C384" i="59" s="1"/>
  <c r="C385" i="59" s="1"/>
  <c r="C386" i="59" s="1"/>
  <c r="C387" i="59" s="1"/>
  <c r="C388" i="59" s="1"/>
  <c r="C389" i="59" s="1"/>
  <c r="C390" i="59" s="1"/>
  <c r="C391" i="59" s="1"/>
  <c r="C392" i="59" s="1"/>
  <c r="C393" i="59" s="1"/>
  <c r="C394" i="59" s="1"/>
  <c r="C395" i="59" s="1"/>
  <c r="C396" i="59" s="1"/>
  <c r="C397" i="59" s="1"/>
  <c r="C398" i="59" s="1"/>
  <c r="C399" i="59" s="1"/>
  <c r="C400" i="59" s="1"/>
  <c r="C401" i="59" s="1"/>
  <c r="C402" i="59" s="1"/>
  <c r="C403" i="59" s="1"/>
  <c r="C404" i="59" s="1"/>
  <c r="C405" i="59" s="1"/>
  <c r="C406" i="59" s="1"/>
  <c r="C407" i="59" s="1"/>
  <c r="C408" i="59" s="1"/>
  <c r="C409" i="59" s="1"/>
  <c r="C410" i="59" s="1"/>
  <c r="C411" i="59" s="1"/>
  <c r="C412" i="59" s="1"/>
  <c r="C413" i="59" s="1"/>
  <c r="C414" i="59" s="1"/>
  <c r="C415" i="59" s="1"/>
  <c r="C416" i="59" s="1"/>
  <c r="C417" i="59" s="1"/>
  <c r="C418" i="59" s="1"/>
  <c r="C419" i="59" s="1"/>
  <c r="C420" i="59" s="1"/>
  <c r="C421" i="59" s="1"/>
  <c r="C422" i="59" s="1"/>
  <c r="C423" i="59" s="1"/>
  <c r="C424" i="59" s="1"/>
  <c r="C425" i="59" s="1"/>
  <c r="C426" i="59" s="1"/>
  <c r="C427" i="59" s="1"/>
  <c r="C428" i="59" s="1"/>
  <c r="C429" i="59" s="1"/>
  <c r="C430" i="59" s="1"/>
  <c r="C431" i="59" s="1"/>
  <c r="C432" i="59" s="1"/>
  <c r="C433" i="59" s="1"/>
  <c r="C434" i="59" s="1"/>
  <c r="C435" i="59" s="1"/>
  <c r="C436" i="59" s="1"/>
  <c r="C437" i="59" s="1"/>
  <c r="C438" i="59" s="1"/>
  <c r="C439" i="59" s="1"/>
  <c r="C440" i="59" s="1"/>
  <c r="C441" i="59" s="1"/>
  <c r="C442" i="59" s="1"/>
  <c r="C443" i="59" s="1"/>
  <c r="C444" i="59" s="1"/>
  <c r="C445" i="59" s="1"/>
  <c r="C446" i="59" s="1"/>
  <c r="C447" i="59" s="1"/>
  <c r="C448" i="59" s="1"/>
  <c r="C449" i="59" s="1"/>
  <c r="C450" i="59" s="1"/>
  <c r="C451" i="59" s="1"/>
  <c r="C452" i="59" s="1"/>
  <c r="C453" i="59" s="1"/>
  <c r="C454" i="59" s="1"/>
  <c r="C455" i="59" s="1"/>
  <c r="C456" i="59" s="1"/>
  <c r="C457" i="59" s="1"/>
  <c r="C458" i="59" s="1"/>
  <c r="C459" i="59" s="1"/>
  <c r="C460" i="59" s="1"/>
  <c r="C461" i="59" s="1"/>
  <c r="C462" i="59" s="1"/>
  <c r="C463" i="59" s="1"/>
  <c r="C464" i="59" s="1"/>
  <c r="C465" i="59" s="1"/>
  <c r="C466" i="59" s="1"/>
  <c r="C467" i="59" s="1"/>
  <c r="C468" i="59" s="1"/>
  <c r="C469" i="59" s="1"/>
  <c r="C470" i="59" s="1"/>
  <c r="C471" i="59" s="1"/>
  <c r="C472" i="59" s="1"/>
  <c r="C473" i="59" s="1"/>
  <c r="C474" i="59" s="1"/>
  <c r="C475" i="59" s="1"/>
  <c r="C476" i="59" s="1"/>
  <c r="C477" i="59" s="1"/>
  <c r="C478" i="59" s="1"/>
  <c r="C479" i="59" s="1"/>
  <c r="H65" i="59"/>
  <c r="C68" i="59"/>
  <c r="C69" i="59" s="1"/>
  <c r="C70" i="59" s="1"/>
  <c r="C71" i="59" s="1"/>
  <c r="C72" i="59" s="1"/>
  <c r="C73" i="59" s="1"/>
  <c r="C74" i="59" s="1"/>
  <c r="C75" i="59" s="1"/>
  <c r="C76" i="59" s="1"/>
  <c r="C77" i="59" s="1"/>
  <c r="C78" i="59" s="1"/>
  <c r="C79" i="59" s="1"/>
  <c r="C80" i="59" s="1"/>
  <c r="C81" i="59" s="1"/>
  <c r="C82" i="59" s="1"/>
  <c r="C83" i="59" s="1"/>
  <c r="C84" i="59" s="1"/>
  <c r="C85" i="59" s="1"/>
  <c r="C86" i="59" s="1"/>
  <c r="C87" i="59" s="1"/>
  <c r="C88" i="59" s="1"/>
  <c r="C89" i="59" s="1"/>
  <c r="C90" i="59" s="1"/>
  <c r="C91" i="59" s="1"/>
  <c r="C92" i="59" s="1"/>
  <c r="C93" i="59" s="1"/>
  <c r="C94" i="59" s="1"/>
  <c r="C95" i="59" s="1"/>
  <c r="C96" i="59" s="1"/>
  <c r="C97" i="59" s="1"/>
  <c r="C98" i="59" s="1"/>
  <c r="C99" i="59" s="1"/>
  <c r="C100" i="59" s="1"/>
  <c r="C101" i="59" s="1"/>
  <c r="C102" i="59" s="1"/>
  <c r="C103" i="59" s="1"/>
  <c r="C104" i="59" s="1"/>
  <c r="C105" i="59" s="1"/>
  <c r="C106" i="59" s="1"/>
  <c r="C107" i="59" s="1"/>
  <c r="C108" i="59" s="1"/>
  <c r="C109" i="59" s="1"/>
  <c r="C110" i="59" s="1"/>
  <c r="C111" i="59" s="1"/>
  <c r="C112" i="59" s="1"/>
  <c r="C113" i="59" s="1"/>
  <c r="C114" i="59" s="1"/>
  <c r="C115" i="59" s="1"/>
  <c r="C116" i="59" s="1"/>
  <c r="C117" i="59" s="1"/>
  <c r="C118" i="59" s="1"/>
  <c r="C119" i="59" s="1"/>
  <c r="C120" i="59" s="1"/>
  <c r="C121" i="59" s="1"/>
  <c r="C122" i="59" s="1"/>
  <c r="C123" i="59" s="1"/>
  <c r="C124" i="59" s="1"/>
  <c r="C125" i="59" s="1"/>
  <c r="C126" i="59" s="1"/>
  <c r="C127" i="59" s="1"/>
  <c r="C128" i="59" s="1"/>
  <c r="C129" i="59" s="1"/>
  <c r="C130" i="59" s="1"/>
  <c r="C131" i="59" s="1"/>
  <c r="C132" i="59" s="1"/>
  <c r="C133" i="59" s="1"/>
  <c r="C134" i="59" s="1"/>
  <c r="C135" i="59" s="1"/>
  <c r="C136" i="59" s="1"/>
  <c r="C137" i="59" s="1"/>
  <c r="C138" i="59" s="1"/>
  <c r="C139" i="59" s="1"/>
  <c r="C140" i="59" s="1"/>
  <c r="C141" i="59" s="1"/>
  <c r="C142" i="59" s="1"/>
  <c r="C143" i="59" s="1"/>
  <c r="C144" i="59" s="1"/>
  <c r="C145" i="59" s="1"/>
  <c r="C146" i="59" s="1"/>
  <c r="C147" i="59" s="1"/>
  <c r="C148" i="59" s="1"/>
  <c r="C149" i="59" s="1"/>
  <c r="C150" i="59" s="1"/>
  <c r="C151" i="59" s="1"/>
  <c r="C152" i="59" s="1"/>
  <c r="C153" i="59" s="1"/>
  <c r="C154" i="59" s="1"/>
  <c r="C155" i="59" s="1"/>
  <c r="C156" i="59" s="1"/>
  <c r="C157" i="59" s="1"/>
  <c r="C158" i="59" s="1"/>
  <c r="C159" i="59" s="1"/>
  <c r="C160" i="59" s="1"/>
  <c r="C161" i="59" s="1"/>
  <c r="C162" i="59" s="1"/>
  <c r="C163" i="59" s="1"/>
  <c r="C164" i="59" s="1"/>
  <c r="C165" i="59" s="1"/>
  <c r="C166" i="59" s="1"/>
  <c r="C167" i="59" s="1"/>
  <c r="C168" i="59" s="1"/>
  <c r="C169" i="59" s="1"/>
  <c r="C170" i="59" s="1"/>
  <c r="C171" i="59" s="1"/>
  <c r="C172" i="59" s="1"/>
  <c r="C173" i="59" s="1"/>
  <c r="C174" i="59" s="1"/>
  <c r="C175" i="59" s="1"/>
  <c r="C176" i="59" s="1"/>
  <c r="C177" i="59" s="1"/>
  <c r="C178" i="59" s="1"/>
  <c r="C179" i="59" s="1"/>
  <c r="C180" i="59" s="1"/>
  <c r="C181" i="59" s="1"/>
  <c r="C182" i="59" s="1"/>
  <c r="C183" i="59" s="1"/>
  <c r="C184" i="59" s="1"/>
  <c r="C185" i="59" s="1"/>
  <c r="C186" i="59" s="1"/>
  <c r="J113" i="59" l="1"/>
  <c r="J94" i="59"/>
  <c r="J98" i="59"/>
  <c r="J96" i="59"/>
  <c r="J112" i="59"/>
  <c r="J97" i="59"/>
  <c r="J115" i="59"/>
  <c r="J107" i="59"/>
  <c r="J106" i="59"/>
  <c r="J105" i="59"/>
  <c r="J104" i="59"/>
  <c r="J108" i="59"/>
  <c r="J72" i="59"/>
  <c r="J99" i="59"/>
  <c r="J110" i="59"/>
  <c r="J111" i="59"/>
  <c r="J114" i="59"/>
  <c r="J109" i="59"/>
  <c r="C57" i="58"/>
  <c r="C62" i="58" s="1"/>
  <c r="J69" i="59" l="1"/>
  <c r="J76" i="59"/>
  <c r="J77" i="59"/>
  <c r="J73" i="59"/>
  <c r="J75" i="59"/>
  <c r="J71" i="59"/>
  <c r="J74" i="59"/>
  <c r="J80" i="59"/>
  <c r="J78" i="59"/>
  <c r="J79" i="59"/>
  <c r="J93" i="59"/>
  <c r="J95" i="59"/>
  <c r="J91" i="59"/>
  <c r="J83" i="59"/>
  <c r="J82" i="59"/>
  <c r="J90" i="59"/>
  <c r="J92" i="59"/>
  <c r="J89" i="59"/>
  <c r="J102" i="59"/>
  <c r="J86" i="59"/>
  <c r="J118" i="59"/>
  <c r="J84" i="59"/>
  <c r="J68" i="59"/>
  <c r="J70" i="59"/>
  <c r="J85" i="59"/>
  <c r="J101" i="59"/>
  <c r="J103" i="59"/>
  <c r="J81" i="59"/>
  <c r="J100" i="59"/>
  <c r="J88" i="59"/>
  <c r="J87" i="59"/>
  <c r="J116" i="59"/>
  <c r="J117" i="59"/>
  <c r="C65" i="58"/>
  <c r="D32" i="59"/>
  <c r="D24" i="59"/>
  <c r="D16" i="59"/>
  <c r="G41" i="59"/>
  <c r="G33" i="59"/>
  <c r="G25" i="59"/>
  <c r="C42" i="59"/>
  <c r="C34" i="59"/>
  <c r="C35" i="59" s="1"/>
  <c r="C36" i="59" s="1"/>
  <c r="C37" i="59" s="1"/>
  <c r="C38" i="59" s="1"/>
  <c r="G38" i="59" s="1"/>
  <c r="D38" i="59" s="1"/>
  <c r="C26" i="59"/>
  <c r="G17" i="59"/>
  <c r="C18" i="59"/>
  <c r="C19" i="59" s="1"/>
  <c r="C20" i="59" s="1"/>
  <c r="C21" i="59" s="1"/>
  <c r="C22" i="59" s="1"/>
  <c r="G22" i="59" s="1"/>
  <c r="D22" i="59" s="1"/>
  <c r="I9" i="59"/>
  <c r="I8" i="59"/>
  <c r="C7" i="59"/>
  <c r="C8" i="59" s="1"/>
  <c r="C9" i="59" s="1"/>
  <c r="C10" i="59" s="1"/>
  <c r="DF111" i="60" l="1"/>
  <c r="DF109" i="60" s="1"/>
  <c r="DF115" i="60" s="1"/>
  <c r="DF116" i="60" s="1"/>
  <c r="CW111" i="60"/>
  <c r="CW109" i="60" s="1"/>
  <c r="CK111" i="60"/>
  <c r="CK109" i="60" s="1"/>
  <c r="CP111" i="60"/>
  <c r="CP109" i="60" s="1"/>
  <c r="CL111" i="60"/>
  <c r="CL109" i="60" s="1"/>
  <c r="CX111" i="60"/>
  <c r="CX109" i="60" s="1"/>
  <c r="DL111" i="60"/>
  <c r="DL109" i="60" s="1"/>
  <c r="DL115" i="60" s="1"/>
  <c r="DL116" i="60" s="1"/>
  <c r="DB111" i="60"/>
  <c r="DB109" i="60" s="1"/>
  <c r="DB115" i="60" s="1"/>
  <c r="DB116" i="60" s="1"/>
  <c r="CU111" i="60"/>
  <c r="CU109" i="60" s="1"/>
  <c r="CZ111" i="60"/>
  <c r="CZ109" i="60" s="1"/>
  <c r="DH111" i="60"/>
  <c r="DH109" i="60" s="1"/>
  <c r="DH115" i="60" s="1"/>
  <c r="DH116" i="60" s="1"/>
  <c r="DJ111" i="60"/>
  <c r="DJ109" i="60" s="1"/>
  <c r="DJ115" i="60" s="1"/>
  <c r="DJ116" i="60" s="1"/>
  <c r="DC111" i="60"/>
  <c r="DC109" i="60" s="1"/>
  <c r="DC115" i="60" s="1"/>
  <c r="DC116" i="60" s="1"/>
  <c r="DK111" i="60"/>
  <c r="DK109" i="60" s="1"/>
  <c r="DK115" i="60" s="1"/>
  <c r="DK116" i="60" s="1"/>
  <c r="CQ111" i="60"/>
  <c r="CQ109" i="60" s="1"/>
  <c r="CM111" i="60"/>
  <c r="CM109" i="60" s="1"/>
  <c r="CS111" i="60"/>
  <c r="CS109" i="60" s="1"/>
  <c r="DG111" i="60"/>
  <c r="DG109" i="60" s="1"/>
  <c r="DG115" i="60" s="1"/>
  <c r="DG116" i="60" s="1"/>
  <c r="CT111" i="60"/>
  <c r="CT109" i="60" s="1"/>
  <c r="CY111" i="60"/>
  <c r="CY109" i="60" s="1"/>
  <c r="DA111" i="60"/>
  <c r="DA109" i="60" s="1"/>
  <c r="CH111" i="60"/>
  <c r="CH109" i="60" s="1"/>
  <c r="CJ111" i="60"/>
  <c r="CJ109" i="60" s="1"/>
  <c r="DI111" i="60"/>
  <c r="DI109" i="60" s="1"/>
  <c r="DI115" i="60" s="1"/>
  <c r="DI116" i="60" s="1"/>
  <c r="CV111" i="60"/>
  <c r="CV109" i="60" s="1"/>
  <c r="DD111" i="60"/>
  <c r="DD109" i="60" s="1"/>
  <c r="DD115" i="60" s="1"/>
  <c r="DD116" i="60" s="1"/>
  <c r="CO111" i="60"/>
  <c r="CO109" i="60" s="1"/>
  <c r="DM111" i="60"/>
  <c r="DM109" i="60" s="1"/>
  <c r="DM115" i="60" s="1"/>
  <c r="DM116" i="60" s="1"/>
  <c r="DE111" i="60"/>
  <c r="DE109" i="60" s="1"/>
  <c r="DE115" i="60" s="1"/>
  <c r="DE116" i="60" s="1"/>
  <c r="DN111" i="60"/>
  <c r="DN109" i="60" s="1"/>
  <c r="DN115" i="60" s="1"/>
  <c r="DN116" i="60" s="1"/>
  <c r="CI111" i="60"/>
  <c r="CI109" i="60" s="1"/>
  <c r="CN111" i="60"/>
  <c r="CN109" i="60" s="1"/>
  <c r="CR111" i="60"/>
  <c r="CR109" i="60" s="1"/>
  <c r="CG111" i="60"/>
  <c r="CG109" i="60" s="1"/>
  <c r="CR38" i="60"/>
  <c r="CR40" i="60" s="1"/>
  <c r="CR34" i="60" s="1"/>
  <c r="AY38" i="60"/>
  <c r="CP38" i="60"/>
  <c r="CP40" i="60" s="1"/>
  <c r="CP34" i="60" s="1"/>
  <c r="CH38" i="60"/>
  <c r="CH40" i="60" s="1"/>
  <c r="CH34" i="60" s="1"/>
  <c r="CH44" i="60" s="1"/>
  <c r="CJ38" i="60"/>
  <c r="CJ40" i="60" s="1"/>
  <c r="CJ34" i="60" s="1"/>
  <c r="CM38" i="60"/>
  <c r="CM40" i="60" s="1"/>
  <c r="CM34" i="60" s="1"/>
  <c r="CN38" i="60"/>
  <c r="CN40" i="60" s="1"/>
  <c r="CN34" i="60" s="1"/>
  <c r="AH38" i="60"/>
  <c r="CC38" i="60"/>
  <c r="CC40" i="60" s="1"/>
  <c r="CC34" i="60" s="1"/>
  <c r="CK38" i="60"/>
  <c r="CK40" i="60" s="1"/>
  <c r="CK34" i="60" s="1"/>
  <c r="CI38" i="60"/>
  <c r="CI40" i="60" s="1"/>
  <c r="CI34" i="60" s="1"/>
  <c r="CO38" i="60"/>
  <c r="CO40" i="60" s="1"/>
  <c r="CO34" i="60" s="1"/>
  <c r="CL38" i="60"/>
  <c r="CL40" i="60" s="1"/>
  <c r="CL34" i="60" s="1"/>
  <c r="CL44" i="60" s="1"/>
  <c r="CQ38" i="60"/>
  <c r="CQ40" i="60" s="1"/>
  <c r="CQ34" i="60" s="1"/>
  <c r="CQ44" i="60" s="1"/>
  <c r="D33" i="59"/>
  <c r="D41" i="59"/>
  <c r="AD38" i="60"/>
  <c r="AB38" i="60"/>
  <c r="CE111" i="60"/>
  <c r="CE109" i="60" s="1"/>
  <c r="CC111" i="60"/>
  <c r="CC109" i="60" s="1"/>
  <c r="CF111" i="60"/>
  <c r="CF109" i="60" s="1"/>
  <c r="CA111" i="60"/>
  <c r="CA109" i="60" s="1"/>
  <c r="CD111" i="60"/>
  <c r="CD109" i="60" s="1"/>
  <c r="CB111" i="60"/>
  <c r="CB109" i="60" s="1"/>
  <c r="BZ38" i="60"/>
  <c r="BZ40" i="60" s="1"/>
  <c r="BZ34" i="60" s="1"/>
  <c r="Z38" i="60"/>
  <c r="AX38" i="60"/>
  <c r="AO38" i="60"/>
  <c r="AC38" i="60"/>
  <c r="AU38" i="60"/>
  <c r="X38" i="60"/>
  <c r="X40" i="60" s="1"/>
  <c r="X34" i="60" s="1"/>
  <c r="BY38" i="60"/>
  <c r="BY40" i="60" s="1"/>
  <c r="BY34" i="60" s="1"/>
  <c r="CB38" i="60"/>
  <c r="CB40" i="60" s="1"/>
  <c r="CB34" i="60" s="1"/>
  <c r="AR38" i="60"/>
  <c r="BX38" i="60"/>
  <c r="BX40" i="60" s="1"/>
  <c r="BX34" i="60" s="1"/>
  <c r="AP38" i="60"/>
  <c r="AT38" i="60"/>
  <c r="AW38" i="60"/>
  <c r="Y38" i="60"/>
  <c r="Y40" i="60" s="1"/>
  <c r="Y34" i="60" s="1"/>
  <c r="AS38" i="60"/>
  <c r="AG38" i="60"/>
  <c r="AA38" i="60"/>
  <c r="AA40" i="60" s="1"/>
  <c r="AA34" i="60" s="1"/>
  <c r="AQ38" i="60"/>
  <c r="CA38" i="60"/>
  <c r="AV38" i="60"/>
  <c r="AN38" i="60"/>
  <c r="I38" i="60"/>
  <c r="I40" i="60" s="1"/>
  <c r="AZ111" i="60"/>
  <c r="AZ109" i="60" s="1"/>
  <c r="AO111" i="60"/>
  <c r="AO109" i="60" s="1"/>
  <c r="U111" i="60"/>
  <c r="U109" i="60" s="1"/>
  <c r="BF111" i="60"/>
  <c r="BF109" i="60" s="1"/>
  <c r="AH111" i="60"/>
  <c r="AH109" i="60" s="1"/>
  <c r="W111" i="60"/>
  <c r="W109" i="60" s="1"/>
  <c r="AB111" i="60"/>
  <c r="AB109" i="60" s="1"/>
  <c r="V111" i="60"/>
  <c r="V109" i="60" s="1"/>
  <c r="AF111" i="60"/>
  <c r="AF109" i="60" s="1"/>
  <c r="AK111" i="60"/>
  <c r="AK109" i="60" s="1"/>
  <c r="BD111" i="60"/>
  <c r="BD109" i="60" s="1"/>
  <c r="AU111" i="60"/>
  <c r="AU109" i="60" s="1"/>
  <c r="BV111" i="60"/>
  <c r="BY111" i="60"/>
  <c r="BO111" i="60"/>
  <c r="BK111" i="60"/>
  <c r="BN111" i="60"/>
  <c r="BA111" i="60"/>
  <c r="BA109" i="60" s="1"/>
  <c r="AA111" i="60"/>
  <c r="AA109" i="60" s="1"/>
  <c r="N111" i="60"/>
  <c r="N109" i="60" s="1"/>
  <c r="BE111" i="60"/>
  <c r="BE109" i="60" s="1"/>
  <c r="AR111" i="60"/>
  <c r="AR109" i="60" s="1"/>
  <c r="BT111" i="60"/>
  <c r="BJ111" i="60"/>
  <c r="BX111" i="60"/>
  <c r="AV111" i="60"/>
  <c r="AV109" i="60" s="1"/>
  <c r="AY111" i="60"/>
  <c r="AY109" i="60" s="1"/>
  <c r="Z111" i="60"/>
  <c r="Z109" i="60" s="1"/>
  <c r="AW111" i="60"/>
  <c r="AW109" i="60" s="1"/>
  <c r="BZ111" i="60"/>
  <c r="AG111" i="60"/>
  <c r="AG109" i="60" s="1"/>
  <c r="BP111" i="60"/>
  <c r="AQ111" i="60"/>
  <c r="AQ109" i="60" s="1"/>
  <c r="AX111" i="60"/>
  <c r="AX109" i="60" s="1"/>
  <c r="X111" i="60"/>
  <c r="X109" i="60" s="1"/>
  <c r="AE111" i="60"/>
  <c r="AE109" i="60" s="1"/>
  <c r="BS111" i="60"/>
  <c r="BH111" i="60"/>
  <c r="BG111" i="60"/>
  <c r="BR111" i="60"/>
  <c r="S111" i="60"/>
  <c r="S109" i="60" s="1"/>
  <c r="AJ111" i="60"/>
  <c r="AJ109" i="60" s="1"/>
  <c r="P111" i="60"/>
  <c r="P109" i="60" s="1"/>
  <c r="AI111" i="60"/>
  <c r="AI109" i="60" s="1"/>
  <c r="BL111" i="60"/>
  <c r="BC111" i="60"/>
  <c r="BC109" i="60" s="1"/>
  <c r="AT111" i="60"/>
  <c r="AT109" i="60" s="1"/>
  <c r="AN111" i="60"/>
  <c r="AN109" i="60" s="1"/>
  <c r="T111" i="60"/>
  <c r="T109" i="60" s="1"/>
  <c r="AP111" i="60"/>
  <c r="AP109" i="60" s="1"/>
  <c r="R111" i="60"/>
  <c r="R109" i="60" s="1"/>
  <c r="AD111" i="60"/>
  <c r="AD109" i="60" s="1"/>
  <c r="O111" i="60"/>
  <c r="O109" i="60" s="1"/>
  <c r="BM111" i="60"/>
  <c r="AC111" i="60"/>
  <c r="AC109" i="60" s="1"/>
  <c r="BI111" i="60"/>
  <c r="BQ111" i="60"/>
  <c r="BU111" i="60"/>
  <c r="AM111" i="60"/>
  <c r="AM109" i="60" s="1"/>
  <c r="AL111" i="60"/>
  <c r="AL109" i="60" s="1"/>
  <c r="Y111" i="60"/>
  <c r="Y109" i="60" s="1"/>
  <c r="Q111" i="60"/>
  <c r="Q109" i="60" s="1"/>
  <c r="BB111" i="60"/>
  <c r="BB109" i="60" s="1"/>
  <c r="AS111" i="60"/>
  <c r="AS109" i="60" s="1"/>
  <c r="BW111" i="60"/>
  <c r="D17" i="59"/>
  <c r="D25" i="59"/>
  <c r="C58" i="59"/>
  <c r="C59" i="59" s="1"/>
  <c r="C27" i="59"/>
  <c r="C43" i="59"/>
  <c r="CQ51" i="60" l="1"/>
  <c r="CQ50" i="60"/>
  <c r="CQ49" i="60"/>
  <c r="CM44" i="60"/>
  <c r="CM51" i="60" s="1"/>
  <c r="CL51" i="60"/>
  <c r="CL49" i="60"/>
  <c r="CL50" i="60"/>
  <c r="CJ44" i="60"/>
  <c r="CJ51" i="60" s="1"/>
  <c r="CO44" i="60"/>
  <c r="CO51" i="60" s="1"/>
  <c r="CH51" i="60"/>
  <c r="CH50" i="60"/>
  <c r="CH49" i="60"/>
  <c r="CH48" i="60" s="1"/>
  <c r="CI44" i="60"/>
  <c r="CP44" i="60"/>
  <c r="CP51" i="60" s="1"/>
  <c r="CK44" i="60"/>
  <c r="CK51" i="60" s="1"/>
  <c r="CR44" i="60"/>
  <c r="CR51" i="60" s="1"/>
  <c r="CN44" i="60"/>
  <c r="I111" i="60"/>
  <c r="I109" i="60" s="1"/>
  <c r="I34" i="60"/>
  <c r="CA40" i="60"/>
  <c r="CA34" i="60" s="1"/>
  <c r="BG109" i="60"/>
  <c r="BT109" i="60"/>
  <c r="BO109" i="60"/>
  <c r="BU109" i="60"/>
  <c r="BM109" i="60"/>
  <c r="BH109" i="60"/>
  <c r="BZ109" i="60"/>
  <c r="BY109" i="60"/>
  <c r="BW109" i="60"/>
  <c r="BQ109" i="60"/>
  <c r="BL109" i="60"/>
  <c r="BS109" i="60"/>
  <c r="BX109" i="60"/>
  <c r="BN109" i="60"/>
  <c r="BV109" i="60"/>
  <c r="BI109" i="60"/>
  <c r="BR109" i="60"/>
  <c r="BP109" i="60"/>
  <c r="BJ109" i="60"/>
  <c r="BK109" i="60"/>
  <c r="C28" i="59"/>
  <c r="C29" i="59" s="1"/>
  <c r="C30" i="59" s="1"/>
  <c r="G30" i="59" s="1"/>
  <c r="D30" i="59" s="1"/>
  <c r="C44" i="59"/>
  <c r="C45" i="59" s="1"/>
  <c r="C46" i="59" s="1"/>
  <c r="G46" i="59" s="1"/>
  <c r="D46" i="59" s="1"/>
  <c r="CL48" i="60" l="1"/>
  <c r="CQ48" i="60"/>
  <c r="CN49" i="60"/>
  <c r="CN50" i="60"/>
  <c r="CI50" i="60"/>
  <c r="CI49" i="60"/>
  <c r="CR50" i="60"/>
  <c r="CR49" i="60"/>
  <c r="CK50" i="60"/>
  <c r="CK49" i="60"/>
  <c r="CM50" i="60"/>
  <c r="CM49" i="60"/>
  <c r="CO50" i="60"/>
  <c r="CO49" i="60"/>
  <c r="CP50" i="60"/>
  <c r="CP49" i="60"/>
  <c r="CP48" i="60" s="1"/>
  <c r="CN51" i="60"/>
  <c r="CI51" i="60"/>
  <c r="CJ50" i="60"/>
  <c r="CJ49" i="60"/>
  <c r="C13" i="58"/>
  <c r="C16" i="58" s="1"/>
  <c r="C19" i="58" s="1"/>
  <c r="C28" i="58" s="1"/>
  <c r="C40" i="58" s="1"/>
  <c r="C49" i="58" s="1"/>
  <c r="I31" i="58"/>
  <c r="M66" i="63" s="1"/>
  <c r="CK48" i="60" l="1"/>
  <c r="CJ48" i="60"/>
  <c r="CM48" i="60"/>
  <c r="CR48" i="60"/>
  <c r="CN48" i="60"/>
  <c r="CO48" i="60"/>
  <c r="CI48" i="60"/>
  <c r="J66" i="63"/>
  <c r="J75" i="64"/>
  <c r="J78" i="63"/>
  <c r="M78" i="63"/>
  <c r="D532" i="52" l="1"/>
  <c r="D533" i="52" s="1"/>
  <c r="D534" i="52" s="1"/>
  <c r="D535" i="52" s="1"/>
  <c r="D536" i="52" s="1"/>
  <c r="D537" i="52" s="1"/>
  <c r="D538" i="52" s="1"/>
  <c r="D539" i="52" s="1"/>
  <c r="D540" i="52" s="1"/>
  <c r="D541" i="52" s="1"/>
  <c r="D542" i="52" s="1"/>
  <c r="D543" i="52" s="1"/>
  <c r="D544" i="52" s="1"/>
  <c r="D545" i="52" s="1"/>
  <c r="D546" i="52" s="1"/>
  <c r="D547" i="52" s="1"/>
  <c r="D548" i="52" s="1"/>
  <c r="D549" i="52" s="1"/>
  <c r="D550" i="52" s="1"/>
  <c r="D551" i="52" s="1"/>
  <c r="D552" i="52" s="1"/>
  <c r="D553" i="52" s="1"/>
  <c r="D554" i="52" s="1"/>
  <c r="D555" i="52" s="1"/>
  <c r="D556" i="52" s="1"/>
  <c r="D557" i="52" s="1"/>
  <c r="D558" i="52" s="1"/>
  <c r="D559" i="52" s="1"/>
  <c r="D560" i="52" s="1"/>
  <c r="D561" i="52" s="1"/>
  <c r="D562" i="52" s="1"/>
  <c r="D563" i="52" s="1"/>
  <c r="D564" i="52" s="1"/>
  <c r="D565" i="52" s="1"/>
  <c r="D566" i="52" s="1"/>
  <c r="D567" i="52" s="1"/>
  <c r="D568" i="52" s="1"/>
  <c r="D569" i="52" s="1"/>
  <c r="D570" i="52" s="1"/>
  <c r="D571" i="52" s="1"/>
  <c r="D572" i="52" s="1"/>
  <c r="D573" i="52" s="1"/>
  <c r="D574" i="52" s="1"/>
  <c r="D575" i="52" s="1"/>
  <c r="D576" i="52" s="1"/>
  <c r="D577" i="52" s="1"/>
  <c r="D578" i="52" s="1"/>
  <c r="D579" i="52" s="1"/>
  <c r="D580" i="52" s="1"/>
  <c r="D581" i="52" s="1"/>
  <c r="D582" i="52" s="1"/>
  <c r="D583" i="52" s="1"/>
  <c r="D584" i="52" s="1"/>
  <c r="D585" i="52" s="1"/>
  <c r="D586" i="52" s="1"/>
  <c r="D587" i="52" s="1"/>
  <c r="D588" i="52" s="1"/>
  <c r="D589" i="52" s="1"/>
  <c r="D590" i="52" s="1"/>
  <c r="D591" i="52" s="1"/>
  <c r="D592" i="52" s="1"/>
  <c r="D593" i="52" s="1"/>
  <c r="D594" i="52" s="1"/>
  <c r="D595" i="52" s="1"/>
  <c r="D596" i="52" s="1"/>
  <c r="D597" i="52" s="1"/>
  <c r="D598" i="52" s="1"/>
  <c r="D599" i="52" s="1"/>
  <c r="D600" i="52" s="1"/>
  <c r="D601" i="52" s="1"/>
  <c r="D602" i="52" s="1"/>
  <c r="D603" i="52" s="1"/>
  <c r="D604" i="52" s="1"/>
  <c r="D605" i="52" s="1"/>
  <c r="D606" i="52" s="1"/>
  <c r="D607" i="52" s="1"/>
  <c r="D608" i="52" s="1"/>
  <c r="D609" i="52" s="1"/>
  <c r="D610" i="52" s="1"/>
  <c r="D611" i="52" s="1"/>
  <c r="D445" i="52"/>
  <c r="D446" i="52" s="1"/>
  <c r="D447" i="52" s="1"/>
  <c r="D448" i="52" s="1"/>
  <c r="D449" i="52" s="1"/>
  <c r="D450" i="52" s="1"/>
  <c r="D451" i="52" s="1"/>
  <c r="D452" i="52" s="1"/>
  <c r="D453" i="52" s="1"/>
  <c r="D454" i="52" s="1"/>
  <c r="D455" i="52" s="1"/>
  <c r="D456" i="52" s="1"/>
  <c r="D457" i="52" s="1"/>
  <c r="D458" i="52" s="1"/>
  <c r="D459" i="52" s="1"/>
  <c r="D460" i="52" s="1"/>
  <c r="D461" i="52" s="1"/>
  <c r="D462" i="52" s="1"/>
  <c r="D463" i="52" s="1"/>
  <c r="D464" i="52" s="1"/>
  <c r="D465" i="52" s="1"/>
  <c r="D466" i="52" s="1"/>
  <c r="D467" i="52" s="1"/>
  <c r="D468" i="52" s="1"/>
  <c r="D469" i="52" s="1"/>
  <c r="D470" i="52" s="1"/>
  <c r="D471" i="52" s="1"/>
  <c r="D472" i="52" s="1"/>
  <c r="D473" i="52" s="1"/>
  <c r="D474" i="52" s="1"/>
  <c r="D475" i="52" s="1"/>
  <c r="D476" i="52" s="1"/>
  <c r="D477" i="52" s="1"/>
  <c r="D478" i="52" s="1"/>
  <c r="D479" i="52" s="1"/>
  <c r="D480" i="52" s="1"/>
  <c r="D481" i="52" s="1"/>
  <c r="D482" i="52" s="1"/>
  <c r="D483" i="52" s="1"/>
  <c r="D484" i="52" s="1"/>
  <c r="D485" i="52" s="1"/>
  <c r="D486" i="52" s="1"/>
  <c r="D487" i="52" s="1"/>
  <c r="D488" i="52" s="1"/>
  <c r="D489" i="52" s="1"/>
  <c r="D490" i="52" s="1"/>
  <c r="D491" i="52" s="1"/>
  <c r="D492" i="52" s="1"/>
  <c r="D493" i="52" s="1"/>
  <c r="D494" i="52" s="1"/>
  <c r="D495" i="52" s="1"/>
  <c r="D496" i="52" s="1"/>
  <c r="D497" i="52" s="1"/>
  <c r="D498" i="52" s="1"/>
  <c r="D499" i="52" s="1"/>
  <c r="D500" i="52" s="1"/>
  <c r="D501" i="52" s="1"/>
  <c r="D502" i="52" s="1"/>
  <c r="D503" i="52" s="1"/>
  <c r="D504" i="52" s="1"/>
  <c r="D505" i="52" s="1"/>
  <c r="D506" i="52" s="1"/>
  <c r="D507" i="52" s="1"/>
  <c r="D508" i="52" s="1"/>
  <c r="D509" i="52" s="1"/>
  <c r="D510" i="52" s="1"/>
  <c r="D511" i="52" s="1"/>
  <c r="D512" i="52" s="1"/>
  <c r="D513" i="52" s="1"/>
  <c r="D514" i="52" s="1"/>
  <c r="D515" i="52" s="1"/>
  <c r="D516" i="52" s="1"/>
  <c r="D517" i="52" s="1"/>
  <c r="D518" i="52" s="1"/>
  <c r="D519" i="52" s="1"/>
  <c r="D520" i="52" s="1"/>
  <c r="D521" i="52" s="1"/>
  <c r="D522" i="52" s="1"/>
  <c r="D523" i="52" s="1"/>
  <c r="D524" i="52" s="1"/>
  <c r="D389" i="52"/>
  <c r="D390" i="52" s="1"/>
  <c r="D391" i="52" s="1"/>
  <c r="D392" i="52" s="1"/>
  <c r="D393" i="52" s="1"/>
  <c r="D394" i="52" s="1"/>
  <c r="D395" i="52" s="1"/>
  <c r="D396" i="52" s="1"/>
  <c r="D397" i="52" s="1"/>
  <c r="D398" i="52" s="1"/>
  <c r="D399" i="52" s="1"/>
  <c r="D400" i="52" s="1"/>
  <c r="D401" i="52" s="1"/>
  <c r="D402" i="52" s="1"/>
  <c r="D403" i="52" s="1"/>
  <c r="D404" i="52" s="1"/>
  <c r="D405" i="52" s="1"/>
  <c r="D406" i="52" s="1"/>
  <c r="D407" i="52" s="1"/>
  <c r="D408" i="52" s="1"/>
  <c r="D409" i="52" s="1"/>
  <c r="D410" i="52" s="1"/>
  <c r="D411" i="52" s="1"/>
  <c r="D412" i="52" s="1"/>
  <c r="D413" i="52" s="1"/>
  <c r="D414" i="52" s="1"/>
  <c r="D415" i="52" s="1"/>
  <c r="D416" i="52" s="1"/>
  <c r="D417" i="52" s="1"/>
  <c r="D418" i="52" s="1"/>
  <c r="D419" i="52" s="1"/>
  <c r="D420" i="52" s="1"/>
  <c r="D421" i="52" s="1"/>
  <c r="D422" i="52" s="1"/>
  <c r="D423" i="52" s="1"/>
  <c r="D424" i="52" s="1"/>
  <c r="D425" i="52" s="1"/>
  <c r="D426" i="52" s="1"/>
  <c r="D427" i="52" s="1"/>
  <c r="D428" i="52" s="1"/>
  <c r="D429" i="52" s="1"/>
  <c r="D430" i="52" s="1"/>
  <c r="D431" i="52" s="1"/>
  <c r="D432" i="52" s="1"/>
  <c r="D433" i="52" s="1"/>
  <c r="D434" i="52" s="1"/>
  <c r="D435" i="52" s="1"/>
  <c r="D436" i="52" s="1"/>
  <c r="D437" i="52" s="1"/>
  <c r="D333" i="52"/>
  <c r="D334" i="52" s="1"/>
  <c r="D335" i="52" s="1"/>
  <c r="D336" i="52" s="1"/>
  <c r="D337" i="52" s="1"/>
  <c r="D338" i="52" s="1"/>
  <c r="D339" i="52" s="1"/>
  <c r="D340" i="52" s="1"/>
  <c r="D341" i="52" s="1"/>
  <c r="D342" i="52" s="1"/>
  <c r="D343" i="52" s="1"/>
  <c r="D344" i="52" s="1"/>
  <c r="D345" i="52" s="1"/>
  <c r="D346" i="52" s="1"/>
  <c r="D347" i="52" s="1"/>
  <c r="D348" i="52" s="1"/>
  <c r="D349" i="52" s="1"/>
  <c r="D350" i="52" s="1"/>
  <c r="D351" i="52" s="1"/>
  <c r="D352" i="52" s="1"/>
  <c r="D353" i="52" s="1"/>
  <c r="D354" i="52" s="1"/>
  <c r="D355" i="52" s="1"/>
  <c r="D356" i="52" s="1"/>
  <c r="D357" i="52" s="1"/>
  <c r="D358" i="52" s="1"/>
  <c r="D359" i="52" s="1"/>
  <c r="D360" i="52" s="1"/>
  <c r="D361" i="52" s="1"/>
  <c r="D362" i="52" s="1"/>
  <c r="D363" i="52" s="1"/>
  <c r="D364" i="52" s="1"/>
  <c r="D365" i="52" s="1"/>
  <c r="D366" i="52" s="1"/>
  <c r="D367" i="52" s="1"/>
  <c r="D368" i="52" s="1"/>
  <c r="D369" i="52" s="1"/>
  <c r="D370" i="52" s="1"/>
  <c r="D371" i="52" s="1"/>
  <c r="D372" i="52" s="1"/>
  <c r="D373" i="52" s="1"/>
  <c r="D374" i="52" s="1"/>
  <c r="D375" i="52" s="1"/>
  <c r="D376" i="52" s="1"/>
  <c r="D377" i="52" s="1"/>
  <c r="D378" i="52" s="1"/>
  <c r="D379" i="52" s="1"/>
  <c r="D380" i="52" s="1"/>
  <c r="D381" i="52" s="1"/>
  <c r="D150" i="52"/>
  <c r="D151" i="52" s="1"/>
  <c r="D152" i="52" s="1"/>
  <c r="D153" i="52" s="1"/>
  <c r="D154" i="52" s="1"/>
  <c r="D155" i="52" s="1"/>
  <c r="D156" i="52" s="1"/>
  <c r="D157" i="52" s="1"/>
  <c r="D158" i="52" s="1"/>
  <c r="D159" i="52" s="1"/>
  <c r="D160" i="52" s="1"/>
  <c r="D161" i="52" s="1"/>
  <c r="D162" i="52" s="1"/>
  <c r="D163" i="52" s="1"/>
  <c r="D164" i="52" s="1"/>
  <c r="D165" i="52" s="1"/>
  <c r="D166" i="52" s="1"/>
  <c r="D167" i="52" s="1"/>
  <c r="D168" i="52" s="1"/>
  <c r="D169" i="52" s="1"/>
  <c r="D170" i="52" s="1"/>
  <c r="D171" i="52" s="1"/>
  <c r="D172" i="52" s="1"/>
  <c r="D173" i="52" s="1"/>
  <c r="D174" i="52" s="1"/>
  <c r="D175" i="52" s="1"/>
  <c r="D176" i="52" s="1"/>
  <c r="D177" i="52" s="1"/>
  <c r="D178" i="52" s="1"/>
  <c r="D179" i="52" s="1"/>
  <c r="D180" i="52" s="1"/>
  <c r="D181" i="52" s="1"/>
  <c r="D182" i="52" s="1"/>
  <c r="D183" i="52" s="1"/>
  <c r="D184" i="52" s="1"/>
  <c r="D185" i="52" s="1"/>
  <c r="D186" i="52" s="1"/>
  <c r="D187" i="52" s="1"/>
  <c r="D188" i="52" s="1"/>
  <c r="D189" i="52" s="1"/>
  <c r="D190" i="52" s="1"/>
  <c r="D191" i="52" s="1"/>
  <c r="D192" i="52" s="1"/>
  <c r="D193" i="52" s="1"/>
  <c r="D194" i="52" s="1"/>
  <c r="D195" i="52" s="1"/>
  <c r="D196" i="52" s="1"/>
  <c r="D197" i="52" s="1"/>
  <c r="D198" i="52" s="1"/>
  <c r="D199" i="52" s="1"/>
  <c r="D200" i="52" s="1"/>
  <c r="D201" i="52" s="1"/>
  <c r="D202" i="52" s="1"/>
  <c r="D203" i="52" s="1"/>
  <c r="D204" i="52" s="1"/>
  <c r="D205" i="52" s="1"/>
  <c r="D206" i="52" s="1"/>
  <c r="D207" i="52" s="1"/>
  <c r="D208" i="52" s="1"/>
  <c r="D209" i="52" s="1"/>
  <c r="D210" i="52" s="1"/>
  <c r="D211" i="52" s="1"/>
  <c r="D212" i="52" s="1"/>
  <c r="D213" i="52" s="1"/>
  <c r="D214" i="52" s="1"/>
  <c r="D215" i="52" s="1"/>
  <c r="D216" i="52" s="1"/>
  <c r="D217" i="52" s="1"/>
  <c r="D218" i="52" s="1"/>
  <c r="D219" i="52" s="1"/>
  <c r="D220" i="52" s="1"/>
  <c r="D221" i="52" s="1"/>
  <c r="D222" i="52" s="1"/>
  <c r="D223" i="52" s="1"/>
  <c r="D224" i="52" s="1"/>
  <c r="D225" i="52" s="1"/>
  <c r="D226" i="52" s="1"/>
  <c r="D227" i="52" s="1"/>
  <c r="D228" i="52" s="1"/>
  <c r="D229" i="52" s="1"/>
  <c r="D230" i="52" s="1"/>
  <c r="D231" i="52" s="1"/>
  <c r="D232" i="52" s="1"/>
  <c r="D233" i="52" s="1"/>
  <c r="D234" i="52" s="1"/>
  <c r="D235" i="52" s="1"/>
  <c r="D236" i="52" s="1"/>
  <c r="D237" i="52" s="1"/>
  <c r="D238" i="52" s="1"/>
  <c r="D239" i="52" s="1"/>
  <c r="D240" i="52" s="1"/>
  <c r="D241" i="52" s="1"/>
  <c r="D242" i="52" s="1"/>
  <c r="D243" i="52" s="1"/>
  <c r="D244" i="52" s="1"/>
  <c r="D245" i="52" s="1"/>
  <c r="D246" i="52" s="1"/>
  <c r="D247" i="52" s="1"/>
  <c r="D248" i="52" s="1"/>
  <c r="D249" i="52" s="1"/>
  <c r="D250" i="52" s="1"/>
  <c r="D251" i="52" s="1"/>
  <c r="D252" i="52" s="1"/>
  <c r="D253" i="52" s="1"/>
  <c r="D254" i="52" s="1"/>
  <c r="D255" i="52" s="1"/>
  <c r="D256" i="52" s="1"/>
  <c r="D257" i="52" s="1"/>
  <c r="D258" i="52" s="1"/>
  <c r="D259" i="52" s="1"/>
  <c r="D260" i="52" s="1"/>
  <c r="D261" i="52" s="1"/>
  <c r="D262" i="52" s="1"/>
  <c r="D263" i="52" s="1"/>
  <c r="D264" i="52" s="1"/>
  <c r="D265" i="52" s="1"/>
  <c r="D266" i="52" s="1"/>
  <c r="D267" i="52" s="1"/>
  <c r="D268" i="52" s="1"/>
  <c r="D269" i="52" s="1"/>
  <c r="D270" i="52" s="1"/>
  <c r="D271" i="52" s="1"/>
  <c r="D272" i="52" s="1"/>
  <c r="D273" i="52" s="1"/>
  <c r="D274" i="52" s="1"/>
  <c r="D22" i="52"/>
  <c r="D23" i="52" s="1"/>
  <c r="D24" i="52" s="1"/>
  <c r="D25" i="52" s="1"/>
  <c r="D26" i="52" s="1"/>
  <c r="D27" i="52" s="1"/>
  <c r="D28" i="52" s="1"/>
  <c r="D29" i="52" s="1"/>
  <c r="D30" i="52" s="1"/>
  <c r="D31" i="52" s="1"/>
  <c r="D32" i="52" s="1"/>
  <c r="D33" i="52" s="1"/>
  <c r="D34" i="52" s="1"/>
  <c r="D35" i="52" s="1"/>
  <c r="D36" i="52" s="1"/>
  <c r="D37" i="52" s="1"/>
  <c r="D38" i="52" s="1"/>
  <c r="D39" i="52" s="1"/>
  <c r="D40" i="52" s="1"/>
  <c r="D41" i="52" s="1"/>
  <c r="D42" i="52" s="1"/>
  <c r="D43" i="52" s="1"/>
  <c r="D44" i="52" s="1"/>
  <c r="D45" i="52" s="1"/>
  <c r="D46" i="52" s="1"/>
  <c r="D47" i="52" s="1"/>
  <c r="D48" i="52" s="1"/>
  <c r="D49" i="52" s="1"/>
  <c r="D50" i="52" s="1"/>
  <c r="D51" i="52" s="1"/>
  <c r="D52" i="52" s="1"/>
  <c r="D53" i="52" s="1"/>
  <c r="D54" i="52" s="1"/>
  <c r="D55" i="52" s="1"/>
  <c r="D56" i="52" s="1"/>
  <c r="D57" i="52" s="1"/>
  <c r="D58" i="52" s="1"/>
  <c r="D59" i="52" s="1"/>
  <c r="D60" i="52" s="1"/>
  <c r="D61" i="52" s="1"/>
  <c r="D62" i="52" s="1"/>
  <c r="D63" i="52" s="1"/>
  <c r="D64" i="52" s="1"/>
  <c r="D65" i="52" s="1"/>
  <c r="D66" i="52" s="1"/>
  <c r="D67" i="52" s="1"/>
  <c r="D68" i="52" s="1"/>
  <c r="D69" i="52" s="1"/>
  <c r="D70" i="52" s="1"/>
  <c r="D71" i="52" s="1"/>
  <c r="D72" i="52" s="1"/>
  <c r="D73" i="52" s="1"/>
  <c r="D74" i="52" s="1"/>
  <c r="D75" i="52" s="1"/>
  <c r="D76" i="52" s="1"/>
  <c r="D77" i="52" s="1"/>
  <c r="D78" i="52" s="1"/>
  <c r="D79" i="52" s="1"/>
  <c r="D80" i="52" s="1"/>
  <c r="D81" i="52" s="1"/>
  <c r="D82" i="52" s="1"/>
  <c r="D83" i="52" s="1"/>
  <c r="D84" i="52" s="1"/>
  <c r="D85" i="52" s="1"/>
  <c r="D86" i="52" s="1"/>
  <c r="D87" i="52" s="1"/>
  <c r="D88" i="52" s="1"/>
  <c r="D89" i="52" s="1"/>
  <c r="D90" i="52" s="1"/>
  <c r="D91" i="52" s="1"/>
  <c r="D92" i="52" s="1"/>
  <c r="D93" i="52" s="1"/>
  <c r="D94" i="52" s="1"/>
  <c r="D95" i="52" s="1"/>
  <c r="D96" i="52" s="1"/>
  <c r="D97" i="52" s="1"/>
  <c r="D98" i="52" s="1"/>
  <c r="D99" i="52" s="1"/>
  <c r="D100" i="52" s="1"/>
  <c r="D101" i="52" s="1"/>
  <c r="D102" i="52" s="1"/>
  <c r="D103" i="52" s="1"/>
  <c r="D104" i="52" s="1"/>
  <c r="D105" i="52" s="1"/>
  <c r="D106" i="52" s="1"/>
  <c r="D107" i="52" s="1"/>
  <c r="D108" i="52" s="1"/>
  <c r="D109" i="52" s="1"/>
  <c r="D110" i="52" s="1"/>
  <c r="D111" i="52" s="1"/>
  <c r="D112" i="52" s="1"/>
  <c r="D113" i="52" s="1"/>
  <c r="D114" i="52" s="1"/>
  <c r="D115" i="52" s="1"/>
  <c r="D116" i="52" s="1"/>
  <c r="D117" i="52" s="1"/>
  <c r="D118" i="52" s="1"/>
  <c r="D119" i="52" s="1"/>
  <c r="D120" i="52" s="1"/>
  <c r="D121" i="52" s="1"/>
  <c r="D122" i="52" s="1"/>
  <c r="D123" i="52" s="1"/>
  <c r="D124" i="52" s="1"/>
  <c r="D125" i="52" s="1"/>
  <c r="D126" i="52" s="1"/>
  <c r="D127" i="52" s="1"/>
  <c r="D128" i="52" s="1"/>
  <c r="D129" i="52" s="1"/>
  <c r="D130" i="52" s="1"/>
  <c r="D131" i="52" s="1"/>
  <c r="D132" i="52" s="1"/>
  <c r="D133" i="52" s="1"/>
  <c r="D134" i="52" s="1"/>
  <c r="D135" i="52" s="1"/>
  <c r="D136" i="52" s="1"/>
  <c r="D137" i="52" s="1"/>
  <c r="D138" i="52" s="1"/>
  <c r="D139" i="52" s="1"/>
  <c r="D140" i="52" s="1"/>
  <c r="D141" i="52" s="1"/>
  <c r="J5" i="51" l="1"/>
  <c r="J6" i="51" s="1"/>
  <c r="J7" i="51" s="1"/>
  <c r="J8" i="51" s="1"/>
  <c r="J9" i="51" s="1"/>
  <c r="J10" i="51" s="1"/>
  <c r="J11" i="51" s="1"/>
  <c r="J12" i="51" s="1"/>
  <c r="J13" i="51" s="1"/>
  <c r="J14" i="51" s="1"/>
  <c r="J15" i="51" s="1"/>
  <c r="J16" i="51" s="1"/>
  <c r="J17" i="51" s="1"/>
  <c r="J18" i="51" s="1"/>
  <c r="J19" i="51" s="1"/>
  <c r="J20" i="51" s="1"/>
  <c r="L20" i="52" l="1"/>
  <c r="E388" i="52" a="1"/>
  <c r="E437" i="52" s="1"/>
  <c r="E332" i="52" a="1"/>
  <c r="E332" i="52" s="1"/>
  <c r="J21" i="51"/>
  <c r="I303" i="52"/>
  <c r="J303" i="52"/>
  <c r="N332" i="52" l="1"/>
  <c r="M332" i="52"/>
  <c r="K571" i="59"/>
  <c r="E389" i="52"/>
  <c r="E391" i="52"/>
  <c r="G332" i="52"/>
  <c r="G388" i="52" s="1"/>
  <c r="E388" i="52"/>
  <c r="E396" i="52"/>
  <c r="E397" i="52"/>
  <c r="E390" i="52"/>
  <c r="E403" i="52"/>
  <c r="E414" i="52"/>
  <c r="E392" i="52"/>
  <c r="E400" i="52"/>
  <c r="E399" i="52"/>
  <c r="E393" i="52"/>
  <c r="E401" i="52"/>
  <c r="E394" i="52"/>
  <c r="G149" i="52"/>
  <c r="E435" i="52"/>
  <c r="E395" i="52"/>
  <c r="E404" i="52"/>
  <c r="E424" i="52"/>
  <c r="E428" i="52"/>
  <c r="E426" i="52"/>
  <c r="E419" i="52"/>
  <c r="E398" i="52"/>
  <c r="E402" i="52"/>
  <c r="E406" i="52"/>
  <c r="E421" i="52"/>
  <c r="E405" i="52"/>
  <c r="E431" i="52"/>
  <c r="E415" i="52"/>
  <c r="E430" i="52"/>
  <c r="E409" i="52"/>
  <c r="E418" i="52"/>
  <c r="E422" i="52"/>
  <c r="E427" i="52"/>
  <c r="E411" i="52"/>
  <c r="E425" i="52"/>
  <c r="E434" i="52"/>
  <c r="E413" i="52"/>
  <c r="E417" i="52"/>
  <c r="E416" i="52"/>
  <c r="E432" i="52"/>
  <c r="E436" i="52"/>
  <c r="E423" i="52"/>
  <c r="E407" i="52"/>
  <c r="E420" i="52"/>
  <c r="E429" i="52"/>
  <c r="E408" i="52"/>
  <c r="E433" i="52"/>
  <c r="E412" i="52"/>
  <c r="E410" i="52"/>
  <c r="E346" i="52"/>
  <c r="M346" i="52" s="1"/>
  <c r="E340" i="52"/>
  <c r="M340" i="52" s="1"/>
  <c r="E356" i="52"/>
  <c r="M356" i="52" s="1"/>
  <c r="E362" i="52"/>
  <c r="M362" i="52" s="1"/>
  <c r="E345" i="52"/>
  <c r="M345" i="52" s="1"/>
  <c r="E335" i="52"/>
  <c r="M335" i="52" s="1"/>
  <c r="E361" i="52"/>
  <c r="M361" i="52" s="1"/>
  <c r="E355" i="52"/>
  <c r="M355" i="52" s="1"/>
  <c r="E372" i="52"/>
  <c r="M372" i="52" s="1"/>
  <c r="E378" i="52"/>
  <c r="M378" i="52" s="1"/>
  <c r="E379" i="52"/>
  <c r="M379" i="52" s="1"/>
  <c r="E377" i="52"/>
  <c r="M377" i="52" s="1"/>
  <c r="E344" i="52"/>
  <c r="M344" i="52" s="1"/>
  <c r="E360" i="52"/>
  <c r="M360" i="52" s="1"/>
  <c r="E376" i="52"/>
  <c r="M376" i="52" s="1"/>
  <c r="E339" i="52"/>
  <c r="M339" i="52" s="1"/>
  <c r="E333" i="52"/>
  <c r="E349" i="52"/>
  <c r="M349" i="52" s="1"/>
  <c r="E365" i="52"/>
  <c r="M365" i="52" s="1"/>
  <c r="E381" i="52"/>
  <c r="M381" i="52" s="1"/>
  <c r="E350" i="52"/>
  <c r="M350" i="52" s="1"/>
  <c r="E366" i="52"/>
  <c r="M366" i="52" s="1"/>
  <c r="E343" i="52"/>
  <c r="M343" i="52" s="1"/>
  <c r="E363" i="52"/>
  <c r="M363" i="52" s="1"/>
  <c r="E348" i="52"/>
  <c r="M348" i="52" s="1"/>
  <c r="E364" i="52"/>
  <c r="M364" i="52" s="1"/>
  <c r="E380" i="52"/>
  <c r="M380" i="52" s="1"/>
  <c r="E359" i="52"/>
  <c r="M359" i="52" s="1"/>
  <c r="E337" i="52"/>
  <c r="M337" i="52" s="1"/>
  <c r="E353" i="52"/>
  <c r="M353" i="52" s="1"/>
  <c r="E369" i="52"/>
  <c r="M369" i="52" s="1"/>
  <c r="E334" i="52"/>
  <c r="M334" i="52" s="1"/>
  <c r="E354" i="52"/>
  <c r="M354" i="52" s="1"/>
  <c r="E370" i="52"/>
  <c r="M370" i="52" s="1"/>
  <c r="E347" i="52"/>
  <c r="M347" i="52" s="1"/>
  <c r="E367" i="52"/>
  <c r="M367" i="52" s="1"/>
  <c r="F332" i="52"/>
  <c r="F388" i="52" s="1"/>
  <c r="E336" i="52"/>
  <c r="M336" i="52" s="1"/>
  <c r="E352" i="52"/>
  <c r="M352" i="52" s="1"/>
  <c r="E368" i="52"/>
  <c r="M368" i="52" s="1"/>
  <c r="E338" i="52"/>
  <c r="M338" i="52" s="1"/>
  <c r="E371" i="52"/>
  <c r="M371" i="52" s="1"/>
  <c r="E341" i="52"/>
  <c r="M341" i="52" s="1"/>
  <c r="E357" i="52"/>
  <c r="M357" i="52" s="1"/>
  <c r="E373" i="52"/>
  <c r="M373" i="52" s="1"/>
  <c r="E342" i="52"/>
  <c r="M342" i="52" s="1"/>
  <c r="E358" i="52"/>
  <c r="M358" i="52" s="1"/>
  <c r="E374" i="52"/>
  <c r="M374" i="52" s="1"/>
  <c r="E351" i="52"/>
  <c r="M351" i="52" s="1"/>
  <c r="E375" i="52"/>
  <c r="M375" i="52" s="1"/>
  <c r="J22" i="51"/>
  <c r="M333" i="52" l="1"/>
  <c r="M331" i="52" s="1"/>
  <c r="N333" i="52"/>
  <c r="N331" i="52" s="1"/>
  <c r="N284" i="52"/>
  <c r="N314" i="52" s="1"/>
  <c r="N282" i="52"/>
  <c r="L331" i="52"/>
  <c r="M284" i="52"/>
  <c r="M314" i="52" s="1"/>
  <c r="M282" i="52"/>
  <c r="K591" i="59"/>
  <c r="K583" i="59"/>
  <c r="K573" i="59"/>
  <c r="K572" i="59"/>
  <c r="K575" i="59"/>
  <c r="K593" i="59"/>
  <c r="K587" i="59"/>
  <c r="K586" i="59"/>
  <c r="K580" i="59"/>
  <c r="K595" i="59"/>
  <c r="K589" i="59"/>
  <c r="K585" i="59"/>
  <c r="K581" i="59"/>
  <c r="K590" i="59"/>
  <c r="K579" i="59"/>
  <c r="K576" i="59"/>
  <c r="K577" i="59"/>
  <c r="K584" i="59"/>
  <c r="K578" i="59"/>
  <c r="K588" i="59"/>
  <c r="K574" i="59"/>
  <c r="K594" i="59"/>
  <c r="K592" i="59"/>
  <c r="K582" i="59"/>
  <c r="K331" i="52"/>
  <c r="K148" i="52"/>
  <c r="F333" i="52"/>
  <c r="F389" i="52" s="1"/>
  <c r="G333" i="52"/>
  <c r="G389" i="52" s="1"/>
  <c r="J23" i="51"/>
  <c r="K690" i="59" l="1"/>
  <c r="P570" i="59"/>
  <c r="N320" i="52"/>
  <c r="N322" i="52" s="1"/>
  <c r="N316" i="52"/>
  <c r="J148" i="52"/>
  <c r="I148" i="52"/>
  <c r="J67" i="59"/>
  <c r="J24" i="51"/>
  <c r="N324" i="52" l="1"/>
  <c r="N389" i="52"/>
  <c r="N593" i="52" s="1"/>
  <c r="N388" i="52"/>
  <c r="N594" i="52" s="1"/>
  <c r="J574" i="59"/>
  <c r="E558" i="59"/>
  <c r="J25" i="51"/>
  <c r="N387" i="52" l="1"/>
  <c r="K20" i="52"/>
  <c r="F557" i="59"/>
  <c r="F558" i="59" s="1"/>
  <c r="J584" i="59"/>
  <c r="J589" i="59"/>
  <c r="J587" i="59"/>
  <c r="J583" i="59"/>
  <c r="J576" i="59"/>
  <c r="J592" i="59"/>
  <c r="J570" i="59"/>
  <c r="J573" i="59"/>
  <c r="J571" i="59"/>
  <c r="J572" i="59"/>
  <c r="J577" i="59"/>
  <c r="J580" i="59"/>
  <c r="J575" i="59"/>
  <c r="J582" i="59"/>
  <c r="J591" i="59"/>
  <c r="J588" i="59"/>
  <c r="J594" i="59"/>
  <c r="J579" i="59"/>
  <c r="J586" i="59"/>
  <c r="J593" i="59"/>
  <c r="J578" i="59"/>
  <c r="J585" i="59"/>
  <c r="J581" i="59"/>
  <c r="J590" i="59"/>
  <c r="J595" i="59"/>
  <c r="J26" i="51"/>
  <c r="J690" i="59" l="1"/>
  <c r="O570" i="59"/>
  <c r="J27" i="51"/>
  <c r="J28" i="51" l="1"/>
  <c r="D5" i="51"/>
  <c r="D6" i="51" s="1"/>
  <c r="D7" i="51" s="1"/>
  <c r="D8" i="51" s="1"/>
  <c r="D9" i="51" s="1"/>
  <c r="D10" i="51" s="1"/>
  <c r="D11" i="51" s="1"/>
  <c r="D12" i="51" s="1"/>
  <c r="D13" i="51" s="1"/>
  <c r="D14" i="51" s="1"/>
  <c r="D15" i="51" s="1"/>
  <c r="D16" i="51" s="1"/>
  <c r="D17" i="51" s="1"/>
  <c r="D18" i="51" s="1"/>
  <c r="D19" i="51" s="1"/>
  <c r="D20" i="51" s="1"/>
  <c r="D21" i="51" s="1"/>
  <c r="D22" i="51" s="1"/>
  <c r="D23" i="51" s="1"/>
  <c r="D24" i="51" s="1"/>
  <c r="D25" i="51" s="1"/>
  <c r="D26" i="51" s="1"/>
  <c r="D27" i="51" s="1"/>
  <c r="D28" i="51" s="1"/>
  <c r="D29" i="51" s="1"/>
  <c r="D30" i="51" s="1"/>
  <c r="B5" i="51"/>
  <c r="D31" i="51" l="1"/>
  <c r="G34" i="59"/>
  <c r="G26" i="59"/>
  <c r="G18" i="59"/>
  <c r="G42" i="59"/>
  <c r="B6" i="51"/>
  <c r="J29" i="51"/>
  <c r="F126" i="47"/>
  <c r="G126" i="47" s="1"/>
  <c r="F127" i="47"/>
  <c r="G127" i="47" s="1"/>
  <c r="F128" i="47"/>
  <c r="G128" i="47" s="1"/>
  <c r="E129" i="47"/>
  <c r="H129" i="47"/>
  <c r="B5" i="48"/>
  <c r="B6" i="48"/>
  <c r="B8" i="48"/>
  <c r="B9" i="48"/>
  <c r="B10" i="48"/>
  <c r="B11" i="48"/>
  <c r="D26" i="59" l="1"/>
  <c r="D34" i="59"/>
  <c r="J30" i="51"/>
  <c r="D42" i="59"/>
  <c r="B7" i="51"/>
  <c r="G19" i="59"/>
  <c r="D19" i="59" s="1"/>
  <c r="G35" i="59"/>
  <c r="D35" i="59" s="1"/>
  <c r="G27" i="59"/>
  <c r="D27" i="59" s="1"/>
  <c r="G43" i="59"/>
  <c r="D43" i="59" s="1"/>
  <c r="D18" i="59"/>
  <c r="D32" i="51"/>
  <c r="F129" i="47"/>
  <c r="E133" i="47" a="1"/>
  <c r="G129" i="47"/>
  <c r="D33" i="51" l="1"/>
  <c r="B8" i="51"/>
  <c r="G36" i="59"/>
  <c r="D36" i="59" s="1"/>
  <c r="G20" i="59"/>
  <c r="G28" i="59"/>
  <c r="D28" i="59" s="1"/>
  <c r="G44" i="59"/>
  <c r="D44" i="59" s="1"/>
  <c r="J31" i="51"/>
  <c r="G134" i="47"/>
  <c r="F135" i="47"/>
  <c r="E133" i="47"/>
  <c r="G133" i="47"/>
  <c r="H134" i="47"/>
  <c r="H135" i="47"/>
  <c r="H133" i="47"/>
  <c r="G135" i="47"/>
  <c r="F134" i="47"/>
  <c r="E134" i="47"/>
  <c r="E135" i="47"/>
  <c r="F133" i="47"/>
  <c r="J8" i="63" l="1"/>
  <c r="M8" i="63" s="1"/>
  <c r="B9" i="51"/>
  <c r="I19" i="52" s="1" a="1"/>
  <c r="H142" i="47"/>
  <c r="D20" i="59"/>
  <c r="H143" i="47"/>
  <c r="J32" i="51"/>
  <c r="G21" i="59"/>
  <c r="G37" i="59"/>
  <c r="D37" i="59" s="1"/>
  <c r="G29" i="59"/>
  <c r="G45" i="59"/>
  <c r="D45" i="59" s="1"/>
  <c r="D34" i="51"/>
  <c r="F143" i="47"/>
  <c r="F142" i="47"/>
  <c r="F136" i="47"/>
  <c r="F141" i="47"/>
  <c r="G143" i="47"/>
  <c r="G141" i="47"/>
  <c r="G136" i="47"/>
  <c r="H141" i="47"/>
  <c r="H136" i="47"/>
  <c r="E136" i="47"/>
  <c r="G142" i="47"/>
  <c r="D21" i="59" l="1"/>
  <c r="I16" i="59"/>
  <c r="I32" i="59"/>
  <c r="D29" i="59"/>
  <c r="I24" i="59"/>
  <c r="I40" i="59"/>
  <c r="I19" i="52"/>
  <c r="K19" i="52"/>
  <c r="J19" i="52"/>
  <c r="O19" i="52"/>
  <c r="L19" i="52"/>
  <c r="N19" i="52"/>
  <c r="M19" i="52"/>
  <c r="I2" i="52" a="1"/>
  <c r="J9" i="63"/>
  <c r="I147" i="52" a="1"/>
  <c r="E495" i="59"/>
  <c r="H144" i="47"/>
  <c r="D35" i="51"/>
  <c r="J33" i="51"/>
  <c r="F144" i="47"/>
  <c r="G144" i="47"/>
  <c r="AE106" i="60" l="1"/>
  <c r="DN106" i="60"/>
  <c r="DN107" i="60" s="1"/>
  <c r="DM106" i="60"/>
  <c r="DM107" i="60" s="1"/>
  <c r="DH106" i="60"/>
  <c r="DH107" i="60" s="1"/>
  <c r="DG106" i="60"/>
  <c r="DG107" i="60" s="1"/>
  <c r="DK106" i="60"/>
  <c r="DK107" i="60" s="1"/>
  <c r="DE106" i="60"/>
  <c r="DE107" i="60" s="1"/>
  <c r="CH106" i="60"/>
  <c r="DJ106" i="60"/>
  <c r="DJ107" i="60" s="1"/>
  <c r="DI106" i="60"/>
  <c r="DI107" i="60" s="1"/>
  <c r="DF106" i="60"/>
  <c r="DF107" i="60" s="1"/>
  <c r="CZ106" i="60"/>
  <c r="DD106" i="60"/>
  <c r="DD107" i="60" s="1"/>
  <c r="DB106" i="60"/>
  <c r="DB107" i="60" s="1"/>
  <c r="DL106" i="60"/>
  <c r="DL107" i="60" s="1"/>
  <c r="DC106" i="60"/>
  <c r="DC107" i="60" s="1"/>
  <c r="CJ106" i="60"/>
  <c r="CR106" i="60"/>
  <c r="CX106" i="60"/>
  <c r="CP106" i="60"/>
  <c r="CV106" i="60"/>
  <c r="DA106" i="60"/>
  <c r="CO106" i="60"/>
  <c r="CS106" i="60"/>
  <c r="CN106" i="60"/>
  <c r="CW106" i="60"/>
  <c r="CQ106" i="60"/>
  <c r="CU106" i="60"/>
  <c r="CL106" i="60"/>
  <c r="CK106" i="60"/>
  <c r="CI106" i="60"/>
  <c r="CT106" i="60"/>
  <c r="CM106" i="60"/>
  <c r="CG106" i="60"/>
  <c r="CY106" i="60"/>
  <c r="E491" i="59"/>
  <c r="E493" i="59"/>
  <c r="E488" i="59"/>
  <c r="E492" i="59"/>
  <c r="E490" i="59"/>
  <c r="E487" i="59"/>
  <c r="E489" i="59"/>
  <c r="E496" i="59"/>
  <c r="M9" i="63"/>
  <c r="M71" i="63" s="1"/>
  <c r="M73" i="63" s="1"/>
  <c r="J10" i="63"/>
  <c r="J71" i="63"/>
  <c r="J73" i="63" s="1"/>
  <c r="J147" i="52"/>
  <c r="L147" i="52"/>
  <c r="I147" i="52"/>
  <c r="O147" i="52"/>
  <c r="N147" i="52"/>
  <c r="M147" i="52"/>
  <c r="K147" i="52"/>
  <c r="I2" i="52"/>
  <c r="K2" i="52"/>
  <c r="J2" i="52"/>
  <c r="O2" i="52"/>
  <c r="M2" i="52"/>
  <c r="N2" i="52"/>
  <c r="L2" i="52"/>
  <c r="K52" i="59"/>
  <c r="BH106" i="60"/>
  <c r="CB106" i="60"/>
  <c r="I106" i="60"/>
  <c r="AX106" i="60"/>
  <c r="AZ106" i="60"/>
  <c r="BD106" i="60"/>
  <c r="AB106" i="60"/>
  <c r="BG106" i="60"/>
  <c r="BZ106" i="60"/>
  <c r="AG106" i="60"/>
  <c r="AD106" i="60"/>
  <c r="AC106" i="60"/>
  <c r="AJ106" i="60"/>
  <c r="AJ107" i="60" s="1"/>
  <c r="V106" i="60"/>
  <c r="AU106" i="60"/>
  <c r="CD106" i="60"/>
  <c r="L106" i="60"/>
  <c r="AA106" i="60"/>
  <c r="W106" i="60"/>
  <c r="AF106" i="60"/>
  <c r="AF107" i="60" s="1"/>
  <c r="Z106" i="60"/>
  <c r="AQ106" i="60"/>
  <c r="AS106" i="60"/>
  <c r="BA106" i="60"/>
  <c r="BC106" i="60"/>
  <c r="CA106" i="60"/>
  <c r="X106" i="60"/>
  <c r="CF106" i="60"/>
  <c r="BE106" i="60"/>
  <c r="BX106" i="60"/>
  <c r="AN106" i="60"/>
  <c r="CC106" i="60"/>
  <c r="BI106" i="60"/>
  <c r="BI107" i="60" s="1"/>
  <c r="P106" i="60"/>
  <c r="AR106" i="60"/>
  <c r="U106" i="60"/>
  <c r="U107" i="60" s="1"/>
  <c r="BV106" i="60"/>
  <c r="BV107" i="60" s="1"/>
  <c r="BU106" i="60"/>
  <c r="BU107" i="60" s="1"/>
  <c r="BY106" i="60"/>
  <c r="AV106" i="60"/>
  <c r="AY106" i="60"/>
  <c r="M106" i="60"/>
  <c r="BK106" i="60"/>
  <c r="BK107" i="60" s="1"/>
  <c r="AK106" i="60"/>
  <c r="AK107" i="60" s="1"/>
  <c r="BB106" i="60"/>
  <c r="AT106" i="60"/>
  <c r="BP106" i="60"/>
  <c r="BP107" i="60" s="1"/>
  <c r="R106" i="60"/>
  <c r="AM106" i="60"/>
  <c r="AM107" i="60" s="1"/>
  <c r="T106" i="60"/>
  <c r="T107" i="60" s="1"/>
  <c r="BR106" i="60"/>
  <c r="BR107" i="60" s="1"/>
  <c r="N106" i="60"/>
  <c r="AI106" i="60"/>
  <c r="AI107" i="60" s="1"/>
  <c r="AW106" i="60"/>
  <c r="AP106" i="60"/>
  <c r="BM106" i="60"/>
  <c r="BM107" i="60" s="1"/>
  <c r="CE106" i="60"/>
  <c r="BF106" i="60"/>
  <c r="Q106" i="60"/>
  <c r="BO106" i="60"/>
  <c r="BO107" i="60" s="1"/>
  <c r="AO106" i="60"/>
  <c r="Y106" i="60"/>
  <c r="BW106" i="60"/>
  <c r="BW107" i="60" s="1"/>
  <c r="BJ106" i="60"/>
  <c r="BJ107" i="60" s="1"/>
  <c r="AH106" i="60"/>
  <c r="AL106" i="60"/>
  <c r="AL107" i="60" s="1"/>
  <c r="S106" i="60"/>
  <c r="S107" i="60" s="1"/>
  <c r="K106" i="60"/>
  <c r="BQ106" i="60"/>
  <c r="BQ107" i="60" s="1"/>
  <c r="J106" i="60"/>
  <c r="J107" i="60" s="1"/>
  <c r="BT106" i="60"/>
  <c r="BT107" i="60" s="1"/>
  <c r="BS106" i="60"/>
  <c r="BS107" i="60" s="1"/>
  <c r="BL106" i="60"/>
  <c r="BL107" i="60" s="1"/>
  <c r="BN106" i="60"/>
  <c r="BN107" i="60" s="1"/>
  <c r="O106" i="60"/>
  <c r="J34" i="51"/>
  <c r="D36" i="51"/>
  <c r="M10" i="63" l="1"/>
  <c r="J14" i="63"/>
  <c r="M14" i="63" s="1"/>
  <c r="D37" i="51"/>
  <c r="J35" i="51"/>
  <c r="J36" i="51" l="1"/>
  <c r="D38" i="51"/>
  <c r="D39" i="51" l="1"/>
  <c r="J37" i="51"/>
  <c r="J38" i="51" l="1"/>
  <c r="D40" i="51"/>
  <c r="D41" i="51" l="1"/>
  <c r="J39" i="51"/>
  <c r="J40" i="51" l="1"/>
  <c r="D42" i="51"/>
  <c r="D43" i="51" s="1"/>
  <c r="D44" i="51" s="1"/>
  <c r="D45" i="51" s="1"/>
  <c r="D46" i="51" s="1"/>
  <c r="D47" i="51" s="1"/>
  <c r="D48" i="51" s="1"/>
  <c r="D49" i="51" s="1"/>
  <c r="D50" i="51" s="1"/>
  <c r="D51" i="51" s="1"/>
  <c r="D52" i="51" s="1"/>
  <c r="D53" i="51" s="1"/>
  <c r="D54" i="51" s="1"/>
  <c r="D55" i="51" s="1"/>
  <c r="D56" i="51" s="1"/>
  <c r="D57" i="51" s="1"/>
  <c r="D58" i="51" s="1"/>
  <c r="D59" i="51" s="1"/>
  <c r="D60" i="51" s="1"/>
  <c r="D61" i="51" s="1"/>
  <c r="D62" i="51" s="1"/>
  <c r="D63" i="51" s="1"/>
  <c r="D64" i="51" s="1"/>
  <c r="D65" i="51" s="1"/>
  <c r="D66" i="51" s="1"/>
  <c r="D67" i="51" s="1"/>
  <c r="D68" i="51" s="1"/>
  <c r="D69" i="51" s="1"/>
  <c r="D70" i="51" s="1"/>
  <c r="D71" i="51" s="1"/>
  <c r="D72" i="51" s="1"/>
  <c r="D73" i="51" s="1"/>
  <c r="D74" i="51" s="1"/>
  <c r="D75" i="51" s="1"/>
  <c r="D76" i="51" s="1"/>
  <c r="D77" i="51" s="1"/>
  <c r="D78" i="51" s="1"/>
  <c r="D79" i="51" s="1"/>
  <c r="D80" i="51" s="1"/>
  <c r="D81" i="51" s="1"/>
  <c r="D82" i="51" s="1"/>
  <c r="D83" i="51" s="1"/>
  <c r="D84" i="51" s="1"/>
  <c r="D85" i="51" s="1"/>
  <c r="D86" i="51" s="1"/>
  <c r="D87" i="51" s="1"/>
  <c r="D88" i="51" s="1"/>
  <c r="D89" i="51" s="1"/>
  <c r="D90" i="51" s="1"/>
  <c r="D91" i="51" s="1"/>
  <c r="D92" i="51" s="1"/>
  <c r="D93" i="51" s="1"/>
  <c r="D94" i="51" s="1"/>
  <c r="D95" i="51" s="1"/>
  <c r="D96" i="51" s="1"/>
  <c r="D97" i="51" s="1"/>
  <c r="D98" i="51" s="1"/>
  <c r="D99" i="51" s="1"/>
  <c r="D100" i="51" s="1"/>
  <c r="D101" i="51" s="1"/>
  <c r="D102" i="51" s="1"/>
  <c r="D103" i="51" s="1"/>
  <c r="D104" i="51" s="1"/>
  <c r="D105" i="51" s="1"/>
  <c r="D106" i="51" s="1"/>
  <c r="D107" i="51" s="1"/>
  <c r="D108" i="51" s="1"/>
  <c r="D109" i="51" s="1"/>
  <c r="D110" i="51" s="1"/>
  <c r="D111" i="51" s="1"/>
  <c r="D112" i="51" s="1"/>
  <c r="D113" i="51" s="1"/>
  <c r="D114" i="51" s="1"/>
  <c r="D115" i="51" s="1"/>
  <c r="D116" i="51" s="1"/>
  <c r="D117" i="51" s="1"/>
  <c r="D118" i="51" s="1"/>
  <c r="D119" i="51" s="1"/>
  <c r="D120" i="51" s="1"/>
  <c r="D121" i="51" s="1"/>
  <c r="D122" i="51" s="1"/>
  <c r="D123" i="51" s="1"/>
  <c r="D124" i="51" s="1"/>
  <c r="D125" i="51" s="1"/>
  <c r="D126" i="51" s="1"/>
  <c r="D127" i="51" s="1"/>
  <c r="D128" i="51" s="1"/>
  <c r="D129" i="51" s="1"/>
  <c r="D130" i="51" s="1"/>
  <c r="D131" i="51" s="1"/>
  <c r="D132" i="51" s="1"/>
  <c r="D133" i="51" s="1"/>
  <c r="D134" i="51" s="1"/>
  <c r="D135" i="51" s="1"/>
  <c r="D136" i="51" s="1"/>
  <c r="D137" i="51" s="1"/>
  <c r="D138" i="51" s="1"/>
  <c r="D139" i="51" s="1"/>
  <c r="D140" i="51" s="1"/>
  <c r="D141" i="51" s="1"/>
  <c r="D142" i="51" s="1"/>
  <c r="D143" i="51" s="1"/>
  <c r="D144" i="51" s="1"/>
  <c r="D145" i="51" s="1"/>
  <c r="D146" i="51" s="1"/>
  <c r="D147" i="51" s="1"/>
  <c r="D148" i="51" s="1"/>
  <c r="D149" i="51" s="1"/>
  <c r="D150" i="51" s="1"/>
  <c r="D151" i="51" s="1"/>
  <c r="D152" i="51" s="1"/>
  <c r="D153" i="51" s="1"/>
  <c r="D154" i="51" s="1"/>
  <c r="D155" i="51" s="1"/>
  <c r="D156" i="51" s="1"/>
  <c r="J41" i="51" l="1"/>
  <c r="J42" i="51" l="1"/>
  <c r="J43" i="51" l="1"/>
  <c r="J44" i="51" l="1"/>
  <c r="J45" i="51" l="1"/>
  <c r="J46" i="51" l="1"/>
  <c r="J47" i="51" l="1"/>
  <c r="J48" i="51" l="1"/>
  <c r="J49" i="51" l="1"/>
  <c r="J50" i="51" l="1"/>
  <c r="J51" i="51" l="1"/>
  <c r="J52" i="51" l="1"/>
  <c r="J53" i="51" l="1"/>
  <c r="I20" i="60"/>
  <c r="I21" i="60"/>
  <c r="H10" i="60" l="1"/>
  <c r="J38" i="60"/>
  <c r="J40" i="60" s="1"/>
  <c r="J110" i="60"/>
  <c r="AN40" i="60"/>
  <c r="J54" i="51"/>
  <c r="AU40" i="60"/>
  <c r="Q20" i="60"/>
  <c r="AC21" i="60"/>
  <c r="Q21" i="60"/>
  <c r="AC20" i="60"/>
  <c r="BF40" i="60"/>
  <c r="AG21" i="60"/>
  <c r="AT40" i="60"/>
  <c r="BA40" i="60"/>
  <c r="W20" i="60"/>
  <c r="AK40" i="60"/>
  <c r="AK34" i="60" s="1"/>
  <c r="AO21" i="60"/>
  <c r="AK21" i="60"/>
  <c r="L21" i="60"/>
  <c r="AJ20" i="60"/>
  <c r="M21" i="60"/>
  <c r="AN21" i="60"/>
  <c r="R21" i="60"/>
  <c r="AP20" i="60"/>
  <c r="O21" i="60"/>
  <c r="T21" i="60"/>
  <c r="P21" i="60"/>
  <c r="AQ20" i="60"/>
  <c r="AY40" i="60"/>
  <c r="BB20" i="60"/>
  <c r="V20" i="60"/>
  <c r="P20" i="60"/>
  <c r="V21" i="60"/>
  <c r="AX40" i="60"/>
  <c r="AY20" i="60"/>
  <c r="AW40" i="60"/>
  <c r="AB21" i="60"/>
  <c r="AT21" i="60"/>
  <c r="N21" i="60"/>
  <c r="L20" i="60"/>
  <c r="AJ21" i="60"/>
  <c r="AK20" i="60"/>
  <c r="AO40" i="60"/>
  <c r="U21" i="60"/>
  <c r="X21" i="60"/>
  <c r="W21" i="60"/>
  <c r="BB40" i="60"/>
  <c r="M20" i="60"/>
  <c r="BE40" i="60"/>
  <c r="AM20" i="60"/>
  <c r="N20" i="60"/>
  <c r="AD20" i="60"/>
  <c r="AT20" i="60"/>
  <c r="AG20" i="60"/>
  <c r="AQ21" i="60"/>
  <c r="AP40" i="60"/>
  <c r="AW21" i="60"/>
  <c r="AY21" i="60"/>
  <c r="AM40" i="60"/>
  <c r="AM34" i="60" s="1"/>
  <c r="AM21" i="60"/>
  <c r="AU21" i="60"/>
  <c r="AE20" i="60"/>
  <c r="AR20" i="60"/>
  <c r="AN20" i="60"/>
  <c r="AI21" i="60"/>
  <c r="AD21" i="60"/>
  <c r="AS20" i="60"/>
  <c r="M40" i="60"/>
  <c r="BA21" i="60"/>
  <c r="J21" i="60"/>
  <c r="AB20" i="60"/>
  <c r="AL40" i="60"/>
  <c r="AL34" i="60" s="1"/>
  <c r="AG40" i="60"/>
  <c r="AG34" i="60" s="1"/>
  <c r="AE21" i="60"/>
  <c r="AA20" i="60"/>
  <c r="AR21" i="60"/>
  <c r="AS21" i="60"/>
  <c r="AW20" i="60"/>
  <c r="T20" i="60"/>
  <c r="AV21" i="60"/>
  <c r="Y20" i="60"/>
  <c r="BD21" i="60"/>
  <c r="BD40" i="60"/>
  <c r="AA21" i="60"/>
  <c r="J20" i="60"/>
  <c r="AH40" i="60"/>
  <c r="AH34" i="60" s="1"/>
  <c r="BF21" i="60"/>
  <c r="AU20" i="60"/>
  <c r="Y21" i="60"/>
  <c r="BF20" i="60"/>
  <c r="K21" i="60"/>
  <c r="BA20" i="60"/>
  <c r="BD20" i="60"/>
  <c r="AO20" i="60"/>
  <c r="AH20" i="60"/>
  <c r="AP21" i="60"/>
  <c r="BB21" i="60"/>
  <c r="AH21" i="60"/>
  <c r="K20" i="60"/>
  <c r="AI20" i="60"/>
  <c r="AJ40" i="60"/>
  <c r="AJ34" i="60" s="1"/>
  <c r="U40" i="60"/>
  <c r="U34" i="60" s="1"/>
  <c r="AI40" i="60"/>
  <c r="AI34" i="60" s="1"/>
  <c r="L40" i="60"/>
  <c r="Z20" i="60"/>
  <c r="AV40" i="60"/>
  <c r="AV20" i="60"/>
  <c r="BC21" i="60"/>
  <c r="Z21" i="60"/>
  <c r="O20" i="60"/>
  <c r="K40" i="60"/>
  <c r="BC20" i="60"/>
  <c r="U20" i="60"/>
  <c r="S21" i="60"/>
  <c r="AZ20" i="60"/>
  <c r="BE20" i="60"/>
  <c r="X20" i="60"/>
  <c r="AZ40" i="60"/>
  <c r="AZ21" i="60"/>
  <c r="S20" i="60"/>
  <c r="AX21" i="60"/>
  <c r="R20" i="60"/>
  <c r="AX20" i="60"/>
  <c r="AL20" i="60"/>
  <c r="AF21" i="60"/>
  <c r="BC40" i="60"/>
  <c r="AL21" i="60"/>
  <c r="BE21" i="60"/>
  <c r="AF20" i="60"/>
  <c r="M111" i="60" l="1"/>
  <c r="M109" i="60" s="1"/>
  <c r="M34" i="60"/>
  <c r="L111" i="60"/>
  <c r="L109" i="60" s="1"/>
  <c r="L34" i="60"/>
  <c r="K111" i="60"/>
  <c r="K109" i="60" s="1"/>
  <c r="K34" i="60"/>
  <c r="J111" i="60"/>
  <c r="J109" i="60" s="1"/>
  <c r="J34" i="60"/>
  <c r="BC34" i="60"/>
  <c r="AZ34" i="60"/>
  <c r="AV34" i="60"/>
  <c r="BE34" i="60"/>
  <c r="AU34" i="60"/>
  <c r="AW34" i="60"/>
  <c r="AN34" i="60"/>
  <c r="AX34" i="60"/>
  <c r="BF34" i="60"/>
  <c r="BD34" i="60"/>
  <c r="AP34" i="60"/>
  <c r="BB34" i="60"/>
  <c r="AO34" i="60"/>
  <c r="AY34" i="60"/>
  <c r="BA34" i="60"/>
  <c r="AT34" i="60"/>
  <c r="Z40" i="60"/>
  <c r="Z34" i="60" s="1"/>
  <c r="AD40" i="60"/>
  <c r="AD34" i="60" s="1"/>
  <c r="AC40" i="60"/>
  <c r="AC34" i="60" s="1"/>
  <c r="AB40" i="60"/>
  <c r="AB34" i="60" s="1"/>
  <c r="Q40" i="60"/>
  <c r="Q34" i="60" s="1"/>
  <c r="O40" i="60"/>
  <c r="O34" i="60" s="1"/>
  <c r="P40" i="60"/>
  <c r="P34" i="60" s="1"/>
  <c r="J55" i="51"/>
  <c r="R40" i="60"/>
  <c r="R34" i="60" s="1"/>
  <c r="T40" i="60"/>
  <c r="T34" i="60" s="1"/>
  <c r="S40" i="60"/>
  <c r="S34" i="60" s="1"/>
  <c r="N40" i="60"/>
  <c r="N34" i="60" s="1"/>
  <c r="V40" i="60"/>
  <c r="V34" i="60" s="1"/>
  <c r="AF40" i="60"/>
  <c r="AF34" i="60" s="1"/>
  <c r="AQ40" i="60"/>
  <c r="AR40" i="60"/>
  <c r="AS40" i="60"/>
  <c r="AE40" i="60"/>
  <c r="AE34" i="60" s="1"/>
  <c r="AS34" i="60" l="1"/>
  <c r="AR34" i="60"/>
  <c r="AQ34" i="60"/>
  <c r="E747" i="59"/>
  <c r="E749" i="59"/>
  <c r="E750" i="59" s="1"/>
  <c r="E751" i="59" s="1"/>
  <c r="E752" i="59" s="1"/>
  <c r="E753" i="59" s="1"/>
  <c r="E754" i="59" s="1"/>
  <c r="J56" i="51"/>
  <c r="W40" i="60"/>
  <c r="W34" i="60" s="1"/>
  <c r="G531" i="52" l="1"/>
  <c r="F531" i="52"/>
  <c r="C531" i="52" s="1"/>
  <c r="G444" i="52"/>
  <c r="F444" i="52"/>
  <c r="E756" i="59"/>
  <c r="E757" i="59" s="1"/>
  <c r="E758" i="59" s="1"/>
  <c r="E759" i="59" s="1"/>
  <c r="E760" i="59" s="1"/>
  <c r="E755" i="59"/>
  <c r="J57" i="51"/>
  <c r="C444" i="52" l="1"/>
  <c r="N531" i="52"/>
  <c r="M531" i="52"/>
  <c r="Z12" i="60"/>
  <c r="AH12" i="60"/>
  <c r="AS12" i="60"/>
  <c r="BJ12" i="60"/>
  <c r="CA12" i="60"/>
  <c r="CM12" i="60"/>
  <c r="DD12" i="60"/>
  <c r="BO12" i="60"/>
  <c r="CL12" i="60"/>
  <c r="AA12" i="60"/>
  <c r="AI12" i="60"/>
  <c r="AT12" i="60"/>
  <c r="BK12" i="60"/>
  <c r="CB12" i="60"/>
  <c r="CN12" i="60"/>
  <c r="DE12" i="60"/>
  <c r="AX12" i="60"/>
  <c r="CJ12" i="60"/>
  <c r="AB12" i="60"/>
  <c r="AJ12" i="60"/>
  <c r="AU12" i="60"/>
  <c r="BL12" i="60"/>
  <c r="CC12" i="60"/>
  <c r="CO12" i="60"/>
  <c r="DF12" i="60"/>
  <c r="AP12" i="60"/>
  <c r="CR12" i="60"/>
  <c r="DC12" i="60"/>
  <c r="AC12" i="60"/>
  <c r="AK12" i="60"/>
  <c r="AV12" i="60"/>
  <c r="BM12" i="60"/>
  <c r="CH12" i="60"/>
  <c r="CP12" i="60"/>
  <c r="DG12" i="60"/>
  <c r="W12" i="60"/>
  <c r="AD12" i="60"/>
  <c r="AO12" i="60"/>
  <c r="AW12" i="60"/>
  <c r="BN12" i="60"/>
  <c r="CI12" i="60"/>
  <c r="CQ12" i="60"/>
  <c r="DL12" i="60"/>
  <c r="AE12" i="60"/>
  <c r="BZ12" i="60"/>
  <c r="X12" i="60"/>
  <c r="AF12" i="60"/>
  <c r="AQ12" i="60"/>
  <c r="AY12" i="60"/>
  <c r="BY12" i="60"/>
  <c r="CK12" i="60"/>
  <c r="DB12" i="60"/>
  <c r="Y12" i="60"/>
  <c r="AG12" i="60"/>
  <c r="AR12" i="60"/>
  <c r="BI12" i="60"/>
  <c r="DK12" i="60"/>
  <c r="I12" i="60"/>
  <c r="CY12" i="60"/>
  <c r="AL12" i="60"/>
  <c r="M12" i="60"/>
  <c r="L12" i="60"/>
  <c r="CD12" i="60"/>
  <c r="DJ12" i="60"/>
  <c r="J12" i="60"/>
  <c r="BS12" i="60"/>
  <c r="V12" i="60"/>
  <c r="CV12" i="60"/>
  <c r="CU12" i="60"/>
  <c r="BV12" i="60"/>
  <c r="CT12" i="60"/>
  <c r="DI12" i="60"/>
  <c r="DH12" i="60"/>
  <c r="BC12" i="60"/>
  <c r="N12" i="60"/>
  <c r="CF12" i="60"/>
  <c r="CE12" i="60"/>
  <c r="BF12" i="60"/>
  <c r="U12" i="60"/>
  <c r="DN12" i="60"/>
  <c r="CZ12" i="60"/>
  <c r="AM12" i="60"/>
  <c r="CW12" i="60"/>
  <c r="BX12" i="60"/>
  <c r="BW12" i="60"/>
  <c r="R12" i="60"/>
  <c r="T12" i="60"/>
  <c r="CS12" i="60"/>
  <c r="BT12" i="60"/>
  <c r="O12" i="60"/>
  <c r="CG12" i="60"/>
  <c r="BP12" i="60"/>
  <c r="BG12" i="60"/>
  <c r="P12" i="60"/>
  <c r="BU12" i="60"/>
  <c r="BD12" i="60"/>
  <c r="CX12" i="60"/>
  <c r="BQ12" i="60"/>
  <c r="BH12" i="60"/>
  <c r="S12" i="60"/>
  <c r="BB12" i="60"/>
  <c r="BE12" i="60"/>
  <c r="AN12" i="60"/>
  <c r="BR12" i="60"/>
  <c r="BA12" i="60"/>
  <c r="AZ12" i="60"/>
  <c r="K12" i="60"/>
  <c r="DA12" i="60"/>
  <c r="Q12" i="60"/>
  <c r="DM12" i="60"/>
  <c r="E761" i="59"/>
  <c r="J58" i="51"/>
  <c r="H55" i="59" l="1"/>
  <c r="N530" i="52"/>
  <c r="N444" i="52" s="1"/>
  <c r="BF13" i="60"/>
  <c r="BV13" i="60"/>
  <c r="S13" i="60"/>
  <c r="BG13" i="60"/>
  <c r="BS13" i="60"/>
  <c r="CY13" i="60"/>
  <c r="BB13" i="60"/>
  <c r="CT13" i="60"/>
  <c r="Q13" i="60"/>
  <c r="M13" i="60"/>
  <c r="BE13" i="60"/>
  <c r="BX13" i="60"/>
  <c r="BP13" i="60"/>
  <c r="CZ13" i="60"/>
  <c r="CF13" i="60"/>
  <c r="DA13" i="60"/>
  <c r="N13" i="60"/>
  <c r="AL13" i="60"/>
  <c r="V13" i="60"/>
  <c r="CX13" i="60"/>
  <c r="L13" i="60"/>
  <c r="CD13" i="60"/>
  <c r="BH13" i="60"/>
  <c r="CU13" i="60"/>
  <c r="BR13" i="60"/>
  <c r="BU13" i="60"/>
  <c r="BA13" i="60"/>
  <c r="T13" i="60"/>
  <c r="AN13" i="60"/>
  <c r="BW13" i="60"/>
  <c r="O13" i="60"/>
  <c r="BQ13" i="60"/>
  <c r="BC13" i="60"/>
  <c r="R13" i="60"/>
  <c r="AM13" i="60"/>
  <c r="CV13" i="60"/>
  <c r="P13" i="60"/>
  <c r="CG13" i="60"/>
  <c r="U13" i="60"/>
  <c r="BT13" i="60"/>
  <c r="K13" i="60"/>
  <c r="BD13" i="60"/>
  <c r="CW13" i="60"/>
  <c r="CE13" i="60"/>
  <c r="CS13" i="60"/>
  <c r="AZ13" i="60"/>
  <c r="J59" i="51"/>
  <c r="F559" i="59"/>
  <c r="W13" i="60" l="1"/>
  <c r="N498" i="52"/>
  <c r="DG13" i="60" s="1"/>
  <c r="N465" i="52"/>
  <c r="AU13" i="60" s="1"/>
  <c r="N445" i="52"/>
  <c r="X13" i="60" s="1"/>
  <c r="N460" i="52"/>
  <c r="AP13" i="60" s="1"/>
  <c r="N499" i="52"/>
  <c r="DH13" i="60" s="1"/>
  <c r="N471" i="52"/>
  <c r="BJ13" i="60" s="1"/>
  <c r="N464" i="52"/>
  <c r="AT13" i="60" s="1"/>
  <c r="N482" i="52"/>
  <c r="CH13" i="60" s="1"/>
  <c r="N454" i="52"/>
  <c r="AG13" i="60" s="1"/>
  <c r="N474" i="52"/>
  <c r="BM13" i="60" s="1"/>
  <c r="N507" i="52"/>
  <c r="J13" i="60" s="1"/>
  <c r="N470" i="52"/>
  <c r="BI13" i="60" s="1"/>
  <c r="N492" i="52"/>
  <c r="CR13" i="60" s="1"/>
  <c r="N447" i="52"/>
  <c r="Z13" i="60" s="1"/>
  <c r="N495" i="52"/>
  <c r="DD13" i="60" s="1"/>
  <c r="N457" i="52"/>
  <c r="AJ13" i="60" s="1"/>
  <c r="N480" i="52"/>
  <c r="CB13" i="60" s="1"/>
  <c r="N458" i="52"/>
  <c r="AK13" i="60" s="1"/>
  <c r="N481" i="52"/>
  <c r="CC13" i="60" s="1"/>
  <c r="N475" i="52"/>
  <c r="BN13" i="60" s="1"/>
  <c r="N501" i="52"/>
  <c r="DJ13" i="60" s="1"/>
  <c r="N449" i="52"/>
  <c r="AB13" i="60" s="1"/>
  <c r="N452" i="52"/>
  <c r="AE13" i="60" s="1"/>
  <c r="N476" i="52"/>
  <c r="BO13" i="60" s="1"/>
  <c r="N502" i="52"/>
  <c r="DK13" i="60" s="1"/>
  <c r="N479" i="52"/>
  <c r="CA13" i="60" s="1"/>
  <c r="N463" i="52"/>
  <c r="AS13" i="60" s="1"/>
  <c r="N504" i="52"/>
  <c r="DM13" i="60" s="1"/>
  <c r="N467" i="52"/>
  <c r="AW13" i="60" s="1"/>
  <c r="N505" i="52"/>
  <c r="DN13" i="60" s="1"/>
  <c r="N472" i="52"/>
  <c r="BK13" i="60" s="1"/>
  <c r="N456" i="52"/>
  <c r="AI13" i="60" s="1"/>
  <c r="N450" i="52"/>
  <c r="AC13" i="60" s="1"/>
  <c r="N469" i="52"/>
  <c r="AY13" i="60" s="1"/>
  <c r="N446" i="52"/>
  <c r="Y13" i="60" s="1"/>
  <c r="N494" i="52"/>
  <c r="DC13" i="60" s="1"/>
  <c r="N485" i="52"/>
  <c r="CK13" i="60" s="1"/>
  <c r="N466" i="52"/>
  <c r="AV13" i="60" s="1"/>
  <c r="N459" i="52"/>
  <c r="AO13" i="60" s="1"/>
  <c r="N491" i="52"/>
  <c r="CQ13" i="60" s="1"/>
  <c r="N506" i="52"/>
  <c r="I13" i="60" s="1"/>
  <c r="N461" i="52"/>
  <c r="AQ13" i="60" s="1"/>
  <c r="N451" i="52"/>
  <c r="AD13" i="60" s="1"/>
  <c r="N462" i="52"/>
  <c r="AR13" i="60" s="1"/>
  <c r="N473" i="52"/>
  <c r="BL13" i="60" s="1"/>
  <c r="N477" i="52"/>
  <c r="BY13" i="60" s="1"/>
  <c r="N493" i="52"/>
  <c r="DB13" i="60" s="1"/>
  <c r="N487" i="52"/>
  <c r="CM13" i="60" s="1"/>
  <c r="N486" i="52"/>
  <c r="CL13" i="60" s="1"/>
  <c r="N455" i="52"/>
  <c r="AH13" i="60" s="1"/>
  <c r="N484" i="52"/>
  <c r="CJ13" i="60" s="1"/>
  <c r="N453" i="52"/>
  <c r="AF13" i="60" s="1"/>
  <c r="N500" i="52"/>
  <c r="DI13" i="60" s="1"/>
  <c r="N490" i="52"/>
  <c r="CP13" i="60" s="1"/>
  <c r="N488" i="52"/>
  <c r="CN13" i="60" s="1"/>
  <c r="N468" i="52"/>
  <c r="AX13" i="60" s="1"/>
  <c r="N496" i="52"/>
  <c r="DE13" i="60" s="1"/>
  <c r="N483" i="52"/>
  <c r="CI13" i="60" s="1"/>
  <c r="N503" i="52"/>
  <c r="DL13" i="60" s="1"/>
  <c r="N448" i="52"/>
  <c r="AA13" i="60" s="1"/>
  <c r="N489" i="52"/>
  <c r="CO13" i="60" s="1"/>
  <c r="N497" i="52"/>
  <c r="DF13" i="60" s="1"/>
  <c r="N478" i="52"/>
  <c r="BZ13" i="60" s="1"/>
  <c r="J60" i="51"/>
  <c r="N443" i="52" l="1"/>
  <c r="J61" i="51"/>
  <c r="J62" i="51" l="1"/>
  <c r="J63" i="51" l="1"/>
  <c r="J64" i="51" l="1"/>
  <c r="J65" i="51" l="1"/>
  <c r="J66" i="51" l="1"/>
  <c r="J8" i="64"/>
  <c r="J67" i="51" l="1"/>
  <c r="J9" i="64"/>
  <c r="J65" i="64" l="1"/>
  <c r="J62" i="64" s="1"/>
  <c r="J68" i="51"/>
  <c r="J10" i="64"/>
  <c r="J14" i="64" s="1"/>
  <c r="J68" i="64"/>
  <c r="J70" i="64" s="1"/>
  <c r="J71" i="64" s="1"/>
  <c r="J76" i="64" s="1"/>
  <c r="J27" i="64"/>
  <c r="J26" i="64"/>
  <c r="G536" i="59" l="1"/>
  <c r="I536" i="59" s="1"/>
  <c r="J98" i="64" s="1"/>
  <c r="G557" i="59"/>
  <c r="G535" i="59"/>
  <c r="I535" i="59" s="1"/>
  <c r="J97" i="64" s="1"/>
  <c r="G537" i="59"/>
  <c r="I537" i="59" s="1"/>
  <c r="J99" i="64" s="1"/>
  <c r="G558" i="59"/>
  <c r="J69" i="51"/>
  <c r="J36" i="64"/>
  <c r="J28" i="64"/>
  <c r="J32" i="64" s="1"/>
  <c r="J40" i="63" s="1"/>
  <c r="M40" i="63" l="1"/>
  <c r="J44" i="63"/>
  <c r="M44" i="63" s="1"/>
  <c r="J70" i="51"/>
  <c r="H9" i="60" l="1"/>
  <c r="HP9" i="60" s="1"/>
  <c r="J71" i="51"/>
  <c r="J17" i="64"/>
  <c r="J18" i="64"/>
  <c r="J72" i="51" l="1"/>
  <c r="J35" i="64"/>
  <c r="J19" i="64"/>
  <c r="J23" i="64" s="1"/>
  <c r="J39" i="63" s="1"/>
  <c r="M316" i="52" l="1"/>
  <c r="M320" i="52"/>
  <c r="M322" i="52" s="1"/>
  <c r="J73" i="51"/>
  <c r="J74" i="51" s="1"/>
  <c r="J75" i="51" s="1"/>
  <c r="J76" i="51" s="1"/>
  <c r="J77" i="51" s="1"/>
  <c r="J78" i="51" s="1"/>
  <c r="J79" i="51" s="1"/>
  <c r="J80" i="51" s="1"/>
  <c r="J81" i="51" s="1"/>
  <c r="J82" i="51" s="1"/>
  <c r="J83" i="51" s="1"/>
  <c r="J84" i="51" s="1"/>
  <c r="J85" i="51" s="1"/>
  <c r="J86" i="51" s="1"/>
  <c r="J87" i="51" s="1"/>
  <c r="J88" i="51" s="1"/>
  <c r="J89" i="51" s="1"/>
  <c r="J90" i="51" s="1"/>
  <c r="J91" i="51" s="1"/>
  <c r="J92" i="51" s="1"/>
  <c r="J93" i="51" s="1"/>
  <c r="J94" i="51" s="1"/>
  <c r="J95" i="51" s="1"/>
  <c r="J96" i="51" s="1"/>
  <c r="J97" i="51" s="1"/>
  <c r="J98" i="51" s="1"/>
  <c r="J99" i="51" s="1"/>
  <c r="J100" i="51" s="1"/>
  <c r="J101" i="51" s="1"/>
  <c r="J102" i="51" s="1"/>
  <c r="J103" i="51" s="1"/>
  <c r="J104" i="51" s="1"/>
  <c r="J105" i="51" s="1"/>
  <c r="J106" i="51" s="1"/>
  <c r="J107" i="51" s="1"/>
  <c r="J108" i="51" s="1"/>
  <c r="J109" i="51" s="1"/>
  <c r="J110" i="51" s="1"/>
  <c r="J111" i="51" s="1"/>
  <c r="J112" i="51" s="1"/>
  <c r="J113" i="51" s="1"/>
  <c r="J114" i="51" s="1"/>
  <c r="J115" i="51" s="1"/>
  <c r="J116" i="51" s="1"/>
  <c r="J117" i="51" s="1"/>
  <c r="J118" i="51" s="1"/>
  <c r="J119" i="51" s="1"/>
  <c r="J120" i="51" s="1"/>
  <c r="J121" i="51" s="1"/>
  <c r="J122" i="51" s="1"/>
  <c r="J123" i="51" s="1"/>
  <c r="J124" i="51" s="1"/>
  <c r="J125" i="51" s="1"/>
  <c r="J126" i="51" s="1"/>
  <c r="J127" i="51" s="1"/>
  <c r="J128" i="51" s="1"/>
  <c r="J129" i="51" s="1"/>
  <c r="J130" i="51" s="1"/>
  <c r="J131" i="51" s="1"/>
  <c r="J132" i="51" s="1"/>
  <c r="J133" i="51" s="1"/>
  <c r="J134" i="51" s="1"/>
  <c r="J135" i="51" s="1"/>
  <c r="J136" i="51" s="1"/>
  <c r="J137" i="51" s="1"/>
  <c r="J138" i="51" s="1"/>
  <c r="J139" i="51" s="1"/>
  <c r="J140" i="51" s="1"/>
  <c r="J141" i="51" s="1"/>
  <c r="J142" i="51" s="1"/>
  <c r="J143" i="51" s="1"/>
  <c r="J144" i="51" s="1"/>
  <c r="J145" i="51" s="1"/>
  <c r="J146" i="51" s="1"/>
  <c r="J147" i="51" s="1"/>
  <c r="J148" i="51" s="1"/>
  <c r="J149" i="51" s="1"/>
  <c r="J150" i="51" s="1"/>
  <c r="J151" i="51" s="1"/>
  <c r="J152" i="51" s="1"/>
  <c r="J153" i="51" s="1"/>
  <c r="J154" i="51" s="1"/>
  <c r="J155" i="51" s="1"/>
  <c r="J156" i="51" s="1"/>
  <c r="M39" i="63"/>
  <c r="M324" i="52" l="1"/>
  <c r="M388" i="52"/>
  <c r="M594" i="52" s="1"/>
  <c r="M389" i="52"/>
  <c r="M593" i="52" l="1"/>
  <c r="M530" i="52" s="1"/>
  <c r="M507" i="52" s="1"/>
  <c r="L387" i="52"/>
  <c r="M387" i="52"/>
  <c r="J17" i="63"/>
  <c r="M17" i="63" s="1"/>
  <c r="J18" i="63"/>
  <c r="J27" i="63"/>
  <c r="I387" i="52"/>
  <c r="K387" i="52"/>
  <c r="J387" i="52"/>
  <c r="M480" i="52" l="1"/>
  <c r="M503" i="52"/>
  <c r="M463" i="52"/>
  <c r="M483" i="52"/>
  <c r="M504" i="52"/>
  <c r="M491" i="52"/>
  <c r="M482" i="52"/>
  <c r="M474" i="52"/>
  <c r="M475" i="52"/>
  <c r="M479" i="52"/>
  <c r="M466" i="52"/>
  <c r="M485" i="52"/>
  <c r="M464" i="52"/>
  <c r="M459" i="52"/>
  <c r="M505" i="52"/>
  <c r="M472" i="52"/>
  <c r="M501" i="52"/>
  <c r="M478" i="52"/>
  <c r="M487" i="52"/>
  <c r="M473" i="52"/>
  <c r="M494" i="52"/>
  <c r="M471" i="52"/>
  <c r="M497" i="52"/>
  <c r="M493" i="52"/>
  <c r="M469" i="52"/>
  <c r="M496" i="52"/>
  <c r="M492" i="52"/>
  <c r="M488" i="52"/>
  <c r="M495" i="52"/>
  <c r="M465" i="52"/>
  <c r="M460" i="52"/>
  <c r="M498" i="52"/>
  <c r="M486" i="52"/>
  <c r="M470" i="52"/>
  <c r="M477" i="52"/>
  <c r="M468" i="52"/>
  <c r="M484" i="52"/>
  <c r="M476" i="52"/>
  <c r="M489" i="52"/>
  <c r="M461" i="52"/>
  <c r="M499" i="52"/>
  <c r="M467" i="52"/>
  <c r="M481" i="52"/>
  <c r="M500" i="52"/>
  <c r="M502" i="52"/>
  <c r="M490" i="52"/>
  <c r="M462" i="52"/>
  <c r="M449" i="52"/>
  <c r="M447" i="52"/>
  <c r="M446" i="52"/>
  <c r="M453" i="52"/>
  <c r="M445" i="52"/>
  <c r="M458" i="52"/>
  <c r="M451" i="52"/>
  <c r="M452" i="52"/>
  <c r="M454" i="52"/>
  <c r="M450" i="52"/>
  <c r="M455" i="52"/>
  <c r="M456" i="52"/>
  <c r="M457" i="52"/>
  <c r="M448" i="52"/>
  <c r="M444" i="52"/>
  <c r="M506" i="52"/>
  <c r="J26" i="63"/>
  <c r="M26" i="63" s="1"/>
  <c r="J35" i="63"/>
  <c r="M35" i="63" s="1"/>
  <c r="J19" i="63"/>
  <c r="M27" i="63"/>
  <c r="J530" i="52"/>
  <c r="M18" i="63"/>
  <c r="K530" i="52"/>
  <c r="I530" i="52"/>
  <c r="H12" i="60" l="1"/>
  <c r="HP12" i="60" s="1"/>
  <c r="J28" i="63"/>
  <c r="J32" i="63" s="1"/>
  <c r="M32" i="63" s="1"/>
  <c r="J36" i="63"/>
  <c r="M36" i="63" s="1"/>
  <c r="M19" i="63"/>
  <c r="J23" i="63"/>
  <c r="J43" i="63" s="1"/>
  <c r="M443" i="52" l="1"/>
  <c r="M28" i="63"/>
  <c r="L443" i="52"/>
  <c r="H59" i="59"/>
  <c r="I443" i="52"/>
  <c r="M23" i="63"/>
  <c r="M43" i="63"/>
  <c r="J443" i="52"/>
  <c r="K443" i="52"/>
  <c r="CM107" i="60" l="1"/>
  <c r="CM100" i="60" s="1"/>
  <c r="CM115" i="60" s="1"/>
  <c r="CM116" i="60" s="1"/>
  <c r="CU107" i="60"/>
  <c r="CU100" i="60" s="1"/>
  <c r="CU115" i="60" s="1"/>
  <c r="CU116" i="60" s="1"/>
  <c r="CR107" i="60"/>
  <c r="CR100" i="60" s="1"/>
  <c r="CR115" i="60" s="1"/>
  <c r="CR116" i="60" s="1"/>
  <c r="CN107" i="60"/>
  <c r="CV107" i="60"/>
  <c r="CT107" i="60"/>
  <c r="CT100" i="60" s="1"/>
  <c r="CT115" i="60" s="1"/>
  <c r="CT116" i="60" s="1"/>
  <c r="CG107" i="60"/>
  <c r="CG100" i="60" s="1"/>
  <c r="CG115" i="60" s="1"/>
  <c r="CG116" i="60" s="1"/>
  <c r="CO107" i="60"/>
  <c r="CO100" i="60" s="1"/>
  <c r="CO115" i="60" s="1"/>
  <c r="CO116" i="60" s="1"/>
  <c r="CW107" i="60"/>
  <c r="CW100" i="60" s="1"/>
  <c r="CW115" i="60" s="1"/>
  <c r="CW116" i="60" s="1"/>
  <c r="CZ107" i="60"/>
  <c r="CZ100" i="60" s="1"/>
  <c r="CZ115" i="60" s="1"/>
  <c r="CZ116" i="60" s="1"/>
  <c r="CH107" i="60"/>
  <c r="CH100" i="60" s="1"/>
  <c r="CH115" i="60" s="1"/>
  <c r="CH116" i="60" s="1"/>
  <c r="CP107" i="60"/>
  <c r="CP100" i="60" s="1"/>
  <c r="CP115" i="60" s="1"/>
  <c r="CP116" i="60" s="1"/>
  <c r="CX107" i="60"/>
  <c r="CX100" i="60" s="1"/>
  <c r="CX115" i="60" s="1"/>
  <c r="CX116" i="60" s="1"/>
  <c r="CJ107" i="60"/>
  <c r="CJ100" i="60" s="1"/>
  <c r="CJ115" i="60" s="1"/>
  <c r="CJ116" i="60" s="1"/>
  <c r="CI107" i="60"/>
  <c r="CI100" i="60" s="1"/>
  <c r="CI115" i="60" s="1"/>
  <c r="CI116" i="60" s="1"/>
  <c r="CQ107" i="60"/>
  <c r="CQ100" i="60" s="1"/>
  <c r="CQ115" i="60" s="1"/>
  <c r="CQ116" i="60" s="1"/>
  <c r="CY107" i="60"/>
  <c r="CY100" i="60" s="1"/>
  <c r="CY115" i="60" s="1"/>
  <c r="CY116" i="60" s="1"/>
  <c r="CK107" i="60"/>
  <c r="CK100" i="60" s="1"/>
  <c r="CK115" i="60" s="1"/>
  <c r="CK116" i="60" s="1"/>
  <c r="CS107" i="60"/>
  <c r="CS100" i="60" s="1"/>
  <c r="CS115" i="60" s="1"/>
  <c r="CS116" i="60" s="1"/>
  <c r="DA107" i="60"/>
  <c r="DA100" i="60" s="1"/>
  <c r="DA115" i="60" s="1"/>
  <c r="DA116" i="60" s="1"/>
  <c r="CL107" i="60"/>
  <c r="CL100" i="60" s="1"/>
  <c r="CL115" i="60" s="1"/>
  <c r="CL116" i="60" s="1"/>
  <c r="Q107" i="60"/>
  <c r="Q100" i="60" s="1"/>
  <c r="AH107" i="60"/>
  <c r="AH100" i="60" s="1"/>
  <c r="BH107" i="60"/>
  <c r="BH100" i="60" s="1"/>
  <c r="R107" i="60"/>
  <c r="AE107" i="60"/>
  <c r="AE100" i="60" s="1"/>
  <c r="AB107" i="60"/>
  <c r="AB100" i="60" s="1"/>
  <c r="H13" i="60"/>
  <c r="CA107" i="60"/>
  <c r="CA100" i="60" s="1"/>
  <c r="O107" i="60"/>
  <c r="O100" i="60" s="1"/>
  <c r="BZ107" i="60"/>
  <c r="BZ100" i="60" s="1"/>
  <c r="BC107" i="60"/>
  <c r="BC100" i="60" s="1"/>
  <c r="N107" i="60"/>
  <c r="N100" i="60" s="1"/>
  <c r="V107" i="60"/>
  <c r="BY107" i="60"/>
  <c r="BY100" i="60" s="1"/>
  <c r="BB107" i="60"/>
  <c r="BB100" i="60" s="1"/>
  <c r="M107" i="60"/>
  <c r="M100" i="60" s="1"/>
  <c r="BA107" i="60"/>
  <c r="BA100" i="60" s="1"/>
  <c r="AD107" i="60"/>
  <c r="AD100" i="60" s="1"/>
  <c r="AU107" i="60"/>
  <c r="AU100" i="60" s="1"/>
  <c r="AC107" i="60"/>
  <c r="AS107" i="60"/>
  <c r="AS100" i="60" s="1"/>
  <c r="AT107" i="60"/>
  <c r="AT100" i="60" s="1"/>
  <c r="W107" i="60"/>
  <c r="W100" i="60" s="1"/>
  <c r="X107" i="60"/>
  <c r="X100" i="60" s="1"/>
  <c r="AG107" i="60"/>
  <c r="AR107" i="60"/>
  <c r="AR100" i="60" s="1"/>
  <c r="AN107" i="60"/>
  <c r="Y107" i="60"/>
  <c r="Y100" i="60" s="1"/>
  <c r="BE107" i="60"/>
  <c r="BE100" i="60" s="1"/>
  <c r="K107" i="60"/>
  <c r="K100" i="60" s="1"/>
  <c r="AZ107" i="60"/>
  <c r="AZ100" i="60" s="1"/>
  <c r="Z107" i="60"/>
  <c r="Z100" i="60" s="1"/>
  <c r="AA107" i="60"/>
  <c r="AA100" i="60" s="1"/>
  <c r="BX107" i="60"/>
  <c r="BD107" i="60"/>
  <c r="BD100" i="60" s="1"/>
  <c r="AY107" i="60"/>
  <c r="AY100" i="60" s="1"/>
  <c r="AP107" i="60"/>
  <c r="AP100" i="60" s="1"/>
  <c r="AQ107" i="60"/>
  <c r="AQ100" i="60" s="1"/>
  <c r="CF107" i="60"/>
  <c r="CF100" i="60" s="1"/>
  <c r="CB107" i="60"/>
  <c r="CB100" i="60" s="1"/>
  <c r="P107" i="60"/>
  <c r="P100" i="60" s="1"/>
  <c r="AX107" i="60"/>
  <c r="AX100" i="60" s="1"/>
  <c r="BF107" i="60"/>
  <c r="BF100" i="60" s="1"/>
  <c r="BG107" i="60"/>
  <c r="BG100" i="60" s="1"/>
  <c r="AO107" i="60"/>
  <c r="AO100" i="60" s="1"/>
  <c r="CD107" i="60"/>
  <c r="CD100" i="60" s="1"/>
  <c r="CE107" i="60"/>
  <c r="CE100" i="60" s="1"/>
  <c r="CC107" i="60"/>
  <c r="CC100" i="60" s="1"/>
  <c r="AV107" i="60"/>
  <c r="AV100" i="60" s="1"/>
  <c r="L107" i="60"/>
  <c r="L100" i="60" s="1"/>
  <c r="AW107" i="60"/>
  <c r="AW100" i="60" s="1"/>
  <c r="I107" i="60"/>
  <c r="BD98" i="60" l="1"/>
  <c r="AU98" i="60"/>
  <c r="BC98" i="60"/>
  <c r="BH98" i="60"/>
  <c r="AW98" i="60"/>
  <c r="AX98" i="60"/>
  <c r="AR98" i="60"/>
  <c r="BZ98" i="60"/>
  <c r="BA98" i="60"/>
  <c r="BF98" i="60"/>
  <c r="CA98" i="60"/>
  <c r="CE98" i="60"/>
  <c r="CF98" i="60"/>
  <c r="AZ98" i="60"/>
  <c r="BB98" i="60"/>
  <c r="AV98" i="60"/>
  <c r="CD98" i="60"/>
  <c r="AQ98" i="60"/>
  <c r="AT98" i="60"/>
  <c r="BY98" i="60"/>
  <c r="CB98" i="60"/>
  <c r="AO98" i="60"/>
  <c r="AP98" i="60"/>
  <c r="BE98" i="60"/>
  <c r="AS98" i="60"/>
  <c r="CC98" i="60"/>
  <c r="BG98" i="60"/>
  <c r="AY98" i="60"/>
  <c r="CI98" i="60"/>
  <c r="CG98" i="60"/>
  <c r="CJ98" i="60"/>
  <c r="CT98" i="60"/>
  <c r="CL98" i="60"/>
  <c r="CX98" i="60"/>
  <c r="CV100" i="60"/>
  <c r="CV115" i="60" s="1"/>
  <c r="CV116" i="60" s="1"/>
  <c r="CO98" i="60"/>
  <c r="DA98" i="60"/>
  <c r="CP98" i="60"/>
  <c r="CN100" i="60"/>
  <c r="CN115" i="60" s="1"/>
  <c r="CN116" i="60" s="1"/>
  <c r="CS98" i="60"/>
  <c r="CH98" i="60"/>
  <c r="CR98" i="60"/>
  <c r="CK98" i="60"/>
  <c r="CZ98" i="60"/>
  <c r="CU98" i="60"/>
  <c r="CQ98" i="60"/>
  <c r="I100" i="60"/>
  <c r="CY98" i="60"/>
  <c r="CW98" i="60"/>
  <c r="CM98" i="60"/>
  <c r="I98" i="60" l="1"/>
  <c r="I97" i="60" s="1"/>
  <c r="I115" i="60" s="1"/>
  <c r="I116" i="60" s="1"/>
  <c r="CV98" i="60"/>
  <c r="CN98" i="60"/>
  <c r="I792" i="59" l="1"/>
  <c r="I793" i="59"/>
  <c r="I794" i="59"/>
  <c r="S27" i="60" l="1"/>
  <c r="Q27" i="60"/>
  <c r="R27" i="60"/>
  <c r="P27" i="60"/>
  <c r="P97" i="60" l="1"/>
  <c r="P115" i="60" s="1"/>
  <c r="P116" i="60" s="1"/>
  <c r="P44" i="60"/>
  <c r="P50" i="60" s="1"/>
  <c r="Q97" i="60"/>
  <c r="Q115" i="60" s="1"/>
  <c r="Q116" i="60" s="1"/>
  <c r="Q44" i="60"/>
  <c r="Q50" i="60" s="1"/>
  <c r="R97" i="60"/>
  <c r="R115" i="60" s="1"/>
  <c r="R116" i="60" s="1"/>
  <c r="R44" i="60"/>
  <c r="R50" i="60" s="1"/>
  <c r="S97" i="60"/>
  <c r="S115" i="60" s="1"/>
  <c r="S116" i="60" s="1"/>
  <c r="S44" i="60"/>
  <c r="S50" i="60" s="1"/>
  <c r="R49" i="60" l="1"/>
  <c r="P49" i="60"/>
  <c r="S49" i="60"/>
  <c r="Q49" i="60"/>
  <c r="AL27" i="60" l="1"/>
  <c r="AM27" i="60"/>
  <c r="M27" i="60"/>
  <c r="O27" i="60"/>
  <c r="T27" i="60"/>
  <c r="N27" i="60"/>
  <c r="K27" i="60"/>
  <c r="U27" i="60"/>
  <c r="AK27" i="60"/>
  <c r="L27" i="60"/>
  <c r="Z27" i="60"/>
  <c r="V27" i="60"/>
  <c r="AJ27" i="60"/>
  <c r="BB27" i="60"/>
  <c r="BQ27" i="60"/>
  <c r="BE27" i="60"/>
  <c r="BN27" i="60"/>
  <c r="AS27" i="60"/>
  <c r="AT27" i="60"/>
  <c r="BZ27" i="60"/>
  <c r="AY27" i="60"/>
  <c r="CA27" i="60"/>
  <c r="BU27" i="60"/>
  <c r="BF27" i="60"/>
  <c r="BV27" i="60"/>
  <c r="BI27" i="60"/>
  <c r="AQ27" i="60"/>
  <c r="BY27" i="60"/>
  <c r="BW27" i="60"/>
  <c r="BS27" i="60"/>
  <c r="BD27" i="60"/>
  <c r="BA27" i="60"/>
  <c r="BJ27" i="60"/>
  <c r="AX27" i="60"/>
  <c r="AD27" i="60"/>
  <c r="BG27" i="60"/>
  <c r="CF27" i="60"/>
  <c r="CC27" i="60"/>
  <c r="BR27" i="60"/>
  <c r="BK27" i="60"/>
  <c r="AN27" i="60"/>
  <c r="I27" i="60"/>
  <c r="CE27" i="60"/>
  <c r="BP27" i="60"/>
  <c r="CD27" i="60"/>
  <c r="W27" i="60"/>
  <c r="AW27" i="60"/>
  <c r="AO27" i="60"/>
  <c r="BT27" i="60"/>
  <c r="AZ27" i="60"/>
  <c r="BL27" i="60"/>
  <c r="AU27" i="60"/>
  <c r="AV27" i="60"/>
  <c r="AA27" i="60"/>
  <c r="BO27" i="60"/>
  <c r="BC27" i="60"/>
  <c r="BH27" i="60"/>
  <c r="AP27" i="60"/>
  <c r="CB27" i="60"/>
  <c r="BM27" i="60"/>
  <c r="AR27" i="60"/>
  <c r="BX27" i="60"/>
  <c r="AI98" i="60"/>
  <c r="AH27" i="60"/>
  <c r="X27" i="60"/>
  <c r="K97" i="60" l="1"/>
  <c r="K115" i="60" s="1"/>
  <c r="K116" i="60" s="1"/>
  <c r="K44" i="60"/>
  <c r="BH44" i="60"/>
  <c r="BH50" i="60" s="1"/>
  <c r="BT44" i="60"/>
  <c r="BT50" i="60" s="1"/>
  <c r="AN44" i="60"/>
  <c r="AN50" i="60" s="1"/>
  <c r="BJ44" i="60"/>
  <c r="BJ50" i="60" s="1"/>
  <c r="BI44" i="60"/>
  <c r="BI50" i="60" s="1"/>
  <c r="AS44" i="60"/>
  <c r="AS50" i="60" s="1"/>
  <c r="N97" i="60"/>
  <c r="N115" i="60" s="1"/>
  <c r="N116" i="60" s="1"/>
  <c r="N44" i="60"/>
  <c r="N50" i="60" s="1"/>
  <c r="Z44" i="60"/>
  <c r="Z50" i="60" s="1"/>
  <c r="U97" i="60"/>
  <c r="U115" i="60" s="1"/>
  <c r="U116" i="60" s="1"/>
  <c r="U44" i="60"/>
  <c r="U50" i="60" s="1"/>
  <c r="AX44" i="60"/>
  <c r="AX50" i="60" s="1"/>
  <c r="BC44" i="60"/>
  <c r="BC50" i="60" s="1"/>
  <c r="BA44" i="60"/>
  <c r="BA50" i="60" s="1"/>
  <c r="T97" i="60"/>
  <c r="T115" i="60" s="1"/>
  <c r="T116" i="60" s="1"/>
  <c r="T44" i="60"/>
  <c r="T50" i="60" s="1"/>
  <c r="BL44" i="60"/>
  <c r="BL50" i="60" s="1"/>
  <c r="BY44" i="60"/>
  <c r="BY50" i="60" s="1"/>
  <c r="AO44" i="60"/>
  <c r="AO50" i="60" s="1"/>
  <c r="BK44" i="60"/>
  <c r="BK50" i="60" s="1"/>
  <c r="BV44" i="60"/>
  <c r="BV50" i="60" s="1"/>
  <c r="BN44" i="60"/>
  <c r="BN50" i="60" s="1"/>
  <c r="BO44" i="60"/>
  <c r="BO50" i="60" s="1"/>
  <c r="AW44" i="60"/>
  <c r="AW50" i="60" s="1"/>
  <c r="BR44" i="60"/>
  <c r="BR50" i="60" s="1"/>
  <c r="BD44" i="60"/>
  <c r="BD50" i="60" s="1"/>
  <c r="BF44" i="60"/>
  <c r="BF50" i="60" s="1"/>
  <c r="BE44" i="60"/>
  <c r="BE50" i="60" s="1"/>
  <c r="AJ44" i="60"/>
  <c r="AJ50" i="60" s="1"/>
  <c r="O97" i="60"/>
  <c r="O115" i="60" s="1"/>
  <c r="O116" i="60" s="1"/>
  <c r="O44" i="60"/>
  <c r="O50" i="60" s="1"/>
  <c r="AH44" i="60"/>
  <c r="AH50" i="60" s="1"/>
  <c r="BX44" i="60"/>
  <c r="BX50" i="60" s="1"/>
  <c r="AA44" i="60"/>
  <c r="AA50" i="60" s="1"/>
  <c r="W44" i="60"/>
  <c r="W50" i="60" s="1"/>
  <c r="CC44" i="60"/>
  <c r="CC50" i="60" s="1"/>
  <c r="BS44" i="60"/>
  <c r="BS50" i="60" s="1"/>
  <c r="BU44" i="60"/>
  <c r="BU50" i="60" s="1"/>
  <c r="BQ44" i="60"/>
  <c r="BQ50" i="60" s="1"/>
  <c r="M97" i="60"/>
  <c r="M115" i="60" s="1"/>
  <c r="M116" i="60" s="1"/>
  <c r="M44" i="60"/>
  <c r="M50" i="60" s="1"/>
  <c r="CB44" i="60"/>
  <c r="CB50" i="60" s="1"/>
  <c r="CE44" i="60"/>
  <c r="CE50" i="60" s="1"/>
  <c r="AD44" i="60"/>
  <c r="AD50" i="60" s="1"/>
  <c r="BZ44" i="60"/>
  <c r="BZ50" i="60" s="1"/>
  <c r="AP44" i="60"/>
  <c r="AP50" i="60" s="1"/>
  <c r="AZ44" i="60"/>
  <c r="AZ50" i="60" s="1"/>
  <c r="AQ44" i="60"/>
  <c r="AQ50" i="60" s="1"/>
  <c r="AT44" i="60"/>
  <c r="AT50" i="60" s="1"/>
  <c r="AR44" i="60"/>
  <c r="AR50" i="60" s="1"/>
  <c r="AV44" i="60"/>
  <c r="AV50" i="60" s="1"/>
  <c r="CD44" i="60"/>
  <c r="CD50" i="60" s="1"/>
  <c r="CF44" i="60"/>
  <c r="CF50" i="60" s="1"/>
  <c r="CA44" i="60"/>
  <c r="CA50" i="60" s="1"/>
  <c r="BB44" i="60"/>
  <c r="BB50" i="60" s="1"/>
  <c r="L97" i="60"/>
  <c r="L115" i="60" s="1"/>
  <c r="L116" i="60" s="1"/>
  <c r="L44" i="60"/>
  <c r="L50" i="60" s="1"/>
  <c r="AM97" i="60"/>
  <c r="AM115" i="60" s="1"/>
  <c r="AM116" i="60" s="1"/>
  <c r="AM44" i="60"/>
  <c r="AM50" i="60" s="1"/>
  <c r="X44" i="60"/>
  <c r="X50" i="60" s="1"/>
  <c r="BM44" i="60"/>
  <c r="BM50" i="60" s="1"/>
  <c r="AU44" i="60"/>
  <c r="AU50" i="60" s="1"/>
  <c r="BP44" i="60"/>
  <c r="BP50" i="60" s="1"/>
  <c r="BG44" i="60"/>
  <c r="BG50" i="60" s="1"/>
  <c r="BW44" i="60"/>
  <c r="BW50" i="60" s="1"/>
  <c r="AY44" i="60"/>
  <c r="AY50" i="60" s="1"/>
  <c r="V44" i="60"/>
  <c r="V50" i="60" s="1"/>
  <c r="AK97" i="60"/>
  <c r="AK115" i="60" s="1"/>
  <c r="AK116" i="60" s="1"/>
  <c r="AK44" i="60"/>
  <c r="AK50" i="60" s="1"/>
  <c r="AL97" i="60"/>
  <c r="AL115" i="60" s="1"/>
  <c r="AL116" i="60" s="1"/>
  <c r="AL44" i="60"/>
  <c r="AL50" i="60" s="1"/>
  <c r="AF27" i="60"/>
  <c r="AF97" i="60" s="1"/>
  <c r="AF115" i="60" s="1"/>
  <c r="AF116" i="60" s="1"/>
  <c r="Y27" i="60"/>
  <c r="AC27" i="60"/>
  <c r="AI27" i="60"/>
  <c r="V84" i="60"/>
  <c r="V82" i="60" s="1"/>
  <c r="AE98" i="60"/>
  <c r="W98" i="60"/>
  <c r="X84" i="60"/>
  <c r="X82" i="60" s="1"/>
  <c r="AE84" i="60"/>
  <c r="AE82" i="60" s="1"/>
  <c r="X97" i="60"/>
  <c r="X115" i="60" s="1"/>
  <c r="X116" i="60" s="1"/>
  <c r="CB97" i="60"/>
  <c r="CB115" i="60" s="1"/>
  <c r="CB116" i="60" s="1"/>
  <c r="AV97" i="60"/>
  <c r="AV115" i="60" s="1"/>
  <c r="AV116" i="60" s="1"/>
  <c r="CD97" i="60"/>
  <c r="CD115" i="60" s="1"/>
  <c r="CD116" i="60" s="1"/>
  <c r="BR97" i="60"/>
  <c r="BR115" i="60" s="1"/>
  <c r="BR116" i="60" s="1"/>
  <c r="BD97" i="60"/>
  <c r="BD115" i="60" s="1"/>
  <c r="BD116" i="60" s="1"/>
  <c r="BF97" i="60"/>
  <c r="BF115" i="60" s="1"/>
  <c r="BF116" i="60" s="1"/>
  <c r="BE97" i="60"/>
  <c r="BE115" i="60" s="1"/>
  <c r="BE116" i="60" s="1"/>
  <c r="AI84" i="60"/>
  <c r="AI82" i="60" s="1"/>
  <c r="BA84" i="60"/>
  <c r="BA82" i="60" s="1"/>
  <c r="AX84" i="60"/>
  <c r="AX82" i="60" s="1"/>
  <c r="CD84" i="60"/>
  <c r="CD82" i="60" s="1"/>
  <c r="BX84" i="60"/>
  <c r="BX82" i="60" s="1"/>
  <c r="CE84" i="60"/>
  <c r="CE82" i="60" s="1"/>
  <c r="BM84" i="60"/>
  <c r="BM82" i="60" s="1"/>
  <c r="AB27" i="60"/>
  <c r="P84" i="60"/>
  <c r="P82" i="60" s="1"/>
  <c r="AK84" i="60"/>
  <c r="AK82" i="60" s="1"/>
  <c r="Z97" i="60"/>
  <c r="Z115" i="60" s="1"/>
  <c r="Z116" i="60" s="1"/>
  <c r="AU97" i="60"/>
  <c r="AU115" i="60" s="1"/>
  <c r="AU116" i="60" s="1"/>
  <c r="BP97" i="60"/>
  <c r="BP115" i="60" s="1"/>
  <c r="BP116" i="60" s="1"/>
  <c r="CC97" i="60"/>
  <c r="CC115" i="60" s="1"/>
  <c r="CC116" i="60" s="1"/>
  <c r="BS97" i="60"/>
  <c r="BS115" i="60" s="1"/>
  <c r="BS116" i="60" s="1"/>
  <c r="BU97" i="60"/>
  <c r="BU115" i="60" s="1"/>
  <c r="BU116" i="60" s="1"/>
  <c r="BQ97" i="60"/>
  <c r="BQ115" i="60" s="1"/>
  <c r="BQ116" i="60" s="1"/>
  <c r="AA84" i="60"/>
  <c r="AA82" i="60" s="1"/>
  <c r="BU84" i="60"/>
  <c r="BU82" i="60" s="1"/>
  <c r="AR84" i="60"/>
  <c r="AR82" i="60" s="1"/>
  <c r="BW84" i="60"/>
  <c r="BW82" i="60" s="1"/>
  <c r="BC84" i="60"/>
  <c r="BC82" i="60" s="1"/>
  <c r="BN84" i="60"/>
  <c r="BN82" i="60" s="1"/>
  <c r="T84" i="60"/>
  <c r="T82" i="60" s="1"/>
  <c r="L84" i="60"/>
  <c r="L82" i="60" s="1"/>
  <c r="R84" i="60"/>
  <c r="R82" i="60" s="1"/>
  <c r="V98" i="60"/>
  <c r="AP97" i="60"/>
  <c r="AP115" i="60" s="1"/>
  <c r="AP116" i="60" s="1"/>
  <c r="BL97" i="60"/>
  <c r="BL115" i="60" s="1"/>
  <c r="BL116" i="60" s="1"/>
  <c r="CE97" i="60"/>
  <c r="CE115" i="60" s="1"/>
  <c r="CE116" i="60" s="1"/>
  <c r="CF97" i="60"/>
  <c r="CF115" i="60" s="1"/>
  <c r="CF116" i="60" s="1"/>
  <c r="W84" i="60"/>
  <c r="W82" i="60" s="1"/>
  <c r="CA97" i="60"/>
  <c r="CA115" i="60" s="1"/>
  <c r="CA116" i="60" s="1"/>
  <c r="BB97" i="60"/>
  <c r="BB115" i="60" s="1"/>
  <c r="BB116" i="60" s="1"/>
  <c r="CF84" i="60"/>
  <c r="CF82" i="60" s="1"/>
  <c r="BY84" i="60"/>
  <c r="BY82" i="60" s="1"/>
  <c r="BG84" i="60"/>
  <c r="BG82" i="60" s="1"/>
  <c r="AZ84" i="60"/>
  <c r="AZ82" i="60" s="1"/>
  <c r="AU84" i="60"/>
  <c r="AU82" i="60" s="1"/>
  <c r="AY84" i="60"/>
  <c r="AY82" i="60" s="1"/>
  <c r="K84" i="60"/>
  <c r="M84" i="60"/>
  <c r="M82" i="60" s="1"/>
  <c r="V97" i="60"/>
  <c r="V115" i="60" s="1"/>
  <c r="V116" i="60" s="1"/>
  <c r="BH97" i="60"/>
  <c r="BH115" i="60" s="1"/>
  <c r="BH116" i="60" s="1"/>
  <c r="BH51" i="60"/>
  <c r="AZ97" i="60"/>
  <c r="AZ115" i="60" s="1"/>
  <c r="AZ116" i="60" s="1"/>
  <c r="I44" i="60"/>
  <c r="BG97" i="60"/>
  <c r="BG115" i="60" s="1"/>
  <c r="BG116" i="60" s="1"/>
  <c r="BG51" i="60"/>
  <c r="BW97" i="60"/>
  <c r="BW115" i="60" s="1"/>
  <c r="BW116" i="60" s="1"/>
  <c r="AY97" i="60"/>
  <c r="AY115" i="60" s="1"/>
  <c r="AY116" i="60" s="1"/>
  <c r="AC84" i="60"/>
  <c r="AC82" i="60" s="1"/>
  <c r="AE27" i="60"/>
  <c r="AW84" i="60"/>
  <c r="AW82" i="60" s="1"/>
  <c r="BS84" i="60"/>
  <c r="BS82" i="60" s="1"/>
  <c r="AP84" i="60"/>
  <c r="AP82" i="60" s="1"/>
  <c r="BK84" i="60"/>
  <c r="BK82" i="60" s="1"/>
  <c r="U84" i="60"/>
  <c r="U82" i="60" s="1"/>
  <c r="AL84" i="60"/>
  <c r="AL82" i="60" s="1"/>
  <c r="AJ98" i="60"/>
  <c r="BC97" i="60"/>
  <c r="BC115" i="60" s="1"/>
  <c r="BC116" i="60" s="1"/>
  <c r="BT97" i="60"/>
  <c r="BT115" i="60" s="1"/>
  <c r="BT116" i="60" s="1"/>
  <c r="AD97" i="60"/>
  <c r="AD115" i="60" s="1"/>
  <c r="AD116" i="60" s="1"/>
  <c r="BY97" i="60"/>
  <c r="BY115" i="60" s="1"/>
  <c r="BY116" i="60" s="1"/>
  <c r="BZ97" i="60"/>
  <c r="BZ115" i="60" s="1"/>
  <c r="BZ116" i="60" s="1"/>
  <c r="CB84" i="60"/>
  <c r="CB82" i="60" s="1"/>
  <c r="BD84" i="60"/>
  <c r="BD82" i="60" s="1"/>
  <c r="BE84" i="60"/>
  <c r="BE82" i="60" s="1"/>
  <c r="AS84" i="60"/>
  <c r="AS82" i="60" s="1"/>
  <c r="BO84" i="60"/>
  <c r="BO82" i="60" s="1"/>
  <c r="BI84" i="60"/>
  <c r="BI82" i="60" s="1"/>
  <c r="J27" i="60"/>
  <c r="J44" i="60" s="1"/>
  <c r="BO97" i="60"/>
  <c r="BO115" i="60" s="1"/>
  <c r="BO116" i="60" s="1"/>
  <c r="AO97" i="60"/>
  <c r="AO115" i="60" s="1"/>
  <c r="AO116" i="60" s="1"/>
  <c r="AG27" i="60"/>
  <c r="AX97" i="60"/>
  <c r="AX115" i="60" s="1"/>
  <c r="AX116" i="60" s="1"/>
  <c r="AQ97" i="60"/>
  <c r="AQ115" i="60" s="1"/>
  <c r="AQ116" i="60" s="1"/>
  <c r="AQ51" i="60"/>
  <c r="AT97" i="60"/>
  <c r="AT115" i="60" s="1"/>
  <c r="AT116" i="60" s="1"/>
  <c r="AD84" i="60"/>
  <c r="AD82" i="60" s="1"/>
  <c r="CA84" i="60"/>
  <c r="CA82" i="60" s="1"/>
  <c r="BB84" i="60"/>
  <c r="BB82" i="60" s="1"/>
  <c r="AO84" i="60"/>
  <c r="AO82" i="60" s="1"/>
  <c r="AV84" i="60"/>
  <c r="AV82" i="60" s="1"/>
  <c r="BF84" i="60"/>
  <c r="BF82" i="60" s="1"/>
  <c r="BL84" i="60"/>
  <c r="BL82" i="60" s="1"/>
  <c r="N84" i="60"/>
  <c r="N82" i="60" s="1"/>
  <c r="AM84" i="60"/>
  <c r="AM82" i="60" s="1"/>
  <c r="S84" i="60"/>
  <c r="S82" i="60" s="1"/>
  <c r="BX97" i="60"/>
  <c r="BX115" i="60" s="1"/>
  <c r="BX116" i="60" s="1"/>
  <c r="J98" i="60"/>
  <c r="J97" i="60" s="1"/>
  <c r="J115" i="60" s="1"/>
  <c r="J116" i="60" s="1"/>
  <c r="AA97" i="60"/>
  <c r="AA115" i="60" s="1"/>
  <c r="AA116" i="60" s="1"/>
  <c r="AW97" i="60"/>
  <c r="AW115" i="60" s="1"/>
  <c r="AW116" i="60" s="1"/>
  <c r="AN97" i="60"/>
  <c r="AN115" i="60" s="1"/>
  <c r="AN116" i="60" s="1"/>
  <c r="BJ97" i="60"/>
  <c r="BJ115" i="60" s="1"/>
  <c r="BJ116" i="60" s="1"/>
  <c r="BI97" i="60"/>
  <c r="BI115" i="60" s="1"/>
  <c r="BI116" i="60" s="1"/>
  <c r="AS97" i="60"/>
  <c r="AS115" i="60" s="1"/>
  <c r="AS116" i="60" s="1"/>
  <c r="AJ97" i="60"/>
  <c r="AJ115" i="60" s="1"/>
  <c r="AJ116" i="60" s="1"/>
  <c r="BP84" i="60"/>
  <c r="BP82" i="60" s="1"/>
  <c r="BQ84" i="60"/>
  <c r="BQ82" i="60" s="1"/>
  <c r="AT84" i="60"/>
  <c r="AT82" i="60" s="1"/>
  <c r="BT84" i="60"/>
  <c r="BT82" i="60" s="1"/>
  <c r="BZ84" i="60"/>
  <c r="BZ82" i="60" s="1"/>
  <c r="BJ84" i="60"/>
  <c r="BJ82" i="60" s="1"/>
  <c r="J84" i="60"/>
  <c r="J82" i="60" s="1"/>
  <c r="Q84" i="60"/>
  <c r="Q82" i="60" s="1"/>
  <c r="K50" i="60"/>
  <c r="O84" i="60"/>
  <c r="O82" i="60" s="1"/>
  <c r="AR97" i="60"/>
  <c r="AR115" i="60" s="1"/>
  <c r="AR116" i="60" s="1"/>
  <c r="BM97" i="60"/>
  <c r="BM115" i="60" s="1"/>
  <c r="BM116" i="60" s="1"/>
  <c r="W97" i="60"/>
  <c r="W115" i="60" s="1"/>
  <c r="W116" i="60" s="1"/>
  <c r="BK97" i="60"/>
  <c r="BK115" i="60" s="1"/>
  <c r="BK116" i="60" s="1"/>
  <c r="BA97" i="60"/>
  <c r="BA115" i="60" s="1"/>
  <c r="BA116" i="60" s="1"/>
  <c r="BV97" i="60"/>
  <c r="BV115" i="60" s="1"/>
  <c r="BV116" i="60" s="1"/>
  <c r="BN97" i="60"/>
  <c r="BN115" i="60" s="1"/>
  <c r="BN116" i="60" s="1"/>
  <c r="Z84" i="60"/>
  <c r="Z82" i="60" s="1"/>
  <c r="AH97" i="60"/>
  <c r="AH115" i="60" s="1"/>
  <c r="AH116" i="60" s="1"/>
  <c r="BV84" i="60"/>
  <c r="BV82" i="60" s="1"/>
  <c r="CC84" i="60"/>
  <c r="CC82" i="60" s="1"/>
  <c r="AQ84" i="60"/>
  <c r="AQ82" i="60" s="1"/>
  <c r="BR84" i="60"/>
  <c r="BR82" i="60" s="1"/>
  <c r="AN84" i="60"/>
  <c r="AN82" i="60" s="1"/>
  <c r="BH84" i="60"/>
  <c r="BH82" i="60" s="1"/>
  <c r="AB79" i="60"/>
  <c r="AB84" i="60"/>
  <c r="AB82" i="60" s="1"/>
  <c r="W51" i="60" l="1"/>
  <c r="CE51" i="60"/>
  <c r="K82" i="60"/>
  <c r="K89" i="60"/>
  <c r="CC51" i="60"/>
  <c r="BT51" i="60"/>
  <c r="AY51" i="60"/>
  <c r="BY51" i="60"/>
  <c r="AA51" i="60"/>
  <c r="BC51" i="60"/>
  <c r="CF51" i="60"/>
  <c r="BO51" i="60"/>
  <c r="AZ51" i="60"/>
  <c r="AP51" i="60"/>
  <c r="AV51" i="60"/>
  <c r="AU51" i="60"/>
  <c r="CA51" i="60"/>
  <c r="CF49" i="60"/>
  <c r="CD51" i="60"/>
  <c r="AJ49" i="60"/>
  <c r="AJ51" i="60"/>
  <c r="BN51" i="60"/>
  <c r="BZ51" i="60"/>
  <c r="BA51" i="60"/>
  <c r="BZ49" i="60"/>
  <c r="BG49" i="60"/>
  <c r="AH49" i="60"/>
  <c r="BU49" i="60"/>
  <c r="AT49" i="60"/>
  <c r="AD49" i="60"/>
  <c r="BQ49" i="60"/>
  <c r="BO49" i="60"/>
  <c r="BJ49" i="60"/>
  <c r="AL49" i="60"/>
  <c r="AM49" i="60"/>
  <c r="CA49" i="60"/>
  <c r="CE49" i="60"/>
  <c r="AA49" i="60"/>
  <c r="BL49" i="60"/>
  <c r="BS49" i="60"/>
  <c r="BD49" i="60"/>
  <c r="BV49" i="60"/>
  <c r="AK49" i="60"/>
  <c r="L49" i="60"/>
  <c r="AP49" i="60"/>
  <c r="M49" i="60"/>
  <c r="BA49" i="60"/>
  <c r="BB49" i="60"/>
  <c r="CC49" i="60"/>
  <c r="BY49" i="60"/>
  <c r="BI49" i="60"/>
  <c r="AF84" i="60"/>
  <c r="AF82" i="60" s="1"/>
  <c r="AH84" i="60"/>
  <c r="AX49" i="60"/>
  <c r="AN49" i="60"/>
  <c r="AW51" i="60"/>
  <c r="BS51" i="60"/>
  <c r="BE51" i="60"/>
  <c r="AY49" i="60"/>
  <c r="AU49" i="60"/>
  <c r="BE49" i="60"/>
  <c r="AW49" i="60"/>
  <c r="BK49" i="60"/>
  <c r="T49" i="60"/>
  <c r="U49" i="60"/>
  <c r="AS49" i="60"/>
  <c r="AI97" i="60"/>
  <c r="AI115" i="60" s="1"/>
  <c r="AI116" i="60" s="1"/>
  <c r="AI44" i="60"/>
  <c r="AI50" i="60" s="1"/>
  <c r="BX49" i="60"/>
  <c r="AX51" i="60"/>
  <c r="AB44" i="60"/>
  <c r="AB50" i="60" s="1"/>
  <c r="CB51" i="60"/>
  <c r="BT49" i="60"/>
  <c r="BW49" i="60"/>
  <c r="BM49" i="60"/>
  <c r="CD49" i="60"/>
  <c r="AQ49" i="60"/>
  <c r="BF49" i="60"/>
  <c r="AO49" i="60"/>
  <c r="AG44" i="60"/>
  <c r="AG50" i="60" s="1"/>
  <c r="AE44" i="60"/>
  <c r="AE50" i="60" s="1"/>
  <c r="AC97" i="60"/>
  <c r="AC115" i="60" s="1"/>
  <c r="AC116" i="60" s="1"/>
  <c r="AC44" i="60"/>
  <c r="AC50" i="60" s="1"/>
  <c r="W49" i="60"/>
  <c r="O49" i="60"/>
  <c r="BH49" i="60"/>
  <c r="BP51" i="60"/>
  <c r="Y97" i="60"/>
  <c r="Y115" i="60" s="1"/>
  <c r="Y116" i="60" s="1"/>
  <c r="Y44" i="60"/>
  <c r="Y50" i="60" s="1"/>
  <c r="X49" i="60"/>
  <c r="AV49" i="60"/>
  <c r="AZ49" i="60"/>
  <c r="BN49" i="60"/>
  <c r="BC49" i="60"/>
  <c r="Z49" i="60"/>
  <c r="V51" i="60"/>
  <c r="AN51" i="60"/>
  <c r="AF44" i="60"/>
  <c r="AF50" i="60" s="1"/>
  <c r="V49" i="60"/>
  <c r="BP49" i="60"/>
  <c r="AR49" i="60"/>
  <c r="CB49" i="60"/>
  <c r="BR49" i="60"/>
  <c r="N49" i="60"/>
  <c r="I50" i="60"/>
  <c r="AG84" i="60"/>
  <c r="AG82" i="60" s="1"/>
  <c r="V89" i="60"/>
  <c r="AG98" i="60"/>
  <c r="Y98" i="60"/>
  <c r="AB98" i="60"/>
  <c r="AA98" i="60"/>
  <c r="J50" i="63"/>
  <c r="J93" i="63" s="1"/>
  <c r="AD89" i="60"/>
  <c r="Q89" i="60"/>
  <c r="AA89" i="60"/>
  <c r="P89" i="60"/>
  <c r="X51" i="60"/>
  <c r="BK51" i="60"/>
  <c r="AF98" i="60"/>
  <c r="R98" i="60"/>
  <c r="BM51" i="60"/>
  <c r="T98" i="60"/>
  <c r="I49" i="60"/>
  <c r="I51" i="60"/>
  <c r="BD51" i="60"/>
  <c r="J49" i="60"/>
  <c r="O51" i="60"/>
  <c r="AM51" i="60"/>
  <c r="P51" i="60"/>
  <c r="T51" i="60"/>
  <c r="K98" i="60"/>
  <c r="BI51" i="60"/>
  <c r="BX51" i="60"/>
  <c r="L51" i="60"/>
  <c r="AT51" i="60"/>
  <c r="AG97" i="60"/>
  <c r="AG115" i="60" s="1"/>
  <c r="AG116" i="60" s="1"/>
  <c r="O98" i="60"/>
  <c r="AE97" i="60"/>
  <c r="AE115" i="60" s="1"/>
  <c r="AE116" i="60" s="1"/>
  <c r="BW51" i="60"/>
  <c r="U51" i="60"/>
  <c r="I84" i="60"/>
  <c r="I82" i="60" s="1"/>
  <c r="R89" i="60"/>
  <c r="AM98" i="60"/>
  <c r="BU51" i="60"/>
  <c r="AK89" i="60"/>
  <c r="P98" i="60"/>
  <c r="X89" i="60"/>
  <c r="S98" i="60"/>
  <c r="L98" i="60"/>
  <c r="AK51" i="60"/>
  <c r="U89" i="60"/>
  <c r="U98" i="60"/>
  <c r="BL51" i="60"/>
  <c r="AB97" i="60"/>
  <c r="AB115" i="60" s="1"/>
  <c r="AB116" i="60" s="1"/>
  <c r="BR51" i="60"/>
  <c r="AS51" i="60"/>
  <c r="BV51" i="60"/>
  <c r="K51" i="60"/>
  <c r="K49" i="60"/>
  <c r="Q98" i="60"/>
  <c r="AM89" i="60"/>
  <c r="AJ84" i="60"/>
  <c r="AJ82" i="60" s="1"/>
  <c r="AO51" i="60"/>
  <c r="M51" i="60"/>
  <c r="AK98" i="60"/>
  <c r="I420" i="59"/>
  <c r="J420" i="59" s="1"/>
  <c r="N51" i="60"/>
  <c r="BB51" i="60"/>
  <c r="AE89" i="60"/>
  <c r="X98" i="60"/>
  <c r="BQ51" i="60"/>
  <c r="R51" i="60"/>
  <c r="AR51" i="60"/>
  <c r="S51" i="60"/>
  <c r="Q51" i="60"/>
  <c r="AB89" i="60"/>
  <c r="AL51" i="60"/>
  <c r="O89" i="60"/>
  <c r="BJ51" i="60"/>
  <c r="M98" i="60"/>
  <c r="N98" i="60"/>
  <c r="I431" i="59"/>
  <c r="J431" i="59" s="1"/>
  <c r="BF51" i="60"/>
  <c r="AL98" i="60"/>
  <c r="S89" i="60"/>
  <c r="AI89" i="60"/>
  <c r="AH89" i="60" l="1"/>
  <c r="AH82" i="60"/>
  <c r="AC49" i="60"/>
  <c r="I427" i="59"/>
  <c r="J427" i="59" s="1"/>
  <c r="I401" i="59"/>
  <c r="J401" i="59" s="1"/>
  <c r="I392" i="59"/>
  <c r="J392" i="59" s="1"/>
  <c r="I416" i="59"/>
  <c r="J416" i="59" s="1"/>
  <c r="I399" i="59"/>
  <c r="J399" i="59" s="1"/>
  <c r="I409" i="59"/>
  <c r="J409" i="59" s="1"/>
  <c r="I429" i="59"/>
  <c r="J429" i="59" s="1"/>
  <c r="F496" i="59" s="1"/>
  <c r="H496" i="59" s="1"/>
  <c r="J496" i="59" s="1"/>
  <c r="I417" i="59"/>
  <c r="J417" i="59" s="1"/>
  <c r="I402" i="59"/>
  <c r="J402" i="59" s="1"/>
  <c r="I412" i="59"/>
  <c r="J412" i="59" s="1"/>
  <c r="I407" i="59"/>
  <c r="J407" i="59" s="1"/>
  <c r="I410" i="59"/>
  <c r="J410" i="59" s="1"/>
  <c r="I408" i="59"/>
  <c r="J408" i="59" s="1"/>
  <c r="BU89" i="60"/>
  <c r="I422" i="59"/>
  <c r="J422" i="59" s="1"/>
  <c r="I430" i="59"/>
  <c r="J430" i="59" s="1"/>
  <c r="I433" i="59"/>
  <c r="J433" i="59" s="1"/>
  <c r="I405" i="59"/>
  <c r="J405" i="59" s="1"/>
  <c r="I389" i="59"/>
  <c r="J389" i="59" s="1"/>
  <c r="I404" i="59"/>
  <c r="J404" i="59" s="1"/>
  <c r="I396" i="59"/>
  <c r="J396" i="59" s="1"/>
  <c r="I426" i="59"/>
  <c r="J426" i="59" s="1"/>
  <c r="I414" i="59"/>
  <c r="J414" i="59" s="1"/>
  <c r="I395" i="59"/>
  <c r="J395" i="59" s="1"/>
  <c r="AB49" i="60"/>
  <c r="I403" i="59"/>
  <c r="J403" i="59" s="1"/>
  <c r="I415" i="59"/>
  <c r="J415" i="59" s="1"/>
  <c r="I418" i="59"/>
  <c r="J418" i="59" s="1"/>
  <c r="I419" i="59"/>
  <c r="J419" i="59" s="1"/>
  <c r="I393" i="59"/>
  <c r="J393" i="59" s="1"/>
  <c r="I413" i="59"/>
  <c r="J413" i="59" s="1"/>
  <c r="I394" i="59"/>
  <c r="J394" i="59" s="1"/>
  <c r="I391" i="59"/>
  <c r="J391" i="59" s="1"/>
  <c r="I406" i="59"/>
  <c r="J406" i="59" s="1"/>
  <c r="I390" i="59"/>
  <c r="J390" i="59" s="1"/>
  <c r="I421" i="59"/>
  <c r="J421" i="59" s="1"/>
  <c r="I423" i="59"/>
  <c r="J423" i="59" s="1"/>
  <c r="I425" i="59"/>
  <c r="J425" i="59" s="1"/>
  <c r="I424" i="59"/>
  <c r="J424" i="59" s="1"/>
  <c r="I397" i="59"/>
  <c r="J397" i="59" s="1"/>
  <c r="I432" i="59"/>
  <c r="J432" i="59" s="1"/>
  <c r="I411" i="59"/>
  <c r="J411" i="59" s="1"/>
  <c r="I428" i="59"/>
  <c r="J428" i="59" s="1"/>
  <c r="I400" i="59"/>
  <c r="J400" i="59" s="1"/>
  <c r="I398" i="59"/>
  <c r="J398" i="59" s="1"/>
  <c r="AE49" i="60"/>
  <c r="AI49" i="60"/>
  <c r="AG49" i="60"/>
  <c r="H45" i="60"/>
  <c r="AF49" i="60"/>
  <c r="Y49" i="60"/>
  <c r="AI51" i="60"/>
  <c r="I363" i="59"/>
  <c r="J363" i="59" s="1"/>
  <c r="I371" i="59"/>
  <c r="J371" i="59" s="1"/>
  <c r="AN48" i="60"/>
  <c r="M50" i="63"/>
  <c r="M93" i="63" s="1"/>
  <c r="Y51" i="60"/>
  <c r="I369" i="59"/>
  <c r="J369" i="59" s="1"/>
  <c r="AX48" i="60"/>
  <c r="AY89" i="60"/>
  <c r="BT89" i="60"/>
  <c r="CD48" i="60"/>
  <c r="I379" i="59"/>
  <c r="BY89" i="60"/>
  <c r="I362" i="59"/>
  <c r="J362" i="59" s="1"/>
  <c r="N89" i="60"/>
  <c r="AC89" i="60"/>
  <c r="I378" i="59"/>
  <c r="J378" i="59" s="1"/>
  <c r="I366" i="59"/>
  <c r="J366" i="59" s="1"/>
  <c r="BA48" i="60"/>
  <c r="BH48" i="60"/>
  <c r="I381" i="59"/>
  <c r="J381" i="59" s="1"/>
  <c r="AF89" i="60"/>
  <c r="H782" i="59"/>
  <c r="G791" i="59" s="1"/>
  <c r="CE89" i="60"/>
  <c r="BD89" i="60"/>
  <c r="I382" i="59"/>
  <c r="J382" i="59" s="1"/>
  <c r="AG89" i="60"/>
  <c r="BA89" i="60"/>
  <c r="Z89" i="60"/>
  <c r="AW89" i="60"/>
  <c r="CA89" i="60"/>
  <c r="AS89" i="60"/>
  <c r="BW89" i="60"/>
  <c r="L89" i="60"/>
  <c r="AW48" i="60"/>
  <c r="AL89" i="60"/>
  <c r="BX89" i="60"/>
  <c r="AN89" i="60"/>
  <c r="I365" i="59"/>
  <c r="J365" i="59" s="1"/>
  <c r="AR89" i="60"/>
  <c r="BE48" i="60"/>
  <c r="AP89" i="60"/>
  <c r="AT89" i="60"/>
  <c r="BC48" i="60"/>
  <c r="AU48" i="60"/>
  <c r="I372" i="59"/>
  <c r="J372" i="59" s="1"/>
  <c r="W89" i="60"/>
  <c r="BJ48" i="60"/>
  <c r="BM89" i="60"/>
  <c r="AU89" i="60"/>
  <c r="AJ48" i="60"/>
  <c r="I375" i="59"/>
  <c r="J375" i="59" s="1"/>
  <c r="T89" i="60"/>
  <c r="CC89" i="60"/>
  <c r="BE89" i="60"/>
  <c r="BP89" i="60"/>
  <c r="CE48" i="60"/>
  <c r="BC89" i="60"/>
  <c r="AV89" i="60"/>
  <c r="BJ89" i="60"/>
  <c r="BG89" i="60"/>
  <c r="BZ48" i="60"/>
  <c r="I376" i="59"/>
  <c r="J376" i="59" s="1"/>
  <c r="CF89" i="60"/>
  <c r="CC48" i="60"/>
  <c r="I387" i="59"/>
  <c r="J387" i="59" s="1"/>
  <c r="AT48" i="60"/>
  <c r="W48" i="60"/>
  <c r="BL48" i="60"/>
  <c r="BU48" i="60"/>
  <c r="AX89" i="60"/>
  <c r="BW48" i="60"/>
  <c r="BV89" i="60"/>
  <c r="AR48" i="60"/>
  <c r="BV48" i="60"/>
  <c r="AO48" i="60"/>
  <c r="CB48" i="60"/>
  <c r="BH89" i="60"/>
  <c r="BO89" i="60"/>
  <c r="AO89" i="60"/>
  <c r="BR48" i="60"/>
  <c r="BI48" i="60"/>
  <c r="BQ89" i="60"/>
  <c r="BZ89" i="60"/>
  <c r="BF48" i="60"/>
  <c r="BL89" i="60"/>
  <c r="BM48" i="60"/>
  <c r="BR89" i="60"/>
  <c r="CB89" i="60"/>
  <c r="BX48" i="60"/>
  <c r="BI89" i="60"/>
  <c r="I361" i="59"/>
  <c r="J361" i="59" s="1"/>
  <c r="Q48" i="60"/>
  <c r="H781" i="59"/>
  <c r="G790" i="59" s="1"/>
  <c r="I380" i="59"/>
  <c r="J380" i="59" s="1"/>
  <c r="N48" i="60"/>
  <c r="AJ89" i="60"/>
  <c r="I386" i="59"/>
  <c r="J386" i="59" s="1"/>
  <c r="I367" i="59"/>
  <c r="J367" i="59" s="1"/>
  <c r="AZ48" i="60"/>
  <c r="BT48" i="60"/>
  <c r="T48" i="60"/>
  <c r="BQ48" i="60"/>
  <c r="I368" i="59"/>
  <c r="J368" i="59" s="1"/>
  <c r="AP48" i="60"/>
  <c r="BN48" i="60"/>
  <c r="BB89" i="60"/>
  <c r="H785" i="59"/>
  <c r="G794" i="59" s="1"/>
  <c r="J794" i="59" s="1"/>
  <c r="I385" i="59"/>
  <c r="J385" i="59" s="1"/>
  <c r="BY48" i="60"/>
  <c r="M89" i="60"/>
  <c r="I388" i="59"/>
  <c r="J388" i="59" s="1"/>
  <c r="AZ89" i="60"/>
  <c r="I373" i="59"/>
  <c r="J373" i="59" s="1"/>
  <c r="BP48" i="60"/>
  <c r="I48" i="60"/>
  <c r="BD48" i="60"/>
  <c r="X48" i="60"/>
  <c r="BK48" i="60"/>
  <c r="BF89" i="60"/>
  <c r="BO48" i="60"/>
  <c r="AS48" i="60"/>
  <c r="AF51" i="60"/>
  <c r="AY48" i="60"/>
  <c r="CF48" i="60"/>
  <c r="BG48" i="60"/>
  <c r="M48" i="60"/>
  <c r="AA48" i="60"/>
  <c r="AE51" i="60"/>
  <c r="J50" i="60"/>
  <c r="J51" i="60"/>
  <c r="BN89" i="60"/>
  <c r="AV48" i="60"/>
  <c r="BS89" i="60"/>
  <c r="K48" i="60"/>
  <c r="L48" i="60"/>
  <c r="BK89" i="60"/>
  <c r="I360" i="59"/>
  <c r="J360" i="59" s="1"/>
  <c r="AQ48" i="60"/>
  <c r="I384" i="59"/>
  <c r="J384" i="59" s="1"/>
  <c r="H784" i="59"/>
  <c r="G793" i="59" s="1"/>
  <c r="J793" i="59" s="1"/>
  <c r="BS48" i="60"/>
  <c r="U48" i="60"/>
  <c r="O48" i="60"/>
  <c r="AQ89" i="60"/>
  <c r="H780" i="59"/>
  <c r="G789" i="59" s="1"/>
  <c r="I377" i="59"/>
  <c r="J377" i="59" s="1"/>
  <c r="I383" i="59"/>
  <c r="J383" i="59" s="1"/>
  <c r="H783" i="59"/>
  <c r="G792" i="59" s="1"/>
  <c r="J792" i="59" s="1"/>
  <c r="AK48" i="60"/>
  <c r="J89" i="60"/>
  <c r="CD89" i="60"/>
  <c r="AL48" i="60"/>
  <c r="R48" i="60"/>
  <c r="CA48" i="60"/>
  <c r="I364" i="59"/>
  <c r="J364" i="59" s="1"/>
  <c r="S48" i="60"/>
  <c r="BB48" i="60"/>
  <c r="I370" i="59"/>
  <c r="J370" i="59" s="1"/>
  <c r="P48" i="60"/>
  <c r="AM48" i="60"/>
  <c r="V48" i="60"/>
  <c r="F490" i="59" l="1"/>
  <c r="H490" i="59" s="1"/>
  <c r="J490" i="59" s="1"/>
  <c r="F495" i="59"/>
  <c r="H495" i="59" s="1"/>
  <c r="J495" i="59" s="1"/>
  <c r="F488" i="59"/>
  <c r="H488" i="59" s="1"/>
  <c r="J488" i="59" s="1"/>
  <c r="F489" i="59"/>
  <c r="H489" i="59" s="1"/>
  <c r="J489" i="59" s="1"/>
  <c r="F486" i="59"/>
  <c r="H486" i="59" s="1"/>
  <c r="J486" i="59" s="1"/>
  <c r="F492" i="59"/>
  <c r="H492" i="59" s="1"/>
  <c r="J492" i="59" s="1"/>
  <c r="F494" i="59"/>
  <c r="H494" i="59" s="1"/>
  <c r="J494" i="59" s="1"/>
  <c r="F485" i="59"/>
  <c r="H485" i="59" s="1"/>
  <c r="J485" i="59" s="1"/>
  <c r="F497" i="59"/>
  <c r="H497" i="59" s="1"/>
  <c r="J497" i="59" s="1"/>
  <c r="AI48" i="60"/>
  <c r="AG51" i="60"/>
  <c r="J379" i="59"/>
  <c r="AB51" i="60"/>
  <c r="AH98" i="60"/>
  <c r="AC51" i="60"/>
  <c r="AC98" i="60"/>
  <c r="AD98" i="60"/>
  <c r="AD51" i="60"/>
  <c r="Z51" i="60"/>
  <c r="Z98" i="60"/>
  <c r="AH51" i="60"/>
  <c r="I89" i="60"/>
  <c r="J48" i="60"/>
  <c r="AF48" i="60"/>
  <c r="AE48" i="60"/>
  <c r="AG48" i="60" l="1"/>
  <c r="F498" i="59"/>
  <c r="H498" i="59" s="1"/>
  <c r="J498" i="59" s="1"/>
  <c r="Y48" i="60"/>
  <c r="AB48" i="60"/>
  <c r="M51" i="63"/>
  <c r="M53" i="63" s="1"/>
  <c r="J51" i="63"/>
  <c r="J53" i="63" s="1"/>
  <c r="Z48" i="60"/>
  <c r="AD48" i="60"/>
  <c r="AH48" i="60"/>
  <c r="AC48" i="60"/>
  <c r="M88" i="63" l="1"/>
  <c r="M98" i="63" s="1"/>
  <c r="D7" i="77" s="1"/>
  <c r="J88" i="63"/>
  <c r="J98" i="63" s="1"/>
  <c r="D6" i="77" s="1"/>
  <c r="H120" i="60"/>
  <c r="H119" i="60"/>
  <c r="N53" i="63"/>
  <c r="M63" i="63"/>
  <c r="M61" i="63" s="1"/>
  <c r="N61" i="63" s="1"/>
  <c r="M59" i="63"/>
  <c r="M57" i="63" s="1"/>
  <c r="N57" i="63" s="1"/>
  <c r="K53" i="63"/>
  <c r="J63" i="63"/>
  <c r="J61" i="63" s="1"/>
  <c r="K61" i="63" s="1"/>
  <c r="J59" i="63"/>
  <c r="J57" i="63" s="1"/>
  <c r="K57" i="63" s="1"/>
  <c r="E5" i="66" l="1"/>
  <c r="E6" i="66"/>
  <c r="K88" i="63"/>
  <c r="N88" i="63"/>
  <c r="J68" i="63"/>
  <c r="J65" i="63" s="1"/>
  <c r="K65" i="63" s="1"/>
  <c r="J74" i="63"/>
  <c r="J79" i="63" s="1"/>
  <c r="J82" i="63" s="1"/>
  <c r="J70" i="63" s="1"/>
  <c r="K70" i="63" s="1"/>
  <c r="M74" i="63"/>
  <c r="M79" i="63" s="1"/>
  <c r="M82" i="63" s="1"/>
  <c r="M70" i="63" s="1"/>
  <c r="N70" i="63" s="1"/>
  <c r="M68" i="63"/>
  <c r="M65" i="63" s="1"/>
  <c r="N65" i="63" s="1"/>
  <c r="N85" i="63" l="1"/>
  <c r="M89" i="63"/>
  <c r="M94" i="63" s="1"/>
  <c r="M97" i="63" s="1"/>
  <c r="K85" i="63"/>
  <c r="J89" i="63"/>
  <c r="J94" i="63" s="1"/>
  <c r="C7" i="65"/>
  <c r="M95" i="63" l="1"/>
  <c r="M99" i="63"/>
  <c r="E7" i="77" s="1"/>
  <c r="F7" i="77" s="1"/>
  <c r="J97" i="63"/>
  <c r="E15" i="66" s="1"/>
  <c r="J95" i="63"/>
  <c r="C54" i="65"/>
  <c r="C5" i="65"/>
  <c r="C11" i="66" l="1"/>
  <c r="E16" i="66"/>
  <c r="J99" i="63"/>
  <c r="E6" i="77" s="1"/>
  <c r="F6" i="77" s="1"/>
  <c r="C52" i="65"/>
  <c r="Y83" i="60" l="1"/>
  <c r="J42" i="64"/>
  <c r="F563" i="59" s="1"/>
  <c r="J43" i="64" l="1"/>
  <c r="J45" i="64" s="1"/>
  <c r="J51" i="64" s="1"/>
  <c r="J49" i="64" s="1"/>
  <c r="Y85" i="60"/>
  <c r="Y84" i="60" s="1"/>
  <c r="Y89" i="60" s="1"/>
  <c r="H563" i="59"/>
  <c r="I374" i="59"/>
  <c r="J374" i="59" s="1"/>
  <c r="F564" i="59"/>
  <c r="K98" i="64"/>
  <c r="F544" i="59" s="1"/>
  <c r="J90" i="64"/>
  <c r="K97" i="64"/>
  <c r="F543" i="59" s="1"/>
  <c r="K99" i="64"/>
  <c r="F545" i="59" s="1"/>
  <c r="Y82" i="60" l="1"/>
  <c r="J60" i="64"/>
  <c r="J57" i="64" s="1"/>
  <c r="K57" i="64" s="1"/>
  <c r="J55" i="64"/>
  <c r="J53" i="64" s="1"/>
  <c r="K53" i="64" s="1"/>
  <c r="J85" i="64"/>
  <c r="K85" i="64" s="1"/>
  <c r="J79" i="64"/>
  <c r="J67" i="64" s="1"/>
  <c r="K67" i="64" s="1"/>
  <c r="K62" i="64"/>
  <c r="H564" i="59"/>
  <c r="G492" i="59"/>
  <c r="I492" i="59" s="1"/>
  <c r="G485" i="59"/>
  <c r="I485" i="59" s="1"/>
  <c r="G495" i="59"/>
  <c r="I495" i="59" s="1"/>
  <c r="G490" i="59"/>
  <c r="I490" i="59" s="1"/>
  <c r="G493" i="59"/>
  <c r="I493" i="59" s="1"/>
  <c r="F487" i="59"/>
  <c r="H487" i="59" s="1"/>
  <c r="J487" i="59" s="1"/>
  <c r="G491" i="59"/>
  <c r="I491" i="59" s="1"/>
  <c r="G497" i="59"/>
  <c r="I497" i="59" s="1"/>
  <c r="G489" i="59"/>
  <c r="I489" i="59" s="1"/>
  <c r="G486" i="59"/>
  <c r="I486" i="59" s="1"/>
  <c r="G494" i="59"/>
  <c r="I494" i="59" s="1"/>
  <c r="G488" i="59"/>
  <c r="I488" i="59" s="1"/>
  <c r="G496" i="59"/>
  <c r="I496" i="59" s="1"/>
  <c r="G487" i="59"/>
  <c r="I487" i="59" s="1"/>
  <c r="G498" i="59"/>
  <c r="I498" i="59" s="1"/>
  <c r="K49" i="64"/>
  <c r="K82" i="64" l="1"/>
  <c r="J105" i="64"/>
  <c r="D8" i="77" s="1"/>
  <c r="J86" i="64"/>
  <c r="J91" i="64" s="1"/>
  <c r="J104" i="64" s="1"/>
  <c r="J106" i="64" s="1"/>
  <c r="E8" i="77" s="1"/>
  <c r="F8" i="77" s="1"/>
  <c r="C36" i="65"/>
  <c r="C50" i="65"/>
  <c r="J92" i="64" l="1"/>
  <c r="E516" i="59"/>
  <c r="F516" i="59" s="1"/>
  <c r="G516" i="59" s="1"/>
  <c r="E513" i="59"/>
  <c r="F513" i="59" s="1"/>
  <c r="G513" i="59" s="1"/>
  <c r="E509" i="59"/>
  <c r="F509" i="59" s="1"/>
  <c r="G509" i="59" s="1"/>
  <c r="E505" i="59"/>
  <c r="F505" i="59" s="1"/>
  <c r="G505" i="59" s="1"/>
  <c r="E514" i="59"/>
  <c r="F514" i="59" s="1"/>
  <c r="G514" i="59" s="1"/>
  <c r="E503" i="59"/>
  <c r="F503" i="59" s="1"/>
  <c r="G503" i="59" s="1"/>
  <c r="E511" i="59"/>
  <c r="F511" i="59" s="1"/>
  <c r="G511" i="59" s="1"/>
  <c r="E510" i="59"/>
  <c r="F510" i="59" s="1"/>
  <c r="G510" i="59" s="1"/>
  <c r="E506" i="59"/>
  <c r="F506" i="59" s="1"/>
  <c r="G506" i="59" s="1"/>
  <c r="E504" i="59"/>
  <c r="F504" i="59" s="1"/>
  <c r="E508" i="59"/>
  <c r="F508" i="59" s="1"/>
  <c r="G508" i="59" s="1"/>
  <c r="E515" i="59"/>
  <c r="F515" i="59" s="1"/>
  <c r="G515" i="59" s="1"/>
  <c r="E507" i="59"/>
  <c r="F507" i="59" s="1"/>
  <c r="E512" i="59"/>
  <c r="F512" i="59" s="1"/>
  <c r="I791" i="59" l="1"/>
  <c r="J791" i="59" s="1"/>
  <c r="G512" i="59"/>
  <c r="I790" i="59"/>
  <c r="J790" i="59" s="1"/>
  <c r="G507" i="59"/>
  <c r="I789" i="59"/>
  <c r="J789" i="59" s="1"/>
  <c r="G504" i="59"/>
  <c r="E545" i="59" s="1"/>
  <c r="E544" i="59"/>
  <c r="G544" i="59" s="1"/>
  <c r="E543" i="59"/>
  <c r="G543" i="59" l="1"/>
  <c r="G563" i="59"/>
  <c r="I563" i="59" s="1"/>
  <c r="G564" i="59"/>
  <c r="I564" i="59" s="1"/>
  <c r="G545" i="59"/>
  <c r="M789" i="59"/>
  <c r="M794" i="59" s="1"/>
  <c r="M790" i="59"/>
  <c r="M795" i="5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F28" authorId="0" shapeId="0" xr:uid="{8AC5E0E4-750F-4D05-9AE3-68958D353056}">
      <text>
        <r>
          <rPr>
            <b/>
            <sz val="9"/>
            <color indexed="81"/>
            <rFont val="Tahoma"/>
            <family val="2"/>
          </rPr>
          <t>Modificado manual</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D66" authorId="0" shapeId="0" xr:uid="{9252DC04-A268-468F-A5F8-54A359BBBF9A}">
      <text>
        <r>
          <rPr>
            <b/>
            <sz val="9"/>
            <color indexed="81"/>
            <rFont val="Tahoma"/>
            <family val="2"/>
          </rPr>
          <t xml:space="preserve">Los paquetes que tienen NETFLIX fueron agrupados por Telmex, de manera que bajo esta modalidad consideran alrededor de 9.9 millones de suscriptores vs los casi 12.2 millones que reportó con la indicación de cada paquete con Netflix. </t>
        </r>
      </text>
    </comment>
    <comment ref="F74" authorId="0" shapeId="0" xr:uid="{FA6066F7-A7A9-4D65-8C75-96B3F230CF7C}">
      <text>
        <r>
          <rPr>
            <b/>
            <sz val="9"/>
            <color indexed="81"/>
            <rFont val="Tahoma"/>
            <family val="2"/>
          </rPr>
          <t>Ingresado manualmente.</t>
        </r>
      </text>
    </comment>
    <comment ref="D193" authorId="0" shapeId="0" xr:uid="{50DD51A3-927C-4157-A281-35C5282642B4}">
      <text>
        <r>
          <rPr>
            <b/>
            <sz val="9"/>
            <color indexed="81"/>
            <rFont val="Tahoma"/>
            <family val="2"/>
          </rPr>
          <t xml:space="preserve">Los paquetes que tienen NETFLIX fueron agrupados por Telmex, de manera que bajo esta modalidad consideran alrededor de 9.9 millones de suscriptores vs los casi 12.2 millones que reportó con la indicación de cada paquete con Netflix. </t>
        </r>
      </text>
    </comment>
    <comment ref="F201" authorId="0" shapeId="0" xr:uid="{D672CC67-6B8A-457E-9088-2A5064341644}">
      <text>
        <r>
          <rPr>
            <b/>
            <sz val="9"/>
            <color indexed="81"/>
            <rFont val="Tahoma"/>
            <family val="2"/>
          </rPr>
          <t>Ingresado manualmente</t>
        </r>
      </text>
    </comment>
    <comment ref="J201" authorId="0" shapeId="0" xr:uid="{3FB371C6-2E02-4CE6-8B66-3E915259AAD4}">
      <text>
        <r>
          <rPr>
            <b/>
            <sz val="9"/>
            <color indexed="81"/>
            <rFont val="Tahoma"/>
            <family val="2"/>
          </rPr>
          <t>Igresado manualmente</t>
        </r>
      </text>
    </comment>
    <comment ref="K201" authorId="0" shapeId="0" xr:uid="{83DA8C24-97AE-4C19-89B2-C17846F88598}">
      <text>
        <r>
          <rPr>
            <b/>
            <sz val="9"/>
            <color indexed="81"/>
            <rFont val="Tahoma"/>
            <family val="2"/>
          </rPr>
          <t>Ingresado manualmente</t>
        </r>
      </text>
    </comment>
    <comment ref="H267" authorId="0" shapeId="0" xr:uid="{8BF28440-6200-4D41-8DA1-A95DE3519E72}">
      <text>
        <r>
          <rPr>
            <b/>
            <sz val="9"/>
            <color indexed="81"/>
            <rFont val="Tahoma"/>
            <family val="2"/>
          </rPr>
          <t xml:space="preserve">Ingresada manualmente
</t>
        </r>
      </text>
    </comment>
    <comment ref="I267" authorId="0" shapeId="0" xr:uid="{043FE877-AA58-4615-959D-E68586AB9B19}">
      <text>
        <r>
          <rPr>
            <b/>
            <sz val="9"/>
            <color indexed="81"/>
            <rFont val="Tahoma"/>
            <family val="2"/>
          </rPr>
          <t>Autor:</t>
        </r>
        <r>
          <rPr>
            <sz val="9"/>
            <color indexed="81"/>
            <rFont val="Tahoma"/>
            <family val="2"/>
          </rPr>
          <t xml:space="preserve">
Ingresada manualmente
</t>
        </r>
      </text>
    </comment>
    <comment ref="H294" authorId="0" shapeId="0" xr:uid="{93552B9E-1B5F-4ED5-BF94-84EEE02FD391}">
      <text>
        <r>
          <rPr>
            <b/>
            <sz val="9"/>
            <color indexed="81"/>
            <rFont val="Tahoma"/>
            <family val="2"/>
          </rPr>
          <t>Ingresado manualmente</t>
        </r>
      </text>
    </comment>
    <comment ref="I294" authorId="0" shapeId="0" xr:uid="{898B9938-45E1-4883-88CA-B6415AE863D4}">
      <text>
        <r>
          <rPr>
            <b/>
            <sz val="9"/>
            <color indexed="81"/>
            <rFont val="Tahoma"/>
            <family val="2"/>
          </rPr>
          <t>Ingresado manualmente</t>
        </r>
      </text>
    </comment>
    <comment ref="D569" authorId="0" shapeId="0" xr:uid="{A630E3E3-BF28-4099-9B61-D2B016488F9F}">
      <text>
        <r>
          <rPr>
            <b/>
            <sz val="9"/>
            <color indexed="81"/>
            <rFont val="Tahoma"/>
            <family val="2"/>
          </rPr>
          <t xml:space="preserve">Los paquetes que tienen NETFLIX fueron agrupados por Telmex, de manera que bajo esta modalidad consideran alrededor de 9.9 millones de suscriptores vs los casi 12.2 millones que reportó con la indicación de cada paquete con Netflix.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I3" authorId="0" shapeId="0" xr:uid="{094ACA78-66C4-4E5A-A591-4454BA488999}">
      <text>
        <r>
          <rPr>
            <b/>
            <sz val="9"/>
            <color indexed="81"/>
            <rFont val="Tahoma"/>
            <family val="2"/>
          </rPr>
          <t>Datos obtenidos de servicios de voz.</t>
        </r>
      </text>
    </comment>
    <comment ref="J3" authorId="0" shapeId="0" xr:uid="{20D85D82-8FF3-4C3F-A2A1-47F5347ACEFC}">
      <text>
        <r>
          <rPr>
            <b/>
            <sz val="9"/>
            <color indexed="81"/>
            <rFont val="Tahoma"/>
            <family val="2"/>
          </rPr>
          <t>Datos obtenidos de servicios de voz.</t>
        </r>
      </text>
    </comment>
    <comment ref="R7" authorId="0" shapeId="0" xr:uid="{E3D81F73-477F-446B-8961-AFBE609AFE76}">
      <text>
        <r>
          <rPr>
            <b/>
            <sz val="9"/>
            <color indexed="81"/>
            <rFont val="Tahoma"/>
            <family val="2"/>
          </rPr>
          <t>Actualizado manualmente.</t>
        </r>
      </text>
    </comment>
    <comment ref="I36" authorId="0" shapeId="0" xr:uid="{00000000-0006-0000-0800-000001000000}">
      <text>
        <r>
          <rPr>
            <b/>
            <sz val="9"/>
            <color rgb="FF000000"/>
            <rFont val="Tahoma"/>
            <family val="2"/>
          </rPr>
          <t>Autor:</t>
        </r>
        <r>
          <rPr>
            <sz val="9"/>
            <color rgb="FF000000"/>
            <rFont val="Tahoma"/>
            <family val="2"/>
          </rPr>
          <t xml:space="preserve">
Incluye 3 servicios digitales sin costo, por un periodo de 3 meses
https://telmex.com/web/hogar/contratacion-telefonia</t>
        </r>
      </text>
    </comment>
    <comment ref="J38" authorId="0" shapeId="0" xr:uid="{00000000-0006-0000-0800-000002000000}">
      <text>
        <r>
          <rPr>
            <b/>
            <sz val="9"/>
            <color rgb="FF000000"/>
            <rFont val="Tahoma"/>
            <family val="2"/>
          </rPr>
          <t>Autor:</t>
        </r>
        <r>
          <rPr>
            <sz val="9"/>
            <color rgb="FF000000"/>
            <rFont val="Tahoma"/>
            <family val="2"/>
          </rPr>
          <t xml:space="preserve">
No incluye servicios digitales</t>
        </r>
      </text>
    </comment>
    <comment ref="DH57" authorId="0" shapeId="0" xr:uid="{EF632EC5-5790-421A-8F47-75BF27F8B919}">
      <text>
        <r>
          <rPr>
            <b/>
            <sz val="9"/>
            <color indexed="81"/>
            <rFont val="Tahoma"/>
            <family val="2"/>
          </rPr>
          <t>Autor:</t>
        </r>
        <r>
          <rPr>
            <sz val="9"/>
            <color indexed="81"/>
            <rFont val="Tahoma"/>
            <family val="2"/>
          </rPr>
          <t xml:space="preserve">
* Velocidad Simétrica Conectes Negocio Promoción, es un servicio opcional para clientes comerciales y sea provisto a través de fibra óptica recibirán 18 meses el beneficio de aumento de velocidad para clientes que tengan contratado el Paquete Conectes Negocio o Paquete Conectes Negocio Netflix.</t>
        </r>
      </text>
    </comment>
    <comment ref="DI57" authorId="0" shapeId="0" xr:uid="{313E0277-874A-4724-9C5D-9EBA4C267204}">
      <text>
        <r>
          <rPr>
            <b/>
            <sz val="9"/>
            <color indexed="81"/>
            <rFont val="Tahoma"/>
            <family val="2"/>
          </rPr>
          <t>Autor:</t>
        </r>
        <r>
          <rPr>
            <sz val="9"/>
            <color indexed="81"/>
            <rFont val="Tahoma"/>
            <family val="2"/>
          </rPr>
          <t xml:space="preserve">
* Velocidad Simétrica Conectes Negocio Promoción, es un servicio opcional para clientes comerciales y sea provisto a través de fibra óptica recibirán 18 meses el beneficio de aumento de velocidad para clientes que tengan contratado el Paquete Conectes Negocio o Paquete Conectes Negocio Netflix.</t>
        </r>
      </text>
    </comment>
    <comment ref="DJ57" authorId="0" shapeId="0" xr:uid="{8F17EDF6-E111-4AB4-9342-02FB2E070E58}">
      <text>
        <r>
          <rPr>
            <b/>
            <sz val="9"/>
            <color indexed="81"/>
            <rFont val="Tahoma"/>
            <family val="2"/>
          </rPr>
          <t>Autor:</t>
        </r>
        <r>
          <rPr>
            <sz val="9"/>
            <color indexed="81"/>
            <rFont val="Tahoma"/>
            <family val="2"/>
          </rPr>
          <t xml:space="preserve">
* Velocidad Simétrica Conectes Negocio Promoción, es un servicio opcional para clientes comerciales y sea provisto a través de fibra óptica recibirán 18 meses el beneficio de aumento de velocidad para clientes que tengan contratado el Paquete Conectes Negocio o Paquete Conectes Negocio Netflix.</t>
        </r>
      </text>
    </comment>
    <comment ref="C82" authorId="0" shapeId="0" xr:uid="{FE686380-8D09-4D3B-B2B0-31F2EDF105DE}">
      <text>
        <r>
          <rPr>
            <b/>
            <sz val="9"/>
            <color indexed="81"/>
            <rFont val="Tahoma"/>
            <family val="2"/>
          </rPr>
          <t>Autor:</t>
        </r>
        <r>
          <rPr>
            <sz val="9"/>
            <color indexed="81"/>
            <rFont val="Tahoma"/>
            <family val="2"/>
          </rPr>
          <t xml:space="preserve">
No valores. No utilizado.</t>
        </r>
      </text>
    </comment>
    <comment ref="I102" authorId="0" shapeId="0" xr:uid="{62D26813-BA27-4EB5-A162-A962678411F9}">
      <text>
        <r>
          <rPr>
            <b/>
            <sz val="9"/>
            <color indexed="81"/>
            <rFont val="Tahoma"/>
            <family val="2"/>
          </rPr>
          <t>De acuerdo con el registro por la provisión de renta básica del servicio.</t>
        </r>
      </text>
    </comment>
    <comment ref="J102" authorId="0" shapeId="0" xr:uid="{CE48E7DF-9331-4F23-BDFA-18C851189A01}">
      <text>
        <r>
          <rPr>
            <b/>
            <sz val="9"/>
            <color indexed="81"/>
            <rFont val="Tahoma"/>
            <family val="2"/>
          </rPr>
          <t>De acuerdo con el registro por la provisión de renta básica del servicio.</t>
        </r>
      </text>
    </comment>
    <comment ref="I103" authorId="0" shapeId="0" xr:uid="{B34BED65-E8BA-454D-A8FC-448784BDF8F5}">
      <text>
        <r>
          <rPr>
            <b/>
            <sz val="9"/>
            <color indexed="81"/>
            <rFont val="Tahoma"/>
            <family val="2"/>
          </rPr>
          <t>Telmex no reportó información para calcularlo. Se suponen valores reportados para 2021.</t>
        </r>
      </text>
    </comment>
    <comment ref="J103" authorId="0" shapeId="0" xr:uid="{69F120D0-36D2-4D0F-BCF5-BD6057434CAF}">
      <text>
        <r>
          <rPr>
            <b/>
            <sz val="9"/>
            <color indexed="81"/>
            <rFont val="Tahoma"/>
            <family val="2"/>
          </rPr>
          <t>Telmex no reportó información para calcularlo. Se suponen valores reportados para 2021.</t>
        </r>
      </text>
    </comment>
    <comment ref="I110" authorId="0" shapeId="0" xr:uid="{00000000-0006-0000-0800-000003000000}">
      <text>
        <r>
          <rPr>
            <b/>
            <sz val="9"/>
            <color rgb="FF000000"/>
            <rFont val="Tahoma"/>
            <family val="2"/>
          </rPr>
          <t>Autor:</t>
        </r>
        <r>
          <rPr>
            <sz val="9"/>
            <color rgb="FF000000"/>
            <rFont val="Tahoma"/>
            <family val="2"/>
          </rPr>
          <t xml:space="preserve">
Incluye 3 servicios digitales sin costo, por un periodo de 3 meses
https://telmex.com/web/hogar/contratacion-telefonia</t>
        </r>
      </text>
    </comment>
    <comment ref="J110" authorId="0" shapeId="0" xr:uid="{00000000-0006-0000-0800-000004000000}">
      <text>
        <r>
          <rPr>
            <b/>
            <sz val="9"/>
            <color rgb="FF000000"/>
            <rFont val="Tahoma"/>
            <family val="2"/>
          </rPr>
          <t>Autor:</t>
        </r>
        <r>
          <rPr>
            <sz val="9"/>
            <color rgb="FF000000"/>
            <rFont val="Tahoma"/>
            <family val="2"/>
          </rPr>
          <t xml:space="preserve">
No incluye servicios digitales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J48" authorId="0" shapeId="0" xr:uid="{6EFB1E5B-6ED8-4240-B32B-C5AAE4092ACD}">
      <text>
        <r>
          <rPr>
            <sz val="9"/>
            <color indexed="81"/>
            <rFont val="Tahoma"/>
            <family val="2"/>
          </rPr>
          <t>Separación contable, 2020. Instalación de línea o acometida.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I7" authorId="0" shapeId="0" xr:uid="{8FA78171-F601-441A-BB34-84742CCBF33E}">
      <text>
        <r>
          <rPr>
            <b/>
            <sz val="9"/>
            <color indexed="81"/>
            <rFont val="Tahoma"/>
            <family val="2"/>
          </rPr>
          <t>Se pueden insertar hasta 5 variantes de OTT</t>
        </r>
        <r>
          <rPr>
            <sz val="9"/>
            <color indexed="81"/>
            <rFont val="Tahoma"/>
            <family val="2"/>
          </rPr>
          <t xml:space="preserve">
</t>
        </r>
      </text>
    </comment>
    <comment ref="I124" authorId="0" shapeId="0" xr:uid="{AF9AA2B2-2C36-4CA8-B598-F1F06612FA03}">
      <text>
        <r>
          <rPr>
            <b/>
            <sz val="9"/>
            <color indexed="81"/>
            <rFont val="Tahoma"/>
            <family val="2"/>
          </rPr>
          <t>Se pueden insertar hasta 5 variantes de OTT</t>
        </r>
        <r>
          <rPr>
            <sz val="9"/>
            <color indexed="81"/>
            <rFont val="Tahoma"/>
            <family val="2"/>
          </rPr>
          <t xml:space="preserve">
</t>
        </r>
      </text>
    </comment>
    <comment ref="B567" authorId="0" shapeId="0" xr:uid="{E98054E7-A48C-4688-AD66-7B2A8DCC9BE5}">
      <text>
        <r>
          <rPr>
            <b/>
            <sz val="9"/>
            <color indexed="81"/>
            <rFont val="Tahoma"/>
            <family val="2"/>
          </rPr>
          <t>/Velocidad Simétrica Conectes Negocio Promoción *</t>
        </r>
      </text>
    </comment>
    <comment ref="B573" authorId="0" shapeId="0" xr:uid="{DC31EE8A-40BD-4648-BB99-B038203FD26C}">
      <text>
        <r>
          <rPr>
            <b/>
            <sz val="9"/>
            <color indexed="81"/>
            <rFont val="Tahoma"/>
            <family val="2"/>
          </rPr>
          <t>/Velocidad Simétrica Conectes Negocio Promoción *</t>
        </r>
      </text>
    </comment>
    <comment ref="B574" authorId="0" shapeId="0" xr:uid="{DB3B975F-7116-435E-AF99-FB8DB4B1ACF9}">
      <text>
        <r>
          <rPr>
            <b/>
            <sz val="9"/>
            <color indexed="81"/>
            <rFont val="Tahoma"/>
            <family val="2"/>
          </rPr>
          <t>/Velocidad Simétrica Conectes Negocio Promoción *</t>
        </r>
      </text>
    </comment>
    <comment ref="B575" authorId="0" shapeId="0" xr:uid="{8FF7C7DB-3DD8-47B5-9F49-790836537D57}">
      <text>
        <r>
          <rPr>
            <b/>
            <sz val="9"/>
            <color indexed="81"/>
            <rFont val="Tahoma"/>
            <family val="2"/>
          </rPr>
          <t>/Velocidad Simétrica Conectes Negocio Promoción *</t>
        </r>
      </text>
    </comment>
  </commentList>
</comments>
</file>

<file path=xl/sharedStrings.xml><?xml version="1.0" encoding="utf-8"?>
<sst xmlns="http://schemas.openxmlformats.org/spreadsheetml/2006/main" count="12905" uniqueCount="1332">
  <si>
    <t>Sheet</t>
  </si>
  <si>
    <t>Description</t>
  </si>
  <si>
    <t>Status</t>
  </si>
  <si>
    <t>Notes</t>
  </si>
  <si>
    <t>unlocked</t>
  </si>
  <si>
    <t>locked</t>
  </si>
  <si>
    <t>Calculation</t>
  </si>
  <si>
    <t>Output</t>
  </si>
  <si>
    <t>Highlight</t>
  </si>
  <si>
    <t>A cell that is special in some way</t>
  </si>
  <si>
    <t>Text</t>
  </si>
  <si>
    <t>Number</t>
  </si>
  <si>
    <t>Currency</t>
  </si>
  <si>
    <t>Percentage</t>
  </si>
  <si>
    <t>Percentage (2dp)</t>
  </si>
  <si>
    <t>Date</t>
  </si>
  <si>
    <t>A key result from this part of the model (in particular one that will be used elsewhere in the model)</t>
  </si>
  <si>
    <t>Comma</t>
  </si>
  <si>
    <t>Percent</t>
  </si>
  <si>
    <t>Number
(2dp)</t>
  </si>
  <si>
    <t>Currency
(2dp)</t>
  </si>
  <si>
    <t>Currency Dollar (2dp)</t>
  </si>
  <si>
    <t>Currency Dollar</t>
  </si>
  <si>
    <t>Currency Pound (2dp)</t>
  </si>
  <si>
    <t>Currency Pound</t>
  </si>
  <si>
    <t>Input Parameter</t>
  </si>
  <si>
    <t>Input Data</t>
  </si>
  <si>
    <t>Input Calculation</t>
  </si>
  <si>
    <t>Input Link</t>
  </si>
  <si>
    <t>Row label</t>
  </si>
  <si>
    <t>Row label (indent)</t>
  </si>
  <si>
    <t>Total row</t>
  </si>
  <si>
    <t>Sub-total row</t>
  </si>
  <si>
    <t>(Table finish row)</t>
  </si>
  <si>
    <t>Name</t>
  </si>
  <si>
    <t>Note</t>
  </si>
  <si>
    <t>H1</t>
  </si>
  <si>
    <t>H2</t>
  </si>
  <si>
    <t>H3</t>
  </si>
  <si>
    <t>H4</t>
  </si>
  <si>
    <t>Heading level 1</t>
  </si>
  <si>
    <t>Heading level 2</t>
  </si>
  <si>
    <t>Heading level 3</t>
  </si>
  <si>
    <t>Heading level 4</t>
  </si>
  <si>
    <t>NB These styles change only the font used in a cell</t>
  </si>
  <si>
    <t>Number styles</t>
  </si>
  <si>
    <t>Table styles</t>
  </si>
  <si>
    <t>Title</t>
  </si>
  <si>
    <t>(Table shading)</t>
  </si>
  <si>
    <t>NB These styles change a variety of different aspects of cell formatting (as appropriate to the context)</t>
  </si>
  <si>
    <t>Examples of use</t>
  </si>
  <si>
    <t>Use these styles to consistently format numbers (and dates)</t>
  </si>
  <si>
    <t>Use these styles to consistently format tables</t>
  </si>
  <si>
    <t>A calculation of the model</t>
  </si>
  <si>
    <t>A piece of real data (only change if you have better data)</t>
  </si>
  <si>
    <t>An input to the model that it is expected the user will change (change at will)</t>
  </si>
  <si>
    <t>A side calculation intended solely to cross check a result (and which therefore should not be referenced anywhere else in the model)</t>
  </si>
  <si>
    <t>A total (use if not part of a "Sub-total row" or a "Total row" in a table - see below)</t>
  </si>
  <si>
    <t>Positive</t>
  </si>
  <si>
    <t>Negative</t>
  </si>
  <si>
    <t>Zero</t>
  </si>
  <si>
    <t>Currency
Euro</t>
  </si>
  <si>
    <t>Currency
Euro (2dp)</t>
  </si>
  <si>
    <t>Currency
EUR</t>
  </si>
  <si>
    <t>Currency
EUR (2dp)</t>
  </si>
  <si>
    <t>Currency
USD</t>
  </si>
  <si>
    <t>Currency
USD (2dp)</t>
  </si>
  <si>
    <t>Currency
GBP</t>
  </si>
  <si>
    <t>Currency
GBP (2dp)</t>
  </si>
  <si>
    <t>Date
(Month)</t>
  </si>
  <si>
    <t>Date
(Year)</t>
  </si>
  <si>
    <r>
      <t xml:space="preserve">Consider using </t>
    </r>
    <r>
      <rPr>
        <u/>
        <sz val="9"/>
        <rFont val="Arial"/>
        <family val="2"/>
      </rPr>
      <t>D</t>
    </r>
    <r>
      <rPr>
        <sz val="9"/>
        <rFont val="Arial"/>
        <family val="2"/>
      </rPr>
      <t xml:space="preserve">ata </t>
    </r>
    <r>
      <rPr>
        <sz val="9"/>
        <rFont val="Arial"/>
        <family val="2"/>
      </rPr>
      <t>V</t>
    </r>
    <r>
      <rPr>
        <sz val="9"/>
        <rFont val="Arial"/>
        <family val="2"/>
      </rPr>
      <t>a</t>
    </r>
    <r>
      <rPr>
        <u/>
        <sz val="9"/>
        <rFont val="Arial"/>
        <family val="2"/>
      </rPr>
      <t>l</t>
    </r>
    <r>
      <rPr>
        <sz val="9"/>
        <rFont val="Arial"/>
        <family val="2"/>
      </rPr>
      <t>idation to ensure that only acceptable values are entered</t>
    </r>
  </si>
  <si>
    <t>Acceptable values</t>
  </si>
  <si>
    <t>Minimum</t>
  </si>
  <si>
    <t>Maximum</t>
  </si>
  <si>
    <r>
      <t xml:space="preserve">If a parameter can take only one of a small number of values, consider using </t>
    </r>
    <r>
      <rPr>
        <u/>
        <sz val="9"/>
        <rFont val="Arial"/>
        <family val="2"/>
      </rPr>
      <t>D</t>
    </r>
    <r>
      <rPr>
        <sz val="9"/>
        <rFont val="Arial"/>
        <family val="2"/>
      </rPr>
      <t>ata Va</t>
    </r>
    <r>
      <rPr>
        <u/>
        <sz val="9"/>
        <rFont val="Arial"/>
        <family val="2"/>
      </rPr>
      <t>l</t>
    </r>
    <r>
      <rPr>
        <sz val="9"/>
        <rFont val="Arial"/>
        <family val="2"/>
      </rPr>
      <t xml:space="preserve">idation </t>
    </r>
    <r>
      <rPr>
        <u/>
        <sz val="9"/>
        <rFont val="Arial"/>
        <family val="2"/>
      </rPr>
      <t>A</t>
    </r>
    <r>
      <rPr>
        <sz val="9"/>
        <rFont val="Arial"/>
        <family val="2"/>
      </rPr>
      <t xml:space="preserve">llow </t>
    </r>
    <r>
      <rPr>
        <u/>
        <sz val="9"/>
        <rFont val="Arial"/>
        <family val="2"/>
      </rPr>
      <t>L</t>
    </r>
    <r>
      <rPr>
        <sz val="9"/>
        <rFont val="Arial"/>
        <family val="2"/>
      </rPr>
      <t xml:space="preserve">ist with </t>
    </r>
    <r>
      <rPr>
        <u/>
        <sz val="9"/>
        <rFont val="Arial"/>
        <family val="2"/>
      </rPr>
      <t>I</t>
    </r>
    <r>
      <rPr>
        <sz val="9"/>
        <rFont val="Arial"/>
        <family val="2"/>
      </rPr>
      <t>n-cell dropdown selected</t>
    </r>
  </si>
  <si>
    <t>Unhighlight</t>
  </si>
  <si>
    <t>And one that isn't anymore</t>
  </si>
  <si>
    <t>NB All number styles use the decimal symbol and digit grouping symbol (thousands separator) defined under Regional Options in Control Panel. So if you want to change them do it there, and not here in Excel !</t>
  </si>
  <si>
    <t>(Table unshading)</t>
  </si>
  <si>
    <t>NB Most number styles leave space for a ')' to the right of the number, but only the Currency styles actually use '(…)' for negatives</t>
  </si>
  <si>
    <t>Input Estimate</t>
  </si>
  <si>
    <t>An estimate used in the absence of real data (only change if you have a better estimate, or real data )</t>
  </si>
  <si>
    <t>Use these styles to format headings</t>
  </si>
  <si>
    <t>Heading styles</t>
  </si>
  <si>
    <t>Input cell styles</t>
  </si>
  <si>
    <t>Use these styles to identify inputs to a model</t>
  </si>
  <si>
    <t>Other cell styles</t>
  </si>
  <si>
    <t>Use these styles to identify the role of other cells in a model</t>
  </si>
  <si>
    <t>A note (NB smaller than standard font size)</t>
  </si>
  <si>
    <t>ADSL</t>
  </si>
  <si>
    <t>Cable Modem</t>
  </si>
  <si>
    <t>Dial-up</t>
  </si>
  <si>
    <t>Number of subscribers (year end)</t>
  </si>
  <si>
    <t>Total</t>
  </si>
  <si>
    <t>A simple table</t>
  </si>
  <si>
    <t>A more complex table</t>
  </si>
  <si>
    <t>NB Use Window Unfreeze Panes (on each worksheet) to have row 1 scroll with the rest of the worksheet</t>
  </si>
  <si>
    <t>Number of subscribers (simple year average)</t>
  </si>
  <si>
    <t>Version</t>
  </si>
  <si>
    <t>Objective</t>
  </si>
  <si>
    <t xml:space="preserve">Title </t>
  </si>
  <si>
    <t>Workbook Title</t>
  </si>
  <si>
    <t>Workbook Objective</t>
  </si>
  <si>
    <t>Workbook Version</t>
  </si>
  <si>
    <t>Details</t>
  </si>
  <si>
    <t>Author</t>
  </si>
  <si>
    <t>Workbook Author</t>
  </si>
  <si>
    <t>Information</t>
  </si>
  <si>
    <t>Work in progress</t>
  </si>
  <si>
    <t>Under construction</t>
  </si>
  <si>
    <t>Approved for release</t>
  </si>
  <si>
    <t>History</t>
  </si>
  <si>
    <t>Contents</t>
  </si>
  <si>
    <t>A history of the versions of this workbook</t>
  </si>
  <si>
    <t>A guide to the styles used in this workbook</t>
  </si>
  <si>
    <t>This contents sheet</t>
  </si>
  <si>
    <t>Email</t>
  </si>
  <si>
    <t>Workbook Author's Email Address</t>
  </si>
  <si>
    <t>Subscribers.Year Average.Total</t>
  </si>
  <si>
    <t>NB To avoid having spurious names in this template the names shown below have not actually been created</t>
  </si>
  <si>
    <t>Column label</t>
  </si>
  <si>
    <t>Input Link (different Workbook)</t>
  </si>
  <si>
    <t>An input to this part of the model, which is linked to a source on a worksheet in a different workbook</t>
  </si>
  <si>
    <t>Checksum</t>
  </si>
  <si>
    <t>Column label (left aligned)</t>
  </si>
  <si>
    <t>Column label (not bold)</t>
  </si>
  <si>
    <t>Subscribers.Year End.By Service</t>
  </si>
  <si>
    <t>Service</t>
  </si>
  <si>
    <t>Units</t>
  </si>
  <si>
    <t>Subscribers</t>
  </si>
  <si>
    <t>From above</t>
  </si>
  <si>
    <t>From Cable_modem.xls</t>
  </si>
  <si>
    <t>Linear interpolation</t>
  </si>
  <si>
    <t>Column label (no wrap)</t>
  </si>
  <si>
    <t>Insert extra rows above here</t>
  </si>
  <si>
    <t>Ready for review</t>
  </si>
  <si>
    <t>Enter description of worksheet here</t>
  </si>
  <si>
    <t>C</t>
  </si>
  <si>
    <t>V</t>
  </si>
  <si>
    <t xml:space="preserve">S </t>
  </si>
  <si>
    <t>NB These styles change most aspects of a cell's formatting (all except Number and Alignment)</t>
  </si>
  <si>
    <t>NB These styles change a variety of different aspects of a cell's formatting (as appropriate to the context)</t>
  </si>
  <si>
    <t>Input Link (different Worksheet)</t>
  </si>
  <si>
    <t>An input to this part of the model, which is linked to a source on this worksheet within this workbook</t>
  </si>
  <si>
    <t>An input to this part of the model, which is linked to a source on another worksheet within this workbook</t>
  </si>
  <si>
    <r>
      <t xml:space="preserve">NB Consider using Insert &gt; Header &amp; Footer &gt; Sheet &gt; </t>
    </r>
    <r>
      <rPr>
        <u/>
        <sz val="8"/>
        <rFont val="Arial"/>
        <family val="2"/>
      </rPr>
      <t>R</t>
    </r>
    <r>
      <rPr>
        <sz val="8"/>
        <rFont val="Arial"/>
        <family val="2"/>
      </rPr>
      <t>ows to repeat at top: $1:$1 to include row 1 at the top of all printed pages</t>
    </r>
  </si>
  <si>
    <t>Style guidelines</t>
  </si>
  <si>
    <t>Version history</t>
  </si>
  <si>
    <t>Sheet title</t>
  </si>
  <si>
    <t>Date released</t>
  </si>
  <si>
    <t>Consider using Conditional Formatting (on Home tab) to highlight unacceptable results of cross-check calculations (e.g. non-zero)</t>
  </si>
  <si>
    <r>
      <t xml:space="preserve">An Excel Name applying to one or more adjacent cells – use Create from Selection (on Formulas tab) </t>
    </r>
    <r>
      <rPr>
        <sz val="9"/>
        <rFont val="Arial"/>
        <family val="2"/>
      </rPr>
      <t>to actually create the Excel Names</t>
    </r>
  </si>
  <si>
    <t>H0</t>
  </si>
  <si>
    <t>Heading level 0</t>
  </si>
  <si>
    <t>An input to the model that has been calculated from other inputs (e.g. interpolated input values)</t>
  </si>
  <si>
    <t>Listas</t>
  </si>
  <si>
    <t>Años</t>
  </si>
  <si>
    <t>Years</t>
  </si>
  <si>
    <t>Year.selected</t>
  </si>
  <si>
    <t>years.client.retention</t>
  </si>
  <si>
    <t>#</t>
  </si>
  <si>
    <t>vector.plans.names</t>
  </si>
  <si>
    <t>Nombres de planes y paquetes principales</t>
  </si>
  <si>
    <t>Mercado</t>
  </si>
  <si>
    <t>Datos de mercado de banda ancha fija</t>
  </si>
  <si>
    <t>Concepto</t>
  </si>
  <si>
    <t>Unidad</t>
  </si>
  <si>
    <t>Nombre</t>
  </si>
  <si>
    <t>Datos del AEP</t>
  </si>
  <si>
    <t>Notas</t>
  </si>
  <si>
    <r>
      <rPr>
        <b/>
        <sz val="9"/>
        <rFont val="Arial"/>
        <family val="2"/>
      </rPr>
      <t xml:space="preserve">Fuente: </t>
    </r>
    <r>
      <rPr>
        <sz val="9"/>
        <rFont val="Arial"/>
        <family val="2"/>
      </rPr>
      <t>Banco de Información de Telecomunicaciones, IFT</t>
    </r>
  </si>
  <si>
    <t>%</t>
  </si>
  <si>
    <t>Cuota de Mercado del AEP</t>
  </si>
  <si>
    <t>Telefonía fija</t>
  </si>
  <si>
    <t>Banda ancha fija</t>
  </si>
  <si>
    <t>% de Líneas residenciales y no residenciales del AEP</t>
  </si>
  <si>
    <t>% de suscripciones residenciales y no residenciales del AEP</t>
  </si>
  <si>
    <t>Suscripciones de banda ancha fija del AEP</t>
  </si>
  <si>
    <t>vector.broadband.plans.names</t>
  </si>
  <si>
    <t>Nombre de plan/paquete</t>
  </si>
  <si>
    <t>Tipo de Servicio</t>
  </si>
  <si>
    <t>Modalidad</t>
  </si>
  <si>
    <t>% respecto a total de líneas del mercado</t>
  </si>
  <si>
    <t>Broadbad.suscriptions.AEP</t>
  </si>
  <si>
    <t>Broadbad.suscriptions.market.share.AEP</t>
  </si>
  <si>
    <t>Broadbad.suscriptions.market</t>
  </si>
  <si>
    <t>Suscripciones de banda ancha fija</t>
  </si>
  <si>
    <t># suscripciones</t>
  </si>
  <si>
    <r>
      <t xml:space="preserve">Fuente: </t>
    </r>
    <r>
      <rPr>
        <sz val="9"/>
        <rFont val="Arial"/>
        <family val="2"/>
      </rPr>
      <t>Estimaciones IFT, a partir de datos AEP</t>
    </r>
  </si>
  <si>
    <t>Suscripciones de banda ancha fija, residenciales y no residenciales del mercado</t>
  </si>
  <si>
    <t>Suscripciones de banda ancha fija, residenciales y no residenciales del AEP</t>
  </si>
  <si>
    <t>Líneas residenciales y no residenciales del AEP</t>
  </si>
  <si>
    <t>% respecto a total de suscripciones del mercado</t>
  </si>
  <si>
    <t>Distribución de suscriptores del AEP</t>
  </si>
  <si>
    <t>Distribución porcentual de suscriptores del AEP por plan/paquete a través se ofrecen servicios de banda ancha fija</t>
  </si>
  <si>
    <t>Distribución suscriptores del AEP por plan/paquete a través se ofrecen servicios de banda ancha fija</t>
  </si>
  <si>
    <t>Residenciales</t>
  </si>
  <si>
    <t xml:space="preserve">No residenciales </t>
  </si>
  <si>
    <t>Residenciales y no residenciales en modalidad single play (i.e. sin servicios de voz)</t>
  </si>
  <si>
    <t>Infinitum Negocio 20 Mb</t>
  </si>
  <si>
    <t>Infinitum Negocio</t>
  </si>
  <si>
    <t>Infinitum Negocio Red</t>
  </si>
  <si>
    <t>Infinitum Negocio Premium</t>
  </si>
  <si>
    <t>Paquete 289</t>
  </si>
  <si>
    <t>Paquete 599</t>
  </si>
  <si>
    <t>Paquete Conectes Negocio</t>
  </si>
  <si>
    <t>Paquete Mi Negocio</t>
  </si>
  <si>
    <t>Paquete 999</t>
  </si>
  <si>
    <t>Telmex Negocio Sin Límites 1</t>
  </si>
  <si>
    <t>Telmex Negocio Sin Límites 2</t>
  </si>
  <si>
    <t>Telmex Negocio Sin Límites 3</t>
  </si>
  <si>
    <t>Nombres de planes y paquetes que ofrecen banda ancha</t>
  </si>
  <si>
    <t>vector.telephony.plans.names</t>
  </si>
  <si>
    <t>Resumen de suscripciones de banda ancha fija del AEP</t>
  </si>
  <si>
    <t>AEP.broadband.subs.residential.with.line.rental</t>
  </si>
  <si>
    <t>AEP.broadband.subs.non.residential</t>
  </si>
  <si>
    <t>Residenciales en modalidad, que se proveen con servicios de voz (i.e. excluyendo banda ancha en modalidad single play)</t>
  </si>
  <si>
    <t>Datos de mercado de telefonía fija</t>
  </si>
  <si>
    <t>Líneas de telefonía fija</t>
  </si>
  <si>
    <t>Líneas de telefonía fija, residenciales y no residenciales del mercado</t>
  </si>
  <si>
    <t># líneas</t>
  </si>
  <si>
    <t>Distribución de líneas del AEP</t>
  </si>
  <si>
    <t>Distribución porcentual de líneas del AEP por plan/paquete a través se ofrecen servicios de telefonía fija</t>
  </si>
  <si>
    <t>Distribución de líneas del AEP por plan/paquete a través se ofrecen servicios de telefonía fija</t>
  </si>
  <si>
    <t>Renta Mensual de la Línea Residencial</t>
  </si>
  <si>
    <t>Renta Mensual de la Línea Comercial</t>
  </si>
  <si>
    <t>Nombres de planes y paquetes que ofrecen telefonía fija</t>
  </si>
  <si>
    <t>AEP.telephone.lines</t>
  </si>
  <si>
    <t>Suscripciones de banda ancha (residenciales y no residenciales) en modalidad single play (i.e. sin servicios de voz)</t>
  </si>
  <si>
    <t>Proporción de suscripciones de banda ancha del AEP en modalidad single play (i.e. sin servicios de voz), respecto al total</t>
  </si>
  <si>
    <t>Estimación líneas del AEP en la cuales se brindan servicios de telefonía fija en modalidad single play</t>
  </si>
  <si>
    <t>Estimación de líneas del AEP en la cuales se brindan servicios de telefonía fija en modalidad single play</t>
  </si>
  <si>
    <t>Otros datos de mercado de telefonía fija y banda ancha</t>
  </si>
  <si>
    <t>Distribución porcentual de líneas del AEP por plan/paquete a través se ofrecen servicios de telefonía fija en modalidad single play</t>
  </si>
  <si>
    <t>Distribución de líneas del AEP por plan/paquete a través se ofrecen servicios de telefonía fija en modalidad single play</t>
  </si>
  <si>
    <t>Nombres de planes y paquetes que ofrecen banda ancha single play</t>
  </si>
  <si>
    <t>Nombres de planes y paquetes que ofrecen telefonía fija single play</t>
  </si>
  <si>
    <t>vector.broadband.plans.singleplay.names</t>
  </si>
  <si>
    <t>vector.telephony.plans.singleplay.names</t>
  </si>
  <si>
    <t>Residencial</t>
  </si>
  <si>
    <t>Internet fijo</t>
  </si>
  <si>
    <t>No Residencial</t>
  </si>
  <si>
    <t>Telefonía fija + Internet fijo</t>
  </si>
  <si>
    <t>AEP.broadband.subs.residential.without.line.rental</t>
  </si>
  <si>
    <t>Datos aportados por el AEP</t>
  </si>
  <si>
    <t>Los datos presentes en las hojas ubicadas a la derecha fueron aportados por AEP para el desarrollo del modelo en comento</t>
  </si>
  <si>
    <t>AEP.broadband.subs.by.plan</t>
  </si>
  <si>
    <t>AEP.broadband.distribution.by.plan</t>
  </si>
  <si>
    <t>AEP.telephony.distribution.by.plan</t>
  </si>
  <si>
    <t>AEP.telephony.subs.by.plan</t>
  </si>
  <si>
    <t>Información de tarifas de planes y paquetes</t>
  </si>
  <si>
    <t>Nombre de Plan/Paquete</t>
  </si>
  <si>
    <t>Modalidad*</t>
  </si>
  <si>
    <t>Tipo de Servicio*</t>
  </si>
  <si>
    <t>Tipo de Contraprestación*</t>
  </si>
  <si>
    <t>Sin impuestos</t>
  </si>
  <si>
    <t>Con impuestos</t>
  </si>
  <si>
    <t>Comentarios</t>
  </si>
  <si>
    <t>Baja Temporal de la Línea Telefónica residencial</t>
  </si>
  <si>
    <t>Renta Mensual</t>
  </si>
  <si>
    <t>Baja Temporal de la Línea Telefónica comercial</t>
  </si>
  <si>
    <t xml:space="preserve">El Que Llama Paga </t>
  </si>
  <si>
    <t>Residencial y No Residencial</t>
  </si>
  <si>
    <t>Cobro por minuto</t>
  </si>
  <si>
    <t>Gastos de Instalación Residencial</t>
  </si>
  <si>
    <t>Otro (describa el tipo de cobro)</t>
  </si>
  <si>
    <t>Pago único</t>
  </si>
  <si>
    <t>Gastos de Instalación Comercial</t>
  </si>
  <si>
    <t>Gastos de Instalación Internet Infinitum</t>
  </si>
  <si>
    <t>Larga Distancia Internacional (Canadá)</t>
  </si>
  <si>
    <t>Larga Distancia Internacional a EUA (Banda Norte)</t>
  </si>
  <si>
    <t>Larga Distancia Internacional a EUA (Banda Sur)</t>
  </si>
  <si>
    <t>Larga Distancia Mundial Centroamérica</t>
  </si>
  <si>
    <t>Larga Distancia Mundial Europa</t>
  </si>
  <si>
    <t>Larga Distancia Mundial Resto del Mundo</t>
  </si>
  <si>
    <t>Larga Distancia Mundial Sudamérica</t>
  </si>
  <si>
    <t>Larga Distanicia Internacional a EUA (Frontera)</t>
  </si>
  <si>
    <t>Cobro por segundo</t>
  </si>
  <si>
    <t>Plan Por Segundo ( Frontera)</t>
  </si>
  <si>
    <t>Plan Por Segundo ( Banda Norte)</t>
  </si>
  <si>
    <t>Plan Por Segundo ( Banda Sur)</t>
  </si>
  <si>
    <t>Plan Por Segundo (Canadá)</t>
  </si>
  <si>
    <t>Plan Por Segundo (Sudamérica)</t>
  </si>
  <si>
    <t>Plan Por Segundo (Europa)</t>
  </si>
  <si>
    <t>Plan Por Segundo (Centroamérica)</t>
  </si>
  <si>
    <t>Plan Por Segundo ( Resto del Mundo)</t>
  </si>
  <si>
    <t>Servicio Medido Comercial</t>
  </si>
  <si>
    <t>Cobro por llamada</t>
  </si>
  <si>
    <t>Servicio Medido Residencial</t>
  </si>
  <si>
    <t>* Especificar este dato empleando el listado que se despliega al seleccionar la celda correspondiente.</t>
  </si>
  <si>
    <t>Por favor, inserte filas adicionales para añadir información de todas las posibilidades.</t>
  </si>
  <si>
    <r>
      <t xml:space="preserve">Reportar otros servicios </t>
    </r>
    <r>
      <rPr>
        <b/>
        <i/>
        <sz val="9"/>
        <rFont val="Arial"/>
        <family val="2"/>
      </rPr>
      <t xml:space="preserve">no considerados en a, </t>
    </r>
    <r>
      <rPr>
        <i/>
        <sz val="9"/>
        <rFont val="Arial"/>
        <family val="2"/>
      </rPr>
      <t>por ejemplo:</t>
    </r>
  </si>
  <si>
    <r>
      <rPr>
        <b/>
        <i/>
        <sz val="9"/>
        <rFont val="Arial"/>
        <family val="2"/>
      </rPr>
      <t>1)</t>
    </r>
    <r>
      <rPr>
        <i/>
        <sz val="9"/>
        <rFont val="Arial"/>
        <family val="2"/>
      </rPr>
      <t xml:space="preserve"> planes y paquetes relativos a servicios que para su aplicación es requisito contar con otro plan o paquete previamente contratado </t>
    </r>
  </si>
  <si>
    <t xml:space="preserve">(por ejemplo “Plan Negocio 100” que permite complementar una “Línea Comercial”  con cierto número de llamadas locales) </t>
  </si>
  <si>
    <r>
      <t xml:space="preserve">o </t>
    </r>
    <r>
      <rPr>
        <b/>
        <i/>
        <sz val="9"/>
        <rFont val="Arial"/>
        <family val="2"/>
      </rPr>
      <t>2)</t>
    </r>
    <r>
      <rPr>
        <i/>
        <sz val="9"/>
        <rFont val="Arial"/>
        <family val="2"/>
      </rPr>
      <t xml:space="preserve"> servicios que son de diferente naturaleza</t>
    </r>
  </si>
  <si>
    <t>Lada 100 Frontera</t>
  </si>
  <si>
    <t>Lada 100 Internacional (100 min)</t>
  </si>
  <si>
    <t>Lada 100 Internacional (50 min)</t>
  </si>
  <si>
    <t>Lada Frontera Hogar con Lada Ahorro (Frontera)</t>
  </si>
  <si>
    <t>Lada Frontera Hogar con Lada Ahorro (Banda Norte)</t>
  </si>
  <si>
    <t>Lada Frontera Hogar con Tarifa Unica (Frontera)</t>
  </si>
  <si>
    <t>Lada Frontera Hogar con Tarifa Unica (Banda Norte)</t>
  </si>
  <si>
    <t>Plan 100 por 100 de Servicio Medido Local</t>
  </si>
  <si>
    <t>Plan 200 Minutos Lada Mundial</t>
  </si>
  <si>
    <t>Plan Lada Mundial 50 Minutos</t>
  </si>
  <si>
    <t>Plan LDI 50</t>
  </si>
  <si>
    <t>Plan Local 100 X 70</t>
  </si>
  <si>
    <t>Plan Local 50</t>
  </si>
  <si>
    <t xml:space="preserve">Plan Local Sin Límites </t>
  </si>
  <si>
    <t>Plan Negocio 100</t>
  </si>
  <si>
    <t>Tarifa Unica (Frontera EUA)</t>
  </si>
  <si>
    <t>Tarifa Unica (Banda Norte a EUA)</t>
  </si>
  <si>
    <t>Tarifa Unica (Banda Sur a EUA)</t>
  </si>
  <si>
    <t>Tarifa Unica (Canadá)</t>
  </si>
  <si>
    <t>Tarifa Unica (Sudamérica)</t>
  </si>
  <si>
    <t>Tarifa Unica (Europa)</t>
  </si>
  <si>
    <t>Tarifa Unica (Centroamérica)</t>
  </si>
  <si>
    <t>Tarifa Unica (Resto del Mundo)</t>
  </si>
  <si>
    <t>Minutos Flex Negocio 200</t>
  </si>
  <si>
    <t>Minutos Flex Negocio 500</t>
  </si>
  <si>
    <t>Línea Hogar 200</t>
  </si>
  <si>
    <t>Línea Hogar 300</t>
  </si>
  <si>
    <t>Línea Hogar 400</t>
  </si>
  <si>
    <t>Línea Negocio 200</t>
  </si>
  <si>
    <t>Línea Negocio 500</t>
  </si>
  <si>
    <t>Línea Negocio 1000</t>
  </si>
  <si>
    <t>Infinitum Pack (100 x 100 Llamadas de Servicio Medido)</t>
  </si>
  <si>
    <t>Infinitum Pack (Lada Internacional 100 x 150)</t>
  </si>
  <si>
    <t>Infinitum Pack (Lada Mundial)</t>
  </si>
  <si>
    <t>Red Multilinea</t>
  </si>
  <si>
    <t>Periodo al que corresponde</t>
  </si>
  <si>
    <t>Canasta de servicios que se incluyen como parte de la renta mensual</t>
  </si>
  <si>
    <t>Cargos adicionales</t>
  </si>
  <si>
    <t>Renta mensual (sin impuestos)</t>
  </si>
  <si>
    <t>Renta mensual (con impuestos)</t>
  </si>
  <si>
    <t>Cantidad de líneas incluidas</t>
  </si>
  <si>
    <t>Llamadas locales incluidas</t>
  </si>
  <si>
    <t>Minutos de Larga Distancia Internacional (Estados Unidos y Canadá) incluidos</t>
  </si>
  <si>
    <t>Minutos a Larga Distancia Mundial incluidos</t>
  </si>
  <si>
    <t>Cantidad de servicios digitales incluidos</t>
  </si>
  <si>
    <t>Nombre de los servicios digitales incluidos</t>
  </si>
  <si>
    <t>Velocidad de bajada ofertada</t>
  </si>
  <si>
    <t>Cargo adicional por llamada a Llamada local</t>
  </si>
  <si>
    <t>Cargo adicional por minuto a celular</t>
  </si>
  <si>
    <t>Cargo adicional por Larga Distancia Internacional (Estados Unidos y Canadá).</t>
  </si>
  <si>
    <t>10 Mbps</t>
  </si>
  <si>
    <t>Sí, comodato</t>
  </si>
  <si>
    <t>Válido únicamente en CDMX, préstamos de hasta 4 bicicletas para el paseo dominical en Reforma</t>
  </si>
  <si>
    <t>12 meses</t>
  </si>
  <si>
    <t>Sin costo
Las cuentas de CORREO ELECTRÓNICO que le correspondan de
conformidad a la modalidad del SERVICIO contratado y que el número de cuentas a las que tiene derecho estará publicado en la
página de Internet: www.telmex.com y las mismas podrán ser activadas y configuradas por el CONSUMIDOR con cualquiera de
los dominios y plataforma que se encuentren vigentes al momento de la activación.</t>
  </si>
  <si>
    <t>100 Mbps</t>
  </si>
  <si>
    <t>0.768 Mbps</t>
  </si>
  <si>
    <t>20 Mbps</t>
  </si>
  <si>
    <t>50 Mbps</t>
  </si>
  <si>
    <t>Ilimitadas</t>
  </si>
  <si>
    <t>Ilimitados</t>
  </si>
  <si>
    <t>40 Mbps</t>
  </si>
  <si>
    <t>Sin costo.
• Tiempo de navegación ilimitado para clientes infinitum.
• 120 minutos sin costo, para Clientes No Infinitum que naveguen en Restaurantes/Cafés Sanborns y Starbucks, Sitios Públicos CDMX, Universidades/Escuelas UNAM y Sitios Públicos SEDENA por periodos de 24 horas</t>
  </si>
  <si>
    <t>200 Mbps</t>
  </si>
  <si>
    <t>5 Mbps</t>
  </si>
  <si>
    <t>.640 Mbps</t>
  </si>
  <si>
    <t>30 Mbps</t>
  </si>
  <si>
    <t>Ilimitado</t>
  </si>
  <si>
    <t>150 Mbps</t>
  </si>
  <si>
    <t>Por favor, inserte filas adicionales para dar cuenta de todas las posibilidades</t>
  </si>
  <si>
    <t>También se deberá especificar cuál es el plazo en que dicho servicio se ofrece sin costo a los usuarios finales</t>
  </si>
  <si>
    <t>Paquete SuperNegocio</t>
  </si>
  <si>
    <t>Número de suscriptores y líneas activas totales a través de las cuales se proporcionan  planes y paquetes</t>
  </si>
  <si>
    <t>a. Número de suscriptores activos totales de planes y paquetes</t>
  </si>
  <si>
    <t/>
  </si>
  <si>
    <r>
      <rPr>
        <b/>
        <i/>
        <sz val="9"/>
        <rFont val="Arial"/>
        <family val="2"/>
      </rPr>
      <t>1)</t>
    </r>
    <r>
      <rPr>
        <i/>
        <sz val="9"/>
        <rFont val="Arial"/>
        <family val="2"/>
      </rPr>
      <t xml:space="preserve"> planes y paquetes relativos a servicios que para su aplicación es requisito contar con otro plan o paquete previamente contratado (por ejemplo “Plan Negocio 100” que permite complementar una “Línea Comercial”  con cierto número de llamadas locales) </t>
    </r>
  </si>
  <si>
    <t>Cobre</t>
  </si>
  <si>
    <t>Fibra Óptica</t>
  </si>
  <si>
    <t>Especifique Modalidad</t>
  </si>
  <si>
    <t>Especifique Tipo de Servicio</t>
  </si>
  <si>
    <t>Consumos totales de servicios incluidos en planes/paquetes a través de los cuales se presten servicios de voz</t>
  </si>
  <si>
    <r>
      <t xml:space="preserve">Reportar información de los servicios asociados a planes y paquetes que se presenten como respuesta al </t>
    </r>
    <r>
      <rPr>
        <b/>
        <i/>
        <sz val="9"/>
        <rFont val="Arial"/>
        <family val="2"/>
      </rPr>
      <t>numeral 2 a través de los cuales se presten servicios de voz</t>
    </r>
    <r>
      <rPr>
        <i/>
        <sz val="9"/>
        <rFont val="Arial"/>
        <family val="2"/>
      </rPr>
      <t>.</t>
    </r>
  </si>
  <si>
    <t>Total de Llamadas Locales</t>
  </si>
  <si>
    <t>Total de Minutos de Llamadas Locales</t>
  </si>
  <si>
    <t>Total de llamadas de Larga Distancia Internacional (Estados Unidos y Canadá)</t>
  </si>
  <si>
    <t>Total de Minutos de Larga Distancia Internacional (Estados Unidos y Canadá)</t>
  </si>
  <si>
    <t xml:space="preserve">Total de Llamadas a Larga Distancia Mundial </t>
  </si>
  <si>
    <t xml:space="preserve">Total de Minutos a Larga Distancia Mundial </t>
  </si>
  <si>
    <t>Consumos promedio mensual de servicios incluidos en planes/paquetes a través de los cuales se presten servicios de voz</t>
  </si>
  <si>
    <t>Consumos promedio mensual de servicios incluidos en planes/paquetes</t>
  </si>
  <si>
    <r>
      <t xml:space="preserve">Reportar información de los servicios asociados a planes y paquetes que se presenten como respuesta al </t>
    </r>
    <r>
      <rPr>
        <b/>
        <i/>
        <sz val="9"/>
        <rFont val="Arial"/>
        <family val="2"/>
      </rPr>
      <t>numeral 2</t>
    </r>
    <r>
      <rPr>
        <i/>
        <sz val="9"/>
        <rFont val="Arial"/>
        <family val="2"/>
      </rPr>
      <t xml:space="preserve"> </t>
    </r>
    <r>
      <rPr>
        <b/>
        <i/>
        <sz val="9"/>
        <rFont val="Arial"/>
        <family val="2"/>
      </rPr>
      <t>a través de los cuales se presten servicios de voz</t>
    </r>
    <r>
      <rPr>
        <i/>
        <sz val="9"/>
        <rFont val="Arial"/>
        <family val="2"/>
      </rPr>
      <t>.</t>
    </r>
  </si>
  <si>
    <t>Llamadas Locales Promedio</t>
  </si>
  <si>
    <t>Minutos por Llamadas Locales Promedio</t>
  </si>
  <si>
    <t>Llamadas Promedio de Larga Distancia Internacional (Estados Unidos y Canadá)</t>
  </si>
  <si>
    <t>Minutos Promedio de Larga Distancia Internacional (Estados Unidos y Canadá)</t>
  </si>
  <si>
    <t xml:space="preserve">Llamadas Promedio a Larga Distancia Mundial </t>
  </si>
  <si>
    <t xml:space="preserve">Minutos Promedio a Larga Distancia Mundial </t>
  </si>
  <si>
    <t>Consumo promedio mensual de bajada de datos (en Gbytes/Mes)</t>
  </si>
  <si>
    <t>Envío promedio mensual de subida de datos (en Gbytes/Mes)</t>
  </si>
  <si>
    <t>Duración Promedio (en minutos)</t>
  </si>
  <si>
    <t>Duración promedio en minutos de llamadas locales</t>
  </si>
  <si>
    <t>Duración promedio en minutos de llamadas a Larga Distancia Internacional (Estados Unidos y Canadá)</t>
  </si>
  <si>
    <t xml:space="preserve">Duración promedio en minutos de llamadas a Larga Distancia Mundial </t>
  </si>
  <si>
    <r>
      <t xml:space="preserve">Reportar información de los servicios asociados a planes y paquetes que se presenten como respuesta al </t>
    </r>
    <r>
      <rPr>
        <b/>
        <i/>
        <sz val="9"/>
        <rFont val="Arial"/>
        <family val="2"/>
      </rPr>
      <t>numeral</t>
    </r>
    <r>
      <rPr>
        <i/>
        <sz val="9"/>
        <rFont val="Arial"/>
        <family val="2"/>
      </rPr>
      <t xml:space="preserve"> </t>
    </r>
    <r>
      <rPr>
        <b/>
        <i/>
        <sz val="9"/>
        <rFont val="Arial"/>
        <family val="2"/>
      </rPr>
      <t>2</t>
    </r>
    <r>
      <rPr>
        <i/>
        <sz val="9"/>
        <rFont val="Arial"/>
        <family val="2"/>
      </rPr>
      <t xml:space="preserve"> </t>
    </r>
    <r>
      <rPr>
        <b/>
        <i/>
        <sz val="9"/>
        <rFont val="Arial"/>
        <family val="2"/>
      </rPr>
      <t>a través de los cuales se presten servicios de voz</t>
    </r>
    <r>
      <rPr>
        <i/>
        <sz val="9"/>
        <rFont val="Arial"/>
        <family val="2"/>
      </rPr>
      <t>.</t>
    </r>
  </si>
  <si>
    <t>Fin</t>
  </si>
  <si>
    <t>Imputación del costo de los servicios en el precio que se ofrece al usuario final</t>
  </si>
  <si>
    <t>Ingrese el costo, respecto al valor de la renta mensual, que representa proveer servicios Telefonía fija e Internet fijo en cada paquetes o servicio</t>
  </si>
  <si>
    <t>La renta mensual de cada plan o paquete deberá reconciliar con la asignación de costos propuesta</t>
  </si>
  <si>
    <t>Fuente:</t>
  </si>
  <si>
    <t>Cantidad mensual en pesos</t>
  </si>
  <si>
    <t>Costos asociado a Servicios de voz</t>
  </si>
  <si>
    <t>Costo del Servicio de Banda Ancha</t>
  </si>
  <si>
    <t>Otros costos</t>
  </si>
  <si>
    <t>Costo de la línea</t>
  </si>
  <si>
    <t>Costo de Llamadas locales</t>
  </si>
  <si>
    <t>Costo de Minutos de Larga Distancia Internacional  (EEUU y Canadá)</t>
  </si>
  <si>
    <t>Costo de Minutos de Larga Distancia Mundial</t>
  </si>
  <si>
    <t>Costo Minutos a celular (Números 044 y 045, en modalidad "El Que Llama Paga")</t>
  </si>
  <si>
    <t>Otro costo (especifique)</t>
  </si>
  <si>
    <t>Infinitum 20 Mb</t>
  </si>
  <si>
    <t>Servicios Digitales</t>
  </si>
  <si>
    <t>A rodar en Infinitum</t>
  </si>
  <si>
    <t>Dropbox</t>
  </si>
  <si>
    <t>Claro Video</t>
  </si>
  <si>
    <t>Claro música</t>
  </si>
  <si>
    <t>Push Travel</t>
  </si>
  <si>
    <t>WiFi Móvil en Infinitum</t>
  </si>
  <si>
    <t>Infinitum Mail</t>
  </si>
  <si>
    <t>Prodigy Mail</t>
  </si>
  <si>
    <t>*</t>
  </si>
  <si>
    <t>Valor</t>
  </si>
  <si>
    <t>MXN</t>
  </si>
  <si>
    <t>Índice de rotación (Churn)</t>
  </si>
  <si>
    <t>Relacionados a la captación de usuarios</t>
  </si>
  <si>
    <t>Costos de facturación (incluyendo el sistema de facturación a clientes minoristas)</t>
  </si>
  <si>
    <t>Asociados a deuda incobrable</t>
  </si>
  <si>
    <t>Costos de ventas y marketing por suscriptor bruto adicional</t>
  </si>
  <si>
    <t>Costos de alquiler de oficinas (por metro cuadrado al mes)</t>
  </si>
  <si>
    <r>
      <t>MXN / Mes / m</t>
    </r>
    <r>
      <rPr>
        <vertAlign val="superscript"/>
        <sz val="9"/>
        <rFont val="Arial"/>
        <family val="2"/>
      </rPr>
      <t>2</t>
    </r>
  </si>
  <si>
    <t>MXN / Suscriptor bruto adicional</t>
  </si>
  <si>
    <t>Atención al cliente minorista (incluyendo asistencia técnica de primera línea)</t>
  </si>
  <si>
    <t>Marketing y publicidad</t>
  </si>
  <si>
    <t># Suscriptor / empleado</t>
  </si>
  <si>
    <t>para servicios de voz</t>
  </si>
  <si>
    <t xml:space="preserve">para servicios de banda ancha </t>
  </si>
  <si>
    <t>Customer.care.broadbandsubscriber.per.staff</t>
  </si>
  <si>
    <t>Customer.care.line.rental.per.staff</t>
  </si>
  <si>
    <t>MXN / empleado</t>
  </si>
  <si>
    <t>Monthly.cost.per.staff</t>
  </si>
  <si>
    <t>Costos generales y administrativos</t>
  </si>
  <si>
    <t>Rent.per.sqm</t>
  </si>
  <si>
    <t>Parámetros asociados a costos de los servicios</t>
  </si>
  <si>
    <t>El índice menor de fallas por línea sólo de voz que para líneas de banda ancha (hay menos equipos que pueden fallar) y es menos probable que las fallas sean percibidas por los usuarios (la duración diaria de uso de una línea para llamadas de voz es mucho menor que para banda ancha)</t>
  </si>
  <si>
    <t>Beneficio minorista</t>
  </si>
  <si>
    <t>Número promedio de suscriptores atendidos por empleado:</t>
  </si>
  <si>
    <t>Retail.profit</t>
  </si>
  <si>
    <t>Line.rental.churn</t>
  </si>
  <si>
    <t>Billing.cost</t>
  </si>
  <si>
    <t>Bad.debt.cost</t>
  </si>
  <si>
    <t>Marketing.and.sales.per.gross.add.broadband</t>
  </si>
  <si>
    <t>Marketing.and.sales.minimum.proportion.broadband</t>
  </si>
  <si>
    <t>Marketing.and.sales.per.gross.add.line.rental</t>
  </si>
  <si>
    <t>Deuda incobrable sobre el total de ingresos</t>
  </si>
  <si>
    <t>Costos de facturación (incluyendo el sistema de facturación a clientes minoristas) sobre el total de ingresos</t>
  </si>
  <si>
    <t xml:space="preserve">Gasto mínimo en marketing en ventas sobre el total de ingresos </t>
  </si>
  <si>
    <t>Se asume cero, bajo la premisa de los operadores se publicitan para captar suscriptores de banda ancha, no suscriptores sólo de voz fija</t>
  </si>
  <si>
    <t>Marketing.and.sales.minimum.proportion.line.rental</t>
  </si>
  <si>
    <r>
      <rPr>
        <b/>
        <sz val="9"/>
        <rFont val="Arial"/>
        <family val="2"/>
      </rPr>
      <t>Fuente:</t>
    </r>
    <r>
      <rPr>
        <sz val="9"/>
        <rFont val="Arial"/>
        <family val="2"/>
      </rPr>
      <t xml:space="preserve"> AEP</t>
    </r>
  </si>
  <si>
    <t>Costo mensual por empleado dedicado a la atención del cliente minorista</t>
  </si>
  <si>
    <t>Costos administrativos sobre el total de ingresos (incluye personal de soporte IT, recursos humanos, estrategia, finanzas, etc.)</t>
  </si>
  <si>
    <t>Admin.staff.per.customer.care.staff</t>
  </si>
  <si>
    <t>Admin.costs</t>
  </si>
  <si>
    <t xml:space="preserve">Personal administrativo (incluyendo personal de marketing y ventas) por empleado de atención al cliente </t>
  </si>
  <si>
    <t>Superficie de suelo usada por empleado</t>
  </si>
  <si>
    <r>
      <t>m</t>
    </r>
    <r>
      <rPr>
        <vertAlign val="superscript"/>
        <sz val="9"/>
        <rFont val="Arial"/>
        <family val="2"/>
      </rPr>
      <t>2</t>
    </r>
    <r>
      <rPr>
        <sz val="9"/>
        <rFont val="Arial"/>
        <family val="2"/>
      </rPr>
      <t xml:space="preserve"> / empleado</t>
    </r>
  </si>
  <si>
    <t>Floorspace.per.staff</t>
  </si>
  <si>
    <t>Estimaciones</t>
  </si>
  <si>
    <t>Renta Mensual por Servicio Digital</t>
  </si>
  <si>
    <t>Tarifa por Activación por SD o en Paquete</t>
  </si>
  <si>
    <t>Fuente</t>
  </si>
  <si>
    <t>MXN / Servicio</t>
  </si>
  <si>
    <t>MXN / Mes / Servicio</t>
  </si>
  <si>
    <t>Renta Mensual por 3 Servicios Digitales</t>
  </si>
  <si>
    <t>Renta Mensual por 4 Servicios Digitales</t>
  </si>
  <si>
    <t>Renta Mensual por 5 Servicios Digitales</t>
  </si>
  <si>
    <t># Servicios digitales</t>
  </si>
  <si>
    <t>Estimación 
MXN / Mes / Servicio digital</t>
  </si>
  <si>
    <t>unit.cost.digital.service.1</t>
  </si>
  <si>
    <t>unit.cost.digital.service.3</t>
  </si>
  <si>
    <t>unit.cost.digital.service.4</t>
  </si>
  <si>
    <t>unit.cost.digital.service.5</t>
  </si>
  <si>
    <t>En la contratación adicional de un SD o Paquete, ya no aplica este cargo.</t>
  </si>
  <si>
    <t>Live</t>
  </si>
  <si>
    <t>Minutos / Llamada</t>
  </si>
  <si>
    <t>loading.call.durations.to.local.fixed.numbers</t>
  </si>
  <si>
    <t>loading.call.durations.to.north.america.fixed.numbers</t>
  </si>
  <si>
    <t>loading.call.durations.to.global.numbers</t>
  </si>
  <si>
    <t>loading.call.durations.to.mobile.numbers</t>
  </si>
  <si>
    <t>Estimación de valor unitario por minuto de llamada de voz a números fijos</t>
  </si>
  <si>
    <t>Nombre de plan o paquete</t>
  </si>
  <si>
    <t>Índice de uso de servicios incluidos en renta mensual</t>
  </si>
  <si>
    <t>Índice de uso - Residencial</t>
  </si>
  <si>
    <t>Valores</t>
  </si>
  <si>
    <t>Minuto a números fijos locales - Modalidad Residencial</t>
  </si>
  <si>
    <t>AEP</t>
  </si>
  <si>
    <t>Valor unitario</t>
  </si>
  <si>
    <t>Valor unitario ponderado</t>
  </si>
  <si>
    <t>index.use.residential</t>
  </si>
  <si>
    <t>Se estima como el promedio ponderado de la porción de consumos reportados por el AEP que se incluyen dentro de la renta mensual</t>
  </si>
  <si>
    <t>MXN / Min</t>
  </si>
  <si>
    <t>loading.call.durations.to.local.fixed.numbers.cost.minute.residential</t>
  </si>
  <si>
    <t>Estimación ponderada con índice de uso residencial</t>
  </si>
  <si>
    <t>Tipo de servicio</t>
  </si>
  <si>
    <t>Porcentaje respecto al total</t>
  </si>
  <si>
    <t>vector.users.broadband</t>
  </si>
  <si>
    <t>vector.distribution.users.broadband</t>
  </si>
  <si>
    <t>vector.users.telephone</t>
  </si>
  <si>
    <t>vector.users.distribution.telephone</t>
  </si>
  <si>
    <t>Líneas del AEP en la cuales se brindan servicios de telefonía fija en modalidad single play</t>
  </si>
  <si>
    <t>Líneas de telefonía fija por plan/paquete en el año de referencia</t>
  </si>
  <si>
    <t>Suscripciones de banda ancha fija por plan/paquete en el año de referencia</t>
  </si>
  <si>
    <t>Modalidad del servicio</t>
  </si>
  <si>
    <t>Periodicidad asumida para estimación de ingresos</t>
  </si>
  <si>
    <t>Periodicidad</t>
  </si>
  <si>
    <t>vector.periodicity</t>
  </si>
  <si>
    <t>Información general de planes y paquetes</t>
  </si>
  <si>
    <t>Residencial/No Residencial</t>
  </si>
  <si>
    <t>Telefonía Fija, Internet Fijo, Telefonía Fija+ Internet Fijo</t>
  </si>
  <si>
    <t># Suscripciones</t>
  </si>
  <si>
    <t># Líneas telefónicas</t>
  </si>
  <si>
    <t>Meses</t>
  </si>
  <si>
    <t>Check</t>
  </si>
  <si>
    <t>Verifica consistencia con la cantidad de suscripciones de banda ancha fija del operador</t>
  </si>
  <si>
    <t xml:space="preserve">   Renta de línea</t>
  </si>
  <si>
    <t>Cantidad de líneas telefónicas incluidas en plan o paquete</t>
  </si>
  <si>
    <t>Renta de línea</t>
  </si>
  <si>
    <t>Valor de la renta de línea (considerando todas las líneas telefónicas que incluye el plan/paquete)</t>
  </si>
  <si>
    <t>MXN/ Mes</t>
  </si>
  <si>
    <r>
      <rPr>
        <b/>
        <sz val="9"/>
        <rFont val="Arial"/>
        <family val="2"/>
      </rPr>
      <t>Fuente:</t>
    </r>
    <r>
      <rPr>
        <sz val="9"/>
        <rFont val="Arial"/>
        <family val="2"/>
      </rPr>
      <t xml:space="preserve"> Estimación IFT</t>
    </r>
  </si>
  <si>
    <t>Servicios de voz, no incluidos en la renta de la línea</t>
  </si>
  <si>
    <t>Cantidad de servicios digitales incluidos en plan/paquete</t>
  </si>
  <si>
    <t>Servicios digitales, que no se encuentran considerados en la renta de la línea</t>
  </si>
  <si>
    <t>Precios implícitos estimados para los servicios asociados a voz</t>
  </si>
  <si>
    <t>Proporción de valor total de servicios que integran un plan/paquete que representan los servicios digitales</t>
  </si>
  <si>
    <t>Estimación del valor dentro del plan/paquetes de los conceptos que integran el servicio</t>
  </si>
  <si>
    <t>MXN/Mes</t>
  </si>
  <si>
    <t xml:space="preserve">   Servicios de voz</t>
  </si>
  <si>
    <t xml:space="preserve">   Servicios Digitales</t>
  </si>
  <si>
    <r>
      <rPr>
        <b/>
        <sz val="9"/>
        <rFont val="Arial"/>
        <family val="2"/>
      </rPr>
      <t xml:space="preserve">Fuente: </t>
    </r>
    <r>
      <rPr>
        <sz val="9"/>
        <rFont val="Arial"/>
        <family val="2"/>
      </rPr>
      <t>Estimación IFT</t>
    </r>
  </si>
  <si>
    <t>vector.implicit.prices.line.rental.after.discount</t>
  </si>
  <si>
    <t>vector.implicit.prices.voice.after.discount</t>
  </si>
  <si>
    <t>vector.implicit.prices.digitalservices.after.discount</t>
  </si>
  <si>
    <t>vector.implicit.prices.line.rental.before.discount</t>
  </si>
  <si>
    <t>vector.implicit.prices.voice.before.discount</t>
  </si>
  <si>
    <t>vector.implicit.prices.digitalservices.before.discount</t>
  </si>
  <si>
    <t>Año de referencia</t>
  </si>
  <si>
    <t>año</t>
  </si>
  <si>
    <t>Control</t>
  </si>
  <si>
    <t>Otros parámetros relevantes</t>
  </si>
  <si>
    <t>años</t>
  </si>
  <si>
    <t>Bucle local de cobre</t>
  </si>
  <si>
    <t>Bucle local de fibra óptica</t>
  </si>
  <si>
    <t>MXN / Mes</t>
  </si>
  <si>
    <t>local.loop.cooper</t>
  </si>
  <si>
    <t>local.loop.optical.fiber</t>
  </si>
  <si>
    <t>Fibra óptica</t>
  </si>
  <si>
    <t>weighted.average.local.loop.by.plan</t>
  </si>
  <si>
    <t>Datos de velocidad de bajada anunciada</t>
  </si>
  <si>
    <t>Velocidad de bajada</t>
  </si>
  <si>
    <t>Texto</t>
  </si>
  <si>
    <t># Mbps</t>
  </si>
  <si>
    <t>Precio implícito de los conceptos que integran el servicio</t>
  </si>
  <si>
    <t xml:space="preserve">   Banda ancha</t>
  </si>
  <si>
    <t>Binario (1=Si, 0=No)</t>
  </si>
  <si>
    <t>Duración del periodo de tiempo (en meses) en que ofrece a los usuarios finales el servicio de Claro video sin costo</t>
  </si>
  <si>
    <t>Nivel de descuento sobre los precios implícitos de los conceptos que integran el servicio</t>
  </si>
  <si>
    <t>Estimación del precio dentro del plan/paquetes de los Conceptos que integran el servicio</t>
  </si>
  <si>
    <t xml:space="preserve">   Banda ancha dentro de plan/paquete</t>
  </si>
  <si>
    <r>
      <t xml:space="preserve">Fuente: </t>
    </r>
    <r>
      <rPr>
        <sz val="9"/>
        <rFont val="Arial"/>
        <family val="2"/>
      </rPr>
      <t>AEP</t>
    </r>
  </si>
  <si>
    <t>vector.downstream.publicited.speed</t>
  </si>
  <si>
    <t>Renta mensual, sin impuestos</t>
  </si>
  <si>
    <t>clarovideo.rental.without.taxes</t>
  </si>
  <si>
    <t>https://www.clarovideo.com/fe/sitesplus/sk_telmex/html/esp/faqs.html</t>
  </si>
  <si>
    <t>vector.implicit.prices.broadband.before.discount</t>
  </si>
  <si>
    <t>vector.implicit.prices.broadband.after.discount</t>
  </si>
  <si>
    <t>Estimación de acceso a la línea telefónica dentro de los planes y paquetes</t>
  </si>
  <si>
    <t>Comercial</t>
  </si>
  <si>
    <t>Acceso a Línea Telefónica</t>
  </si>
  <si>
    <t>Servicios de voz dentro de la Renta de línea</t>
  </si>
  <si>
    <t>Servicios Digitales dentro de la Renta de línea</t>
  </si>
  <si>
    <t>Acceso a Línea Telefónica ajustada</t>
  </si>
  <si>
    <t>vector.proportion.of.implicit.prices.line.rental.wlr</t>
  </si>
  <si>
    <t>vector.implicit.prices.line.rental.inside.wlr</t>
  </si>
  <si>
    <t>Llamadas incluidas en renta mensual</t>
  </si>
  <si>
    <t>Llamadas incluidas en cargo de renta mensual de línea telefónica que son consumidas</t>
  </si>
  <si>
    <t>Minutos/Mes</t>
  </si>
  <si>
    <t>Valor de Minutos relativos a llamadas Locales</t>
  </si>
  <si>
    <t>Consumo promedio en minutos relativos a llamadas Locales</t>
  </si>
  <si>
    <t>vector.plans.available</t>
  </si>
  <si>
    <t>Renta de la línea telefónica</t>
  </si>
  <si>
    <t>Otros vectores auxiliares</t>
  </si>
  <si>
    <t>Se encuentra vigente el plan/paquete?</t>
  </si>
  <si>
    <r>
      <t xml:space="preserve">Se trata de un plan/paquete </t>
    </r>
    <r>
      <rPr>
        <b/>
        <sz val="9"/>
        <rFont val="Arial"/>
        <family val="2"/>
      </rPr>
      <t>residencial que incluye telefonía fija</t>
    </r>
    <r>
      <rPr>
        <sz val="9"/>
        <rFont val="Arial"/>
        <family val="2"/>
      </rPr>
      <t>?</t>
    </r>
  </si>
  <si>
    <r>
      <t xml:space="preserve">Se trata de un plan/paquete </t>
    </r>
    <r>
      <rPr>
        <b/>
        <sz val="9"/>
        <rFont val="Arial"/>
        <family val="2"/>
      </rPr>
      <t>no residencial que incluye telefonía fija</t>
    </r>
    <r>
      <rPr>
        <sz val="9"/>
        <rFont val="Arial"/>
        <family val="2"/>
      </rPr>
      <t>?</t>
    </r>
  </si>
  <si>
    <t>vector.plans.with.line.rental.residential</t>
  </si>
  <si>
    <t>vector.plans.with.line.rental.noresidential</t>
  </si>
  <si>
    <t>weighted.price.line.rental.residential</t>
  </si>
  <si>
    <t>weighted.price.line.rental.no.residential</t>
  </si>
  <si>
    <t>Llamadas consumidas</t>
  </si>
  <si>
    <t>Velocidad de bajada ofertada (Mbps)</t>
  </si>
  <si>
    <t>Perfil de velocidad de bajada (Mbps)</t>
  </si>
  <si>
    <t>Precio implícito promedio (simple)</t>
  </si>
  <si>
    <t>Matriz función indicadora de si el plan/paquete cuenta con determinado perfil en Mbps</t>
  </si>
  <si>
    <t>1=Si, 0=No</t>
  </si>
  <si>
    <t>MXN/ Mbps</t>
  </si>
  <si>
    <t>A partir de promedio simple</t>
  </si>
  <si>
    <t>A partir de promedio ponderado</t>
  </si>
  <si>
    <t>Interpolado con función potencial</t>
  </si>
  <si>
    <t>Extrapolación de precio implícito por perfil</t>
  </si>
  <si>
    <t>Estimación IFT</t>
  </si>
  <si>
    <t>Estimación del precio promedio por Mbps por perfil</t>
  </si>
  <si>
    <t>Cálculos auxiliares</t>
  </si>
  <si>
    <t>Estimación de la distribución del precio promedio ponderado del bucle por perfil, de acuerdo al medio de transmisión por el que se proveen servicios</t>
  </si>
  <si>
    <t>Valor promedio ponderado del bucle local</t>
  </si>
  <si>
    <t>weighted.average.local.loop.by.plan.by.tx.media</t>
  </si>
  <si>
    <t>Descuentos asociados a renta de línea y servicios de voz</t>
  </si>
  <si>
    <t>Renta de Línea</t>
  </si>
  <si>
    <t>Servicios de voz</t>
  </si>
  <si>
    <t>Número de líneas telefónicas del AEP</t>
  </si>
  <si>
    <t>Suscriptores adicionales netos</t>
  </si>
  <si>
    <t>Suscriptores adicionales brutos</t>
  </si>
  <si>
    <t>Información de líneas residenciales y no residenciales</t>
  </si>
  <si>
    <t>Suscriptores adicionales brutos de banda ancha</t>
  </si>
  <si>
    <t>Información de líneas residenciales - que brindan servicios de voz en modalidad single play</t>
  </si>
  <si>
    <t>Información de líneas no residenciales - que brindan servicios de voz en modalidad single play</t>
  </si>
  <si>
    <t>Líneas residenciales del AEP en la cuales se brindan servicios de telefonía fija en modalidad single play</t>
  </si>
  <si>
    <t>Líneas no residenciales del AEP en la cuales se brindan servicios de telefonía fija en modalidad single play</t>
  </si>
  <si>
    <t>AEP.telephone.lines.voice.only</t>
  </si>
  <si>
    <t>AEP.telephone.lines.voice.only.residential</t>
  </si>
  <si>
    <t>AEP.telephone.lines.voice.only.noresidential</t>
  </si>
  <si>
    <t>Promedio anual de líneas que brindan servicios de voz en modalidad single play</t>
  </si>
  <si>
    <t>No residenciales</t>
  </si>
  <si>
    <t>Número máximo de líneas adicionales brutas</t>
  </si>
  <si>
    <t>Ingresos por instalaciones de líneas</t>
  </si>
  <si>
    <t>Ingresos por renta mensual - antes desde considerar precios implícitos</t>
  </si>
  <si>
    <t>Ingresos por renta mensual - considerando precios implícitos de los servicios</t>
  </si>
  <si>
    <t>Ingresos por instalaciones y por renta mensual (considerando precios implícitos de los servicios)</t>
  </si>
  <si>
    <t>MXN/año</t>
  </si>
  <si>
    <t>Estimación de ingresos anuales</t>
  </si>
  <si>
    <t>Estimación de costos evitados</t>
  </si>
  <si>
    <t>Costos de facturación (incluyendo el sistema de facturación de clientes minoristas)</t>
  </si>
  <si>
    <t>Costos de facturación</t>
  </si>
  <si>
    <t>Deuda incobrable</t>
  </si>
  <si>
    <t xml:space="preserve">Costo de la deuda incobrable sobre el total de ingresos </t>
  </si>
  <si>
    <t>Número de suscriptores por empleado</t>
  </si>
  <si>
    <t>Costo mensual por empleado</t>
  </si>
  <si>
    <t>Costos minoristas de atención al cliente</t>
  </si>
  <si>
    <t>Personal de atención al cliente minorista</t>
  </si>
  <si>
    <t>Personal administrativo</t>
  </si>
  <si>
    <t>Total empleados</t>
  </si>
  <si>
    <t>Costos de alquiler de oficinas</t>
  </si>
  <si>
    <t>Superficie de suelo por empleado</t>
  </si>
  <si>
    <t>Costos por metro cuadrado</t>
  </si>
  <si>
    <t>Costos administrativos sobre el total de ingresos</t>
  </si>
  <si>
    <t xml:space="preserve">Total costos retail minus </t>
  </si>
  <si>
    <t xml:space="preserve">Costos de marketing y ventas por suscriptor bruto adicional </t>
  </si>
  <si>
    <t xml:space="preserve">Gasto mínimo en marketing y ventas sobre el total de ingresos </t>
  </si>
  <si>
    <t>Costos de marketing y publicidad</t>
  </si>
  <si>
    <t>Diferencial de ingresos al considerar precios implícitos</t>
  </si>
  <si>
    <t>Resumen</t>
  </si>
  <si>
    <t># empleados</t>
  </si>
  <si>
    <t>Total costos retail minus</t>
  </si>
  <si>
    <t>Otros costos (y ganancias)</t>
  </si>
  <si>
    <t>Total ingresos (antes de considerar precios implícitos)</t>
  </si>
  <si>
    <t>Diferencial de ingresos y total de costos evitados</t>
  </si>
  <si>
    <t>Retail minus</t>
  </si>
  <si>
    <t>Retail.minus.line.rental</t>
  </si>
  <si>
    <t>Retail.minus.line.rental.retail.minus.items.only</t>
  </si>
  <si>
    <t>Retail.minus.additional.calls</t>
  </si>
  <si>
    <t>Retail.minus.additional.calls.retail.minus.items.only</t>
  </si>
  <si>
    <t>Descuentos asociados a banda ancha</t>
  </si>
  <si>
    <t>Número de suscripciones de banda ancha fija del AEP</t>
  </si>
  <si>
    <t>Información de banda ancha fija residencial y no residencial</t>
  </si>
  <si>
    <t>Información de suscripciones residenciales</t>
  </si>
  <si>
    <t>Información de suscripciones no residenciales</t>
  </si>
  <si>
    <t>AEP.broadband.subs.residential</t>
  </si>
  <si>
    <t>Promedio anual de suscripciones según modalidad</t>
  </si>
  <si>
    <t>Broadband.gross.adds.residential.with.line.rental</t>
  </si>
  <si>
    <t>Broadband.gross.adds.non.residential</t>
  </si>
  <si>
    <t xml:space="preserve"> Los ingresos por renta de línea no se consideran para servicios de voz, y por tanto se excluyen de los de banda ancha fija. </t>
  </si>
  <si>
    <t>Tarifas SRLT, SRI y SRPI</t>
  </si>
  <si>
    <t>Tarifas SRLT</t>
  </si>
  <si>
    <t>Tipo de acceso</t>
  </si>
  <si>
    <t>Promedio ponderado del precio del acceso en todos los planes y paquetes, según cantidad de líneas residenciales</t>
  </si>
  <si>
    <t>Promedio ponderado del precio del acceso en todos los planes y paquetes, según cantidad de líneas no residenciales</t>
  </si>
  <si>
    <t>Estimación tarifa SRMLT</t>
  </si>
  <si>
    <t>SRMLT Residencial</t>
  </si>
  <si>
    <t>SRMLT No Residencial</t>
  </si>
  <si>
    <t>Tarifas de planes y paquetes</t>
  </si>
  <si>
    <t>Precio mayorista, excluyendo impuestos</t>
  </si>
  <si>
    <t>Tarifas de servicios adicionales a planes y paquetes</t>
  </si>
  <si>
    <t>Precios implícitos</t>
  </si>
  <si>
    <t>Banda ancha</t>
  </si>
  <si>
    <t>Distribución de Usuarios</t>
  </si>
  <si>
    <t>Estimación de tarifas del Servicio de Reventa de Línea Telefónica (SRLT)</t>
  </si>
  <si>
    <t>Planes y paquetes de telefonía fija en modalidad single play</t>
  </si>
  <si>
    <t>Otros planes y paquetes adicionales relativos a telefonía fija en modalidad single play</t>
  </si>
  <si>
    <t>Estimación de tarifas del Servicio de Reventa de Internet (SRI)</t>
  </si>
  <si>
    <t>Estimación de tarifas del Servicio de Reventa de Paquetes (SRP)</t>
  </si>
  <si>
    <t>Costos evitados asociados</t>
  </si>
  <si>
    <t>Nivel de descuento total</t>
  </si>
  <si>
    <t>Asignado proporcionalmente respecto al nivel de ingresos para renta de línea y servicios de voz</t>
  </si>
  <si>
    <t>Paquete 389</t>
  </si>
  <si>
    <t>Cálculos principales</t>
  </si>
  <si>
    <t>Información asociada a servicios digitales</t>
  </si>
  <si>
    <t>Año de referencia para el que se realizan las estimaciones</t>
  </si>
  <si>
    <t>Periodo de retención de cliente</t>
  </si>
  <si>
    <t>Claro video</t>
  </si>
  <si>
    <r>
      <rPr>
        <b/>
        <sz val="9"/>
        <rFont val="Arial"/>
        <family val="2"/>
      </rPr>
      <t xml:space="preserve">Fuente: </t>
    </r>
    <r>
      <rPr>
        <sz val="9"/>
        <rFont val="Arial"/>
        <family val="2"/>
      </rPr>
      <t>Estimación IFT, a partir de precios en página de Claro video</t>
    </r>
  </si>
  <si>
    <t>Representación del precio implícito por perfil del Mbps</t>
  </si>
  <si>
    <t>Precio implícito estimado para perfil de Mbps incluidos en renta mensual</t>
  </si>
  <si>
    <t>Precio implícito estimado ajustado para perfil de Mbps incluidos en renta mensual</t>
  </si>
  <si>
    <t>Precio implícito promedio ponderado</t>
  </si>
  <si>
    <t>Precio implícito por perfil</t>
  </si>
  <si>
    <t>Datos de tráfico de llamadas salientes de la red del AEP</t>
  </si>
  <si>
    <t>Factor de representación del precio implícito</t>
  </si>
  <si>
    <t>Estimación precio de acceso línea telefónica</t>
  </si>
  <si>
    <t>Interpolación del precio por Mbps para estimar el precio por perfil</t>
  </si>
  <si>
    <t>MXN / Mes / m2</t>
  </si>
  <si>
    <t>Estimación del precio implícito de los servicios asociados a voz que integran los plaques y paquetes</t>
  </si>
  <si>
    <t># líneas incluidas</t>
  </si>
  <si>
    <t>Estimación del precio implícito de los servicios asociados a banda ancha que integran los plaques y paquetes</t>
  </si>
  <si>
    <t xml:space="preserve">   Claro video</t>
  </si>
  <si>
    <t>Información sobre Claro video</t>
  </si>
  <si>
    <t>Se ofrece Claro video sin costo para a los usuarios finales durante un periodo de tiempo?</t>
  </si>
  <si>
    <t xml:space="preserve">   Claro video dentro de plan/paquete</t>
  </si>
  <si>
    <t>Estimación del precio de los servicios asociados a voz que integran la línea telefónica dentro de planes y paquetes</t>
  </si>
  <si>
    <t>Precios promedio para representación del precio del acceso</t>
  </si>
  <si>
    <t>Representación del precio promedio del acceso</t>
  </si>
  <si>
    <t>Precio promedio ponderado de la línea telefónica</t>
  </si>
  <si>
    <t xml:space="preserve">Margen de beneficios sobre costos evitados
</t>
  </si>
  <si>
    <t>Incrementos de revisiones salariales Sindicato de Telefonistas de la República Mexicana</t>
  </si>
  <si>
    <r>
      <rPr>
        <b/>
        <sz val="9"/>
        <rFont val="Arial"/>
        <family val="2"/>
      </rPr>
      <t>Fuente:</t>
    </r>
    <r>
      <rPr>
        <sz val="9"/>
        <rFont val="Arial"/>
        <family val="2"/>
      </rPr>
      <t xml:space="preserve"> Telmex</t>
    </r>
  </si>
  <si>
    <t>Modems y ONT</t>
  </si>
  <si>
    <t>Tecnología</t>
  </si>
  <si>
    <t>VDSL</t>
  </si>
  <si>
    <t>ONT</t>
  </si>
  <si>
    <t>Undiad</t>
  </si>
  <si>
    <t>Modelos servicios auxiliares</t>
  </si>
  <si>
    <t>FTTC</t>
  </si>
  <si>
    <t>FTTH</t>
  </si>
  <si>
    <t>Parámetro de reposición de equipos terminales</t>
  </si>
  <si>
    <t>equipo.terminal.parameter</t>
  </si>
  <si>
    <t>Costos reposicióm equipos terminales</t>
  </si>
  <si>
    <t>Costos nuevos equipos terminales</t>
  </si>
  <si>
    <t>Costos total equipos terminales</t>
  </si>
  <si>
    <t>Estimación de costos evitados equipos terminales</t>
  </si>
  <si>
    <t>Costos equipos asociados a cobre (VDSL)</t>
  </si>
  <si>
    <t>Costos equipos asociados a fibra (FTTH)</t>
  </si>
  <si>
    <t>Precio implícito promedio ponderado por tecnología</t>
  </si>
  <si>
    <t>Costos evitados equipos terminales</t>
  </si>
  <si>
    <t>Acometidas</t>
  </si>
  <si>
    <t>Fibra</t>
  </si>
  <si>
    <t>Se asume que las nuevas líneas de "solo voz" se prestan por cobre</t>
  </si>
  <si>
    <t>Costos acometidas de cobre</t>
  </si>
  <si>
    <t>Costos acometidas de fibra óptica</t>
  </si>
  <si>
    <t>Precio</t>
  </si>
  <si>
    <t>Precio de referencia</t>
  </si>
  <si>
    <t>Estimación de costos evitados acometida</t>
  </si>
  <si>
    <t>Represntación acometida  SRL</t>
  </si>
  <si>
    <t>Costo evitado asociado a acometida</t>
  </si>
  <si>
    <t>Representación del valor promedio del medio de transmisión en el componente de voz sobre cobre y en fibra óptica</t>
  </si>
  <si>
    <t>Parámetros regresion lineal</t>
  </si>
  <si>
    <t>b</t>
  </si>
  <si>
    <t>Parámetros regresion transformados (regresión Log - Log)</t>
  </si>
  <si>
    <t>a (exp c )</t>
  </si>
  <si>
    <t>Cobre, FTTN, FTTC</t>
  </si>
  <si>
    <t>Acceso</t>
  </si>
  <si>
    <t>Velocidad nominal de bajada (Mbps)</t>
  </si>
  <si>
    <t>Velocidad nominal de subida (Kbps)</t>
  </si>
  <si>
    <t xml:space="preserve">Calidad </t>
  </si>
  <si>
    <t>Datos, Doble calidad, Doble calidad con portabilidad</t>
  </si>
  <si>
    <t>Asimétrico</t>
  </si>
  <si>
    <t>Unidad - &gt;</t>
  </si>
  <si>
    <t>Mbps</t>
  </si>
  <si>
    <t>Kbps</t>
  </si>
  <si>
    <t>Fibra FTTH</t>
  </si>
  <si>
    <t>Simétrico</t>
  </si>
  <si>
    <t>Factor conversion (1 Mbps a Kbps)</t>
  </si>
  <si>
    <t>factor.Mbps.to.Kbps</t>
  </si>
  <si>
    <t>Velocidad nominal de bajada</t>
  </si>
  <si>
    <t>Factor de simetría</t>
  </si>
  <si>
    <t>Se estima la proporción del ancho de banda de subida necesario para hacer simétrico al perfil</t>
  </si>
  <si>
    <t xml:space="preserve">Velocidad </t>
  </si>
  <si>
    <t>Tarifa sin impuestos</t>
  </si>
  <si>
    <t>La tarifa con impuestos se adiciona al del "Paquete Conectes Negocio"</t>
  </si>
  <si>
    <t>La tarifa con impuestos se adiciona al del "Paquete Mi Negocio"</t>
  </si>
  <si>
    <t>La tarifa con impuestos se adiciona al del paquete "Paquete SuperNegocio"</t>
  </si>
  <si>
    <t>La tarifa con impuestos se adiciona al del paquete "Paquete Telmex Negocio 1"</t>
  </si>
  <si>
    <t>La tarifa con impuestos se adiciona al del paquete "Paquete Telmex Negocio 2"</t>
  </si>
  <si>
    <t>La tarifa con impuestos se adiciona al del paquete "Paquete Telmex Negocio 3"</t>
  </si>
  <si>
    <t>Paquete 435</t>
  </si>
  <si>
    <t>Paquete 499</t>
  </si>
  <si>
    <t>Paquete 1499</t>
  </si>
  <si>
    <t>Paquete Telmex Negocio Sin Límites 1</t>
  </si>
  <si>
    <t>Paquete Telmex Negocio Sin Límites 2</t>
  </si>
  <si>
    <t>Para clientes que cuenten con Paquete Conectes Negocio</t>
  </si>
  <si>
    <t>Para clientes que cuenten con Paquete Mi Negocio</t>
  </si>
  <si>
    <t>Para clientes que cuenten con Paquete SuperNegocio</t>
  </si>
  <si>
    <t>Para clientes que cuenten con PaqueteTelmex Negocio Sin Límites 1</t>
  </si>
  <si>
    <t>Para clientes que cuenten con PaqueteTelmex Negocio Sin Límites 2</t>
  </si>
  <si>
    <t>Para clientes que cuenten con PaqueteTelmex Negocio Sin Límites 3</t>
  </si>
  <si>
    <t>Cancelado el 24 de abril de 2019. Por lo tanto ya no se comercializa, sin embargo, hay clientes que conservan el servicio.</t>
  </si>
  <si>
    <t>Cancelado el 13 de diciembre de 2018.  Por lo tanto ya no se comercializa, sin embargo, hay clientes que conservan el servicio.</t>
  </si>
  <si>
    <t>Cancelado el 13 de noviembre de 2018. Por lo tanto ya no se comercializa, sin embargo, hay clientes que conservan el servicio.</t>
  </si>
  <si>
    <t>Plan para clientes que tienen contratado el servicio de Infinitum. Cancelado el 13 de noviembre de 2018.  Por lo tanto ya no se comercializa, sin embargo, hay clientes que conservan el servicio.</t>
  </si>
  <si>
    <t xml:space="preserve">Sin costo
Protege hasta 3 equipos de cómputo (PC o MAC), contra ataques de software malicioso, con actualizaciones automáticas mientras se tenga el servicio Infinitum. Consulta Términos y Condiciones en: 
https://downloads.telmex.com/pdf/infoRelevante_SeguridadInternet_McAfee.pdf?_ga=1.244521408.493520490.1453165444  </t>
  </si>
  <si>
    <t>60 Mbps</t>
  </si>
  <si>
    <t>1 mes</t>
  </si>
  <si>
    <t>Infinitum 200 Mb</t>
  </si>
  <si>
    <t>Infinitum 30 MB</t>
  </si>
  <si>
    <t>Velocidad Simétrica Conectes Negocio</t>
  </si>
  <si>
    <t>Velocidad Simétrica Mi Negocio</t>
  </si>
  <si>
    <t>Velocidad Simétrica SuperNegocio</t>
  </si>
  <si>
    <t>Velocidad Simétrica Telmex Negocio Sin Límetes 1</t>
  </si>
  <si>
    <t>Velocidad Simétrica Telmex Negocio Sin Límetes 2</t>
  </si>
  <si>
    <t>Velocidad Simétrica Telmex Negocio Sin Límetes 3</t>
  </si>
  <si>
    <t>Infinitum 30 Mb</t>
  </si>
  <si>
    <t>Cobre.  Cobre desde el edificio del AEP hasta el usuario.</t>
  </si>
  <si>
    <t>FTTH. Fibra desde el edificio del AEP hasta el usuario o edificio.</t>
  </si>
  <si>
    <t xml:space="preserve">FTTC. Fibra hasta un punto intermedio entre el edificio del AEP y el usuario y despues cobre hasta el usuario. </t>
  </si>
  <si>
    <t>Modelo anterior 2017</t>
  </si>
  <si>
    <t>Modelo anterior 2018</t>
  </si>
  <si>
    <t>Costo total acometidas</t>
  </si>
  <si>
    <t>Paquete Telmex Negocio Sin Límites 3</t>
  </si>
  <si>
    <t>Representación Tarifas de servicios simétricos adicionales a planes y paquetes</t>
  </si>
  <si>
    <t>Precio implícito por perfil del Mbps</t>
  </si>
  <si>
    <t>Muestra representativa</t>
  </si>
  <si>
    <t xml:space="preserve">Velocidad Contratada </t>
  </si>
  <si>
    <t>Modelo anterior 2019</t>
  </si>
  <si>
    <t>Represntación acometida SAIB</t>
  </si>
  <si>
    <t>Velocidad nominal de bajada real (calificación real del bucle)</t>
  </si>
  <si>
    <t>Estimación del factor de simetría</t>
  </si>
  <si>
    <r>
      <t xml:space="preserve">Se estima el promedio simple por perfil asimétrico </t>
    </r>
    <r>
      <rPr>
        <sz val="9"/>
        <rFont val="Arial"/>
        <family val="2"/>
      </rPr>
      <t>de cobre</t>
    </r>
  </si>
  <si>
    <r>
      <rPr>
        <b/>
        <sz val="9"/>
        <rFont val="Arial"/>
        <family val="2"/>
      </rPr>
      <t>Fuente:</t>
    </r>
    <r>
      <rPr>
        <sz val="9"/>
        <rFont val="Arial"/>
        <family val="2"/>
      </rPr>
      <t xml:space="preserve"> IFT/221/UPR/DG-CIN/123/2019</t>
    </r>
  </si>
  <si>
    <t>Promedio de Calificación del bucle 
2019</t>
  </si>
  <si>
    <t>Cuenta de Usuarios 
2019</t>
  </si>
  <si>
    <t>Calificación real del bucle de cobre</t>
  </si>
  <si>
    <t>Velocidad Simétrica Telmex Negocio Sin Límites 1</t>
  </si>
  <si>
    <t>Velocidad Simétrica Telmex Negocio Sin Límites 2</t>
  </si>
  <si>
    <t>Velocidad Simétrica Telmex Negocio Sin Límites 3</t>
  </si>
  <si>
    <t>PaqueteTelmex Negocio Sin Límites 3</t>
  </si>
  <si>
    <t>Infinitum 150 Mb</t>
  </si>
  <si>
    <t>Infinitum Negocio 30 Mb</t>
  </si>
  <si>
    <t>Infinitum Negocio 150 Mb</t>
  </si>
  <si>
    <t>Infinitum Negocio 200 Mb</t>
  </si>
  <si>
    <t>Paquete 249</t>
  </si>
  <si>
    <t>Paquete 333</t>
  </si>
  <si>
    <t>Paquete Infinitum Play 20 (Netflix 1 dispositivo)</t>
  </si>
  <si>
    <t>Paquete Infinitum Play 20 (Netflix 2 dispositivos)</t>
  </si>
  <si>
    <t>Paquete Infinitum Play 20 (Netflix 4 dispositivos)</t>
  </si>
  <si>
    <t>Paquete Infinitum Play 30 (Netflix 2 dispositivos)</t>
  </si>
  <si>
    <t>Paquete Infinitum Play 30 (Netflix 4 dispositivos)</t>
  </si>
  <si>
    <t>Paquete Infinitum Play 40 (Netflix 2 dispositivos)</t>
  </si>
  <si>
    <t>Paquete Infinitum Play 40 (Netflix 4 dispositivos)</t>
  </si>
  <si>
    <t>Paquete Infinitum Play 150 (Netflix 4 dispositivos)</t>
  </si>
  <si>
    <t>Paquete Infinitum Play 150 (Netflix 2 dispositivos)</t>
  </si>
  <si>
    <t>Paquete Infinitum Play 200 (Netflix 4 dispositivos)</t>
  </si>
  <si>
    <t>Paquete Infinitum Play 200 (Netflix 2 dispositivos)</t>
  </si>
  <si>
    <t>Infinitum Play 20 (Netflix 1 dispositivo)</t>
  </si>
  <si>
    <t>Infinitum Play 20 (Netflix 2 dispositivos)</t>
  </si>
  <si>
    <t>Infinitum Play 20 (Netflix 4 dispositivos)</t>
  </si>
  <si>
    <t>Infinitum Play 30 (Netflix 2 dispositivos)</t>
  </si>
  <si>
    <t>Infinitum Play 30 (Netflix 4 dispositivos)</t>
  </si>
  <si>
    <t>Infinitum Play 150 (Netflix 4 dispositivos)</t>
  </si>
  <si>
    <t>Infinitum Play 150 (Netflix 2 dispositivos)</t>
  </si>
  <si>
    <t>Infinitum Play 200 (Netflix 4 dispositivos)</t>
  </si>
  <si>
    <t>Infinitum Play 200 (Netflix 2 dispositivos)</t>
  </si>
  <si>
    <t>Paquete Conectes Negocio Play (Netflix 1 dispositivo)</t>
  </si>
  <si>
    <t>Paquete Conectes Negocio Play (Netflix 2 dispositivos)</t>
  </si>
  <si>
    <t>Paquete Conectes Negocio Play (Netflix 4 dispositivos)</t>
  </si>
  <si>
    <t>Paquete Mi Negocio Play (Netflix 2 dispositivos)</t>
  </si>
  <si>
    <t>Paquete Mi Negocio Play (Netflix 4 dispositivos)</t>
  </si>
  <si>
    <t>Paquete Supernegocio Play (Netflix 2 dispositivos)</t>
  </si>
  <si>
    <t>Paquete Supernegocio Play (Netflix 4 dispositivos)</t>
  </si>
  <si>
    <t>Infinitum Play Negocio 20 (Netflix 1 dispositivo)</t>
  </si>
  <si>
    <t>Infinitum Play Negocio 20 (Netflix 2 dispositivos)</t>
  </si>
  <si>
    <t>Infinitum Play Negocio 20 (Netflix 4 dispositivos)</t>
  </si>
  <si>
    <t>Infinitum Play Negocio 30 (Netflix 2 dispositivos)</t>
  </si>
  <si>
    <t>Infinitum Play Negocio 30 (Netflix 4 dispositivos)</t>
  </si>
  <si>
    <t>Infinitum Play Negocio 150 (Netflix 4 dispositivos)</t>
  </si>
  <si>
    <t>Infinitum Play Negocio 150 (Netflix 2 dispositivos)</t>
  </si>
  <si>
    <t>Infinitum Play Negocio 200 (Netflix 4 dispositivos)</t>
  </si>
  <si>
    <t>Infinitum Play Negocio 200 (Netflix 2 dispositivos)</t>
  </si>
  <si>
    <t>Infinitum bajo demanda 100 MB - 3 días</t>
  </si>
  <si>
    <t>Infinitum bajo demanda 100 MB - 7 días</t>
  </si>
  <si>
    <t>Infinitum bajo demanda 100 MB - 15 días</t>
  </si>
  <si>
    <t>Infinitum bajo demanda 150 MB - 3 días</t>
  </si>
  <si>
    <t>Infinitum bajo demanda 150 MB - 7 días</t>
  </si>
  <si>
    <t>Infinitum bajo demanda 150 MB - 15 días</t>
  </si>
  <si>
    <t>Infinitum bajo demanda 200 MB - 3 días</t>
  </si>
  <si>
    <t>Infinitum bajo demanda 200 MB - 7 días</t>
  </si>
  <si>
    <t>Infinitum bajo demanda 200 MB - 15 días</t>
  </si>
  <si>
    <t>Infinitum play bajo demanda 100 MB - 3 días</t>
  </si>
  <si>
    <t>Infinitum play bajo demanda 100 MB - 7 días</t>
  </si>
  <si>
    <t>Infinitum play bajo demanda 100 MB - 15 días</t>
  </si>
  <si>
    <t>Infinitum play bajo demanda 150 MB - 3 días</t>
  </si>
  <si>
    <t>Infinitum play bajo demanda 150 MB - 7 días</t>
  </si>
  <si>
    <t>Infinitum play bajo demanda 150 MB - 15 días</t>
  </si>
  <si>
    <t>Infinitum play bajo demanda 200 MB - 3 días</t>
  </si>
  <si>
    <t>Infinitum play bajo demanda 200 MB - 7 días</t>
  </si>
  <si>
    <t>Infinitum play bajo demanda 200 MB - 15 días</t>
  </si>
  <si>
    <t>Netflix</t>
  </si>
  <si>
    <t>Otros cargos adicionales. Introduzca las columnas que sean necesarias</t>
  </si>
  <si>
    <t>Sin costo.
Claro video es un servicio proporcionado por un tercero. Telmex únicamente es medio de cobro de este servicio. Telmex pagará el servicio de Claro video durante 12 meses para los clientes infinitum con Paquete 389, 435, 499 599, 699, 999, 1499 o Infinitum Puro. También, durante 12 meses el servicio será sin costo para los clientes que tengan los paquetes descritos. Para Paquete 333, 289, 249 y Línea Básica, al contratar Claro video el primer mes no tiene costo. No incluye Pago por Evento. Consulta Términos y Condiciones en www.clarovideo.com</t>
  </si>
  <si>
    <t>Llamada en espera, Sígueme, Tres a la vez, Buzón Premium e Identificador de llamadas</t>
  </si>
  <si>
    <t xml:space="preserve">5 Mbps </t>
  </si>
  <si>
    <t>400 Mbps</t>
  </si>
  <si>
    <t>350 Mbps</t>
  </si>
  <si>
    <t>vector.lines.publicited</t>
  </si>
  <si>
    <t>Velocidad de subida ofertada (Mbps)</t>
  </si>
  <si>
    <t>h</t>
  </si>
  <si>
    <t xml:space="preserve">Precio Implícito de la Banda Ancha post descuento </t>
  </si>
  <si>
    <t>vector.implicit.prices.serviciosasociadosbandaancha.afterdiscount</t>
  </si>
  <si>
    <t>Servicios asociados a la banda ancha dentro del paquete</t>
  </si>
  <si>
    <t xml:space="preserve">Precio de la banda ancha por perfil </t>
  </si>
  <si>
    <t>300 Mbps</t>
  </si>
  <si>
    <t>Costos equipos asociados a cobre (ADSL/VDSL)</t>
  </si>
  <si>
    <t>Proporción de servicios asociados a la banda ancha dentro del plan</t>
  </si>
  <si>
    <t>Distriibución de los suscriptores por medio de transmissión</t>
  </si>
  <si>
    <t>Distriibución porcentual de los suscriptores por medio de transmissión</t>
  </si>
  <si>
    <t>Representación del costo mensual promedio ponderado del bucle, por plan/paquete con banda ancha fija y por perfil de velocidad</t>
  </si>
  <si>
    <t>Proporcion Subida vs Bajada</t>
  </si>
  <si>
    <t>Representación del precio implícitos de los perfiles simétricos</t>
  </si>
  <si>
    <t>Tarifas de los planes simétricos</t>
  </si>
  <si>
    <t>Tarifas de los planes a los cuales se adicionan los planes simétricos</t>
  </si>
  <si>
    <t>Tarifa 
Perfil simétrico / Perfil asímetrico</t>
  </si>
  <si>
    <t>Velocidad de subida</t>
  </si>
  <si>
    <t>Precio implícito por perfil del Mbps Simétrico</t>
  </si>
  <si>
    <t>Valor de servicios digitales</t>
  </si>
  <si>
    <t>Valor de servicios digitalesen la renta de todas las líneas del plan/paquete</t>
  </si>
  <si>
    <t>Precio de servicios digitales</t>
  </si>
  <si>
    <r>
      <rPr>
        <b/>
        <sz val="9"/>
        <rFont val="Arial"/>
        <family val="2"/>
      </rPr>
      <t>Fuente:</t>
    </r>
    <r>
      <rPr>
        <sz val="9"/>
        <rFont val="Arial"/>
        <family val="2"/>
      </rPr>
      <t xml:space="preserve"> AEP</t>
    </r>
  </si>
  <si>
    <t>a</t>
  </si>
  <si>
    <t>Adicionado para la estimación de perfiles simétricos</t>
  </si>
  <si>
    <t>BE, Doble, Datos Generales, Triple</t>
  </si>
  <si>
    <t xml:space="preserve">Datos para la estimación* </t>
  </si>
  <si>
    <t>Representación porcentual de los servicio digitales incluidos en la renta mensual del servicio</t>
  </si>
  <si>
    <t>Modelo 2020</t>
  </si>
  <si>
    <t>Estimado</t>
  </si>
  <si>
    <r>
      <rPr>
        <b/>
        <sz val="9"/>
        <rFont val="Arial"/>
        <family val="2"/>
      </rPr>
      <t>Fuente:</t>
    </r>
    <r>
      <rPr>
        <sz val="9"/>
        <rFont val="Arial"/>
        <family val="2"/>
      </rPr>
      <t xml:space="preserve"> Estimaciones a partir de Modelo Integral de Red de Acceso Fijo</t>
    </r>
  </si>
  <si>
    <t xml:space="preserve">Reportar los datos relativos a planes y paquetes que los usuarios pueden contratar con Telmex y Telnor, mediante una línea nueva o existente, </t>
  </si>
  <si>
    <t>Infinitum 279</t>
  </si>
  <si>
    <t>Infinitum 299</t>
  </si>
  <si>
    <t>Infinitum Negocio 20 MB</t>
  </si>
  <si>
    <t>Infinitum Negocio 30 MB</t>
  </si>
  <si>
    <t>Infinitum Negocio 150 MB</t>
  </si>
  <si>
    <t>Infinitum Negocio 200 MB</t>
  </si>
  <si>
    <t>Otro</t>
  </si>
  <si>
    <t>Paquete Infinitum D+ 1</t>
  </si>
  <si>
    <t>Paquete Infinitum D+ 2</t>
  </si>
  <si>
    <t>Paquete Infinitum D+ 3</t>
  </si>
  <si>
    <t>Paquete Infinitum D+ 4</t>
  </si>
  <si>
    <t>Paquete Infinitum D+ 5</t>
  </si>
  <si>
    <t>Infinitum D+ 1</t>
  </si>
  <si>
    <t>Infinitum D+ 2</t>
  </si>
  <si>
    <t>Infinitum D+ 3</t>
  </si>
  <si>
    <t>Infinitum D+ 4</t>
  </si>
  <si>
    <t>Plan Lada Ahorro</t>
  </si>
  <si>
    <t>Plan que ofrece tarifas de larga distancia dependiendo del rango de consumo</t>
  </si>
  <si>
    <t>Plan Lada Frontera Negocios (Frontera)</t>
  </si>
  <si>
    <t>Plan Lada Frontera Negocios (Banda Norte)</t>
  </si>
  <si>
    <t>Cancelado el 18 de dicicembre de 2018. Por lo tanto ya no se comercializa, sin embargo, hay clientes que conservan el servicio.</t>
  </si>
  <si>
    <t>Inicio de vigencia 5/12/2019. Tarifa por evento. Aplica a los servicios residenciales: Paquete 289, Paquete Infinitum 333, Paquete 389, Paquete 435, Paquete 499, Infinitum 20 Mb e Infinitum 30 Mb . Aplica a los servicios comerciales: Paquete Conectes Negocio, Paquete Mi Negocio, Infinitum Negocio 20 Mb e Infinitum Negocio 30 Mb</t>
  </si>
  <si>
    <t>Inicio de vigencia 5/12/2019. Tarifa por evento. Aplica a los servicios residenciales: Paquete 289, Paquete Infinitum 333, Paquete 389, Paquete 435, Paquete 499, Paquete 599, Infinitum 20 Mb, Infinitum 30 Mb e Infinitum 150 Mb. Aplica a los servicios comerciales: Paquete Conectes Negocio, Paquete Mi Negocio, Paquete Supernegocio, Infinitum Negocio 20 Mb, Infinitum Negocio 30 Mb e Infinitum Negocio 150 Mb</t>
  </si>
  <si>
    <t>Inicio de vigencia 24/01/2020. Tarifa por evento. Aplica a los servicios residenciales: Paquete Infinitum Play 20, Paquete Infinitum Play 30, Paquete Infinitum Play 40, Infinitum Play 20 e Infinitum Play 30</t>
  </si>
  <si>
    <t>Inicio de vigencia 24/01/2020. Tarifa por evento. Paquete Infinitum Play 20, Paquete Infinitum Play 30, Paquete Infinitum Play 40, Paquete Infinitum Play 150, Infinitum Play 20, Infinitum Play 30 e Infinitum Play 150</t>
  </si>
  <si>
    <t>Claro Drive</t>
  </si>
  <si>
    <t>Netflix es un servicio proporcionado por un tercero. Telmex únicamente es medio de cobro de este servicio. Consulta Términos y Condiciones en www.netflix.com.mx</t>
  </si>
  <si>
    <t>Reportar los datos relativos a planes y paquetes que los usuarios pueden contratar con Telmex y Telnor, mediante una línea nueva o existente, sin que sea necesaria la contratación previa de un plan o paquete (por ejemplo, “Paquete Infinitum 333”, “Plan Negocio 100”, etc.)</t>
  </si>
  <si>
    <t>b. Número suscriptores activos totales por otros servicios</t>
  </si>
  <si>
    <t>c. Número de suscriptores activos totales, desagregados por medio de transmisión</t>
  </si>
  <si>
    <t>Disney +</t>
  </si>
  <si>
    <t xml:space="preserve">Cobre + FTTC. Fibra hasta un punto intermedio entre el edificio del AEP y el usuario y despues cobre hasta el usuario. </t>
  </si>
  <si>
    <r>
      <rPr>
        <b/>
        <sz val="9"/>
        <rFont val="Arial"/>
        <family val="2"/>
      </rPr>
      <t>Fuente:</t>
    </r>
    <r>
      <rPr>
        <sz val="9"/>
        <rFont val="Arial"/>
        <family val="2"/>
      </rPr>
      <t xml:space="preserve"> Estimaciones a partir de Modelo Integral de Red de Acceso Fijo (LLU Full sin costos de caseta y alojamiento</t>
    </r>
  </si>
  <si>
    <r>
      <rPr>
        <b/>
        <sz val="9"/>
        <rFont val="Arial"/>
        <family val="2"/>
      </rPr>
      <t>Fuente:</t>
    </r>
    <r>
      <rPr>
        <sz val="9"/>
        <rFont val="Arial"/>
        <family val="2"/>
      </rPr>
      <t xml:space="preserve"> WACC Condiciones técnicas mínimas de interconexión 2022. Proyecto en consulta pública http://www.ift.org.mx/industria/consultas-publicas/anteproyecto-de-condiciones-tecnicas-minimas-para-la-interconexion-entre-concesionarios-de-redes-0</t>
    </r>
  </si>
  <si>
    <r>
      <rPr>
        <b/>
        <sz val="9"/>
        <rFont val="Arial"/>
        <family val="2"/>
      </rPr>
      <t>Fuente:</t>
    </r>
    <r>
      <rPr>
        <sz val="9"/>
        <rFont val="Arial"/>
        <family val="2"/>
      </rPr>
      <t xml:space="preserve">  El valor estimado fue calculado a partir de la revisión de la Separación Contable para 2017, 2018 y 2019. Por lo cual se sumaron las cuentas de incobrabilidad respecto a sus ingresos operativos en cada ejercicio.</t>
    </r>
  </si>
  <si>
    <t>Retail.minus.int</t>
  </si>
  <si>
    <t>Retail.minus.int.retail.minus.items.only</t>
  </si>
  <si>
    <t>Unidad Terminal de Datos https://downloads.telmex.com/pdf/ServiciosMercadoMasivo.pdf</t>
  </si>
  <si>
    <t>Nota</t>
  </si>
  <si>
    <t>Renta mensual</t>
  </si>
  <si>
    <t>Usuarios</t>
  </si>
  <si>
    <t xml:space="preserve">a. Tarifas de planes y paquetes </t>
  </si>
  <si>
    <t xml:space="preserve">sin que sea necesaria la contratación previa de un plan o paquete (por ejemplo, “Paquete Infinitum 333”, “Plan Negocio 100”, etc.)
Asimismo, deberá proporcionar información tarifaria relacionada con la contratación de algún servicioservicios Over The Top  (por ejemplo, Over the top u “OTT” por sus sigas en inglés) o cualquier otra promoción por la cual modifique que ajuste el monto de la renta mensual de cada uno de los planes y paquetes. </t>
  </si>
  <si>
    <t>¿Cuenta con tarifa preferencial por la contratación de algún servicio OTT que ajuste el monto de la renta mensual? (Si/No)</t>
  </si>
  <si>
    <t>Tarfia Netflix 1 dispositivo (sin impuestos)</t>
  </si>
  <si>
    <t>Renta menusual preferencial por la contratación del Netflix 1 dispotivo (sin impuestos)</t>
  </si>
  <si>
    <t>Términos y condiciones</t>
  </si>
  <si>
    <t>Tarifa Netflix 2 dispositivos (sin impuestos)</t>
  </si>
  <si>
    <t>Renta menusual preferencial por la contratación del Netflix 2 dispotivos (sin impuestos)</t>
  </si>
  <si>
    <t>Tarifa Netflix 4 dispositivos (sin impuestos)</t>
  </si>
  <si>
    <t>Renta menusual preferencial por la contratación del Netflix 4 dispotivos (sin impuestos)</t>
  </si>
  <si>
    <t>Tarifa Prime Video (sin impuestos)</t>
  </si>
  <si>
    <t>Renta menusual preferencial por la contratación Prime Video (sin impuestos)</t>
  </si>
  <si>
    <t>Tarifa HBO Max (sin impuestos)</t>
  </si>
  <si>
    <t>Renta menusual preferencial por la contratación HBO Max (sin impuestos)</t>
  </si>
  <si>
    <t>Tarifa Disney + (sin impuestos)</t>
  </si>
  <si>
    <t>Renta menusual preferencial por la contratación Disney + (sin impuestos)</t>
  </si>
  <si>
    <t>Tarifa Star + (sin impuestos)</t>
  </si>
  <si>
    <t>Renta menusual preferencial por la contratación Star + (sin impuestos)</t>
  </si>
  <si>
    <t>Tarifa OTT #1 (sin impuestos)</t>
  </si>
  <si>
    <t>Renta menusual preferencial por la contratación OTT #1 (sin impuestos)</t>
  </si>
  <si>
    <t>Tarifa OTT #2 (sin impuestos)</t>
  </si>
  <si>
    <t>Renta menusual preferencial por la contratación OTT #2 (sin impuestos)</t>
  </si>
  <si>
    <t>¿Cuenta con la promoción para paquetes superiores, por las que se ajuste el monto de la renta mensual? (Si/No)</t>
  </si>
  <si>
    <t>Renta menusual preferencial ajustada por la promición para paquetes superiores (sin impuestos)</t>
  </si>
  <si>
    <t>Renta menusual preferencial ajustada por la promición para paquetes superiores (con impuestos)</t>
  </si>
  <si>
    <t>¿Tiene otras promociones en el paquete que ajusten el precio de la renta mensual? (Si/No)</t>
  </si>
  <si>
    <t>Nombre de la promoción/promociones</t>
  </si>
  <si>
    <t>Renta menusual con tarifa preferencia (sin impuestos)</t>
  </si>
  <si>
    <t>Renta menusual con tarifa preferencia (con impuestos)</t>
  </si>
  <si>
    <t>No</t>
  </si>
  <si>
    <t>Sí</t>
  </si>
  <si>
    <t>Paquete Infinitum Entretenimiento 1 (Netflix 1 dispositivo)</t>
  </si>
  <si>
    <t>Paquete Infinitum Entretenimiento 1 (Netflix 2 dispositivos)</t>
  </si>
  <si>
    <t>Paquete Infinitum Entretenimiento 1 (Netflix 4 dispositivos)</t>
  </si>
  <si>
    <t>Paquete Infinitum Entretenimiento 2 (Netflix 2 Dispositivos)</t>
  </si>
  <si>
    <t>Paquete Infinitum Entretenimiento 2 (Netflix 4 Dispositivos)</t>
  </si>
  <si>
    <t>Paquete Infinitum Entretenimiento 3 (Netflix 2 Dispositivos)</t>
  </si>
  <si>
    <t>Paquete Infinitum Entretenimiento 3 (Netflix 4 Dispositivos)</t>
  </si>
  <si>
    <t>Paquete Infinitum Entretenimiento 4 (Netflix 4 Dispositivos)</t>
  </si>
  <si>
    <t>Paquete Infinitum Entretenimiento 4 (Netflix 2 Dispositivos)</t>
  </si>
  <si>
    <t>Paquete Infinitum Entretenimiento 5 (Netflix 4 Dispositivos)</t>
  </si>
  <si>
    <t>Paquete Infinitum Entretenimiento 5 (Netflix 2 Dispositivos)</t>
  </si>
  <si>
    <t>Infinitum Entretenimiento 1 (Netflix 1 dispositivo)</t>
  </si>
  <si>
    <t>Infinitum Entretenimiento 1 (Netflix 2 dispositivos)</t>
  </si>
  <si>
    <t>Infinitum Entretenimiento 1 (Netflix 4 dispositivos)</t>
  </si>
  <si>
    <t>Infinitum Entretenimiento 2 (Netflix 2 Dispositivos)</t>
  </si>
  <si>
    <t>Infinitum Entretenimiento 2 (Netflix 4 Dispositivos)</t>
  </si>
  <si>
    <t>Infinitum Entretenimiento 3 (Netflix 2 Dispositivos)</t>
  </si>
  <si>
    <t>Infinitum Entretenimiento 3 (Netflix 4 Dispositivos)</t>
  </si>
  <si>
    <t>Infinitum Entretenimiento 4 (Netflix 4 Dispositivos)</t>
  </si>
  <si>
    <t>Infinitum Entretenimiento 4 (Netflix 2 Dispositivos)</t>
  </si>
  <si>
    <t>Si</t>
  </si>
  <si>
    <t>Promoción Velocidad Simétrica</t>
  </si>
  <si>
    <t xml:space="preserve">Al contratar la Velocidad Simétrica y suscribir un servicio de valor agregado participante (servicios de almacenamiento, seguridad y comunicación a través de las redes virtuales -nube-, entre otros), el cliente podrá recibir hasta 8 meses sin costo de Velocidad Simétrica. Los clientes que ya tengan contratado el servicio Velocidad Simétrica y que en los meses sucesivos contraten un servicio de Valor Agregado participante con cargo a su recibo Telmex, recibirán el beneficio a partir del siguiente mes de contratación contado a partir de la fecha de suscripción del servicio de valor agregado participante. </t>
  </si>
  <si>
    <t>Velocidad Simétrica Supernegocio</t>
  </si>
  <si>
    <t>Velocidad Simétrica Conectes Negocio Netflix (1 dispositivo)</t>
  </si>
  <si>
    <t>Velocidad Simétrica Conectes Negocio Netflix (2 dispositivos)</t>
  </si>
  <si>
    <t>Velocidad Simétrica Conectes Negocio Netflix (4 dispositivos)</t>
  </si>
  <si>
    <t>Velocidad Simétrica Mi Negocio Netflix (2 dispositivos)</t>
  </si>
  <si>
    <t>Velocidad Simétrica Mi Negocio Netflix (4 dispositivos)</t>
  </si>
  <si>
    <t>Velocidad Simétrica Supernegocio Netflix (2 dispositivos)</t>
  </si>
  <si>
    <t>Velocidad Simétrica Supernegocio Netflix (4 dispositivos)</t>
  </si>
  <si>
    <t>Especifique Tipo de Contraprestación</t>
  </si>
  <si>
    <t>Nota: Dicha información deberá corresponder al 31 de diciembre de 2021.</t>
  </si>
  <si>
    <t xml:space="preserve">Las veolcidades simétricas son servicios opcionales para los clientes que cuenten con un alguno de los siguentes paquetes: Paquete Conectes Negocio, Paquete Conectes Negocio Play, Paquete Mi Negocio, Paquete Mi Negocio Play, Paquete Supernegocio, Paquete Supernegocio Pay, Paquete Telmex Negocio Sin Límites 1, 2, 3, según sea el caso. La renta mensual corresponde a la suma de la tarifa del paquete y el servicio de velocidad simétrica conforme a registro. Los servicios se incluyen en esta tabla para evitar sobrestimación de clientes. </t>
  </si>
  <si>
    <t>Infinitum 50</t>
  </si>
  <si>
    <t>Infinitum 500</t>
  </si>
  <si>
    <t>Infinitum 60</t>
  </si>
  <si>
    <t>Infinitum 100</t>
  </si>
  <si>
    <t>Infinitum 200</t>
  </si>
  <si>
    <t>Infinitum Negocio 60</t>
  </si>
  <si>
    <t>Infinitum Negocio 200</t>
  </si>
  <si>
    <t>Infinitum Negocio 500</t>
  </si>
  <si>
    <t>Promoción Portabilidad 435</t>
  </si>
  <si>
    <t>Es una promoción para clientes residenciales que contraten el Paquete 435, que consiste en otorgar una bonificación de 1 mes de renta mensual (aplica en el mes primero). Aplica a los clientes que eligen a Telmex como su proveedor de telefonía fija realizando una portabilidad con el proceso vigente.</t>
  </si>
  <si>
    <t>Promoción Portabilidad</t>
  </si>
  <si>
    <t>Es una promoción para clientes residenciales y comerciales, que consiste en otorgar una bonificación de 3 meses de renta mensual del servicio contratado en un periodo de 12 meses (aplica en el mes primero, sexto y doceavo). Aplica a los clientes que eligen a Telmex como su proveedor de telefonía fija realizando una portabilidad con el proceso vigente.</t>
  </si>
  <si>
    <t>SI</t>
  </si>
  <si>
    <t>Paquete Infinitum 500</t>
  </si>
  <si>
    <t>Paquete Infinitum Netflix 500 (Netflix 4 dispositivos)</t>
  </si>
  <si>
    <t>Paquete Infinitum Netflix 500 (Netflix 2 dispositivos)</t>
  </si>
  <si>
    <t>Infinitum Netflix 50 (Netflix 1 dispositivo)</t>
  </si>
  <si>
    <t>Infinitum Netflix 50 (Netflix 2 dispositivos)</t>
  </si>
  <si>
    <t>Infinitum Netflix 50 (Netflix 4 dispositivos)</t>
  </si>
  <si>
    <t>Infinitum Netflix 60 (Netflix 2 dispositivos)</t>
  </si>
  <si>
    <t>Infinitum Netflix 60 (Netflix 4 dispositivos)</t>
  </si>
  <si>
    <t>Infinitum Netflix 200 (Netflix 4 dispositivos)</t>
  </si>
  <si>
    <t>Infinitum Netflix 200 (Netflix 2 dispositivos)</t>
  </si>
  <si>
    <t>Infinitum Netflix 500 (Netflix 4 dispositivos)</t>
  </si>
  <si>
    <t>Infinitum Netflix 500 (Netflix 2 dispositivos)</t>
  </si>
  <si>
    <t>Paquete Conectes Negocio Netflix (Netflix 1 dispositivo)</t>
  </si>
  <si>
    <t>Paquete Conectes Negocio Netflix (Netflix 2 dispositivos)</t>
  </si>
  <si>
    <t>Paquete Conectes Negocio Netflix (Netflix 4 dispositivos)</t>
  </si>
  <si>
    <t>Paquete Mi Negocio Netflix (Netflix 2 dispositivos)</t>
  </si>
  <si>
    <t>Paquete Mi Negocio Netflix (Netflix 4 dispositivos)</t>
  </si>
  <si>
    <t>Paquete Supernegocio Netflix (Netflix 2 dispositivos)</t>
  </si>
  <si>
    <t>Paquete Supernegocio Netflix (Netflix 4 dispositivos)</t>
  </si>
  <si>
    <t>Infinitum Netflix Negocio 50 (Netflix 1 dispositivo)</t>
  </si>
  <si>
    <t>Infinitum Netflix Negocio 50 (Netflix 2 dispositivos)</t>
  </si>
  <si>
    <t>Infinitum Netflix Negocio 50 (Netflix 4 dispositivos)</t>
  </si>
  <si>
    <t>Infinitum Netflix Negocio 60 (Netflix 2 dispositivos)</t>
  </si>
  <si>
    <t>Infinitum Netflix Negocio 60 (Netflix 4 dispositivos)</t>
  </si>
  <si>
    <t>Infinitum Netflix Negocio 200 (Netflix 4 dispositivos)</t>
  </si>
  <si>
    <t>Infinitum Netflix Negocio 200 (Netflix 2 dispositivos)</t>
  </si>
  <si>
    <t>Infinitum Netflix Negocio 500 (Netflix 4 dispositivos)</t>
  </si>
  <si>
    <t>Infinitum Netflix Negocio 500 (Netflix 2 dispositivos)</t>
  </si>
  <si>
    <t>Paquete Infinitum Entretenimiento 30</t>
  </si>
  <si>
    <t>Paquete Infinitum  Entretenimiento 40</t>
  </si>
  <si>
    <t>Paquete Infinitum Entretenimiento 50</t>
  </si>
  <si>
    <t>Paquete Infinitum Entretenimiento 250</t>
  </si>
  <si>
    <t>Paquete Infinitum Entretenimiento 500</t>
  </si>
  <si>
    <t>Infinitum Entretenimiento 30</t>
  </si>
  <si>
    <t>Infinitum Entretenimiento 40</t>
  </si>
  <si>
    <t>Infinitum Entretenimiento 200</t>
  </si>
  <si>
    <t>Infinitum Entretenimiento 500</t>
  </si>
  <si>
    <t>Paquete infinitum Entretenimiento+ 30  (Netflix 1 dispositivo)</t>
  </si>
  <si>
    <t>Paquete infinitum Entretenimiento+ 30  (Netflix 2 dispositivos)</t>
  </si>
  <si>
    <t>Paquete infinitum Entretenimiento+ 30  (Netflix 4 dispositivos)</t>
  </si>
  <si>
    <t>Paquete Infinitum Entretenimiento+ 70   (Netflix 2 dispositivos)</t>
  </si>
  <si>
    <t>Paquete Infinitum Entretenimiento+ 70   (Netflix 4 dispositivos)</t>
  </si>
  <si>
    <t>Paquete Infinitum Entretenimiento+ 120    (Netflix 2 dispositivos)</t>
  </si>
  <si>
    <t>Paquete Infinitum Entretenimiento+ 120    (Netflix 4 dispositivos)</t>
  </si>
  <si>
    <t>Paquete infinitum Entretenimiento+ 200  (Netflix 4 dispositivos)</t>
  </si>
  <si>
    <t>Paquete infinitum Entretenimiento+ 200  (Netflix 2 dispositivos)</t>
  </si>
  <si>
    <t>Paquete infinitum Entretenimiento+ 500 (Netflix 4 dispositivos)</t>
  </si>
  <si>
    <t>Paquete infinitum Entretenimiento+ 500  (Netflix 2 dispositivos)</t>
  </si>
  <si>
    <t>Infinitum Entretenimiento +30   (Netflix 1 dispositivo)</t>
  </si>
  <si>
    <t>Infinitum Entretenimiento +30   (Netflix 2 dispositivos)</t>
  </si>
  <si>
    <t>Infinitum Entretenimiento +30   (Netflix 4 dispositivos)</t>
  </si>
  <si>
    <t>Infinitum Entretenimiento+ 70  (Netflix 2 dispositivos)</t>
  </si>
  <si>
    <t>Infinitum Entretenimiento+ 70  (Netflix 4 dispositivos)</t>
  </si>
  <si>
    <t>Infinitum Entretenimiento+ 250  (Netflix 4 dispositivos)</t>
  </si>
  <si>
    <t>Infinitum Entretenimiento+ 250  (Netflix 2 dispositivos)</t>
  </si>
  <si>
    <t>Infinitum Entretenimiento+ 500   (Netflix 4 dispositivos)</t>
  </si>
  <si>
    <t>Infinitum Entretenimiento+ 500   (Netflix 2 dispositivos)</t>
  </si>
  <si>
    <r>
      <t>Velocidad Simétrica Conectes Negocio</t>
    </r>
    <r>
      <rPr>
        <i/>
        <sz val="8"/>
        <color rgb="FFFF0000"/>
        <rFont val="Arial"/>
        <family val="2"/>
      </rPr>
      <t>/Velocidad Simétrica Conectes Negocio Promoción *</t>
    </r>
  </si>
  <si>
    <r>
      <t xml:space="preserve">423.11 / </t>
    </r>
    <r>
      <rPr>
        <sz val="9"/>
        <color rgb="FFFF0000"/>
        <rFont val="Arial"/>
        <family val="2"/>
      </rPr>
      <t>509.31</t>
    </r>
  </si>
  <si>
    <r>
      <t xml:space="preserve">499 / </t>
    </r>
    <r>
      <rPr>
        <sz val="9"/>
        <color rgb="FFFF0000"/>
        <rFont val="Arial"/>
        <family val="2"/>
      </rPr>
      <t>599</t>
    </r>
  </si>
  <si>
    <r>
      <t xml:space="preserve">Velocidad Simétrica Conectes Negocio Netflix (1 dispositivo) / </t>
    </r>
    <r>
      <rPr>
        <i/>
        <sz val="9"/>
        <color rgb="FFFF0000"/>
        <rFont val="Arial"/>
        <family val="2"/>
      </rPr>
      <t>Velocidad Simétrica Conectes Negocio Promoción (1 dispositivo)*</t>
    </r>
  </si>
  <si>
    <r>
      <t xml:space="preserve">526.89 / </t>
    </r>
    <r>
      <rPr>
        <sz val="9"/>
        <color rgb="FFFF0000"/>
        <rFont val="Arial"/>
        <family val="2"/>
      </rPr>
      <t>613.09</t>
    </r>
  </si>
  <si>
    <r>
      <t xml:space="preserve">619 / </t>
    </r>
    <r>
      <rPr>
        <sz val="9"/>
        <color rgb="FFFF0000"/>
        <rFont val="Arial"/>
        <family val="2"/>
      </rPr>
      <t>719</t>
    </r>
  </si>
  <si>
    <r>
      <t xml:space="preserve">Velocidad Simétrica Conectes Negocio Netflix (2 dispositivos)/ </t>
    </r>
    <r>
      <rPr>
        <i/>
        <sz val="9"/>
        <color rgb="FFFF0000"/>
        <rFont val="Arial"/>
        <family val="2"/>
      </rPr>
      <t>Velocidad Simétrica Conectes Negocio Promoción (2 dispositivos)*</t>
    </r>
  </si>
  <si>
    <r>
      <t xml:space="preserve">595.85 / </t>
    </r>
    <r>
      <rPr>
        <sz val="9"/>
        <color rgb="FFFF0000"/>
        <rFont val="Arial"/>
        <family val="2"/>
      </rPr>
      <t>682.05</t>
    </r>
  </si>
  <si>
    <r>
      <t xml:space="preserve">699 / </t>
    </r>
    <r>
      <rPr>
        <sz val="9"/>
        <color rgb="FFFF0000"/>
        <rFont val="Arial"/>
        <family val="2"/>
      </rPr>
      <t>799</t>
    </r>
  </si>
  <si>
    <r>
      <t xml:space="preserve">Velocidad Simétrica Conectes Negocio Netflix (4 dispositivos)/ </t>
    </r>
    <r>
      <rPr>
        <i/>
        <sz val="9"/>
        <color rgb="FFFF0000"/>
        <rFont val="Arial"/>
        <family val="2"/>
      </rPr>
      <t>Velocidad Simétrica Conectes Negocio Promoción (2 dispositivos)*</t>
    </r>
  </si>
  <si>
    <r>
      <t xml:space="preserve">664.82 / </t>
    </r>
    <r>
      <rPr>
        <sz val="9"/>
        <color rgb="FFFF0000"/>
        <rFont val="Arial"/>
        <family val="2"/>
      </rPr>
      <t>751.02</t>
    </r>
  </si>
  <si>
    <r>
      <t xml:space="preserve">779 / </t>
    </r>
    <r>
      <rPr>
        <sz val="9"/>
        <color rgb="FFFF0000"/>
        <rFont val="Arial"/>
        <family val="2"/>
      </rPr>
      <t>879</t>
    </r>
  </si>
  <si>
    <t xml:space="preserve">Nota: Dicha información deberá corresponder al 30 de junio de 2022. </t>
  </si>
  <si>
    <r>
      <t xml:space="preserve">* </t>
    </r>
    <r>
      <rPr>
        <sz val="9"/>
        <color rgb="FFFF0000"/>
        <rFont val="Arial"/>
        <family val="2"/>
      </rPr>
      <t>Velocidad Simétrica Conectes Negocio Promoción, es un servicio opcional para los clientes Comerciales que cuenten con “Paquete Conectes Negocio” y sea provisto a través de fibra óptica en la cual estén recibiendo por promoción durante 18 meses el beneficio de aumento de velocidad o “Paquete Conectes Negocio Netflix”. El servicio Velocidad simétrica Conectes Negocio Promoción consiste en hacer simétrica la velocidad del Infinitum con una tasa de transmisión bidireccional.</t>
    </r>
  </si>
  <si>
    <t>b. Tarifas de otros servicios 2021 y 2022</t>
  </si>
  <si>
    <t>La renta de la línea incluye 100 llamadas de Servicio Medido</t>
  </si>
  <si>
    <t>Plan Por Segundo ( EQLLP )</t>
  </si>
  <si>
    <t xml:space="preserve">Nota: Dicha información deberá corresponder al 31 de diciembre de 2021 y al 30 de junio de 2022. </t>
  </si>
  <si>
    <t>NOTA 2. Los datos de las filas marcadas en rojo ya no se comercializan, sin embargo se están reportando inventarios a diciembre 2021 y junio de 2022</t>
  </si>
  <si>
    <t>Canasta de servicios incluidos en la tarifa de los planes y paquetes y por el pago de una tarifa preferencial</t>
  </si>
  <si>
    <t>Canasta de servicios incluidos y adicionales en la tarifa de los planes y paquetes</t>
  </si>
  <si>
    <t>Para llenar el siguiente cuadro se solicita proporcionar la información listada a continuación:</t>
  </si>
  <si>
    <t>a) Canasta de servicios que se incluyen como parte de la renta mensual</t>
  </si>
  <si>
    <t>b) Canasta de servicios que se incluyen como parte de la tarifa preferencial de la renta mensual por la adquisición de servicios OTT</t>
  </si>
  <si>
    <t>c) Canasta de promociones por las cuales se modifique la renta mensual del plan o paquete.</t>
  </si>
  <si>
    <t>Línea telefónica</t>
  </si>
  <si>
    <t>Servicios digitales</t>
  </si>
  <si>
    <t>Servicios de internet</t>
  </si>
  <si>
    <t>Servicios OTT incluidos en la renta mensual</t>
  </si>
  <si>
    <t>Otros servicios</t>
  </si>
  <si>
    <t>Tarifa preferencial por pago de servicios OTT</t>
  </si>
  <si>
    <t>Promociones adicionales que modifiquen la renta mensual</t>
  </si>
  <si>
    <t>Minutos a celular (modalidad “El que llama paga”) incluidos</t>
  </si>
  <si>
    <t>¿Cuenta con promociones que incrementen su velocidad a partir del pago de la misma renta mensual? (Si/No)</t>
  </si>
  <si>
    <t>Duración del periodo de tiempo (en meses) en que ofrece la promoción de incremento de velocidad</t>
  </si>
  <si>
    <t>Velocidad de bajada ofertada (Mbps) con la promoción de aumento de velocidad</t>
  </si>
  <si>
    <t>Velocidad de subida ofertada (Mbps) con la promoción de aumento de velocidad</t>
  </si>
  <si>
    <t>¿Incluye Netflix?
(Dispositivos incluidos)</t>
  </si>
  <si>
    <t>Términos y condiciones de servicio**</t>
  </si>
  <si>
    <t>Duración del periodo de tiempo (en meses) en que ofrece a los usuarios finales el servicio de Netflix sin costo</t>
  </si>
  <si>
    <t>¿Incluye Claro video?</t>
  </si>
  <si>
    <t>¿Incluye otro servicio OTT? (especifique)</t>
  </si>
  <si>
    <t>Duración del periodo de tiempo (en meses) en que ofrece a los usuarios finales el servicio de otro(s) sin costo***</t>
  </si>
  <si>
    <t>Equipo terminal (Módem/ONT)***</t>
  </si>
  <si>
    <t>Instalación de acometida***</t>
  </si>
  <si>
    <t>Antivirus***</t>
  </si>
  <si>
    <t>A rodar en Infinitum***</t>
  </si>
  <si>
    <t>Claro música***</t>
  </si>
  <si>
    <t>WiFi Móvil en Infinitum***</t>
  </si>
  <si>
    <t>Infinitum Mail***</t>
  </si>
  <si>
    <t xml:space="preserve">Seguridad Internet </t>
  </si>
  <si>
    <t>Respaldo de Información</t>
  </si>
  <si>
    <t>Correo Negocio</t>
  </si>
  <si>
    <t>ADM Factura</t>
  </si>
  <si>
    <t>ADM Básico</t>
  </si>
  <si>
    <t>Página Web</t>
  </si>
  <si>
    <t>Videoconferencia</t>
  </si>
  <si>
    <t>Sección Amarilla</t>
  </si>
  <si>
    <t>Otros.
Incluya las columnas que sean necesarias</t>
  </si>
  <si>
    <t>¿Aplica Netflix 1 dispositivo?
(señale 1 si incluye y 0 si no lo incluye)</t>
  </si>
  <si>
    <t>¿Aplica Netflix 2 dispositivos? (señale 1 si incluye y 0 si no lo incluye)</t>
  </si>
  <si>
    <t>¿Aplica Netflix 4 dispositivos? (señale 1 si incluye y 0 si no lo incluye)</t>
  </si>
  <si>
    <t>¿Aplica Prime Video? (señale 1 si incluye y 0 si no lo incluye)</t>
  </si>
  <si>
    <t>¿Aplica HBO Max? (señale 1 si incluye y 0 si no lo incluye)</t>
  </si>
  <si>
    <t>¿Aplica Disney +? (señale 1 si incluye y 0 si no lo incluye)</t>
  </si>
  <si>
    <t>¿Aplica Star +? (señale 1 si incluye y 0 si no lo incluye)</t>
  </si>
  <si>
    <t>¿Aplica otro OTT? (Especifique el(los) nombre(s)del(os) OTT(s))</t>
  </si>
  <si>
    <t>¿Cuenta con la promoción para paquetes superiores? (Si/No)</t>
  </si>
  <si>
    <t>Duración del periodo de tiempo (en meses) en que ofrece la promoción de paquetes superiores</t>
  </si>
  <si>
    <t>Términos y condiciones de la promoción para paquetes superiores</t>
  </si>
  <si>
    <t>¿Cuenta con otras promociones en el paquete? (Si/No)</t>
  </si>
  <si>
    <t>Nombre de la promoción que ajuste el monto de la renta mensual</t>
  </si>
  <si>
    <t xml:space="preserve">Duración del periodo de tiempo (en meses) en que ofrece la promoción </t>
  </si>
  <si>
    <t>Términos y condiciones de la promoción</t>
  </si>
  <si>
    <t>3 meses</t>
  </si>
  <si>
    <t>Sin costo. Claro video es un servicio proporcionado por un tercero. Telmex únicamente es medio de cobro de este servicio. Telmex pagará el servicio de Claro video durante 12 meses para los clientes infinitum con Paquete 389, 435, 499 599, 699, 999, 1499 o Infinitum Puro. También, durante 12 meses el servicio será sin costo para los clientes que tengan los paquetes descritos. Para Paquete 333, 289, 249 y Línea Básica, al contratar Claro video el primer mes no tiene costo. No incluye Pago por Evento. Posteriormente el cliente pagará $115 mensual. Consulta Términos y Condiciones en www.clarovideo.com</t>
  </si>
  <si>
    <t>Incluido. Préstamo de hasta 4 bicicletas.  El Cliente deberá ser persona física , registrarse y aceptar  términos en línea en la página www.telmex.com/arodareninfinitum entrando en la sección denominada Mi Telmex</t>
  </si>
  <si>
    <t>Conexión ilimitada en más de 9,500 sitios en todo México. En cualquier sitio infinitum móvil conéctate a la red "infinitum movil". Abrirá la landing de bienvenida en donde encontrará los TyC  https://downloads.telmex.com/pdf/infoRelevante_WiFiMovil.pdf</t>
  </si>
  <si>
    <t>18 meses</t>
  </si>
  <si>
    <t>Protege 1 computadora contra todo tipo de amenazas: virus, troyanos, hackers y fraudes en internet. www.telmex.com/terminosnegocio/Servicios Promoción Cloud</t>
  </si>
  <si>
    <t>Por promoción los primeros tres meses posteriores a la contratación, el cliente pagará $389 al mes y disfrutará de los beneficios a partir del primer mes.</t>
  </si>
  <si>
    <t>Por promoción los primeros tres meses posteriores a la contratación, el cliente pagará $435 al mes y disfrutará de los beneficios a partir del primer mes.</t>
  </si>
  <si>
    <t>Por promoción los primeros tres meses posteriores a la contratación, el cliente pagará $499 al mes y disfrutará de los beneficios a partir del primer mes.</t>
  </si>
  <si>
    <t>Genera una copia de seguridad de los archivos del Negocio y recupéralos desde la nube en caso de robo o falla.
 www.telmex.com/terminosnegocio/Respaldo de Informacion</t>
  </si>
  <si>
    <t>Cuenta de correo con dominio personalizado por el cliente para promover el nombre del negocio. www.telmex.com/terminosnegocio/Correo Negocio</t>
  </si>
  <si>
    <t>ADM Facturas electrónicas ilimitadas desde una aplicación y en cualquier dispositivo. www.telmex.com/terminosnegocio/Aspel</t>
  </si>
  <si>
    <t>Anuncio digital en la página de Sección Amarilla con el nombre y datos de ubicación del Negocio. www.telmex.com/terminosnegocio/Sección Amarilla</t>
  </si>
  <si>
    <t>Espacio para guardar, compartir, respaldar y descargar archivos en la Nube www.telmex.com/terminosnegocio/Claro Drive</t>
  </si>
  <si>
    <t>Página Web con Dominio y plantillas para diseñar, promocionar y publicar el Negocio en internet. www.telmex.com/terminosnegocio/Página Web</t>
  </si>
  <si>
    <t>Emite facturas ilimitadas, notas de crédito y comprobantes de pago  desde cualquier lugar y dispositivo.​​​​​​​​​​​​​​  Incluye ADM Tienda para el control de punto de venta. www.telmex.com/terminosnegocio/Aspel</t>
  </si>
  <si>
    <t>Accceso a una sala de videoconferencia de 10 participantes para reuniones virtuales sin límite de tiempo, aplicable solo para paquetes sin limites 1,2 y 3" Condiciones del servicio en telmex.com/web/negocios/videoconferencia</t>
  </si>
  <si>
    <t xml:space="preserve">Incluido. 3 suites básicas de antivirus McAffe, protege contra ataques de software malicioso, con actualizaciones automáticas mientras se tenga el servicio Infinitum. Consulta Términos y Condiciones en: https://downloads.telmex.com/pdf/infoRelevante_SeguridadInternet_McAfee.pdf?_ga=1.244521408.493520490.1453165444  </t>
  </si>
  <si>
    <t>Nota: Dicha información deberá corresponder al 31 diciembre de 2021.</t>
  </si>
  <si>
    <t xml:space="preserve">** Especificar si a través de la renta mensual de dichos servicios, se ofrece a los usuarios finales el servicio de Netflix sin costo por tiempo ilimitado, un periodo de tiempo o no, describiendo, en su caso, tarifa, términos y condiciones del servicio. </t>
  </si>
  <si>
    <t xml:space="preserve">** Especificar si a través de la renta mensual de dichos servicios, se ofrece a los usuarios finales el servicio de Claro video sin costo por tiempo ilimitado, un periodo de tiempo o no, describiendo, en su caso, tarifa, términos y condiciones del servicio. </t>
  </si>
  <si>
    <t xml:space="preserve">** Especificar si a través de la renta mensual de dichos servicios, se ofrece a los usuarios finales el servicio de otro(s) OTT sin costo por tiempo ilimitado, un periodo de tiempo o no, describiendo, en su caso, tarifa, términos y condiciones del servicio. </t>
  </si>
  <si>
    <t>*** Especificar si se encuentra incluida en la renta mensual del servicio o no, describiendo, en su caso, tarifa, términos y condiciones del servicio</t>
  </si>
  <si>
    <t>500 Mbps</t>
  </si>
  <si>
    <t>18 Meses</t>
  </si>
  <si>
    <t>12 Meses</t>
  </si>
  <si>
    <t>15 Mbps</t>
  </si>
  <si>
    <t>3 Meses</t>
  </si>
  <si>
    <t>1000 Mbps</t>
  </si>
  <si>
    <t>6 Meses</t>
  </si>
  <si>
    <t>24 Meses</t>
  </si>
  <si>
    <t>70 Mbps</t>
  </si>
  <si>
    <t>120 Mbps</t>
  </si>
  <si>
    <t>250 Mbps</t>
  </si>
  <si>
    <r>
      <t>20 Mbps/</t>
    </r>
    <r>
      <rPr>
        <sz val="9"/>
        <color rgb="FFFF0000"/>
        <rFont val="Calibri"/>
        <family val="2"/>
      </rPr>
      <t>50 Mbps</t>
    </r>
  </si>
  <si>
    <r>
      <t xml:space="preserve">* </t>
    </r>
    <r>
      <rPr>
        <sz val="9"/>
        <color rgb="FFFF0000"/>
        <rFont val="Arial"/>
        <family val="2"/>
      </rPr>
      <t>Velocidad Simétrica Conectes Negocio Promoción, es un servicio opcional para clientes comerciales y sea provisto a través de fibra óptica recibirán 18 meses el beneficio de aumento de velocidad para clientes que tengan contratado el Paquete Conectes Negocio o Paquete Conectes Negocio Netflix.</t>
    </r>
  </si>
  <si>
    <t>Dicha información deberá corresponder al 31 diciembre de 2021 y al 30 junio de 2022.</t>
  </si>
  <si>
    <t>A. Suscriptores que tienen contratado el plan o paquete y que no cuentan con una tarifa preferencial en su renta mensual</t>
  </si>
  <si>
    <t xml:space="preserve">B. Suscriptores que tiene contratado al menos un servicio OTT (Netflix, Prime Video, HBO Max, Disney +, Star + u otros OTT) mediante una tarifa preferencial, o bien, que cuentan con una tarifa preferencial en su renta mensual. </t>
  </si>
  <si>
    <t>C. Total de Suscriptores 2021 (A+B=C)</t>
  </si>
  <si>
    <t>C. Total de Suscriptores 2022 (A+B=C)</t>
  </si>
  <si>
    <t xml:space="preserve">Velocidad Simétrica Conectes Negocio Netflix (1 dispositivo) </t>
  </si>
  <si>
    <t>o 2) servicios que son de diferente naturaleza.Nota: Dicha información deberá corresponder al 31 diciembre de 2021 y al 30 junio de 2022.</t>
  </si>
  <si>
    <t>Datos de Ene a Dic de 2021 y de Enero a Junio de 2022</t>
  </si>
  <si>
    <r>
      <t xml:space="preserve">Reportar los datos relativos a servicios aludidos en </t>
    </r>
    <r>
      <rPr>
        <b/>
        <i/>
        <sz val="9"/>
        <rFont val="Arial"/>
        <family val="2"/>
      </rPr>
      <t>a</t>
    </r>
    <r>
      <rPr>
        <i/>
        <sz val="9"/>
        <rFont val="Arial"/>
        <family val="2"/>
      </rPr>
      <t xml:space="preserve"> y </t>
    </r>
    <r>
      <rPr>
        <b/>
        <i/>
        <sz val="9"/>
        <rFont val="Arial"/>
        <family val="2"/>
      </rPr>
      <t>b</t>
    </r>
    <r>
      <rPr>
        <i/>
        <sz val="9"/>
        <rFont val="Arial"/>
        <family val="2"/>
      </rPr>
      <t>.</t>
    </r>
  </si>
  <si>
    <t>Infinitum Entretenimiento 120</t>
  </si>
  <si>
    <t>Dicha información deberá corresponder al promedio mensual de enero a diciembre de 2021.</t>
  </si>
  <si>
    <t>Total de llamadas a celular (modalidad “El que llama paga”)</t>
  </si>
  <si>
    <t>Total de Minutos a celular (modalidad “El que llama paga”)</t>
  </si>
  <si>
    <t>n.a.</t>
  </si>
  <si>
    <t>Dicha información deberá corresponder al promedio mensual de enero a junio de 2022</t>
  </si>
  <si>
    <t>Llamadas Promedio a celular (modalidad “El que llama paga”)</t>
  </si>
  <si>
    <t>Minutos Promedio a celular (modalidad “El que llama paga”)</t>
  </si>
  <si>
    <t>Infinitum 299 C</t>
  </si>
  <si>
    <t>Duración promedio en minutos de llamadas a celular (modalidad “El que llama paga”)</t>
  </si>
  <si>
    <t>Concatenados</t>
  </si>
  <si>
    <t>Concatenado</t>
  </si>
  <si>
    <r>
      <t xml:space="preserve">Fuente: </t>
    </r>
    <r>
      <rPr>
        <sz val="9"/>
        <rFont val="Arial"/>
        <family val="2"/>
      </rPr>
      <t>Estimaciones IFT.</t>
    </r>
  </si>
  <si>
    <t>https://downloads.telmex.com/pdf/ServiciosMercadoMasivo.pdf</t>
  </si>
  <si>
    <r>
      <t xml:space="preserve">• Paquete de SD incluyen como base: Identificador de llamadas + los otros SD, según paquete contratado.
• *Por promoción 3 meses de renta gratis, al momento de contratar una línea nueva. El 4º mes, inicia el cobro de esta.
</t>
    </r>
    <r>
      <rPr>
        <sz val="9"/>
        <rFont val="Calibri"/>
        <family val="2"/>
      </rPr>
      <t>•</t>
    </r>
    <r>
      <rPr>
        <sz val="7.65"/>
        <rFont val="Arial"/>
        <family val="2"/>
      </rPr>
      <t xml:space="preserve"> Identificador de llamadas requiere aparato telefónico c/Caller ID.</t>
    </r>
    <r>
      <rPr>
        <sz val="9"/>
        <rFont val="Arial"/>
        <family val="2"/>
      </rPr>
      <t xml:space="preserve">
3) Identificador de llamadas requiere aparato. telefónico c/ Caller ID.</t>
    </r>
  </si>
  <si>
    <t>EXTRACCIONES IFT</t>
  </si>
  <si>
    <t>Telmex y Telnor, en respuesta al Oficio  IFT/221/UPR/DG-CIN/065/2021</t>
  </si>
  <si>
    <t>Justificación de los cambios respecto a la información proporcionada por Telmex y Telnor en respuesta al oficio IFT/221/UPR/DG-CIN/065/2021</t>
  </si>
  <si>
    <t>Los servicios Digitales que son servicios asociados a la voz tienen un ingresos de 273 millones</t>
  </si>
  <si>
    <t xml:space="preserve">Al respecto, se solicita actualizar la información correspondiente al 31 diciembre de 2021 y al 30 de junio de 2022, considerando lo siguiente:
</t>
  </si>
  <si>
    <t xml:space="preserve">• Se deberá complementar los planes y paquetes aportados por Telmex y Telnor a través del oficio IFT/221/UPR/DG-CIN/065/2021, con aquellos nuevos planes o paquetes que hayan aparecido durante 2021 y 2022.
</t>
  </si>
  <si>
    <t>• En caso de que los datos de precios implícitos de los servicios que integran un plan o paquete se hayan modificado con respecto a los valores reportados por Telmex y Telnor reportados a través del oficio IFT/221/UPR/DG-CIN/065/2021, proveer justificación correspondiente de la cual se desprenda dicha variación de los precios implícitos de los servicios que lo integran.</t>
  </si>
  <si>
    <t>Instrucciones generales:</t>
  </si>
  <si>
    <t>Ingrese el costo, respecto al valor de la renta mensual, que representa proveer servicios Telefonía fija e Internet fijo en cada paquetes o servicios conforme a las siguientes características.</t>
  </si>
  <si>
    <t>Dicha información deberá correspondera al 31 de diciembre de 2021 y al 30 de junio de 2022.</t>
  </si>
  <si>
    <r>
      <t>Nota:</t>
    </r>
    <r>
      <rPr>
        <sz val="9"/>
        <rFont val="Arial"/>
        <family val="2"/>
      </rPr>
      <t xml:space="preserve"> Dicha información deberá corresponder al 31 de diciembre de 2021. </t>
    </r>
  </si>
  <si>
    <t>Costos asociados a Servicios de voz</t>
  </si>
  <si>
    <t>Costo de Servicios Digitales</t>
  </si>
  <si>
    <t>Costo de OTT</t>
  </si>
  <si>
    <t>Costo Minutos a celular (en modalidad "El Que Llama Paga")</t>
  </si>
  <si>
    <t>Costo del Servicio de Banda Ancha con promoción de aumento de velocidad</t>
  </si>
  <si>
    <t>Prime Video</t>
  </si>
  <si>
    <t>HBO Max</t>
  </si>
  <si>
    <t>Star +</t>
  </si>
  <si>
    <t>Otros OTT</t>
  </si>
  <si>
    <t>Otro costos (especifique)</t>
  </si>
  <si>
    <t>Justificación</t>
  </si>
  <si>
    <t>Renta mensual con tarifa preferencial (sin impuestos)</t>
  </si>
  <si>
    <t>Paquetes superiores</t>
  </si>
  <si>
    <t>Otras promociones</t>
  </si>
  <si>
    <t>Renta mensual con tarifa promocional por paquetes superiores (sin impuestos)</t>
  </si>
  <si>
    <t>Renta mensual con tarifa promocional (sin impuestos)</t>
  </si>
  <si>
    <t>Nota: La promoción de paquetes superiores aplica por 3 meses.</t>
  </si>
  <si>
    <r>
      <t>Nota:</t>
    </r>
    <r>
      <rPr>
        <sz val="9"/>
        <rFont val="Arial"/>
        <family val="2"/>
      </rPr>
      <t xml:space="preserve"> Dicha información deberá corresponder al 30 de junio de 2022. </t>
    </r>
  </si>
  <si>
    <t>Infinitum  Negocio100</t>
  </si>
  <si>
    <t>Infinitum Netflix 100 (Netflix 2 dispositivos)</t>
  </si>
  <si>
    <t>Infinitum Netflix 100 (Netflix 4 dispositivos)</t>
  </si>
  <si>
    <t>Infinitum Netflix Negocio 100 (Netflix 2 dispositivos)</t>
  </si>
  <si>
    <t>Infinitum Netflix Negocio 100 (Netflix 4 dispositivos)</t>
  </si>
  <si>
    <t>Infinitum Entretenimiento+ 120 (Netflix 2 dispositivos)</t>
  </si>
  <si>
    <t>Infinitum Entretenimiento+ 120 (Netflix 4 dispositivos)</t>
  </si>
  <si>
    <t>Velocidad Simétrica Conectes Negocio Promoción *</t>
  </si>
  <si>
    <t>Velocidad Simétrica Conectes Negocio Netflix (1 dispositivo) Promoción</t>
  </si>
  <si>
    <t>Velocidad Simétrica Conectes Negocio Netflix (2 dispositivos) Promoción</t>
  </si>
  <si>
    <t>Velocidad Simétrica Conectes Negocio Netflix (4 dispositivos) Promoción</t>
  </si>
  <si>
    <t>Costo línea</t>
  </si>
  <si>
    <t>Costo voz</t>
  </si>
  <si>
    <t>Costo BA</t>
  </si>
  <si>
    <t>Línea residencial</t>
  </si>
  <si>
    <t>Modelo 2021</t>
  </si>
  <si>
    <t>Velocidad de bajada promoción</t>
  </si>
  <si>
    <t>Periodo de la promoción de velocidad de bajada</t>
  </si>
  <si>
    <t># Meses</t>
  </si>
  <si>
    <t>Contratación de OTT (servicios de terceros)</t>
  </si>
  <si>
    <t>Promoción de velocidad que modifica la renta mensual</t>
  </si>
  <si>
    <t>Promociones asociadas a planes y paquetes que modifican la renta mensual</t>
  </si>
  <si>
    <t>Periodo de la promoción de velocidad que modifica la renta mensual</t>
  </si>
  <si>
    <t>1)</t>
  </si>
  <si>
    <t>2)</t>
  </si>
  <si>
    <t>Promoción sin modificación de la renta mensual Binario (1=Si, 0=No)</t>
  </si>
  <si>
    <r>
      <t>Fuente:</t>
    </r>
    <r>
      <rPr>
        <sz val="9"/>
        <rFont val="Arial"/>
        <family val="2"/>
      </rPr>
      <t xml:space="preserve"> Promedio 2019-2022, a partir del requerimiento de información TELMEX/TELNOR</t>
    </r>
  </si>
  <si>
    <r>
      <t>Fuente:</t>
    </r>
    <r>
      <rPr>
        <sz val="9"/>
        <rFont val="Arial"/>
        <family val="2"/>
      </rPr>
      <t xml:space="preserve"> Promedio 2019-2022, a partir del monto calculado entre los de los costos de facturación reportados por Telmex y Telnory los ingresos por facturación de los servicios.</t>
    </r>
  </si>
  <si>
    <r>
      <rPr>
        <b/>
        <sz val="9"/>
        <rFont val="Arial"/>
        <family val="2"/>
      </rPr>
      <t xml:space="preserve">Fuente: </t>
    </r>
    <r>
      <rPr>
        <sz val="9"/>
        <rFont val="Arial"/>
        <family val="2"/>
      </rPr>
      <t>El valor se actualizó con el porcentaje de las cuentas de publicidad respecto a los ingresos de banda ancha de separación contable 2017-2020, considerando también el ejercicio de separación contable 2019.</t>
    </r>
  </si>
  <si>
    <r>
      <rPr>
        <b/>
        <sz val="9"/>
        <rFont val="Arial"/>
        <family val="2"/>
      </rPr>
      <t xml:space="preserve">Fuente: </t>
    </r>
    <r>
      <rPr>
        <sz val="9"/>
        <rFont val="Arial"/>
        <family val="2"/>
      </rPr>
      <t>Telmex: 4.5% incremento salarial y 1.5% prestaciones</t>
    </r>
  </si>
  <si>
    <r>
      <rPr>
        <b/>
        <sz val="9"/>
        <rFont val="Arial"/>
        <family val="2"/>
      </rPr>
      <t xml:space="preserve">Fuente: </t>
    </r>
    <r>
      <rPr>
        <sz val="9"/>
        <rFont val="Arial"/>
        <family val="2"/>
      </rPr>
      <t>Telmex 4% incremento salarial y 1.12% prestaciones</t>
    </r>
  </si>
  <si>
    <r>
      <rPr>
        <b/>
        <sz val="9"/>
        <rFont val="Arial"/>
        <family val="2"/>
      </rPr>
      <t xml:space="preserve">Fuente: </t>
    </r>
    <r>
      <rPr>
        <sz val="9"/>
        <rFont val="Arial"/>
        <family val="2"/>
      </rPr>
      <t>Telmex incremento salarial de 3.5% y 1% prestaciones</t>
    </r>
  </si>
  <si>
    <r>
      <rPr>
        <b/>
        <sz val="9"/>
        <rFont val="Arial"/>
        <family val="2"/>
      </rPr>
      <t>Fuente:</t>
    </r>
    <r>
      <rPr>
        <sz val="9"/>
        <rFont val="Arial"/>
        <family val="2"/>
      </rPr>
      <t xml:space="preserve"> Telmex incremento salarial de 3.4% y 0.8% prestaciones</t>
    </r>
  </si>
  <si>
    <r>
      <rPr>
        <b/>
        <sz val="9"/>
        <rFont val="Arial"/>
        <family val="2"/>
      </rPr>
      <t>Fuente:</t>
    </r>
    <r>
      <rPr>
        <sz val="9"/>
        <rFont val="Arial"/>
        <family val="2"/>
      </rPr>
      <t xml:space="preserve"> Telmex incremento salarial https://www.gob.mx/stps/prensa/con-el-dialogo-impulsado-por-la-stps-sindicato-de-telefonistas-y-telmex-logran-acuerdo?idiom=es#:%7E:text=Las%20partes%20acordaron%20la%20revisi%C3%B3n,50.50%20pesos%20diarios%2C%20m%C3%A1s%201.1026%25</t>
    </r>
  </si>
  <si>
    <r>
      <rPr>
        <b/>
        <sz val="9"/>
        <rFont val="Arial"/>
        <family val="2"/>
      </rPr>
      <t>Fuente:</t>
    </r>
    <r>
      <rPr>
        <sz val="9"/>
        <rFont val="Arial"/>
        <family val="2"/>
      </rPr>
      <t xml:space="preserve"> AEP, ver hoja "P.11". Datos promedio de 2019-2020.</t>
    </r>
  </si>
  <si>
    <t>Contratación de OTT (servicios terceros dentro del plan/paquete)</t>
  </si>
  <si>
    <t>Diferencia precio implícito BA y precio implícito por contratación OTT</t>
  </si>
  <si>
    <t>Diferencia precio implícito BA y precio implícito de velocidad con cambio en la RM.</t>
  </si>
  <si>
    <t>Contratación promoción de velocidad que modifica la renta mensual</t>
  </si>
  <si>
    <r>
      <t>Fuente:</t>
    </r>
    <r>
      <rPr>
        <sz val="9"/>
        <rFont val="Arial"/>
        <family val="2"/>
      </rPr>
      <t xml:space="preserve"> AEP</t>
    </r>
  </si>
  <si>
    <t>Resultados</t>
  </si>
  <si>
    <t>Factor de estimación del precio implícito (a nivel promedio)</t>
  </si>
  <si>
    <t>Costos evitados</t>
  </si>
  <si>
    <t>Descuento total</t>
  </si>
  <si>
    <t>Datos sin anonimizar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</si>
</sst>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6">
    <numFmt numFmtId="41" formatCode="_-* #,##0_-;\-* #,##0_-;_-* &quot;-&quot;_-;_-@_-"/>
    <numFmt numFmtId="43" formatCode="_-* #,##0.00_-;\-* #,##0.00_-;_-* &quot;-&quot;??_-;_-@_-"/>
    <numFmt numFmtId="164" formatCode="#,##0_);[Red]\-#,##0_);0_);@_)"/>
    <numFmt numFmtId="165" formatCode="#,##0.00_);[Red]\-#,##0.00_);0.00_);@_)"/>
    <numFmt numFmtId="166" formatCode="#,##0%;[Red]\-#,##0%;0%;@_)"/>
    <numFmt numFmtId="167" formatCode="#,##0.00%;[Red]\-#,##0.00%;0.00%;@_)"/>
    <numFmt numFmtId="168" formatCode="dd\ mmm\ yy_)"/>
    <numFmt numFmtId="169" formatCode="* _(#,##0_);[Red]* \(#,##0\);* _(&quot;-&quot;?_);@_)"/>
    <numFmt numFmtId="170" formatCode="* _(#,##0.00_);[Red]* \(#,##0.00\);* _(&quot;-&quot;?_);@_)"/>
    <numFmt numFmtId="171" formatCode="\€\ * _(#,##0_);[Red]\€\ * \(#,##0\);\€\ * _(&quot;-&quot;?_);@_)"/>
    <numFmt numFmtId="172" formatCode="\€\ * _(#,##0.00_);[Red]\€\ * \(#,##0.00\);\€\ * _(&quot;-&quot;?_);@_)"/>
    <numFmt numFmtId="173" formatCode="[$EUR]\ * _(#,##0_);[Red][$EUR]\ * \(#,##0\);[$EUR]\ * _(&quot;-&quot;?_);@_)"/>
    <numFmt numFmtId="174" formatCode="[$EUR]\ * _(#,##0.00_);[Red][$EUR]\ * \(#,##0.00\);[$EUR]\ * _(&quot;-&quot;?_);@_)"/>
    <numFmt numFmtId="175" formatCode="\$\ * _(#,##0_);[Red]\$\ * \(#,##0\);\$\ * _(&quot;-&quot;?_);@_)"/>
    <numFmt numFmtId="176" formatCode="\$\ * _(#,##0.00_);[Red]\$\ * \(#,##0.00\);\$\ * _(&quot;-&quot;?_);@_)"/>
    <numFmt numFmtId="177" formatCode="[$USD]\ * _(#,##0_);[Red][$USD]\ * \(#,##0\);[$USD]\ * _(&quot;-&quot;?_);@_)"/>
    <numFmt numFmtId="178" formatCode="[$USD]\ * _(#,##0.00_);[Red][$USD]\ * \(#,##0.00\);[$USD]\ * _(&quot;-&quot;?_);@_)"/>
    <numFmt numFmtId="179" formatCode="\£\ * _(#,##0_);[Red]\£\ * \(#,##0\);\£\ * _(&quot;-&quot;?_);@_)"/>
    <numFmt numFmtId="180" formatCode="\£\ * _(#,##0.00_);[Red]\£\ * \(#,##0.00\);\£\ * _(&quot;-&quot;?_);@_)"/>
    <numFmt numFmtId="181" formatCode="[$GBP]\ * _(#,##0_);[Red][$GBP]\ * \(#,##0\);[$GBP]\ * _(&quot;-&quot;?_);@_)"/>
    <numFmt numFmtId="182" formatCode="[$GBP]\ * _(#,##0.00_);[Red][$GBP]\ * \(#,##0.00\);[$GBP]\ * _(&quot;-&quot;?_);@_)"/>
    <numFmt numFmtId="183" formatCode="mmm\ yy_)"/>
    <numFmt numFmtId="184" formatCode="yyyy_)"/>
    <numFmt numFmtId="185" formatCode="#,##0_);[Red]\-#,##0_);&quot;-&quot;?_);@_)"/>
    <numFmt numFmtId="186" formatCode="#,##0.00_);[Red]\-#,##0.00_);&quot;-&quot;?_);@_)"/>
    <numFmt numFmtId="187" formatCode="#,##0%;[Red]\-#,##0%;&quot;-&quot;\%;@_)"/>
    <numFmt numFmtId="188" formatCode="#,##0.00%;[Red]\-#,##0.00%;&quot;-&quot;\%;@_)"/>
    <numFmt numFmtId="189" formatCode="#,##0_);[Red]\-#,##0_);\-_);@_)"/>
    <numFmt numFmtId="190" formatCode="0.0000"/>
    <numFmt numFmtId="191" formatCode="0.0"/>
    <numFmt numFmtId="192" formatCode="0.0%"/>
    <numFmt numFmtId="193" formatCode="#,##0.000"/>
    <numFmt numFmtId="194" formatCode="0.000"/>
    <numFmt numFmtId="195" formatCode="#,##0.00_ ;\-#,##0.00\ "/>
    <numFmt numFmtId="196" formatCode="#,##0.0"/>
    <numFmt numFmtId="197" formatCode="#,##0_ ;[Red]\-#,##0\ "/>
    <numFmt numFmtId="198" formatCode="0.0000%"/>
    <numFmt numFmtId="199" formatCode="0.000%"/>
    <numFmt numFmtId="200" formatCode="#,##0.0000"/>
    <numFmt numFmtId="201" formatCode="_-* #,##0.00\ _€_-;\-* #,##0.00\ _€_-;_-* &quot;-&quot;??\ _€_-;_-@_-"/>
    <numFmt numFmtId="202" formatCode="_-* #,##0_-;\-* #,##0_-;_-* &quot;-&quot;??_-;_-@_-"/>
    <numFmt numFmtId="203" formatCode="_-* #,##0.0_-;\-* #,##0.0_-;_-* &quot;-&quot;??_-;_-@_-"/>
    <numFmt numFmtId="204" formatCode="#,##0.000000000000_ ;\-#,##0.000000000000\ "/>
    <numFmt numFmtId="205" formatCode="#,##0.000_ ;\-#,##0.000\ "/>
    <numFmt numFmtId="206" formatCode="#,##0.0%;[Red]\-#,##0.0%;0.0%;@_)"/>
    <numFmt numFmtId="207" formatCode="&quot;$&quot;#,##0.00"/>
  </numFmts>
  <fonts count="72" x14ac:knownFonts="1">
    <font>
      <sz val="9"/>
      <name val="Arial"/>
      <family val="2"/>
    </font>
    <font>
      <sz val="11"/>
      <color theme="1"/>
      <name val="Arial"/>
      <family val="2"/>
      <scheme val="minor"/>
    </font>
    <font>
      <sz val="11"/>
      <color theme="1"/>
      <name val="Arial"/>
      <family val="2"/>
      <scheme val="minor"/>
    </font>
    <font>
      <sz val="11"/>
      <color theme="1"/>
      <name val="Arial"/>
      <family val="2"/>
      <scheme val="minor"/>
    </font>
    <font>
      <b/>
      <sz val="12"/>
      <name val="Arial"/>
      <family val="2"/>
    </font>
    <font>
      <sz val="9"/>
      <name val="Arial"/>
      <family val="2"/>
    </font>
    <font>
      <b/>
      <sz val="18"/>
      <name val="Arial"/>
      <family val="2"/>
    </font>
    <font>
      <b/>
      <sz val="14"/>
      <name val="Arial"/>
      <family val="2"/>
    </font>
    <font>
      <b/>
      <sz val="9"/>
      <name val="Arial"/>
      <family val="2"/>
    </font>
    <font>
      <b/>
      <sz val="22"/>
      <name val="Arial"/>
      <family val="2"/>
    </font>
    <font>
      <sz val="8"/>
      <name val="Arial"/>
      <family val="2"/>
    </font>
    <font>
      <i/>
      <sz val="9"/>
      <color indexed="55"/>
      <name val="Arial"/>
      <family val="2"/>
    </font>
    <font>
      <u/>
      <sz val="9"/>
      <name val="Arial"/>
      <family val="2"/>
    </font>
    <font>
      <u/>
      <sz val="8"/>
      <name val="Arial"/>
      <family val="2"/>
    </font>
    <font>
      <i/>
      <sz val="9"/>
      <name val="Arial"/>
      <family val="2"/>
    </font>
    <font>
      <i/>
      <sz val="9"/>
      <color rgb="FFC41230"/>
      <name val="Arial"/>
      <family val="2"/>
    </font>
    <font>
      <b/>
      <sz val="9"/>
      <color rgb="FFFFFFFF"/>
      <name val="Arial"/>
      <family val="2"/>
    </font>
    <font>
      <sz val="9"/>
      <color rgb="FFFFFFFF"/>
      <name val="Arial"/>
      <family val="2"/>
    </font>
    <font>
      <sz val="9"/>
      <color indexed="81"/>
      <name val="Tahoma"/>
      <family val="2"/>
    </font>
    <font>
      <b/>
      <sz val="9"/>
      <color indexed="81"/>
      <name val="Tahoma"/>
      <family val="2"/>
    </font>
    <font>
      <sz val="9"/>
      <color theme="1"/>
      <name val="Arial"/>
      <family val="2"/>
    </font>
    <font>
      <i/>
      <sz val="11"/>
      <color theme="0" tint="-0.249977111117893"/>
      <name val="Arial"/>
      <family val="2"/>
      <scheme val="minor"/>
    </font>
    <font>
      <sz val="9"/>
      <color rgb="FFFF0000"/>
      <name val="Arial"/>
      <family val="2"/>
    </font>
    <font>
      <b/>
      <i/>
      <sz val="9"/>
      <name val="Arial"/>
      <family val="2"/>
    </font>
    <font>
      <b/>
      <sz val="9"/>
      <color theme="1"/>
      <name val="Arial"/>
      <family val="2"/>
    </font>
    <font>
      <i/>
      <sz val="9"/>
      <color theme="1"/>
      <name val="Arial"/>
      <family val="2"/>
    </font>
    <font>
      <b/>
      <sz val="22"/>
      <color theme="0"/>
      <name val="Arial"/>
      <family val="2"/>
    </font>
    <font>
      <b/>
      <sz val="9"/>
      <color rgb="FFFF0000"/>
      <name val="Arial"/>
      <family val="2"/>
    </font>
    <font>
      <vertAlign val="superscript"/>
      <sz val="9"/>
      <name val="Arial"/>
      <family val="2"/>
    </font>
    <font>
      <i/>
      <sz val="11"/>
      <color rgb="FF7F7F7F"/>
      <name val="Arial"/>
      <family val="2"/>
      <scheme val="minor"/>
    </font>
    <font>
      <u/>
      <sz val="9"/>
      <color theme="10"/>
      <name val="Arial"/>
      <family val="2"/>
    </font>
    <font>
      <i/>
      <sz val="9"/>
      <color rgb="FF7F7F7F"/>
      <name val="Arial"/>
      <family val="2"/>
      <scheme val="minor"/>
    </font>
    <font>
      <sz val="9"/>
      <color rgb="FF7F7F7F"/>
      <name val="Arial"/>
      <family val="2"/>
      <scheme val="minor"/>
    </font>
    <font>
      <b/>
      <sz val="9"/>
      <color rgb="FF7F7F7F"/>
      <name val="Arial"/>
      <family val="2"/>
      <scheme val="minor"/>
    </font>
    <font>
      <i/>
      <sz val="9"/>
      <color rgb="FF00A44A"/>
      <name val="Arial"/>
      <family val="2"/>
    </font>
    <font>
      <b/>
      <sz val="9"/>
      <color theme="0"/>
      <name val="Arial"/>
      <family val="2"/>
    </font>
    <font>
      <i/>
      <sz val="9"/>
      <name val="Calibri"/>
      <family val="2"/>
    </font>
    <font>
      <sz val="9"/>
      <name val="Calibri"/>
      <family val="2"/>
    </font>
    <font>
      <sz val="9"/>
      <color theme="0"/>
      <name val="Arial"/>
      <family val="2"/>
    </font>
    <font>
      <sz val="11"/>
      <color theme="0"/>
      <name val="Arial"/>
      <family val="2"/>
      <scheme val="minor"/>
    </font>
    <font>
      <sz val="11"/>
      <color rgb="FFFF0000"/>
      <name val="Arial"/>
      <family val="2"/>
      <scheme val="minor"/>
    </font>
    <font>
      <sz val="11"/>
      <color rgb="FF000000"/>
      <name val="Calibri"/>
      <family val="2"/>
    </font>
    <font>
      <b/>
      <sz val="11"/>
      <color rgb="FF000000"/>
      <name val="Calibri"/>
      <family val="2"/>
    </font>
    <font>
      <b/>
      <sz val="9"/>
      <color rgb="FF00B050"/>
      <name val="Arial"/>
      <family val="2"/>
    </font>
    <font>
      <sz val="9"/>
      <color rgb="FF090141"/>
      <name val="Arial"/>
      <family val="2"/>
    </font>
    <font>
      <sz val="7"/>
      <color rgb="FF000000"/>
      <name val="Segoe UI"/>
      <family val="2"/>
    </font>
    <font>
      <u/>
      <sz val="11"/>
      <color theme="10"/>
      <name val="Arial"/>
      <family val="2"/>
      <scheme val="minor"/>
    </font>
    <font>
      <b/>
      <sz val="10"/>
      <color theme="0"/>
      <name val="Arial"/>
      <family val="2"/>
      <scheme val="minor"/>
    </font>
    <font>
      <b/>
      <sz val="9"/>
      <color rgb="FF000000"/>
      <name val="Tahoma"/>
      <family val="2"/>
    </font>
    <font>
      <sz val="9"/>
      <color rgb="FF000000"/>
      <name val="Tahoma"/>
      <family val="2"/>
    </font>
    <font>
      <i/>
      <sz val="11"/>
      <color theme="0" tint="-0.249977111117893"/>
      <name val="Calibri"/>
      <family val="2"/>
    </font>
    <font>
      <sz val="9"/>
      <color rgb="FFFF0000"/>
      <name val="Calibri"/>
      <family val="2"/>
    </font>
    <font>
      <i/>
      <sz val="9"/>
      <color rgb="FFFF0000"/>
      <name val="Calibri"/>
      <family val="2"/>
    </font>
    <font>
      <i/>
      <sz val="9"/>
      <color rgb="FF00B050"/>
      <name val="Arial"/>
      <family val="2"/>
    </font>
    <font>
      <u/>
      <sz val="9"/>
      <name val="Calibri"/>
      <family val="2"/>
    </font>
    <font>
      <i/>
      <sz val="8"/>
      <name val="Arial"/>
      <family val="2"/>
    </font>
    <font>
      <i/>
      <sz val="8"/>
      <color rgb="FFFF0000"/>
      <name val="Arial"/>
      <family val="2"/>
    </font>
    <font>
      <i/>
      <sz val="9"/>
      <color rgb="FFFF0000"/>
      <name val="Arial"/>
      <family val="2"/>
    </font>
    <font>
      <sz val="11"/>
      <color rgb="FFFF0000"/>
      <name val="Arial"/>
      <family val="2"/>
    </font>
    <font>
      <sz val="10"/>
      <name val="Arial"/>
      <family val="2"/>
    </font>
    <font>
      <b/>
      <sz val="16"/>
      <color theme="0"/>
      <name val="Arial"/>
      <family val="2"/>
    </font>
    <font>
      <sz val="18"/>
      <color theme="0"/>
      <name val="Arial"/>
      <family val="2"/>
    </font>
    <font>
      <b/>
      <sz val="16"/>
      <name val="Arial"/>
      <family val="2"/>
    </font>
    <font>
      <b/>
      <sz val="12"/>
      <color theme="0"/>
      <name val="Arial"/>
      <family val="2"/>
    </font>
    <font>
      <b/>
      <sz val="11"/>
      <color theme="0"/>
      <name val="Arial"/>
      <family val="2"/>
    </font>
    <font>
      <b/>
      <sz val="11"/>
      <color rgb="FFFFFFFF"/>
      <name val="Arial"/>
      <family val="2"/>
    </font>
    <font>
      <b/>
      <sz val="18"/>
      <color theme="0"/>
      <name val="Arial"/>
      <family val="2"/>
    </font>
    <font>
      <sz val="7.65"/>
      <name val="Arial"/>
      <family val="2"/>
    </font>
    <font>
      <i/>
      <sz val="9"/>
      <color theme="0"/>
      <name val="Calibri"/>
      <family val="2"/>
    </font>
    <font>
      <i/>
      <sz val="11"/>
      <color rgb="FFFF0000"/>
      <name val="Arial"/>
      <family val="2"/>
      <scheme val="minor"/>
    </font>
    <font>
      <i/>
      <sz val="9"/>
      <color theme="0" tint="-0.14999847407452621"/>
      <name val="Arial"/>
      <family val="2"/>
    </font>
    <font>
      <b/>
      <sz val="20"/>
      <name val="Arial"/>
      <family val="2"/>
    </font>
  </fonts>
  <fills count="37">
    <fill>
      <patternFill patternType="none"/>
    </fill>
    <fill>
      <patternFill patternType="gray125"/>
    </fill>
    <fill>
      <patternFill patternType="solid">
        <fgColor indexed="22"/>
        <bgColor indexed="64"/>
      </patternFill>
    </fill>
    <fill>
      <patternFill patternType="solid">
        <fgColor rgb="FFD0FFD0"/>
        <bgColor indexed="64"/>
      </patternFill>
    </fill>
    <fill>
      <patternFill patternType="solid">
        <fgColor rgb="FFB4FF3C"/>
        <bgColor indexed="64"/>
      </patternFill>
    </fill>
    <fill>
      <patternFill patternType="solid">
        <fgColor rgb="FFFFFF00"/>
        <bgColor indexed="64"/>
      </patternFill>
    </fill>
    <fill>
      <patternFill patternType="solid">
        <fgColor indexed="41"/>
        <bgColor indexed="64"/>
      </patternFill>
    </fill>
    <fill>
      <patternFill patternType="solid">
        <fgColor rgb="FF00B050"/>
        <bgColor rgb="FF221F72"/>
      </patternFill>
    </fill>
    <fill>
      <patternFill patternType="solid">
        <fgColor rgb="FF00B050"/>
        <bgColor indexed="64"/>
      </patternFill>
    </fill>
    <fill>
      <patternFill patternType="solid">
        <fgColor rgb="FFB0EEC5"/>
        <bgColor indexed="64"/>
      </patternFill>
    </fill>
    <fill>
      <patternFill patternType="solid">
        <fgColor rgb="FF004C52"/>
        <bgColor indexed="64"/>
      </patternFill>
    </fill>
    <fill>
      <patternFill patternType="solid">
        <fgColor theme="3" tint="0.89996032593768116"/>
        <bgColor indexed="64"/>
      </patternFill>
    </fill>
    <fill>
      <patternFill patternType="solid">
        <fgColor rgb="FFFFFF99"/>
        <bgColor indexed="15"/>
      </patternFill>
    </fill>
    <fill>
      <patternFill patternType="solid">
        <fgColor rgb="FFD1FFA3"/>
        <bgColor indexed="64"/>
      </patternFill>
    </fill>
    <fill>
      <patternFill patternType="solid">
        <fgColor rgb="FFCCFFFF"/>
        <bgColor rgb="FF000000"/>
      </patternFill>
    </fill>
    <fill>
      <patternFill patternType="solid">
        <fgColor rgb="FFFFFAB3"/>
        <bgColor indexed="15"/>
      </patternFill>
    </fill>
    <fill>
      <patternFill patternType="solid">
        <fgColor rgb="FF00FF00"/>
        <bgColor indexed="64"/>
      </patternFill>
    </fill>
    <fill>
      <patternFill patternType="solid">
        <fgColor rgb="FFFFE0A0"/>
        <bgColor indexed="64"/>
      </patternFill>
    </fill>
    <fill>
      <patternFill patternType="solid">
        <fgColor rgb="FF221F72"/>
        <bgColor indexed="64"/>
      </patternFill>
    </fill>
    <fill>
      <patternFill patternType="solid">
        <fgColor rgb="FFC4D0E9"/>
        <bgColor indexed="64"/>
      </patternFill>
    </fill>
    <fill>
      <patternFill patternType="solid">
        <fgColor rgb="FF221F72"/>
        <bgColor rgb="FF221F72"/>
      </patternFill>
    </fill>
    <fill>
      <patternFill patternType="solid">
        <fgColor theme="0"/>
        <bgColor indexed="64"/>
      </patternFill>
    </fill>
    <fill>
      <patternFill patternType="solid">
        <fgColor indexed="51"/>
        <bgColor indexed="64"/>
      </patternFill>
    </fill>
    <fill>
      <patternFill patternType="solid">
        <fgColor theme="0" tint="-0.14999847407452621"/>
        <bgColor indexed="64"/>
      </patternFill>
    </fill>
    <fill>
      <patternFill patternType="solid">
        <fgColor theme="8"/>
      </patternFill>
    </fill>
    <fill>
      <patternFill patternType="solid">
        <fgColor theme="0"/>
        <bgColor indexed="15"/>
      </patternFill>
    </fill>
    <fill>
      <patternFill patternType="solid">
        <fgColor theme="2"/>
        <bgColor indexed="64"/>
      </patternFill>
    </fill>
    <fill>
      <patternFill patternType="solid">
        <fgColor theme="0"/>
        <bgColor rgb="FF221F72"/>
      </patternFill>
    </fill>
    <fill>
      <patternFill patternType="solid">
        <fgColor theme="3" tint="0.89999084444715716"/>
        <bgColor indexed="64"/>
      </patternFill>
    </fill>
    <fill>
      <patternFill patternType="solid">
        <fgColor theme="8" tint="0.39997558519241921"/>
        <bgColor indexed="64"/>
      </patternFill>
    </fill>
    <fill>
      <patternFill patternType="solid">
        <fgColor rgb="FF002060"/>
        <bgColor indexed="64"/>
      </patternFill>
    </fill>
    <fill>
      <patternFill patternType="solid">
        <fgColor theme="4"/>
        <bgColor indexed="64"/>
      </patternFill>
    </fill>
    <fill>
      <patternFill patternType="solid">
        <fgColor theme="5" tint="0.39997558519241921"/>
        <bgColor indexed="64"/>
      </patternFill>
    </fill>
    <fill>
      <patternFill patternType="solid">
        <fgColor theme="9" tint="-0.249977111117893"/>
        <bgColor indexed="64"/>
      </patternFill>
    </fill>
    <fill>
      <patternFill patternType="solid">
        <fgColor rgb="FFD9D9D9"/>
        <bgColor rgb="FF000000"/>
      </patternFill>
    </fill>
    <fill>
      <patternFill patternType="solid">
        <fgColor rgb="FF92D050"/>
        <bgColor indexed="64"/>
      </patternFill>
    </fill>
    <fill>
      <patternFill patternType="solid">
        <fgColor theme="8" tint="0.39997558519241921"/>
        <bgColor indexed="15"/>
      </patternFill>
    </fill>
  </fills>
  <borders count="74">
    <border>
      <left/>
      <right/>
      <top/>
      <bottom/>
      <diagonal/>
    </border>
    <border>
      <left/>
      <right/>
      <top style="thin">
        <color indexed="8"/>
      </top>
      <bottom/>
      <diagonal/>
    </border>
    <border>
      <left/>
      <right/>
      <top/>
      <bottom style="thin">
        <color indexed="8"/>
      </bottom>
      <diagonal/>
    </border>
    <border>
      <left style="thin">
        <color rgb="FF0000FF"/>
      </left>
      <right style="thin">
        <color rgb="FF0000FF"/>
      </right>
      <top style="thin">
        <color rgb="FF0000FF"/>
      </top>
      <bottom style="thin">
        <color rgb="FF0000FF"/>
      </bottom>
      <diagonal/>
    </border>
    <border>
      <left style="thin">
        <color rgb="FF00C000"/>
      </left>
      <right style="thin">
        <color rgb="FF00C000"/>
      </right>
      <top style="thin">
        <color rgb="FF00C000"/>
      </top>
      <bottom style="thin">
        <color rgb="FF00C000"/>
      </bottom>
      <diagonal/>
    </border>
    <border>
      <left/>
      <right/>
      <top style="medium">
        <color rgb="FFC4D0E9"/>
      </top>
      <bottom style="medium">
        <color rgb="FFC4D0E9"/>
      </bottom>
      <diagonal/>
    </border>
    <border>
      <left/>
      <right/>
      <top style="thin">
        <color rgb="FFC4D0E9"/>
      </top>
      <bottom/>
      <diagonal/>
    </border>
    <border>
      <left style="thin">
        <color rgb="FF00C000"/>
      </left>
      <right/>
      <top style="thin">
        <color rgb="FF00C000"/>
      </top>
      <bottom style="thin">
        <color rgb="FF00C000"/>
      </bottom>
      <diagonal/>
    </border>
    <border>
      <left style="dotted">
        <color rgb="FF00C000"/>
      </left>
      <right style="dotted">
        <color rgb="FF00C000"/>
      </right>
      <top style="dotted">
        <color rgb="FF00C000"/>
      </top>
      <bottom style="dotted">
        <color rgb="FF00C000"/>
      </bottom>
      <diagonal/>
    </border>
    <border>
      <left/>
      <right/>
      <top/>
      <bottom style="thin">
        <color theme="0"/>
      </bottom>
      <diagonal/>
    </border>
    <border>
      <left/>
      <right style="thin">
        <color theme="0"/>
      </right>
      <top/>
      <bottom style="thin">
        <color theme="0"/>
      </bottom>
      <diagonal/>
    </border>
    <border>
      <left style="thin">
        <color rgb="FF7030A0"/>
      </left>
      <right/>
      <top/>
      <bottom/>
      <diagonal/>
    </border>
    <border>
      <left/>
      <right style="thin">
        <color theme="0"/>
      </right>
      <top/>
      <bottom style="thin">
        <color rgb="FF0000FF"/>
      </bottom>
      <diagonal/>
    </border>
    <border>
      <left/>
      <right style="thin">
        <color theme="0"/>
      </right>
      <top/>
      <bottom style="thin">
        <color rgb="FF00C000"/>
      </bottom>
      <diagonal/>
    </border>
    <border>
      <left style="thin">
        <color theme="0"/>
      </left>
      <right/>
      <top style="thin">
        <color theme="0"/>
      </top>
      <bottom style="thin">
        <color rgb="FF00C000"/>
      </bottom>
      <diagonal/>
    </border>
    <border>
      <left/>
      <right style="thin">
        <color theme="0"/>
      </right>
      <top style="thin">
        <color theme="0"/>
      </top>
      <bottom style="thin">
        <color rgb="FF00C000"/>
      </bottom>
      <diagonal/>
    </border>
    <border>
      <left/>
      <right/>
      <top/>
      <bottom style="thin">
        <color rgb="FF7030A0"/>
      </bottom>
      <diagonal/>
    </border>
    <border>
      <left style="thin">
        <color theme="0"/>
      </left>
      <right style="thin">
        <color theme="0"/>
      </right>
      <top/>
      <bottom style="thin">
        <color rgb="FF00C000"/>
      </bottom>
      <diagonal/>
    </border>
    <border>
      <left style="thin">
        <color theme="0"/>
      </left>
      <right/>
      <top/>
      <bottom style="thin">
        <color rgb="FF00C000"/>
      </bottom>
      <diagonal/>
    </border>
    <border>
      <left style="thin">
        <color theme="0"/>
      </left>
      <right style="thin">
        <color theme="0"/>
      </right>
      <top/>
      <bottom style="thin">
        <color theme="0"/>
      </bottom>
      <diagonal/>
    </border>
    <border>
      <left style="thin">
        <color indexed="57"/>
      </left>
      <right style="thin">
        <color indexed="57"/>
      </right>
      <top style="thin">
        <color indexed="57"/>
      </top>
      <bottom style="thin">
        <color indexed="57"/>
      </bottom>
      <diagonal/>
    </border>
    <border>
      <left/>
      <right style="thin">
        <color theme="0"/>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bottom style="thin">
        <color theme="0"/>
      </bottom>
      <diagonal/>
    </border>
    <border>
      <left style="thin">
        <color rgb="FF0000FF"/>
      </left>
      <right/>
      <top/>
      <bottom/>
      <diagonal/>
    </border>
    <border>
      <left/>
      <right style="thin">
        <color theme="0"/>
      </right>
      <top style="thin">
        <color theme="0"/>
      </top>
      <bottom style="dotted">
        <color rgb="FF00C000"/>
      </bottom>
      <diagonal/>
    </border>
    <border>
      <left style="thin">
        <color rgb="FFFF0000"/>
      </left>
      <right style="thin">
        <color rgb="FFFF0000"/>
      </right>
      <top style="thin">
        <color rgb="FFFF0000"/>
      </top>
      <bottom style="thin">
        <color rgb="FFFF0000"/>
      </bottom>
      <diagonal/>
    </border>
    <border>
      <left/>
      <right/>
      <top style="medium">
        <color rgb="FF33CC33"/>
      </top>
      <bottom/>
      <diagonal/>
    </border>
    <border>
      <left/>
      <right/>
      <top style="medium">
        <color rgb="FF33CC33"/>
      </top>
      <bottom style="medium">
        <color rgb="FF33CC33"/>
      </bottom>
      <diagonal/>
    </border>
    <border>
      <left style="dotted">
        <color theme="1"/>
      </left>
      <right style="dotted">
        <color theme="1"/>
      </right>
      <top style="dotted">
        <color theme="1"/>
      </top>
      <bottom style="dotted">
        <color theme="1"/>
      </bottom>
      <diagonal/>
    </border>
    <border>
      <left/>
      <right/>
      <top style="medium">
        <color rgb="FFC4D0E9"/>
      </top>
      <bottom/>
      <diagonal/>
    </border>
    <border>
      <left/>
      <right style="thin">
        <color rgb="FFFF0000"/>
      </right>
      <top/>
      <bottom/>
      <diagonal/>
    </border>
    <border>
      <left style="thin">
        <color rgb="FFFF0000"/>
      </left>
      <right/>
      <top style="thin">
        <color rgb="FFFF0000"/>
      </top>
      <bottom style="thin">
        <color rgb="FFFF0000"/>
      </bottom>
      <diagonal/>
    </border>
    <border>
      <left style="dotted">
        <color theme="1"/>
      </left>
      <right style="dotted">
        <color theme="1"/>
      </right>
      <top style="dotted">
        <color theme="1"/>
      </top>
      <bottom/>
      <diagonal/>
    </border>
    <border>
      <left style="thin">
        <color rgb="FF00C000"/>
      </left>
      <right style="thin">
        <color rgb="FF00C000"/>
      </right>
      <top style="thin">
        <color rgb="FF00C000"/>
      </top>
      <bottom/>
      <diagonal/>
    </border>
    <border>
      <left style="thin">
        <color rgb="FF00C000"/>
      </left>
      <right style="thin">
        <color rgb="FF00C000"/>
      </right>
      <top/>
      <bottom/>
      <diagonal/>
    </border>
    <border>
      <left style="thin">
        <color rgb="FF00C000"/>
      </left>
      <right style="thin">
        <color rgb="FF00C000"/>
      </right>
      <top/>
      <bottom style="thin">
        <color rgb="FF00C000"/>
      </bottom>
      <diagonal/>
    </border>
    <border>
      <left/>
      <right style="thin">
        <color rgb="FF00B050"/>
      </right>
      <top/>
      <bottom/>
      <diagonal/>
    </border>
    <border>
      <left style="thin">
        <color rgb="FF00B050"/>
      </left>
      <right/>
      <top/>
      <bottom/>
      <diagonal/>
    </border>
    <border>
      <left style="thin">
        <color rgb="FF00CC00"/>
      </left>
      <right style="thin">
        <color rgb="FF00CC00"/>
      </right>
      <top style="thin">
        <color rgb="FF00CC00"/>
      </top>
      <bottom style="thin">
        <color rgb="FF00C000"/>
      </bottom>
      <diagonal/>
    </border>
    <border>
      <left style="thin">
        <color rgb="FF00CC00"/>
      </left>
      <right/>
      <top style="thin">
        <color rgb="FF00CC00"/>
      </top>
      <bottom style="thin">
        <color rgb="FF00CC00"/>
      </bottom>
      <diagonal/>
    </border>
    <border>
      <left/>
      <right/>
      <top style="thin">
        <color rgb="FF00CC00"/>
      </top>
      <bottom style="thin">
        <color rgb="FF00CC00"/>
      </bottom>
      <diagonal/>
    </border>
    <border>
      <left/>
      <right style="thin">
        <color rgb="FF00CC00"/>
      </right>
      <top style="thin">
        <color rgb="FF00CC00"/>
      </top>
      <bottom style="thin">
        <color rgb="FF00CC00"/>
      </bottom>
      <diagonal/>
    </border>
    <border>
      <left style="thin">
        <color rgb="FF00C000"/>
      </left>
      <right/>
      <top/>
      <bottom style="thin">
        <color rgb="FF00C000"/>
      </bottom>
      <diagonal/>
    </border>
    <border>
      <left/>
      <right/>
      <top/>
      <bottom style="thin">
        <color rgb="FF0000FF"/>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030A0"/>
      </left>
      <right/>
      <top style="thin">
        <color rgb="FF7030A0"/>
      </top>
      <bottom/>
      <diagonal/>
    </border>
    <border>
      <left/>
      <right/>
      <top style="thin">
        <color rgb="FF7030A0"/>
      </top>
      <bottom/>
      <diagonal/>
    </border>
    <border>
      <left/>
      <right/>
      <top/>
      <bottom style="thin">
        <color indexed="64"/>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right style="thin">
        <color auto="1"/>
      </right>
      <top style="medium">
        <color theme="0"/>
      </top>
      <bottom style="medium">
        <color theme="0"/>
      </bottom>
      <diagonal/>
    </border>
    <border>
      <left style="thin">
        <color indexed="64"/>
      </left>
      <right/>
      <top/>
      <bottom style="thin">
        <color theme="0"/>
      </bottom>
      <diagonal/>
    </border>
    <border>
      <left/>
      <right style="thin">
        <color auto="1"/>
      </right>
      <top/>
      <bottom style="thin">
        <color theme="0"/>
      </bottom>
      <diagonal/>
    </border>
    <border>
      <left style="thin">
        <color auto="1"/>
      </left>
      <right/>
      <top/>
      <bottom style="thin">
        <color rgb="FF00C000"/>
      </bottom>
      <diagonal/>
    </border>
    <border>
      <left/>
      <right/>
      <top/>
      <bottom style="thin">
        <color rgb="FF00C000"/>
      </bottom>
      <diagonal/>
    </border>
    <border>
      <left/>
      <right style="thin">
        <color auto="1"/>
      </right>
      <top/>
      <bottom style="thin">
        <color rgb="FF00C000"/>
      </bottom>
      <diagonal/>
    </border>
    <border>
      <left style="thin">
        <color rgb="FF00CC00"/>
      </left>
      <right style="thin">
        <color rgb="FF00CC00"/>
      </right>
      <top/>
      <bottom style="thin">
        <color rgb="FF00CC00"/>
      </bottom>
      <diagonal/>
    </border>
    <border>
      <left style="thin">
        <color rgb="FF00CC00"/>
      </left>
      <right style="thin">
        <color rgb="FF00CC00"/>
      </right>
      <top style="thin">
        <color rgb="FF00CC00"/>
      </top>
      <bottom style="thin">
        <color rgb="FF00CC00"/>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rgb="FF00C000"/>
      </bottom>
      <diagonal/>
    </border>
    <border>
      <left style="thin">
        <color rgb="FF7030A0"/>
      </left>
      <right style="thin">
        <color rgb="FF7030A0"/>
      </right>
      <top style="thin">
        <color rgb="FF7030A0"/>
      </top>
      <bottom style="thin">
        <color rgb="FF7030A0"/>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dotted">
        <color theme="1"/>
      </top>
      <bottom/>
      <diagonal/>
    </border>
    <border>
      <left/>
      <right style="dotted">
        <color theme="1"/>
      </right>
      <top style="dotted">
        <color theme="1"/>
      </top>
      <bottom style="dotted">
        <color theme="1"/>
      </bottom>
      <diagonal/>
    </border>
    <border>
      <left/>
      <right/>
      <top style="dotted">
        <color theme="1"/>
      </top>
      <bottom style="dotted">
        <color theme="1"/>
      </bottom>
      <diagonal/>
    </border>
  </borders>
  <cellStyleXfs count="96">
    <xf numFmtId="0" fontId="0" fillId="0" borderId="0">
      <alignment vertical="center"/>
    </xf>
    <xf numFmtId="0" fontId="5" fillId="0" borderId="0" applyNumberFormat="0" applyAlignment="0">
      <alignment vertical="center"/>
    </xf>
    <xf numFmtId="165" fontId="11" fillId="0" borderId="0" applyNumberFormat="0" applyAlignment="0">
      <alignment vertical="center"/>
    </xf>
    <xf numFmtId="0" fontId="16" fillId="7" borderId="0" applyNumberFormat="0">
      <alignment horizontal="center" vertical="top" wrapText="1"/>
    </xf>
    <xf numFmtId="0" fontId="16" fillId="8" borderId="0" applyNumberFormat="0">
      <alignment horizontal="left" vertical="top" wrapText="1"/>
    </xf>
    <xf numFmtId="0" fontId="16" fillId="8" borderId="0" applyNumberFormat="0">
      <alignment horizontal="centerContinuous" vertical="top"/>
    </xf>
    <xf numFmtId="0" fontId="17" fillId="8" borderId="0" applyNumberFormat="0">
      <alignment horizontal="center" vertical="top" wrapText="1"/>
    </xf>
    <xf numFmtId="169" fontId="5" fillId="0" borderId="0" applyFont="0" applyFill="0" applyBorder="0" applyAlignment="0" applyProtection="0">
      <alignment vertical="center"/>
    </xf>
    <xf numFmtId="169" fontId="5" fillId="0" borderId="0" applyFont="0" applyFill="0" applyBorder="0" applyAlignment="0" applyProtection="0">
      <alignment vertical="center"/>
    </xf>
    <xf numFmtId="170" fontId="5" fillId="0" borderId="0" applyFont="0" applyFill="0" applyBorder="0" applyAlignment="0" applyProtection="0">
      <alignment vertical="center"/>
    </xf>
    <xf numFmtId="175" fontId="5" fillId="0" borderId="0" applyFont="0" applyFill="0" applyBorder="0" applyAlignment="0" applyProtection="0">
      <alignment vertical="center"/>
    </xf>
    <xf numFmtId="176" fontId="5" fillId="0" borderId="0" applyFont="0" applyFill="0" applyBorder="0" applyAlignment="0" applyProtection="0">
      <alignment vertical="center"/>
    </xf>
    <xf numFmtId="173" fontId="5" fillId="0" borderId="0" applyFont="0" applyFill="0" applyBorder="0" applyAlignment="0" applyProtection="0">
      <alignment vertical="center"/>
    </xf>
    <xf numFmtId="174" fontId="5" fillId="0" borderId="0" applyFont="0" applyFill="0" applyBorder="0" applyAlignment="0" applyProtection="0">
      <alignment vertical="center"/>
    </xf>
    <xf numFmtId="171" fontId="5" fillId="0" borderId="0" applyFont="0" applyFill="0" applyBorder="0" applyAlignment="0" applyProtection="0">
      <alignment vertical="center"/>
    </xf>
    <xf numFmtId="172" fontId="5" fillId="0" borderId="0" applyFont="0" applyFill="0" applyBorder="0" applyAlignment="0" applyProtection="0">
      <alignment vertical="center"/>
    </xf>
    <xf numFmtId="181" fontId="5" fillId="0" borderId="0" applyFont="0" applyFill="0" applyBorder="0" applyAlignment="0" applyProtection="0">
      <alignment vertical="center"/>
    </xf>
    <xf numFmtId="182" fontId="5" fillId="0" borderId="0" applyFont="0" applyFill="0" applyBorder="0" applyAlignment="0" applyProtection="0">
      <alignment vertical="center"/>
    </xf>
    <xf numFmtId="179" fontId="5" fillId="0" borderId="0" applyFont="0" applyFill="0" applyBorder="0" applyAlignment="0" applyProtection="0">
      <alignment vertical="center"/>
    </xf>
    <xf numFmtId="180" fontId="5" fillId="0" borderId="0" applyFont="0" applyFill="0" applyBorder="0" applyAlignment="0" applyProtection="0">
      <alignment vertical="center"/>
    </xf>
    <xf numFmtId="177" fontId="5" fillId="0" borderId="0" applyFont="0" applyFill="0" applyBorder="0" applyAlignment="0" applyProtection="0">
      <alignment vertical="center"/>
    </xf>
    <xf numFmtId="178" fontId="5" fillId="0" borderId="0" applyFont="0" applyFill="0" applyBorder="0" applyAlignment="0" applyProtection="0">
      <alignment vertical="center"/>
    </xf>
    <xf numFmtId="168" fontId="5" fillId="0" borderId="0" applyFont="0" applyFill="0" applyBorder="0" applyAlignment="0" applyProtection="0">
      <alignment vertical="center"/>
    </xf>
    <xf numFmtId="183" fontId="5" fillId="0" borderId="0" applyFont="0" applyFill="0" applyBorder="0" applyAlignment="0" applyProtection="0">
      <alignment vertical="center"/>
    </xf>
    <xf numFmtId="184" fontId="5" fillId="0" borderId="0" applyFont="0" applyFill="0" applyBorder="0" applyAlignment="0" applyProtection="0">
      <alignment vertical="center"/>
    </xf>
    <xf numFmtId="0" fontId="7" fillId="0" borderId="0" applyNumberFormat="0" applyFill="0" applyBorder="0" applyAlignment="0" applyProtection="0">
      <alignment vertical="center"/>
    </xf>
    <xf numFmtId="0" fontId="4" fillId="0" borderId="0" applyNumberFormat="0" applyFill="0" applyBorder="0" applyAlignment="0" applyProtection="0">
      <alignment horizontal="left" vertical="center"/>
    </xf>
    <xf numFmtId="0" fontId="8" fillId="0" borderId="0" applyNumberFormat="0" applyFill="0" applyBorder="0" applyAlignment="0" applyProtection="0">
      <alignment vertical="center"/>
    </xf>
    <xf numFmtId="0" fontId="5" fillId="5" borderId="0" applyNumberFormat="0" applyFont="0" applyBorder="0" applyAlignment="0" applyProtection="0">
      <alignment vertical="center"/>
    </xf>
    <xf numFmtId="0" fontId="5" fillId="0" borderId="31" applyNumberFormat="0" applyFill="0" applyAlignment="0" applyProtection="0">
      <alignment vertical="center"/>
      <protection locked="0"/>
    </xf>
    <xf numFmtId="0" fontId="5" fillId="0" borderId="28" applyNumberFormat="0" applyAlignment="0">
      <alignment vertical="center"/>
      <protection locked="0"/>
    </xf>
    <xf numFmtId="164" fontId="20" fillId="12" borderId="31" applyNumberFormat="0" applyAlignment="0">
      <alignment vertical="center"/>
      <protection locked="0"/>
    </xf>
    <xf numFmtId="0" fontId="5" fillId="13" borderId="0" applyNumberFormat="0" applyAlignment="0">
      <alignment vertical="center"/>
    </xf>
    <xf numFmtId="0" fontId="35" fillId="10" borderId="0" applyNumberFormat="0" applyAlignment="0">
      <alignment vertical="center"/>
    </xf>
    <xf numFmtId="0" fontId="5" fillId="4" borderId="0" applyNumberFormat="0" applyAlignment="0">
      <alignment vertical="center"/>
    </xf>
    <xf numFmtId="0" fontId="5" fillId="0" borderId="3" applyNumberFormat="0" applyAlignment="0">
      <alignment vertical="center"/>
      <protection locked="0"/>
    </xf>
    <xf numFmtId="0" fontId="34" fillId="0" borderId="0" applyNumberFormat="0" applyAlignment="0">
      <alignment vertical="center"/>
    </xf>
    <xf numFmtId="0" fontId="10" fillId="0" borderId="0" applyNumberFormat="0" applyFill="0" applyBorder="0" applyAlignment="0" applyProtection="0">
      <alignment vertical="center"/>
    </xf>
    <xf numFmtId="185" fontId="5" fillId="0" borderId="0" applyFont="0" applyFill="0" applyBorder="0" applyAlignment="0" applyProtection="0">
      <alignment vertical="center"/>
    </xf>
    <xf numFmtId="186" fontId="5" fillId="0" borderId="0" applyFont="0" applyFill="0" applyBorder="0" applyAlignment="0" applyProtection="0">
      <alignment vertical="center"/>
    </xf>
    <xf numFmtId="0" fontId="8" fillId="11" borderId="0" applyNumberFormat="0" applyAlignment="0" applyProtection="0">
      <alignment vertical="center"/>
    </xf>
    <xf numFmtId="187" fontId="5" fillId="0" borderId="0" applyFont="0" applyFill="0" applyBorder="0" applyAlignment="0" applyProtection="0">
      <alignment horizontal="right" vertical="center"/>
    </xf>
    <xf numFmtId="188" fontId="5" fillId="0" borderId="0" applyFont="0" applyFill="0" applyBorder="0" applyAlignment="0" applyProtection="0">
      <alignment vertical="center"/>
    </xf>
    <xf numFmtId="0" fontId="8" fillId="0" borderId="0" applyNumberFormat="0" applyFill="0" applyBorder="0">
      <alignment horizontal="left" vertical="center" wrapText="1"/>
    </xf>
    <xf numFmtId="0" fontId="5" fillId="0" borderId="0" applyNumberFormat="0" applyFill="0" applyBorder="0">
      <alignment horizontal="left" vertical="center" wrapText="1" indent="1"/>
    </xf>
    <xf numFmtId="164" fontId="8" fillId="0" borderId="30" applyNumberFormat="0" applyFill="0" applyAlignment="0" applyProtection="0">
      <alignment vertical="center"/>
    </xf>
    <xf numFmtId="164" fontId="5" fillId="0" borderId="29" applyNumberFormat="0" applyFont="0" applyFill="0" applyAlignment="0" applyProtection="0">
      <alignment vertical="center"/>
    </xf>
    <xf numFmtId="0" fontId="5" fillId="2" borderId="0" applyNumberFormat="0" applyFont="0" applyBorder="0" applyAlignment="0" applyProtection="0">
      <alignment vertical="center"/>
    </xf>
    <xf numFmtId="0" fontId="5" fillId="0" borderId="0" applyNumberFormat="0" applyFont="0" applyFill="0" applyAlignment="0" applyProtection="0">
      <alignment vertical="center"/>
    </xf>
    <xf numFmtId="164" fontId="5" fillId="0" borderId="0" applyNumberFormat="0" applyFont="0" applyBorder="0" applyAlignment="0" applyProtection="0">
      <alignment vertical="center"/>
    </xf>
    <xf numFmtId="49" fontId="5" fillId="0" borderId="0" applyFont="0" applyFill="0" applyBorder="0" applyAlignment="0" applyProtection="0">
      <alignment horizontal="center" vertical="center"/>
    </xf>
    <xf numFmtId="164" fontId="8" fillId="0" borderId="0" applyNumberFormat="0" applyFill="0" applyBorder="0" applyAlignment="0" applyProtection="0">
      <alignment vertical="center"/>
    </xf>
    <xf numFmtId="164" fontId="8" fillId="9" borderId="0" applyNumberFormat="0" applyAlignment="0" applyProtection="0">
      <alignment vertical="center"/>
    </xf>
    <xf numFmtId="0" fontId="5" fillId="0" borderId="0" applyNumberFormat="0" applyFont="0" applyBorder="0" applyAlignment="0" applyProtection="0">
      <alignment vertical="center"/>
    </xf>
    <xf numFmtId="0" fontId="5" fillId="0" borderId="0" applyNumberFormat="0" applyFont="0" applyAlignment="0" applyProtection="0">
      <alignment vertical="center"/>
    </xf>
    <xf numFmtId="0" fontId="5" fillId="0" borderId="0">
      <alignment vertical="center"/>
    </xf>
    <xf numFmtId="0" fontId="9" fillId="0" borderId="0" applyFill="0" applyBorder="0" applyAlignment="0" applyProtection="0">
      <alignment vertical="center"/>
    </xf>
    <xf numFmtId="0" fontId="6" fillId="0" borderId="0" applyFill="0" applyBorder="0" applyAlignment="0" applyProtection="0">
      <alignment vertical="center"/>
    </xf>
    <xf numFmtId="0" fontId="9" fillId="6" borderId="0" applyNumberFormat="0">
      <alignment vertical="center"/>
    </xf>
    <xf numFmtId="43" fontId="5" fillId="0" borderId="0" applyFont="0" applyFill="0" applyBorder="0" applyAlignment="0" applyProtection="0"/>
    <xf numFmtId="0" fontId="5" fillId="0" borderId="28" applyNumberFormat="0" applyAlignment="0">
      <alignment vertical="center"/>
      <protection locked="0"/>
    </xf>
    <xf numFmtId="0" fontId="5" fillId="0" borderId="28" applyNumberFormat="0" applyAlignment="0">
      <alignment vertical="center"/>
      <protection locked="0"/>
    </xf>
    <xf numFmtId="0" fontId="29" fillId="0" borderId="0" applyNumberFormat="0" applyFill="0" applyBorder="0" applyAlignment="0" applyProtection="0"/>
    <xf numFmtId="0" fontId="30" fillId="0" borderId="0" applyNumberFormat="0" applyFill="0" applyBorder="0" applyAlignment="0" applyProtection="0">
      <alignment vertical="center"/>
    </xf>
    <xf numFmtId="0" fontId="5" fillId="0" borderId="28" applyNumberFormat="0" applyAlignment="0">
      <alignment vertical="center"/>
      <protection locked="0"/>
    </xf>
    <xf numFmtId="9" fontId="5" fillId="0" borderId="0" applyFont="0" applyFill="0" applyBorder="0" applyAlignment="0" applyProtection="0"/>
    <xf numFmtId="0" fontId="16" fillId="7" borderId="0" applyNumberFormat="0">
      <alignment horizontal="center" vertical="top" wrapText="1"/>
    </xf>
    <xf numFmtId="0" fontId="5" fillId="0" borderId="3" applyNumberFormat="0" applyAlignment="0">
      <alignment vertical="center"/>
      <protection locked="0"/>
    </xf>
    <xf numFmtId="0" fontId="3" fillId="0" borderId="0"/>
    <xf numFmtId="201" fontId="3" fillId="0" borderId="0" applyFont="0" applyFill="0" applyBorder="0" applyAlignment="0" applyProtection="0"/>
    <xf numFmtId="0" fontId="9" fillId="14" borderId="0" applyNumberFormat="0">
      <alignment vertical="center"/>
    </xf>
    <xf numFmtId="164" fontId="5" fillId="0" borderId="32" applyNumberFormat="0" applyFont="0" applyFill="0" applyAlignment="0" applyProtection="0">
      <alignment vertical="center"/>
    </xf>
    <xf numFmtId="0" fontId="16" fillId="20" borderId="0" applyNumberFormat="0">
      <alignment horizontal="center" vertical="top" wrapText="1"/>
    </xf>
    <xf numFmtId="0" fontId="16" fillId="18" borderId="0" applyNumberFormat="0">
      <alignment horizontal="left" vertical="top" wrapText="1"/>
    </xf>
    <xf numFmtId="0" fontId="16" fillId="18" borderId="0" applyNumberFormat="0">
      <alignment horizontal="centerContinuous" vertical="top"/>
    </xf>
    <xf numFmtId="0" fontId="17" fillId="18" borderId="0" applyNumberFormat="0">
      <alignment horizontal="center" vertical="top" wrapText="1"/>
    </xf>
    <xf numFmtId="0" fontId="5" fillId="0" borderId="8" applyNumberFormat="0" applyAlignment="0">
      <alignment vertical="center"/>
    </xf>
    <xf numFmtId="0" fontId="5" fillId="0" borderId="4" applyNumberFormat="0" applyAlignment="0">
      <alignment vertical="center"/>
      <protection locked="0"/>
    </xf>
    <xf numFmtId="164" fontId="5" fillId="15" borderId="4" applyNumberFormat="0" applyAlignment="0">
      <alignment vertical="center"/>
      <protection locked="0"/>
    </xf>
    <xf numFmtId="0" fontId="5" fillId="3" borderId="0" applyNumberFormat="0" applyAlignment="0">
      <alignment vertical="center"/>
    </xf>
    <xf numFmtId="0" fontId="5" fillId="16" borderId="0" applyNumberFormat="0" applyAlignment="0">
      <alignment vertical="center"/>
    </xf>
    <xf numFmtId="0" fontId="5" fillId="4" borderId="0" applyNumberFormat="0" applyAlignment="0">
      <alignment vertical="center"/>
    </xf>
    <xf numFmtId="0" fontId="15" fillId="0" borderId="0" applyNumberFormat="0" applyAlignment="0">
      <alignment vertical="center"/>
    </xf>
    <xf numFmtId="0" fontId="5" fillId="17" borderId="0" applyNumberFormat="0" applyFont="0" applyBorder="0" applyAlignment="0" applyProtection="0">
      <alignment vertical="center"/>
    </xf>
    <xf numFmtId="164" fontId="8" fillId="0" borderId="5" applyNumberFormat="0" applyFill="0" applyAlignment="0" applyProtection="0">
      <alignment vertical="center"/>
    </xf>
    <xf numFmtId="0" fontId="5" fillId="2" borderId="0" applyNumberFormat="0" applyFont="0" applyBorder="0" applyAlignment="0" applyProtection="0">
      <alignment vertical="center"/>
    </xf>
    <xf numFmtId="164" fontId="8" fillId="19" borderId="0" applyNumberFormat="0" applyAlignment="0" applyProtection="0">
      <alignment vertical="center"/>
    </xf>
    <xf numFmtId="0" fontId="5" fillId="22" borderId="0" applyNumberFormat="0" applyFont="0" applyBorder="0" applyAlignment="0" applyProtection="0">
      <alignment vertical="center"/>
    </xf>
    <xf numFmtId="0" fontId="5" fillId="0" borderId="20" applyNumberFormat="0" applyAlignment="0">
      <alignment vertical="center"/>
      <protection locked="0"/>
    </xf>
    <xf numFmtId="0" fontId="39" fillId="24" borderId="0" applyNumberFormat="0" applyBorder="0" applyAlignment="0" applyProtection="0"/>
    <xf numFmtId="0" fontId="2" fillId="0" borderId="0"/>
    <xf numFmtId="201" fontId="2" fillId="0" borderId="0" applyFont="0" applyFill="0" applyBorder="0" applyAlignment="0" applyProtection="0"/>
    <xf numFmtId="0" fontId="46" fillId="0" borderId="0" applyNumberFormat="0" applyFill="0" applyBorder="0" applyAlignment="0" applyProtection="0"/>
    <xf numFmtId="0" fontId="9" fillId="6" borderId="0" applyNumberFormat="0">
      <alignment vertical="center"/>
    </xf>
    <xf numFmtId="0" fontId="47" fillId="26" borderId="0" applyNumberFormat="0" applyProtection="0">
      <alignment vertical="center"/>
    </xf>
    <xf numFmtId="43" fontId="1" fillId="0" borderId="0" applyFont="0" applyFill="0" applyBorder="0" applyAlignment="0" applyProtection="0"/>
  </cellStyleXfs>
  <cellXfs count="792">
    <xf numFmtId="0" fontId="0" fillId="0" borderId="0" xfId="0">
      <alignment vertical="center"/>
    </xf>
    <xf numFmtId="0" fontId="16" fillId="7" borderId="0" xfId="3">
      <alignment horizontal="center" vertical="top" wrapText="1"/>
    </xf>
    <xf numFmtId="0" fontId="0" fillId="0" borderId="0" xfId="0" applyFill="1">
      <alignment vertical="center"/>
    </xf>
    <xf numFmtId="0" fontId="7" fillId="0" borderId="0" xfId="25" applyFill="1" applyAlignment="1"/>
    <xf numFmtId="0" fontId="4" fillId="0" borderId="0" xfId="26" applyAlignment="1"/>
    <xf numFmtId="185" fontId="0" fillId="0" borderId="0" xfId="38" applyFont="1">
      <alignment vertical="center"/>
    </xf>
    <xf numFmtId="0" fontId="5" fillId="0" borderId="0" xfId="44">
      <alignment horizontal="left" vertical="center" wrapText="1" indent="1"/>
    </xf>
    <xf numFmtId="0" fontId="8" fillId="0" borderId="0" xfId="43">
      <alignment horizontal="left" vertical="center" wrapText="1"/>
    </xf>
    <xf numFmtId="0" fontId="8" fillId="9" borderId="0" xfId="52" applyNumberFormat="1" applyAlignment="1">
      <alignment horizontal="left" vertical="center" wrapText="1"/>
    </xf>
    <xf numFmtId="0" fontId="8" fillId="0" borderId="30" xfId="45" applyNumberFormat="1" applyAlignment="1">
      <alignment horizontal="left" vertical="center" wrapText="1" indent="1"/>
    </xf>
    <xf numFmtId="0" fontId="7" fillId="0" borderId="0" xfId="25">
      <alignment vertical="center"/>
    </xf>
    <xf numFmtId="164" fontId="5" fillId="0" borderId="3" xfId="35" applyNumberFormat="1">
      <alignment vertical="center"/>
      <protection locked="0"/>
    </xf>
    <xf numFmtId="164" fontId="5" fillId="0" borderId="31" xfId="29" applyNumberFormat="1">
      <alignment vertical="center"/>
      <protection locked="0"/>
    </xf>
    <xf numFmtId="164" fontId="5" fillId="0" borderId="28" xfId="30" applyNumberFormat="1">
      <alignment vertical="center"/>
      <protection locked="0"/>
    </xf>
    <xf numFmtId="164" fontId="5" fillId="13" borderId="0" xfId="32" applyNumberFormat="1">
      <alignment vertical="center"/>
    </xf>
    <xf numFmtId="164" fontId="5" fillId="0" borderId="0" xfId="1" applyNumberFormat="1">
      <alignment vertical="center"/>
    </xf>
    <xf numFmtId="164" fontId="8" fillId="11" borderId="0" xfId="40" applyNumberFormat="1">
      <alignment vertical="center"/>
    </xf>
    <xf numFmtId="164" fontId="5" fillId="5" borderId="0" xfId="28" applyNumberFormat="1">
      <alignment vertical="center"/>
    </xf>
    <xf numFmtId="186" fontId="0" fillId="0" borderId="0" xfId="39" applyFont="1">
      <alignment vertical="center"/>
    </xf>
    <xf numFmtId="169" fontId="0" fillId="0" borderId="0" xfId="7" applyFont="1">
      <alignment vertical="center"/>
    </xf>
    <xf numFmtId="170" fontId="0" fillId="0" borderId="0" xfId="9" applyFont="1">
      <alignment vertical="center"/>
    </xf>
    <xf numFmtId="171" fontId="0" fillId="0" borderId="0" xfId="14" applyFont="1">
      <alignment vertical="center"/>
    </xf>
    <xf numFmtId="172" fontId="0" fillId="0" borderId="0" xfId="15" applyFont="1">
      <alignment vertical="center"/>
    </xf>
    <xf numFmtId="173" fontId="0" fillId="0" borderId="0" xfId="12" applyFont="1">
      <alignment vertical="center"/>
    </xf>
    <xf numFmtId="174" fontId="0" fillId="0" borderId="0" xfId="13" applyFont="1">
      <alignment vertical="center"/>
    </xf>
    <xf numFmtId="168" fontId="0" fillId="0" borderId="0" xfId="22" applyFont="1">
      <alignment vertical="center"/>
    </xf>
    <xf numFmtId="0" fontId="10" fillId="0" borderId="0" xfId="37">
      <alignment vertical="center"/>
    </xf>
    <xf numFmtId="175" fontId="0" fillId="0" borderId="0" xfId="10" applyFont="1">
      <alignment vertical="center"/>
    </xf>
    <xf numFmtId="176" fontId="0" fillId="0" borderId="0" xfId="11" applyFont="1">
      <alignment vertical="center"/>
    </xf>
    <xf numFmtId="177" fontId="0" fillId="0" borderId="0" xfId="20" applyFont="1">
      <alignment vertical="center"/>
    </xf>
    <xf numFmtId="178" fontId="0" fillId="0" borderId="0" xfId="21" applyFont="1">
      <alignment vertical="center"/>
    </xf>
    <xf numFmtId="179" fontId="0" fillId="0" borderId="0" xfId="18" applyFont="1">
      <alignment vertical="center"/>
    </xf>
    <xf numFmtId="180" fontId="0" fillId="0" borderId="0" xfId="19" applyFont="1">
      <alignment vertical="center"/>
    </xf>
    <xf numFmtId="181" fontId="0" fillId="0" borderId="0" xfId="16" applyFont="1">
      <alignment vertical="center"/>
    </xf>
    <xf numFmtId="182" fontId="0" fillId="0" borderId="0" xfId="17" applyFont="1">
      <alignment vertical="center"/>
    </xf>
    <xf numFmtId="184" fontId="0" fillId="0" borderId="0" xfId="24" applyFont="1">
      <alignment vertical="center"/>
    </xf>
    <xf numFmtId="0" fontId="8" fillId="0" borderId="0" xfId="27">
      <alignment vertical="center"/>
    </xf>
    <xf numFmtId="0" fontId="4" fillId="0" borderId="0" xfId="26" applyAlignment="1">
      <alignment vertical="center"/>
    </xf>
    <xf numFmtId="0" fontId="8" fillId="0" borderId="30" xfId="45" applyNumberFormat="1">
      <alignment vertical="center"/>
    </xf>
    <xf numFmtId="0" fontId="8" fillId="9" borderId="0" xfId="52" applyNumberFormat="1">
      <alignment vertical="center"/>
    </xf>
    <xf numFmtId="0" fontId="0" fillId="2" borderId="0" xfId="47" applyFont="1">
      <alignment vertical="center"/>
    </xf>
    <xf numFmtId="0" fontId="0" fillId="0" borderId="29" xfId="46" applyNumberFormat="1" applyFont="1">
      <alignment vertical="center"/>
    </xf>
    <xf numFmtId="164" fontId="34" fillId="0" borderId="0" xfId="36" applyNumberFormat="1">
      <alignment vertical="center"/>
    </xf>
    <xf numFmtId="164" fontId="10" fillId="0" borderId="0" xfId="37" applyNumberFormat="1">
      <alignment vertical="center"/>
    </xf>
    <xf numFmtId="0" fontId="0" fillId="0" borderId="0" xfId="0">
      <alignment vertical="center"/>
    </xf>
    <xf numFmtId="0" fontId="34" fillId="0" borderId="0" xfId="36">
      <alignment vertical="center"/>
    </xf>
    <xf numFmtId="0" fontId="0" fillId="5" borderId="0" xfId="28" applyFont="1">
      <alignment vertical="center"/>
    </xf>
    <xf numFmtId="0" fontId="10" fillId="0" borderId="0" xfId="37" applyFont="1">
      <alignment vertical="center"/>
    </xf>
    <xf numFmtId="164" fontId="0" fillId="2" borderId="0" xfId="47" applyNumberFormat="1" applyFont="1">
      <alignment vertical="center"/>
    </xf>
    <xf numFmtId="166" fontId="0" fillId="2" borderId="0" xfId="47" applyNumberFormat="1" applyFont="1">
      <alignment vertical="center"/>
    </xf>
    <xf numFmtId="166" fontId="0" fillId="0" borderId="0" xfId="49" applyNumberFormat="1" applyFont="1">
      <alignment vertical="center"/>
    </xf>
    <xf numFmtId="167" fontId="0" fillId="0" borderId="0" xfId="49" applyNumberFormat="1" applyFont="1">
      <alignment vertical="center"/>
    </xf>
    <xf numFmtId="0" fontId="0" fillId="0" borderId="0" xfId="53" applyFont="1">
      <alignment vertical="center"/>
    </xf>
    <xf numFmtId="164" fontId="5" fillId="0" borderId="0" xfId="53" applyNumberFormat="1">
      <alignment vertical="center"/>
    </xf>
    <xf numFmtId="0" fontId="0" fillId="0" borderId="0" xfId="49" applyNumberFormat="1" applyFont="1">
      <alignment vertical="center"/>
    </xf>
    <xf numFmtId="164" fontId="20" fillId="12" borderId="31" xfId="31">
      <alignment vertical="center"/>
      <protection locked="0"/>
    </xf>
    <xf numFmtId="0" fontId="8" fillId="0" borderId="0" xfId="43" applyAlignment="1">
      <alignment horizontal="left" vertical="center" wrapText="1"/>
    </xf>
    <xf numFmtId="0" fontId="0" fillId="0" borderId="0" xfId="0" applyBorder="1">
      <alignment vertical="center"/>
    </xf>
    <xf numFmtId="164" fontId="8" fillId="9" borderId="0" xfId="52">
      <alignment vertical="center"/>
    </xf>
    <xf numFmtId="0" fontId="4" fillId="0" borderId="0" xfId="26" applyAlignment="1">
      <alignment horizontal="center"/>
    </xf>
    <xf numFmtId="49" fontId="0" fillId="0" borderId="0" xfId="50" applyFont="1" applyAlignment="1">
      <alignment horizontal="center" vertical="center"/>
    </xf>
    <xf numFmtId="168" fontId="0" fillId="0" borderId="0" xfId="22" applyFont="1" applyAlignment="1">
      <alignment horizontal="center" vertical="center"/>
    </xf>
    <xf numFmtId="0" fontId="7" fillId="0" borderId="0" xfId="25" applyFill="1" applyAlignment="1">
      <alignment horizontal="left"/>
    </xf>
    <xf numFmtId="0" fontId="8" fillId="0" borderId="0" xfId="43" applyAlignment="1">
      <alignment horizontal="left" vertical="center" wrapText="1" indent="1"/>
    </xf>
    <xf numFmtId="164" fontId="8" fillId="11" borderId="0" xfId="40" applyNumberFormat="1" applyFont="1">
      <alignment vertical="center"/>
    </xf>
    <xf numFmtId="0" fontId="8" fillId="11" borderId="0" xfId="40" applyFont="1" applyAlignment="1">
      <alignment horizontal="left" vertical="center" wrapText="1"/>
    </xf>
    <xf numFmtId="49" fontId="0" fillId="0" borderId="0" xfId="50" applyFont="1" applyAlignment="1">
      <alignment vertical="center"/>
    </xf>
    <xf numFmtId="165" fontId="11" fillId="0" borderId="0" xfId="2">
      <alignment vertical="center"/>
    </xf>
    <xf numFmtId="0" fontId="16" fillId="8" borderId="0" xfId="4">
      <alignment horizontal="left" vertical="top" wrapText="1"/>
    </xf>
    <xf numFmtId="0" fontId="17" fillId="8" borderId="0" xfId="6">
      <alignment horizontal="center" vertical="top" wrapText="1"/>
    </xf>
    <xf numFmtId="164" fontId="35" fillId="10" borderId="0" xfId="33" applyNumberFormat="1">
      <alignment vertical="center"/>
    </xf>
    <xf numFmtId="164" fontId="8" fillId="0" borderId="0" xfId="51">
      <alignment vertical="center"/>
    </xf>
    <xf numFmtId="0" fontId="16" fillId="8" borderId="0" xfId="5">
      <alignment horizontal="centerContinuous" vertical="top"/>
    </xf>
    <xf numFmtId="183" fontId="0" fillId="0" borderId="0" xfId="23" applyFont="1">
      <alignment vertical="center"/>
    </xf>
    <xf numFmtId="0" fontId="8" fillId="11" borderId="0" xfId="40" applyFont="1">
      <alignment vertical="center"/>
    </xf>
    <xf numFmtId="49" fontId="14" fillId="0" borderId="0" xfId="50" applyFont="1" applyAlignment="1">
      <alignment vertical="center"/>
    </xf>
    <xf numFmtId="49" fontId="5" fillId="0" borderId="0" xfId="50" applyFont="1" applyAlignment="1">
      <alignment vertical="center"/>
    </xf>
    <xf numFmtId="0" fontId="0" fillId="0" borderId="0" xfId="0" applyAlignment="1">
      <alignment horizontal="center" vertical="center"/>
    </xf>
    <xf numFmtId="38" fontId="0" fillId="0" borderId="0" xfId="0" applyNumberFormat="1" applyFill="1" applyBorder="1" applyAlignment="1">
      <alignment horizontal="center" vertical="center"/>
    </xf>
    <xf numFmtId="0" fontId="0" fillId="0" borderId="1" xfId="0" applyBorder="1">
      <alignment vertical="center"/>
    </xf>
    <xf numFmtId="38" fontId="0" fillId="0" borderId="2" xfId="0" applyNumberFormat="1" applyFill="1" applyBorder="1" applyAlignment="1">
      <alignment horizontal="center" vertical="center"/>
    </xf>
    <xf numFmtId="0" fontId="5" fillId="4" borderId="0" xfId="34">
      <alignment vertical="center"/>
    </xf>
    <xf numFmtId="0" fontId="8" fillId="5" borderId="0" xfId="28" applyFont="1">
      <alignment vertical="center"/>
    </xf>
    <xf numFmtId="0" fontId="8" fillId="2" borderId="30" xfId="45" applyNumberFormat="1" applyFill="1">
      <alignment vertical="center"/>
    </xf>
    <xf numFmtId="49" fontId="0" fillId="0" borderId="0" xfId="50" applyFont="1" applyBorder="1" applyAlignment="1">
      <alignment vertical="center"/>
    </xf>
    <xf numFmtId="0" fontId="0" fillId="0" borderId="6" xfId="0" applyBorder="1">
      <alignment vertical="center"/>
    </xf>
    <xf numFmtId="0" fontId="9" fillId="0" borderId="0" xfId="56">
      <alignment vertical="center"/>
    </xf>
    <xf numFmtId="0" fontId="6" fillId="0" borderId="0" xfId="57">
      <alignment vertical="center"/>
    </xf>
    <xf numFmtId="0" fontId="9" fillId="0" borderId="0" xfId="56" applyFill="1" applyBorder="1">
      <alignment vertical="center"/>
    </xf>
    <xf numFmtId="0" fontId="9" fillId="0" borderId="2" xfId="56" applyFill="1" applyBorder="1">
      <alignment vertical="center"/>
    </xf>
    <xf numFmtId="187" fontId="0" fillId="0" borderId="0" xfId="41" applyFont="1" applyAlignment="1">
      <alignment vertical="center"/>
    </xf>
    <xf numFmtId="188" fontId="0" fillId="0" borderId="0" xfId="42" applyFont="1">
      <alignment vertical="center"/>
    </xf>
    <xf numFmtId="164" fontId="5" fillId="0" borderId="7" xfId="30" applyNumberFormat="1" applyBorder="1">
      <alignment vertical="center"/>
      <protection locked="0"/>
    </xf>
    <xf numFmtId="0" fontId="9" fillId="0" borderId="0" xfId="58" applyFill="1" applyBorder="1">
      <alignment vertical="center"/>
    </xf>
    <xf numFmtId="0" fontId="9" fillId="0" borderId="0" xfId="58" applyFont="1" applyFill="1">
      <alignment vertical="center"/>
    </xf>
    <xf numFmtId="0" fontId="5" fillId="0" borderId="31" xfId="29">
      <alignment vertical="center"/>
      <protection locked="0"/>
    </xf>
    <xf numFmtId="0" fontId="5" fillId="0" borderId="3" xfId="35">
      <alignment vertical="center"/>
      <protection locked="0"/>
    </xf>
    <xf numFmtId="2" fontId="5" fillId="0" borderId="28" xfId="30" applyNumberFormat="1">
      <alignment vertical="center"/>
      <protection locked="0"/>
    </xf>
    <xf numFmtId="0" fontId="5" fillId="0" borderId="28" xfId="30">
      <alignment vertical="center"/>
      <protection locked="0"/>
    </xf>
    <xf numFmtId="0" fontId="5" fillId="0" borderId="31" xfId="29" applyAlignment="1">
      <alignment horizontal="center" vertical="center"/>
      <protection locked="0"/>
    </xf>
    <xf numFmtId="0" fontId="8" fillId="2" borderId="0" xfId="47" applyFont="1">
      <alignment vertical="center"/>
    </xf>
    <xf numFmtId="0" fontId="5" fillId="13" borderId="0" xfId="32">
      <alignment vertical="center"/>
    </xf>
    <xf numFmtId="0" fontId="8" fillId="0" borderId="0" xfId="0" applyFont="1">
      <alignment vertical="center"/>
    </xf>
    <xf numFmtId="0" fontId="0" fillId="0" borderId="0" xfId="0" applyAlignment="1">
      <alignment horizontal="left" vertical="center" indent="1"/>
    </xf>
    <xf numFmtId="0" fontId="0" fillId="0" borderId="0" xfId="0" applyFont="1" applyAlignment="1">
      <alignment horizontal="left" vertical="center" indent="1"/>
    </xf>
    <xf numFmtId="38" fontId="5" fillId="13" borderId="0" xfId="32" applyNumberFormat="1">
      <alignment vertical="center"/>
    </xf>
    <xf numFmtId="167" fontId="5" fillId="0" borderId="31" xfId="29" applyNumberFormat="1">
      <alignment vertical="center"/>
      <protection locked="0"/>
    </xf>
    <xf numFmtId="38" fontId="0" fillId="0" borderId="0" xfId="0" applyNumberFormat="1">
      <alignment vertical="center"/>
    </xf>
    <xf numFmtId="167" fontId="8" fillId="0" borderId="0" xfId="0" applyNumberFormat="1" applyFont="1">
      <alignment vertical="center"/>
    </xf>
    <xf numFmtId="0" fontId="8" fillId="0" borderId="29" xfId="46" applyNumberFormat="1" applyFont="1">
      <alignment vertical="center"/>
    </xf>
    <xf numFmtId="37" fontId="5" fillId="0" borderId="31" xfId="29" applyNumberFormat="1">
      <alignment vertical="center"/>
      <protection locked="0"/>
    </xf>
    <xf numFmtId="37" fontId="0" fillId="2" borderId="0" xfId="47" applyNumberFormat="1" applyFont="1">
      <alignment vertical="center"/>
    </xf>
    <xf numFmtId="169" fontId="8" fillId="0" borderId="0" xfId="0" applyNumberFormat="1" applyFont="1">
      <alignment vertical="center"/>
    </xf>
    <xf numFmtId="0" fontId="0" fillId="0" borderId="31" xfId="29" applyFont="1" applyAlignment="1">
      <alignment horizontal="center" vertical="center"/>
      <protection locked="0"/>
    </xf>
    <xf numFmtId="41" fontId="0" fillId="2" borderId="0" xfId="47" applyNumberFormat="1" applyFont="1">
      <alignment vertical="center"/>
    </xf>
    <xf numFmtId="189" fontId="5" fillId="0" borderId="31" xfId="29" applyNumberFormat="1">
      <alignment vertical="center"/>
      <protection locked="0"/>
    </xf>
    <xf numFmtId="10" fontId="0" fillId="0" borderId="0" xfId="0" applyNumberFormat="1">
      <alignment vertical="center"/>
    </xf>
    <xf numFmtId="37" fontId="5" fillId="13" borderId="0" xfId="32" applyNumberFormat="1">
      <alignment vertical="center"/>
    </xf>
    <xf numFmtId="38" fontId="35" fillId="10" borderId="0" xfId="33" applyNumberFormat="1">
      <alignment vertical="center"/>
    </xf>
    <xf numFmtId="0" fontId="5" fillId="0" borderId="0" xfId="0" applyFont="1" applyAlignment="1"/>
    <xf numFmtId="0" fontId="0" fillId="0" borderId="0" xfId="0" applyAlignment="1"/>
    <xf numFmtId="0" fontId="16" fillId="8" borderId="9" xfId="5" applyBorder="1">
      <alignment horizontal="centerContinuous" vertical="top"/>
    </xf>
    <xf numFmtId="0" fontId="16" fillId="7" borderId="12" xfId="3" applyBorder="1">
      <alignment horizontal="center" vertical="top" wrapText="1"/>
    </xf>
    <xf numFmtId="0" fontId="5" fillId="0" borderId="3" xfId="35" applyFill="1" applyAlignment="1">
      <alignment horizontal="center" vertical="center"/>
      <protection locked="0"/>
    </xf>
    <xf numFmtId="0" fontId="5" fillId="0" borderId="28" xfId="30" applyFill="1">
      <alignment vertical="center"/>
      <protection locked="0"/>
    </xf>
    <xf numFmtId="0" fontId="8" fillId="0" borderId="0" xfId="0" applyFont="1" applyAlignment="1">
      <alignment vertical="center"/>
    </xf>
    <xf numFmtId="0" fontId="14" fillId="0" borderId="0" xfId="0" applyFont="1">
      <alignment vertical="center"/>
    </xf>
    <xf numFmtId="0" fontId="0" fillId="0" borderId="16" xfId="0" applyBorder="1">
      <alignment vertical="center"/>
    </xf>
    <xf numFmtId="0" fontId="8" fillId="9" borderId="11" xfId="52" applyNumberFormat="1" applyBorder="1" applyAlignment="1">
      <alignment horizontal="centerContinuous" vertical="center"/>
    </xf>
    <xf numFmtId="0" fontId="21" fillId="0" borderId="0" xfId="0" applyFont="1" applyAlignment="1"/>
    <xf numFmtId="0" fontId="0" fillId="0" borderId="0" xfId="0" applyFont="1">
      <alignment vertical="center"/>
    </xf>
    <xf numFmtId="0" fontId="5" fillId="0" borderId="28" xfId="30" applyAlignment="1">
      <alignment horizontal="center" vertical="center"/>
      <protection locked="0"/>
    </xf>
    <xf numFmtId="188" fontId="5" fillId="2" borderId="0" xfId="47" applyNumberFormat="1">
      <alignment vertical="center"/>
    </xf>
    <xf numFmtId="2" fontId="5" fillId="0" borderId="31" xfId="29" applyNumberFormat="1">
      <alignment vertical="center"/>
      <protection locked="0"/>
    </xf>
    <xf numFmtId="3" fontId="5" fillId="0" borderId="31" xfId="29" applyNumberFormat="1">
      <alignment vertical="center"/>
      <protection locked="0"/>
    </xf>
    <xf numFmtId="0" fontId="20" fillId="12" borderId="31" xfId="31" applyNumberFormat="1">
      <alignment vertical="center"/>
      <protection locked="0"/>
    </xf>
    <xf numFmtId="0" fontId="0" fillId="0" borderId="0" xfId="0" applyFont="1" applyAlignment="1">
      <alignment horizontal="left" vertical="center" indent="2"/>
    </xf>
    <xf numFmtId="9" fontId="5" fillId="0" borderId="28" xfId="30" applyNumberFormat="1">
      <alignment vertical="center"/>
      <protection locked="0"/>
    </xf>
    <xf numFmtId="192" fontId="5" fillId="0" borderId="28" xfId="30" applyNumberFormat="1">
      <alignment vertical="center"/>
      <protection locked="0"/>
    </xf>
    <xf numFmtId="2" fontId="5" fillId="13" borderId="0" xfId="32" applyNumberFormat="1">
      <alignment vertical="center"/>
    </xf>
    <xf numFmtId="0" fontId="0" fillId="0" borderId="0" xfId="0" applyFont="1" applyAlignment="1">
      <alignment horizontal="left" vertical="center" indent="3"/>
    </xf>
    <xf numFmtId="194" fontId="5" fillId="0" borderId="31" xfId="29" applyNumberFormat="1">
      <alignment vertical="center"/>
      <protection locked="0"/>
    </xf>
    <xf numFmtId="0" fontId="30" fillId="0" borderId="0" xfId="63">
      <alignment vertical="center"/>
    </xf>
    <xf numFmtId="190" fontId="5" fillId="13" borderId="0" xfId="32" applyNumberFormat="1">
      <alignment vertical="center"/>
    </xf>
    <xf numFmtId="190" fontId="0" fillId="13" borderId="0" xfId="32" quotePrefix="1" applyNumberFormat="1" applyFont="1">
      <alignment vertical="center"/>
    </xf>
    <xf numFmtId="0" fontId="31" fillId="0" borderId="0" xfId="62" applyFont="1" applyAlignment="1">
      <alignment horizontal="center" vertical="center"/>
    </xf>
    <xf numFmtId="0" fontId="16" fillId="8" borderId="0" xfId="4" applyAlignment="1">
      <alignment horizontal="left" vertical="top"/>
    </xf>
    <xf numFmtId="3" fontId="5" fillId="0" borderId="28" xfId="30" applyNumberFormat="1">
      <alignment vertical="center"/>
      <protection locked="0"/>
    </xf>
    <xf numFmtId="4" fontId="5" fillId="0" borderId="31" xfId="29" applyNumberFormat="1" applyAlignment="1">
      <alignment horizontal="center" vertical="center"/>
      <protection locked="0"/>
    </xf>
    <xf numFmtId="0" fontId="20" fillId="12" borderId="31" xfId="31" applyNumberFormat="1" applyAlignment="1">
      <alignment horizontal="center" vertical="center"/>
      <protection locked="0"/>
    </xf>
    <xf numFmtId="37" fontId="8" fillId="11" borderId="0" xfId="40" applyNumberFormat="1" applyFont="1">
      <alignment vertical="center"/>
    </xf>
    <xf numFmtId="0" fontId="32" fillId="0" borderId="0" xfId="62" applyFont="1" applyAlignment="1">
      <alignment vertical="center"/>
    </xf>
    <xf numFmtId="167" fontId="33" fillId="0" borderId="0" xfId="62" applyNumberFormat="1" applyFont="1" applyAlignment="1">
      <alignment vertical="center"/>
    </xf>
    <xf numFmtId="0" fontId="16" fillId="7" borderId="21" xfId="3" applyBorder="1">
      <alignment horizontal="center" vertical="top" wrapText="1"/>
    </xf>
    <xf numFmtId="189" fontId="5" fillId="0" borderId="28" xfId="64" applyNumberFormat="1">
      <alignment vertical="center"/>
      <protection locked="0"/>
    </xf>
    <xf numFmtId="0" fontId="34" fillId="0" borderId="0" xfId="36" applyAlignment="1">
      <alignment horizontal="left" vertical="center"/>
    </xf>
    <xf numFmtId="0" fontId="8" fillId="2" borderId="0" xfId="47" applyFont="1" applyAlignment="1">
      <alignment horizontal="center" vertical="center"/>
    </xf>
    <xf numFmtId="2" fontId="5" fillId="0" borderId="31" xfId="29" applyNumberFormat="1" applyAlignment="1">
      <alignment horizontal="center" vertical="center"/>
      <protection locked="0"/>
    </xf>
    <xf numFmtId="0" fontId="5" fillId="13" borderId="0" xfId="32" applyAlignment="1">
      <alignment horizontal="center" vertical="center"/>
    </xf>
    <xf numFmtId="2" fontId="5" fillId="13" borderId="0" xfId="32" applyNumberFormat="1" applyAlignment="1">
      <alignment horizontal="center" vertical="center"/>
    </xf>
    <xf numFmtId="191" fontId="0" fillId="0" borderId="31" xfId="29" applyNumberFormat="1" applyFont="1" applyAlignment="1">
      <alignment horizontal="center" vertical="center"/>
      <protection locked="0"/>
    </xf>
    <xf numFmtId="39" fontId="8" fillId="11" borderId="0" xfId="40" applyNumberFormat="1" applyFont="1">
      <alignment vertical="center"/>
    </xf>
    <xf numFmtId="0" fontId="0" fillId="0" borderId="0" xfId="0" applyFont="1" applyFill="1" applyBorder="1" applyAlignment="1">
      <alignment horizontal="left" vertical="center" indent="1"/>
    </xf>
    <xf numFmtId="167" fontId="8" fillId="11" borderId="8" xfId="40" applyNumberFormat="1" applyFont="1" applyBorder="1">
      <alignment vertical="center"/>
    </xf>
    <xf numFmtId="0" fontId="5" fillId="2" borderId="0" xfId="47" applyFont="1" applyAlignment="1">
      <alignment horizontal="center" vertical="center"/>
    </xf>
    <xf numFmtId="0" fontId="0" fillId="0" borderId="0" xfId="0" applyAlignment="1">
      <alignment vertical="center" wrapText="1"/>
    </xf>
    <xf numFmtId="10" fontId="5" fillId="0" borderId="31" xfId="29" applyNumberFormat="1" applyAlignment="1">
      <alignment horizontal="center" vertical="center"/>
      <protection locked="0"/>
    </xf>
    <xf numFmtId="191" fontId="5" fillId="13" borderId="0" xfId="32" applyNumberFormat="1" applyAlignment="1">
      <alignment horizontal="center" vertical="center"/>
    </xf>
    <xf numFmtId="0" fontId="5" fillId="13" borderId="0" xfId="32" applyNumberFormat="1" applyAlignment="1">
      <alignment horizontal="center" vertical="center"/>
    </xf>
    <xf numFmtId="195" fontId="0" fillId="0" borderId="0" xfId="0" applyNumberFormat="1">
      <alignment vertical="center"/>
    </xf>
    <xf numFmtId="196" fontId="5" fillId="0" borderId="31" xfId="29" applyNumberFormat="1" applyAlignment="1">
      <alignment horizontal="center" vertical="center"/>
      <protection locked="0"/>
    </xf>
    <xf numFmtId="3" fontId="5" fillId="0" borderId="31" xfId="29" applyNumberFormat="1" applyAlignment="1">
      <alignment horizontal="center" vertical="center"/>
      <protection locked="0"/>
    </xf>
    <xf numFmtId="193" fontId="5" fillId="0" borderId="31" xfId="29" applyNumberFormat="1" applyAlignment="1">
      <alignment horizontal="center" vertical="center"/>
      <protection locked="0"/>
    </xf>
    <xf numFmtId="0" fontId="16" fillId="8" borderId="0" xfId="5" applyAlignment="1">
      <alignment horizontal="centerContinuous" vertical="top" wrapText="1"/>
    </xf>
    <xf numFmtId="0" fontId="16" fillId="8" borderId="23" xfId="5" applyBorder="1">
      <alignment horizontal="centerContinuous" vertical="top"/>
    </xf>
    <xf numFmtId="0" fontId="16" fillId="8" borderId="24" xfId="5" applyBorder="1">
      <alignment horizontal="centerContinuous" vertical="top"/>
    </xf>
    <xf numFmtId="0" fontId="16" fillId="8" borderId="0" xfId="4" applyAlignment="1">
      <alignment horizontal="center" vertical="top" wrapText="1"/>
    </xf>
    <xf numFmtId="0" fontId="8" fillId="9" borderId="0" xfId="52" applyNumberFormat="1" applyAlignment="1">
      <alignment horizontal="center" vertical="top" wrapText="1"/>
    </xf>
    <xf numFmtId="2" fontId="8" fillId="11" borderId="0" xfId="40" applyNumberFormat="1" applyFont="1">
      <alignment vertical="center"/>
    </xf>
    <xf numFmtId="3" fontId="0" fillId="0" borderId="0" xfId="0" applyNumberFormat="1">
      <alignment vertical="center"/>
    </xf>
    <xf numFmtId="0" fontId="16" fillId="8" borderId="0" xfId="4" applyAlignment="1">
      <alignment horizontal="center" vertical="center" wrapText="1"/>
    </xf>
    <xf numFmtId="10" fontId="5" fillId="0" borderId="8" xfId="65" applyNumberFormat="1" applyBorder="1" applyAlignment="1">
      <alignment vertical="center"/>
    </xf>
    <xf numFmtId="10" fontId="8" fillId="0" borderId="29" xfId="46" applyNumberFormat="1" applyFont="1">
      <alignment vertical="center"/>
    </xf>
    <xf numFmtId="1" fontId="5" fillId="0" borderId="28" xfId="30" applyNumberFormat="1" applyAlignment="1">
      <alignment horizontal="center" vertical="center"/>
      <protection locked="0"/>
    </xf>
    <xf numFmtId="1" fontId="0" fillId="0" borderId="0" xfId="0" applyNumberFormat="1" applyAlignment="1">
      <alignment horizontal="center" vertical="center"/>
    </xf>
    <xf numFmtId="2" fontId="20" fillId="12" borderId="31" xfId="31" applyNumberFormat="1" applyAlignment="1">
      <alignment horizontal="center" vertical="center"/>
      <protection locked="0"/>
    </xf>
    <xf numFmtId="2" fontId="8" fillId="11" borderId="0" xfId="40" applyNumberFormat="1" applyFont="1" applyAlignment="1">
      <alignment horizontal="center" vertical="center"/>
    </xf>
    <xf numFmtId="0" fontId="16" fillId="8" borderId="9" xfId="5" applyNumberFormat="1" applyBorder="1" applyAlignment="1">
      <alignment horizontal="centerContinuous" vertical="top" wrapText="1"/>
    </xf>
    <xf numFmtId="4" fontId="20" fillId="12" borderId="31" xfId="31" applyNumberFormat="1" applyAlignment="1">
      <alignment horizontal="center" vertical="center"/>
      <protection locked="0"/>
    </xf>
    <xf numFmtId="0" fontId="16" fillId="7" borderId="22" xfId="3" applyBorder="1">
      <alignment horizontal="center" vertical="top" wrapText="1"/>
    </xf>
    <xf numFmtId="0" fontId="0" fillId="0" borderId="0" xfId="0" applyFill="1" applyBorder="1" applyAlignment="1">
      <alignment horizontal="center" vertical="center"/>
    </xf>
    <xf numFmtId="9" fontId="5" fillId="3" borderId="0" xfId="65" applyFill="1" applyAlignment="1">
      <alignment vertical="center"/>
    </xf>
    <xf numFmtId="3" fontId="20" fillId="12" borderId="31" xfId="31" applyNumberFormat="1">
      <alignment vertical="center"/>
      <protection locked="0"/>
    </xf>
    <xf numFmtId="3" fontId="5" fillId="13" borderId="0" xfId="32" applyNumberFormat="1">
      <alignment vertical="center"/>
    </xf>
    <xf numFmtId="0" fontId="0" fillId="0" borderId="0" xfId="0" applyAlignment="1">
      <alignment horizontal="left" vertical="center" indent="2"/>
    </xf>
    <xf numFmtId="0" fontId="0" fillId="0" borderId="0" xfId="0" applyAlignment="1">
      <alignment horizontal="left" vertical="center" indent="3"/>
    </xf>
    <xf numFmtId="197" fontId="5" fillId="0" borderId="31" xfId="29" applyNumberFormat="1">
      <alignment vertical="center"/>
      <protection locked="0"/>
    </xf>
    <xf numFmtId="0" fontId="0" fillId="0" borderId="31" xfId="29" applyFont="1">
      <alignment vertical="center"/>
      <protection locked="0"/>
    </xf>
    <xf numFmtId="1" fontId="5" fillId="13" borderId="0" xfId="32" applyNumberFormat="1">
      <alignment vertical="center"/>
    </xf>
    <xf numFmtId="3" fontId="8" fillId="11" borderId="0" xfId="40" applyNumberFormat="1" applyFont="1">
      <alignment vertical="center"/>
    </xf>
    <xf numFmtId="3" fontId="5" fillId="11" borderId="0" xfId="40" applyNumberFormat="1" applyFont="1">
      <alignment vertical="center"/>
    </xf>
    <xf numFmtId="10" fontId="5" fillId="0" borderId="31" xfId="29" applyNumberFormat="1" applyAlignment="1">
      <alignment vertical="center"/>
      <protection locked="0"/>
    </xf>
    <xf numFmtId="0" fontId="5" fillId="0" borderId="31" xfId="29" applyAlignment="1">
      <alignment horizontal="center" vertical="center" wrapText="1"/>
      <protection locked="0"/>
    </xf>
    <xf numFmtId="173" fontId="0" fillId="0" borderId="0" xfId="12" applyFont="1" applyAlignment="1">
      <alignment horizontal="center" vertical="center"/>
    </xf>
    <xf numFmtId="0" fontId="16" fillId="8" borderId="26" xfId="5" applyBorder="1">
      <alignment horizontal="centerContinuous" vertical="top"/>
    </xf>
    <xf numFmtId="0" fontId="16" fillId="8" borderId="0" xfId="5" applyBorder="1">
      <alignment horizontal="centerContinuous" vertical="top"/>
    </xf>
    <xf numFmtId="0" fontId="16" fillId="7" borderId="24" xfId="3" applyBorder="1">
      <alignment horizontal="center" vertical="top" wrapText="1"/>
    </xf>
    <xf numFmtId="2" fontId="0" fillId="13" borderId="0" xfId="32" applyNumberFormat="1" applyFont="1">
      <alignment vertical="center"/>
    </xf>
    <xf numFmtId="2" fontId="0" fillId="0" borderId="31" xfId="29" applyNumberFormat="1" applyFont="1" applyAlignment="1">
      <alignment horizontal="center" vertical="center"/>
      <protection locked="0"/>
    </xf>
    <xf numFmtId="2" fontId="0" fillId="0" borderId="0" xfId="0" applyNumberFormat="1">
      <alignment vertical="center"/>
    </xf>
    <xf numFmtId="39" fontId="0" fillId="0" borderId="0" xfId="0" applyNumberFormat="1">
      <alignment vertical="center"/>
    </xf>
    <xf numFmtId="2" fontId="5" fillId="0" borderId="28" xfId="30" applyNumberFormat="1" applyAlignment="1">
      <alignment horizontal="center" vertical="center"/>
      <protection locked="0"/>
    </xf>
    <xf numFmtId="3" fontId="0" fillId="0" borderId="29" xfId="46" applyNumberFormat="1" applyFont="1">
      <alignment vertical="center"/>
    </xf>
    <xf numFmtId="2" fontId="20" fillId="12" borderId="31" xfId="31" applyNumberFormat="1">
      <alignment vertical="center"/>
      <protection locked="0"/>
    </xf>
    <xf numFmtId="0" fontId="16" fillId="7" borderId="27" xfId="3" applyBorder="1">
      <alignment horizontal="center" vertical="top" wrapText="1"/>
    </xf>
    <xf numFmtId="0" fontId="16" fillId="7" borderId="25" xfId="3" applyBorder="1">
      <alignment horizontal="center" vertical="top" wrapText="1"/>
    </xf>
    <xf numFmtId="4" fontId="5" fillId="13" borderId="0" xfId="32" applyNumberFormat="1">
      <alignment vertical="center"/>
    </xf>
    <xf numFmtId="4" fontId="0" fillId="0" borderId="0" xfId="0" applyNumberFormat="1">
      <alignment vertical="center"/>
    </xf>
    <xf numFmtId="10" fontId="0" fillId="0" borderId="0" xfId="65" applyNumberFormat="1" applyFont="1" applyAlignment="1">
      <alignment vertical="center"/>
    </xf>
    <xf numFmtId="9" fontId="0" fillId="0" borderId="0" xfId="65" applyFont="1" applyAlignment="1">
      <alignment vertical="center"/>
    </xf>
    <xf numFmtId="192" fontId="0" fillId="0" borderId="0" xfId="65" applyNumberFormat="1" applyFont="1" applyAlignment="1">
      <alignment vertical="center"/>
    </xf>
    <xf numFmtId="0" fontId="0" fillId="0" borderId="0" xfId="0">
      <alignment vertical="center"/>
    </xf>
    <xf numFmtId="0" fontId="5" fillId="0" borderId="28" xfId="60" applyAlignment="1">
      <alignment horizontal="center" vertical="center"/>
      <protection locked="0"/>
    </xf>
    <xf numFmtId="0" fontId="34" fillId="0" borderId="29" xfId="46" applyNumberFormat="1" applyFont="1">
      <alignment vertical="center"/>
    </xf>
    <xf numFmtId="3" fontId="5" fillId="0" borderId="28" xfId="60" applyNumberFormat="1">
      <alignment vertical="center"/>
      <protection locked="0"/>
    </xf>
    <xf numFmtId="3" fontId="5" fillId="0" borderId="31" xfId="29" applyNumberFormat="1" applyProtection="1">
      <alignment vertical="center"/>
    </xf>
    <xf numFmtId="4" fontId="8" fillId="11" borderId="0" xfId="40" applyNumberFormat="1" applyAlignment="1">
      <alignment horizontal="center" vertical="center"/>
    </xf>
    <xf numFmtId="10" fontId="8" fillId="11" borderId="0" xfId="40" applyNumberFormat="1" applyAlignment="1">
      <alignment vertical="center"/>
    </xf>
    <xf numFmtId="9" fontId="5" fillId="13" borderId="0" xfId="32" applyNumberFormat="1" applyAlignment="1">
      <alignment vertical="center"/>
    </xf>
    <xf numFmtId="192" fontId="5" fillId="13" borderId="0" xfId="32" applyNumberFormat="1" applyAlignment="1">
      <alignment vertical="center"/>
    </xf>
    <xf numFmtId="0" fontId="5" fillId="0" borderId="28" xfId="60">
      <alignment vertical="center"/>
      <protection locked="0"/>
    </xf>
    <xf numFmtId="15" fontId="5" fillId="0" borderId="0" xfId="27" applyNumberFormat="1" applyFont="1" applyAlignment="1">
      <alignment horizontal="left" vertical="center" indent="1"/>
    </xf>
    <xf numFmtId="0" fontId="16" fillId="7" borderId="0" xfId="3" applyAlignment="1">
      <alignment horizontal="center" vertical="top" wrapText="1"/>
    </xf>
    <xf numFmtId="3" fontId="8" fillId="0" borderId="29" xfId="46" applyNumberFormat="1" applyFont="1">
      <alignment vertical="center"/>
    </xf>
    <xf numFmtId="9" fontId="8" fillId="0" borderId="29" xfId="46" applyNumberFormat="1" applyFont="1" applyAlignment="1">
      <alignment horizontal="center" vertical="center"/>
    </xf>
    <xf numFmtId="3" fontId="20" fillId="12" borderId="31" xfId="31" applyNumberFormat="1" applyAlignment="1">
      <alignment horizontal="center" vertical="center"/>
      <protection locked="0"/>
    </xf>
    <xf numFmtId="0" fontId="8" fillId="0" borderId="0" xfId="0" applyFont="1" applyFill="1" applyBorder="1" applyAlignment="1">
      <alignment horizontal="center" vertical="center"/>
    </xf>
    <xf numFmtId="4" fontId="8" fillId="11" borderId="0" xfId="40" applyNumberFormat="1" applyFont="1">
      <alignment vertical="center"/>
    </xf>
    <xf numFmtId="10" fontId="5" fillId="0" borderId="28" xfId="65" applyNumberFormat="1" applyBorder="1" applyAlignment="1" applyProtection="1">
      <alignment vertical="center"/>
      <protection locked="0"/>
    </xf>
    <xf numFmtId="0" fontId="8" fillId="0" borderId="0" xfId="0" applyFont="1" applyAlignment="1">
      <alignment horizontal="center" vertical="center"/>
    </xf>
    <xf numFmtId="10" fontId="5" fillId="13" borderId="0" xfId="32" applyNumberFormat="1" applyAlignment="1">
      <alignment horizontal="center" vertical="center"/>
    </xf>
    <xf numFmtId="10" fontId="5" fillId="0" borderId="31" xfId="65" applyNumberFormat="1" applyBorder="1" applyAlignment="1" applyProtection="1">
      <alignment horizontal="center" vertical="center"/>
      <protection locked="0"/>
    </xf>
    <xf numFmtId="3" fontId="8" fillId="0" borderId="29" xfId="46" applyNumberFormat="1" applyFont="1" applyAlignment="1">
      <alignment horizontal="center" vertical="center"/>
    </xf>
    <xf numFmtId="10" fontId="8" fillId="0" borderId="29" xfId="46" applyNumberFormat="1" applyFont="1" applyAlignment="1">
      <alignment horizontal="center" vertical="center"/>
    </xf>
    <xf numFmtId="10" fontId="0" fillId="0" borderId="31" xfId="65" applyNumberFormat="1" applyFont="1" applyBorder="1" applyAlignment="1" applyProtection="1">
      <alignment horizontal="center" vertical="center"/>
      <protection locked="0"/>
    </xf>
    <xf numFmtId="200" fontId="0" fillId="0" borderId="0" xfId="0" applyNumberFormat="1">
      <alignment vertical="center"/>
    </xf>
    <xf numFmtId="198" fontId="8" fillId="11" borderId="0" xfId="40" applyNumberFormat="1" applyAlignment="1">
      <alignment vertical="center"/>
    </xf>
    <xf numFmtId="9" fontId="0" fillId="0" borderId="0" xfId="0" applyNumberFormat="1">
      <alignment vertical="center"/>
    </xf>
    <xf numFmtId="200" fontId="8" fillId="11" borderId="0" xfId="40" applyNumberFormat="1" applyFont="1">
      <alignment vertical="center"/>
    </xf>
    <xf numFmtId="0" fontId="22" fillId="0" borderId="0" xfId="0" applyFont="1">
      <alignment vertical="center"/>
    </xf>
    <xf numFmtId="1" fontId="5" fillId="13" borderId="0" xfId="32" applyNumberFormat="1" applyAlignment="1">
      <alignment horizontal="center" vertical="center"/>
    </xf>
    <xf numFmtId="10" fontId="20" fillId="12" borderId="31" xfId="31" applyNumberFormat="1" applyAlignment="1">
      <alignment horizontal="center" vertical="center"/>
      <protection locked="0"/>
    </xf>
    <xf numFmtId="0" fontId="27" fillId="0" borderId="0" xfId="0" applyFont="1">
      <alignment vertical="center"/>
    </xf>
    <xf numFmtId="0" fontId="8" fillId="0" borderId="0" xfId="0" applyFont="1" applyAlignment="1">
      <alignment horizontal="right" vertical="center"/>
    </xf>
    <xf numFmtId="0" fontId="8" fillId="0" borderId="3" xfId="35" applyFont="1" applyFill="1" applyAlignment="1">
      <alignment horizontal="center" vertical="center"/>
      <protection locked="0"/>
    </xf>
    <xf numFmtId="3" fontId="5" fillId="13" borderId="0" xfId="32" applyNumberFormat="1" applyAlignment="1">
      <alignment horizontal="center" vertical="center"/>
    </xf>
    <xf numFmtId="10" fontId="8" fillId="11" borderId="0" xfId="40" applyNumberFormat="1">
      <alignment vertical="center"/>
    </xf>
    <xf numFmtId="3" fontId="5" fillId="2" borderId="0" xfId="47" applyNumberFormat="1" applyAlignment="1">
      <alignment horizontal="center" vertical="center"/>
    </xf>
    <xf numFmtId="10" fontId="8" fillId="2" borderId="0" xfId="47" applyNumberFormat="1" applyFont="1">
      <alignment vertical="center"/>
    </xf>
    <xf numFmtId="0" fontId="5" fillId="13" borderId="0" xfId="32" applyAlignment="1">
      <alignment horizontal="left" vertical="center"/>
    </xf>
    <xf numFmtId="0" fontId="0" fillId="0" borderId="0" xfId="0">
      <alignment vertical="center"/>
    </xf>
    <xf numFmtId="0" fontId="8" fillId="2" borderId="0" xfId="47" applyFont="1">
      <alignment vertical="center"/>
    </xf>
    <xf numFmtId="0" fontId="0" fillId="0" borderId="0" xfId="0">
      <alignment vertical="center"/>
    </xf>
    <xf numFmtId="0" fontId="0" fillId="0" borderId="0" xfId="0" applyAlignment="1">
      <alignment horizontal="center" vertical="center"/>
    </xf>
    <xf numFmtId="0" fontId="8" fillId="2" borderId="0" xfId="47" applyFont="1">
      <alignment vertical="center"/>
    </xf>
    <xf numFmtId="0" fontId="0" fillId="2" borderId="0" xfId="47" applyFont="1">
      <alignment vertical="center"/>
    </xf>
    <xf numFmtId="0" fontId="0" fillId="0" borderId="0" xfId="0" applyAlignment="1">
      <alignment vertical="center"/>
    </xf>
    <xf numFmtId="0" fontId="5" fillId="0" borderId="3" xfId="35">
      <alignment vertical="center"/>
      <protection locked="0"/>
    </xf>
    <xf numFmtId="0" fontId="16" fillId="7" borderId="0" xfId="3">
      <alignment horizontal="center" vertical="top" wrapText="1"/>
    </xf>
    <xf numFmtId="2" fontId="5" fillId="0" borderId="31" xfId="29" applyNumberFormat="1" applyAlignment="1">
      <alignment horizontal="center" vertical="center"/>
      <protection locked="0"/>
    </xf>
    <xf numFmtId="0" fontId="0" fillId="0" borderId="29" xfId="46" applyNumberFormat="1" applyFont="1">
      <alignment vertical="center"/>
    </xf>
    <xf numFmtId="0" fontId="16" fillId="7" borderId="22" xfId="3" applyBorder="1">
      <alignment horizontal="center" vertical="top" wrapText="1"/>
    </xf>
    <xf numFmtId="0" fontId="5" fillId="0" borderId="3" xfId="35" applyAlignment="1">
      <alignment horizontal="center" vertical="center"/>
      <protection locked="0"/>
    </xf>
    <xf numFmtId="0" fontId="8" fillId="0" borderId="0" xfId="0" applyFont="1" applyAlignment="1">
      <alignment horizontal="center" vertical="center"/>
    </xf>
    <xf numFmtId="10" fontId="5" fillId="13" borderId="0" xfId="65" applyNumberFormat="1" applyFill="1" applyAlignment="1">
      <alignment horizontal="center" vertical="center"/>
    </xf>
    <xf numFmtId="202" fontId="0" fillId="0" borderId="0" xfId="0" applyNumberFormat="1" applyAlignment="1"/>
    <xf numFmtId="10" fontId="35" fillId="10" borderId="0" xfId="65" applyNumberFormat="1" applyFont="1" applyFill="1" applyAlignment="1">
      <alignment vertical="center"/>
    </xf>
    <xf numFmtId="0" fontId="14" fillId="0" borderId="4" xfId="77" applyFont="1">
      <alignment vertical="center"/>
      <protection locked="0"/>
    </xf>
    <xf numFmtId="0" fontId="25" fillId="0" borderId="4" xfId="77" applyFont="1">
      <alignment vertical="center"/>
      <protection locked="0"/>
    </xf>
    <xf numFmtId="43" fontId="5" fillId="0" borderId="28" xfId="59" applyBorder="1" applyAlignment="1" applyProtection="1">
      <alignment vertical="center"/>
      <protection locked="0"/>
    </xf>
    <xf numFmtId="202" fontId="5" fillId="0" borderId="28" xfId="59" applyNumberFormat="1" applyBorder="1" applyAlignment="1" applyProtection="1">
      <alignment vertical="center"/>
      <protection locked="0"/>
    </xf>
    <xf numFmtId="202" fontId="0" fillId="0" borderId="0" xfId="59" applyNumberFormat="1" applyFont="1" applyAlignment="1"/>
    <xf numFmtId="199" fontId="0" fillId="0" borderId="0" xfId="65" applyNumberFormat="1" applyFont="1" applyAlignment="1">
      <alignment vertical="center"/>
    </xf>
    <xf numFmtId="202" fontId="0" fillId="0" borderId="0" xfId="59" applyNumberFormat="1" applyFont="1" applyAlignment="1">
      <alignment vertical="center"/>
    </xf>
    <xf numFmtId="202" fontId="0" fillId="0" borderId="0" xfId="0" applyNumberFormat="1">
      <alignment vertical="center"/>
    </xf>
    <xf numFmtId="2" fontId="5" fillId="21" borderId="31" xfId="29" applyNumberFormat="1" applyFill="1" applyAlignment="1">
      <alignment horizontal="center" vertical="center"/>
      <protection locked="0"/>
    </xf>
    <xf numFmtId="2" fontId="5" fillId="0" borderId="31" xfId="29" applyNumberFormat="1" applyFill="1" applyAlignment="1">
      <alignment horizontal="center" vertical="center"/>
      <protection locked="0"/>
    </xf>
    <xf numFmtId="9" fontId="0" fillId="0" borderId="29" xfId="65" applyFont="1" applyBorder="1" applyAlignment="1">
      <alignment vertical="center"/>
    </xf>
    <xf numFmtId="0" fontId="37" fillId="0" borderId="4" xfId="77" applyFont="1">
      <alignment vertical="center"/>
      <protection locked="0"/>
    </xf>
    <xf numFmtId="0" fontId="0" fillId="21" borderId="0" xfId="0" applyFill="1">
      <alignment vertical="center"/>
    </xf>
    <xf numFmtId="0" fontId="8" fillId="21" borderId="0" xfId="0" applyFont="1" applyFill="1">
      <alignment vertical="center"/>
    </xf>
    <xf numFmtId="202" fontId="20" fillId="12" borderId="31" xfId="59" applyNumberFormat="1" applyFont="1" applyFill="1" applyBorder="1" applyAlignment="1" applyProtection="1">
      <alignment horizontal="left" vertical="center"/>
      <protection locked="0"/>
    </xf>
    <xf numFmtId="9" fontId="8" fillId="0" borderId="33" xfId="65" applyFont="1" applyFill="1" applyBorder="1" applyAlignment="1" applyProtection="1">
      <alignment vertical="center"/>
      <protection locked="0"/>
    </xf>
    <xf numFmtId="170" fontId="5" fillId="0" borderId="28" xfId="7" applyNumberFormat="1" applyFill="1" applyBorder="1" applyAlignment="1" applyProtection="1">
      <alignment vertical="center"/>
      <protection locked="0"/>
    </xf>
    <xf numFmtId="0" fontId="16" fillId="7" borderId="0" xfId="3" applyAlignment="1">
      <alignment horizontal="centerContinuous" vertical="top" wrapText="1"/>
    </xf>
    <xf numFmtId="0" fontId="8" fillId="0" borderId="31" xfId="29" applyFont="1" applyAlignment="1">
      <alignment horizontal="left" vertical="center"/>
      <protection locked="0"/>
    </xf>
    <xf numFmtId="0" fontId="5" fillId="21" borderId="31" xfId="29" applyFill="1" applyProtection="1">
      <alignment vertical="center"/>
    </xf>
    <xf numFmtId="0" fontId="5" fillId="0" borderId="31" xfId="29" applyProtection="1">
      <alignment vertical="center"/>
    </xf>
    <xf numFmtId="10" fontId="5" fillId="21" borderId="31" xfId="29" applyNumberFormat="1" applyFill="1">
      <alignment vertical="center"/>
      <protection locked="0"/>
    </xf>
    <xf numFmtId="10" fontId="5" fillId="21" borderId="31" xfId="29" applyNumberFormat="1" applyFill="1" applyAlignment="1">
      <alignment horizontal="center" vertical="center"/>
      <protection locked="0"/>
    </xf>
    <xf numFmtId="0" fontId="8" fillId="0" borderId="0" xfId="0" applyFont="1" applyFill="1">
      <alignment vertical="center"/>
    </xf>
    <xf numFmtId="0" fontId="5" fillId="0" borderId="31" xfId="29" applyFill="1" applyProtection="1">
      <alignment vertical="center"/>
    </xf>
    <xf numFmtId="4" fontId="5" fillId="0" borderId="31" xfId="29" applyNumberFormat="1" applyFill="1" applyAlignment="1">
      <alignment horizontal="center" vertical="center"/>
      <protection locked="0"/>
    </xf>
    <xf numFmtId="3" fontId="5" fillId="0" borderId="31" xfId="29" applyNumberFormat="1" applyFill="1" applyAlignment="1">
      <alignment horizontal="center" vertical="center"/>
      <protection locked="0"/>
    </xf>
    <xf numFmtId="0" fontId="16" fillId="7" borderId="0" xfId="3" applyBorder="1">
      <alignment horizontal="center" vertical="top" wrapText="1"/>
    </xf>
    <xf numFmtId="0" fontId="0" fillId="0" borderId="0" xfId="0" applyFill="1" applyBorder="1">
      <alignment vertical="center"/>
    </xf>
    <xf numFmtId="9" fontId="0" fillId="0" borderId="0" xfId="65" applyNumberFormat="1" applyFont="1" applyAlignment="1">
      <alignment vertical="center"/>
    </xf>
    <xf numFmtId="191" fontId="5" fillId="0" borderId="31" xfId="29" applyNumberFormat="1" applyAlignment="1">
      <alignment horizontal="center" vertical="center"/>
      <protection locked="0"/>
    </xf>
    <xf numFmtId="193" fontId="8" fillId="11" borderId="8" xfId="40" applyNumberFormat="1" applyBorder="1">
      <alignment vertical="center"/>
    </xf>
    <xf numFmtId="0" fontId="0" fillId="0" borderId="0" xfId="0" applyFill="1" applyAlignment="1">
      <alignment horizontal="left" vertical="center" indent="1"/>
    </xf>
    <xf numFmtId="0" fontId="0" fillId="0" borderId="0" xfId="0" applyFill="1" applyAlignment="1">
      <alignment horizontal="center" vertical="center"/>
    </xf>
    <xf numFmtId="2" fontId="5" fillId="0" borderId="0" xfId="65" applyNumberFormat="1" applyFont="1" applyFill="1" applyAlignment="1">
      <alignment horizontal="center" vertical="center"/>
    </xf>
    <xf numFmtId="193" fontId="5" fillId="0" borderId="31" xfId="29" applyNumberFormat="1" applyFill="1" applyAlignment="1">
      <alignment horizontal="center" vertical="center"/>
      <protection locked="0"/>
    </xf>
    <xf numFmtId="10" fontId="5" fillId="0" borderId="31" xfId="29" applyNumberFormat="1" applyFill="1" applyAlignment="1">
      <alignment horizontal="center" vertical="center"/>
      <protection locked="0"/>
    </xf>
    <xf numFmtId="0" fontId="5" fillId="13" borderId="0" xfId="32" applyFill="1">
      <alignment vertical="center"/>
    </xf>
    <xf numFmtId="37" fontId="0" fillId="0" borderId="0" xfId="0" applyNumberFormat="1">
      <alignment vertical="center"/>
    </xf>
    <xf numFmtId="43" fontId="0" fillId="0" borderId="0" xfId="0" applyNumberFormat="1">
      <alignment vertical="center"/>
    </xf>
    <xf numFmtId="190" fontId="5" fillId="0" borderId="31" xfId="29" applyNumberFormat="1" applyAlignment="1">
      <alignment horizontal="center" vertical="center"/>
      <protection locked="0"/>
    </xf>
    <xf numFmtId="198" fontId="8" fillId="0" borderId="31" xfId="29" applyNumberFormat="1" applyFont="1">
      <alignment vertical="center"/>
      <protection locked="0"/>
    </xf>
    <xf numFmtId="0" fontId="5" fillId="21" borderId="0" xfId="30" applyFill="1" applyBorder="1">
      <alignment vertical="center"/>
      <protection locked="0"/>
    </xf>
    <xf numFmtId="0" fontId="0" fillId="21" borderId="0" xfId="30" applyFont="1" applyFill="1" applyBorder="1">
      <alignment vertical="center"/>
      <protection locked="0"/>
    </xf>
    <xf numFmtId="2" fontId="0" fillId="13" borderId="0" xfId="32" applyNumberFormat="1" applyFont="1" applyAlignment="1">
      <alignment horizontal="center" vertical="center"/>
    </xf>
    <xf numFmtId="0" fontId="0" fillId="21" borderId="29" xfId="46" applyNumberFormat="1" applyFont="1" applyFill="1">
      <alignment vertical="center"/>
    </xf>
    <xf numFmtId="0" fontId="0" fillId="0" borderId="0" xfId="46" applyNumberFormat="1" applyFont="1" applyBorder="1">
      <alignment vertical="center"/>
    </xf>
    <xf numFmtId="0" fontId="0" fillId="21" borderId="0" xfId="46" applyNumberFormat="1" applyFont="1" applyFill="1" applyBorder="1">
      <alignment vertical="center"/>
    </xf>
    <xf numFmtId="9" fontId="39" fillId="21" borderId="0" xfId="89" applyNumberFormat="1" applyFill="1" applyAlignment="1">
      <alignment vertical="center"/>
    </xf>
    <xf numFmtId="0" fontId="8" fillId="21" borderId="0" xfId="0" applyFont="1" applyFill="1" applyBorder="1">
      <alignment vertical="center"/>
    </xf>
    <xf numFmtId="0" fontId="0" fillId="21" borderId="0" xfId="0" applyFill="1" applyBorder="1">
      <alignment vertical="center"/>
    </xf>
    <xf numFmtId="194" fontId="5" fillId="21" borderId="0" xfId="32" applyNumberFormat="1" applyFill="1" applyBorder="1">
      <alignment vertical="center"/>
    </xf>
    <xf numFmtId="1" fontId="20" fillId="25" borderId="0" xfId="31" applyNumberFormat="1" applyFill="1" applyBorder="1">
      <alignment vertical="center"/>
      <protection locked="0"/>
    </xf>
    <xf numFmtId="10" fontId="5" fillId="13" borderId="0" xfId="32" applyNumberFormat="1" applyAlignment="1">
      <alignment vertical="center"/>
    </xf>
    <xf numFmtId="0" fontId="41" fillId="0" borderId="0" xfId="0" applyFont="1" applyFill="1" applyBorder="1" applyAlignment="1"/>
    <xf numFmtId="0" fontId="42" fillId="0" borderId="0" xfId="0" applyFont="1" applyFill="1" applyBorder="1" applyAlignment="1"/>
    <xf numFmtId="202" fontId="42" fillId="0" borderId="0" xfId="59" applyNumberFormat="1" applyFont="1" applyFill="1" applyBorder="1"/>
    <xf numFmtId="0" fontId="14" fillId="0" borderId="4" xfId="77" applyFont="1" applyFill="1">
      <alignment vertical="center"/>
      <protection locked="0"/>
    </xf>
    <xf numFmtId="197" fontId="20" fillId="0" borderId="31" xfId="29" applyNumberFormat="1" applyFont="1">
      <alignment vertical="center"/>
      <protection locked="0"/>
    </xf>
    <xf numFmtId="0" fontId="0" fillId="0" borderId="29" xfId="46" applyNumberFormat="1" applyFont="1" applyAlignment="1">
      <alignment horizontal="centerContinuous" vertical="center"/>
    </xf>
    <xf numFmtId="0" fontId="0" fillId="0" borderId="0" xfId="0" applyAlignment="1">
      <alignment horizontal="centerContinuous" vertical="center"/>
    </xf>
    <xf numFmtId="1" fontId="5" fillId="0" borderId="34" xfId="30" applyNumberFormat="1" applyBorder="1" applyAlignment="1">
      <alignment horizontal="center" vertical="center"/>
      <protection locked="0"/>
    </xf>
    <xf numFmtId="0" fontId="5" fillId="0" borderId="3" xfId="67" applyAlignment="1">
      <alignment horizontal="center" vertical="center"/>
      <protection locked="0"/>
    </xf>
    <xf numFmtId="0" fontId="37" fillId="0" borderId="3" xfId="67" applyFont="1" applyAlignment="1">
      <alignment horizontal="center" vertical="center"/>
      <protection locked="0"/>
    </xf>
    <xf numFmtId="0" fontId="37" fillId="0" borderId="4" xfId="77" applyFont="1" applyAlignment="1">
      <alignment vertical="center"/>
      <protection locked="0"/>
    </xf>
    <xf numFmtId="2" fontId="5" fillId="0" borderId="4" xfId="77" applyNumberFormat="1" applyAlignment="1">
      <alignment vertical="center"/>
      <protection locked="0"/>
    </xf>
    <xf numFmtId="167" fontId="0" fillId="0" borderId="31" xfId="29" applyNumberFormat="1" applyFont="1">
      <alignment vertical="center"/>
      <protection locked="0"/>
    </xf>
    <xf numFmtId="37" fontId="0" fillId="0" borderId="31" xfId="29" applyNumberFormat="1" applyFont="1">
      <alignment vertical="center"/>
      <protection locked="0"/>
    </xf>
    <xf numFmtId="0" fontId="5" fillId="0" borderId="4" xfId="77">
      <alignment vertical="center"/>
      <protection locked="0"/>
    </xf>
    <xf numFmtId="0" fontId="5" fillId="0" borderId="31" xfId="29" applyAlignment="1">
      <alignment horizontal="left" vertical="center"/>
      <protection locked="0"/>
    </xf>
    <xf numFmtId="0" fontId="5" fillId="0" borderId="3" xfId="35" applyFont="1">
      <alignment vertical="center"/>
      <protection locked="0"/>
    </xf>
    <xf numFmtId="0" fontId="5" fillId="0" borderId="31" xfId="29" applyFont="1">
      <alignment vertical="center"/>
      <protection locked="0"/>
    </xf>
    <xf numFmtId="0" fontId="0" fillId="0" borderId="0" xfId="0" applyAlignment="1">
      <alignment horizontal="left" vertical="center"/>
    </xf>
    <xf numFmtId="0" fontId="0" fillId="0" borderId="0" xfId="0" applyNumberFormat="1">
      <alignment vertical="center"/>
    </xf>
    <xf numFmtId="0" fontId="5" fillId="0" borderId="31" xfId="29" applyFill="1">
      <alignment vertical="center"/>
      <protection locked="0"/>
    </xf>
    <xf numFmtId="0" fontId="0" fillId="0" borderId="0" xfId="0" applyFill="1" applyAlignment="1">
      <alignment vertical="center" wrapText="1"/>
    </xf>
    <xf numFmtId="202" fontId="5" fillId="0" borderId="4" xfId="59" applyNumberFormat="1" applyBorder="1" applyAlignment="1" applyProtection="1">
      <alignment vertical="center"/>
      <protection locked="0"/>
    </xf>
    <xf numFmtId="0" fontId="43" fillId="8" borderId="0" xfId="5" applyFont="1">
      <alignment horizontal="centerContinuous" vertical="top"/>
    </xf>
    <xf numFmtId="0" fontId="0" fillId="0" borderId="31" xfId="29" applyFont="1" applyFill="1" applyProtection="1">
      <alignment vertical="center"/>
    </xf>
    <xf numFmtId="0" fontId="0" fillId="21" borderId="31" xfId="29" applyFont="1" applyFill="1" applyProtection="1">
      <alignment vertical="center"/>
    </xf>
    <xf numFmtId="9" fontId="5" fillId="12" borderId="31" xfId="65" applyFont="1" applyFill="1" applyBorder="1" applyAlignment="1" applyProtection="1">
      <alignment horizontal="center" vertical="center"/>
      <protection locked="0"/>
    </xf>
    <xf numFmtId="0" fontId="27" fillId="7" borderId="0" xfId="3" applyFont="1">
      <alignment horizontal="center" vertical="top" wrapText="1"/>
    </xf>
    <xf numFmtId="9" fontId="22" fillId="0" borderId="0" xfId="65" applyFont="1" applyAlignment="1">
      <alignment horizontal="center" vertical="center"/>
    </xf>
    <xf numFmtId="10" fontId="22" fillId="12" borderId="31" xfId="31" applyNumberFormat="1" applyFont="1" applyAlignment="1">
      <alignment horizontal="center" vertical="center"/>
      <protection locked="0"/>
    </xf>
    <xf numFmtId="0" fontId="5" fillId="0" borderId="0" xfId="29" applyBorder="1" applyAlignment="1">
      <alignment horizontal="left" vertical="center"/>
      <protection locked="0"/>
    </xf>
    <xf numFmtId="43" fontId="5" fillId="0" borderId="31" xfId="59" applyBorder="1" applyAlignment="1" applyProtection="1">
      <alignment horizontal="center" vertical="center"/>
      <protection locked="0"/>
    </xf>
    <xf numFmtId="0" fontId="14" fillId="0" borderId="0" xfId="30" applyFont="1" applyFill="1" applyBorder="1">
      <alignment vertical="center"/>
      <protection locked="0"/>
    </xf>
    <xf numFmtId="0" fontId="0" fillId="0" borderId="31" xfId="29" applyFont="1" applyProtection="1">
      <alignment vertical="center"/>
    </xf>
    <xf numFmtId="0" fontId="16" fillId="7" borderId="25" xfId="3" applyBorder="1" applyAlignment="1">
      <alignment horizontal="center" vertical="center" wrapText="1"/>
    </xf>
    <xf numFmtId="0" fontId="5" fillId="0" borderId="28" xfId="60" applyFill="1">
      <alignment vertical="center"/>
      <protection locked="0"/>
    </xf>
    <xf numFmtId="1" fontId="5" fillId="0" borderId="3" xfId="35" applyNumberFormat="1" applyAlignment="1">
      <alignment horizontal="center" vertical="center" wrapText="1"/>
      <protection locked="0"/>
    </xf>
    <xf numFmtId="0" fontId="44" fillId="0" borderId="29" xfId="46" applyNumberFormat="1" applyFont="1">
      <alignment vertical="center"/>
    </xf>
    <xf numFmtId="0" fontId="36" fillId="0" borderId="0" xfId="88" applyFont="1" applyBorder="1">
      <alignment vertical="center"/>
      <protection locked="0"/>
    </xf>
    <xf numFmtId="0" fontId="14" fillId="0" borderId="0" xfId="77" applyFont="1" applyBorder="1">
      <alignment vertical="center"/>
      <protection locked="0"/>
    </xf>
    <xf numFmtId="202" fontId="8" fillId="0" borderId="0" xfId="59" applyNumberFormat="1" applyFont="1" applyFill="1" applyBorder="1" applyAlignment="1" applyProtection="1">
      <alignment vertical="center"/>
      <protection locked="0"/>
    </xf>
    <xf numFmtId="3" fontId="5" fillId="0" borderId="31" xfId="29" applyNumberFormat="1" applyAlignment="1" applyProtection="1">
      <alignment horizontal="center" vertical="center"/>
    </xf>
    <xf numFmtId="0" fontId="16" fillId="8" borderId="0" xfId="4" applyBorder="1" applyAlignment="1">
      <alignment horizontal="center" vertical="center" wrapText="1"/>
    </xf>
    <xf numFmtId="0" fontId="22" fillId="0" borderId="0" xfId="0" applyFont="1" applyFill="1" applyBorder="1">
      <alignment vertical="center"/>
    </xf>
    <xf numFmtId="0" fontId="27" fillId="0" borderId="0" xfId="52" applyNumberFormat="1" applyFont="1" applyFill="1" applyBorder="1" applyAlignment="1">
      <alignment horizontal="center" vertical="top" wrapText="1"/>
    </xf>
    <xf numFmtId="0" fontId="27" fillId="0" borderId="0" xfId="4" applyFont="1" applyFill="1" applyBorder="1" applyAlignment="1">
      <alignment horizontal="center" vertical="center" wrapText="1"/>
    </xf>
    <xf numFmtId="0" fontId="27" fillId="0" borderId="0" xfId="4" applyFont="1" applyFill="1" applyBorder="1">
      <alignment horizontal="left" vertical="top" wrapText="1"/>
    </xf>
    <xf numFmtId="0" fontId="27" fillId="0" borderId="0" xfId="0" applyFont="1" applyFill="1" applyBorder="1" applyAlignment="1">
      <alignment horizontal="center" vertical="center"/>
    </xf>
    <xf numFmtId="0" fontId="22" fillId="0" borderId="0" xfId="47" applyFont="1" applyFill="1" applyBorder="1">
      <alignment vertical="center"/>
    </xf>
    <xf numFmtId="2" fontId="22" fillId="0" borderId="0" xfId="31" applyNumberFormat="1" applyFont="1" applyFill="1" applyBorder="1">
      <alignment vertical="center"/>
      <protection locked="0"/>
    </xf>
    <xf numFmtId="2" fontId="27" fillId="0" borderId="0" xfId="40" applyNumberFormat="1" applyFont="1" applyFill="1" applyBorder="1">
      <alignment vertical="center"/>
    </xf>
    <xf numFmtId="0" fontId="16" fillId="0" borderId="0" xfId="3" applyFill="1" applyBorder="1">
      <alignment horizontal="center" vertical="top" wrapText="1"/>
    </xf>
    <xf numFmtId="203" fontId="22" fillId="0" borderId="0" xfId="59" applyNumberFormat="1" applyFont="1" applyFill="1" applyAlignment="1">
      <alignment vertical="center"/>
    </xf>
    <xf numFmtId="9" fontId="0" fillId="0" borderId="0" xfId="65" applyFont="1" applyFill="1" applyAlignment="1">
      <alignment vertical="center"/>
    </xf>
    <xf numFmtId="0" fontId="16" fillId="7" borderId="23" xfId="3" applyBorder="1">
      <alignment horizontal="center" vertical="top" wrapText="1"/>
    </xf>
    <xf numFmtId="0" fontId="27" fillId="0" borderId="0" xfId="3" applyFont="1" applyFill="1" applyBorder="1">
      <alignment horizontal="center" vertical="top" wrapText="1"/>
    </xf>
    <xf numFmtId="2" fontId="22" fillId="0" borderId="0" xfId="31" applyNumberFormat="1" applyFont="1" applyFill="1" applyBorder="1" applyAlignment="1">
      <alignment horizontal="center" vertical="center"/>
      <protection locked="0"/>
    </xf>
    <xf numFmtId="2" fontId="22" fillId="0" borderId="0" xfId="29" applyNumberFormat="1" applyFont="1" applyFill="1" applyBorder="1" applyAlignment="1" applyProtection="1">
      <alignment horizontal="center" vertical="center"/>
    </xf>
    <xf numFmtId="2" fontId="27" fillId="0" borderId="0" xfId="40" applyNumberFormat="1" applyFont="1" applyFill="1" applyBorder="1" applyAlignment="1">
      <alignment horizontal="center" vertical="center"/>
    </xf>
    <xf numFmtId="203" fontId="22" fillId="0" borderId="0" xfId="59" applyNumberFormat="1" applyFont="1" applyFill="1" applyBorder="1" applyAlignment="1">
      <alignment vertical="center"/>
    </xf>
    <xf numFmtId="9" fontId="0" fillId="0" borderId="0" xfId="65" applyFont="1" applyFill="1" applyBorder="1" applyAlignment="1">
      <alignment vertical="center"/>
    </xf>
    <xf numFmtId="194" fontId="20" fillId="0" borderId="0" xfId="31" applyNumberFormat="1" applyFill="1" applyBorder="1">
      <alignment vertical="center"/>
      <protection locked="0"/>
    </xf>
    <xf numFmtId="0" fontId="8" fillId="0" borderId="0" xfId="0" applyFont="1" applyFill="1" applyBorder="1">
      <alignment vertical="center"/>
    </xf>
    <xf numFmtId="194" fontId="5" fillId="0" borderId="0" xfId="32" applyNumberFormat="1" applyFill="1" applyBorder="1">
      <alignment vertical="center"/>
    </xf>
    <xf numFmtId="9" fontId="0" fillId="13" borderId="0" xfId="65" applyFont="1" applyFill="1" applyAlignment="1">
      <alignment horizontal="center" vertical="center"/>
    </xf>
    <xf numFmtId="202" fontId="22" fillId="0" borderId="0" xfId="59" applyNumberFormat="1" applyFont="1" applyAlignment="1">
      <alignment vertical="center"/>
    </xf>
    <xf numFmtId="3" fontId="8" fillId="0" borderId="31" xfId="29" applyNumberFormat="1" applyFont="1" applyFill="1" applyAlignment="1">
      <alignment horizontal="center" vertical="center"/>
      <protection locked="0"/>
    </xf>
    <xf numFmtId="3" fontId="8" fillId="0" borderId="0" xfId="46" applyNumberFormat="1" applyFont="1" applyFill="1" applyBorder="1">
      <alignment vertical="center"/>
    </xf>
    <xf numFmtId="3" fontId="8" fillId="0" borderId="31" xfId="29" applyNumberFormat="1" applyFont="1" applyAlignment="1">
      <alignment horizontal="center" vertical="center"/>
      <protection locked="0"/>
    </xf>
    <xf numFmtId="3" fontId="5" fillId="13" borderId="0" xfId="32" applyNumberFormat="1" applyFont="1" applyAlignment="1">
      <alignment horizontal="center" vertical="center"/>
    </xf>
    <xf numFmtId="3" fontId="5" fillId="0" borderId="28" xfId="30" applyNumberFormat="1" applyFont="1" applyAlignment="1">
      <alignment horizontal="center" vertical="center"/>
      <protection locked="0"/>
    </xf>
    <xf numFmtId="17" fontId="0" fillId="0" borderId="0" xfId="0" applyNumberFormat="1" applyFont="1">
      <alignment vertical="center"/>
    </xf>
    <xf numFmtId="4" fontId="35" fillId="10" borderId="0" xfId="33" applyNumberFormat="1" applyFont="1">
      <alignment vertical="center"/>
    </xf>
    <xf numFmtId="43" fontId="35" fillId="10" borderId="0" xfId="59" applyFont="1" applyFill="1" applyAlignment="1">
      <alignment vertical="center"/>
    </xf>
    <xf numFmtId="0" fontId="20" fillId="0" borderId="31" xfId="31" applyNumberFormat="1" applyFill="1" applyAlignment="1">
      <alignment horizontal="center" vertical="center"/>
      <protection locked="0"/>
    </xf>
    <xf numFmtId="2" fontId="5" fillId="3" borderId="0" xfId="79" applyNumberFormat="1" applyAlignment="1">
      <alignment horizontal="center" vertical="center"/>
    </xf>
    <xf numFmtId="2" fontId="5" fillId="0" borderId="0" xfId="30" applyNumberFormat="1" applyFill="1" applyBorder="1" applyAlignment="1">
      <alignment horizontal="center" vertical="center"/>
      <protection locked="0"/>
    </xf>
    <xf numFmtId="0" fontId="0" fillId="0" borderId="0" xfId="0" applyFont="1" applyAlignment="1">
      <alignment horizontal="center" vertical="center"/>
    </xf>
    <xf numFmtId="2" fontId="5" fillId="0" borderId="0" xfId="59" applyNumberFormat="1" applyFont="1" applyFill="1" applyAlignment="1">
      <alignment vertical="center"/>
    </xf>
    <xf numFmtId="2" fontId="5" fillId="0" borderId="0" xfId="0" applyNumberFormat="1" applyFont="1">
      <alignment vertical="center"/>
    </xf>
    <xf numFmtId="2" fontId="0" fillId="0" borderId="0" xfId="0" applyNumberFormat="1" applyFill="1">
      <alignment vertical="center"/>
    </xf>
    <xf numFmtId="4" fontId="45" fillId="0" borderId="0" xfId="0" applyNumberFormat="1" applyFont="1">
      <alignment vertical="center"/>
    </xf>
    <xf numFmtId="10" fontId="45" fillId="0" borderId="0" xfId="65" applyNumberFormat="1" applyFont="1" applyAlignment="1">
      <alignment vertical="center"/>
    </xf>
    <xf numFmtId="193" fontId="0" fillId="0" borderId="0" xfId="0" applyNumberFormat="1">
      <alignment vertical="center"/>
    </xf>
    <xf numFmtId="204" fontId="0" fillId="0" borderId="0" xfId="0" applyNumberFormat="1">
      <alignment vertical="center"/>
    </xf>
    <xf numFmtId="205" fontId="0" fillId="0" borderId="0" xfId="0" applyNumberFormat="1">
      <alignment vertical="center"/>
    </xf>
    <xf numFmtId="198" fontId="0" fillId="11" borderId="0" xfId="40" applyNumberFormat="1" applyFont="1">
      <alignment vertical="center"/>
    </xf>
    <xf numFmtId="9" fontId="0" fillId="21" borderId="0" xfId="46" applyNumberFormat="1" applyFont="1" applyFill="1" applyBorder="1">
      <alignment vertical="center"/>
    </xf>
    <xf numFmtId="0" fontId="5" fillId="21" borderId="0" xfId="29" applyFill="1" applyBorder="1" applyProtection="1">
      <alignment vertical="center"/>
    </xf>
    <xf numFmtId="3" fontId="5" fillId="21" borderId="0" xfId="29" applyNumberFormat="1" applyFill="1" applyBorder="1">
      <alignment vertical="center"/>
      <protection locked="0"/>
    </xf>
    <xf numFmtId="3" fontId="0" fillId="21" borderId="0" xfId="29" applyNumberFormat="1" applyFont="1" applyFill="1" applyBorder="1">
      <alignment vertical="center"/>
      <protection locked="0"/>
    </xf>
    <xf numFmtId="3" fontId="5" fillId="2" borderId="0" xfId="47" applyNumberFormat="1" applyFont="1" applyAlignment="1">
      <alignment horizontal="left" vertical="center"/>
    </xf>
    <xf numFmtId="198" fontId="5" fillId="0" borderId="0" xfId="65" applyNumberFormat="1" applyBorder="1" applyAlignment="1">
      <alignment vertical="center"/>
    </xf>
    <xf numFmtId="0" fontId="8" fillId="27" borderId="0" xfId="3" applyFont="1" applyFill="1" applyBorder="1">
      <alignment horizontal="center" vertical="top" wrapText="1"/>
    </xf>
    <xf numFmtId="0" fontId="5" fillId="21" borderId="0" xfId="47" applyFont="1" applyFill="1" applyBorder="1">
      <alignment vertical="center"/>
    </xf>
    <xf numFmtId="2" fontId="5" fillId="25" borderId="0" xfId="31" applyNumberFormat="1" applyFont="1" applyFill="1" applyBorder="1">
      <alignment vertical="center"/>
      <protection locked="0"/>
    </xf>
    <xf numFmtId="9" fontId="5" fillId="0" borderId="0" xfId="29" applyNumberFormat="1" applyFill="1" applyBorder="1" applyAlignment="1">
      <alignment horizontal="center" vertical="center"/>
      <protection locked="0"/>
    </xf>
    <xf numFmtId="0" fontId="9" fillId="0" borderId="0" xfId="58" applyFill="1">
      <alignment vertical="center"/>
    </xf>
    <xf numFmtId="0" fontId="4" fillId="2" borderId="0" xfId="85" applyFont="1">
      <alignment vertical="center"/>
    </xf>
    <xf numFmtId="0" fontId="5" fillId="2" borderId="0" xfId="85" applyFont="1">
      <alignment vertical="center"/>
    </xf>
    <xf numFmtId="0" fontId="16" fillId="20" borderId="0" xfId="72">
      <alignment horizontal="center" vertical="top" wrapText="1"/>
    </xf>
    <xf numFmtId="0" fontId="16" fillId="20" borderId="12" xfId="72" applyBorder="1">
      <alignment horizontal="center" vertical="top" wrapText="1"/>
    </xf>
    <xf numFmtId="0" fontId="50" fillId="0" borderId="0" xfId="0" applyFont="1" applyAlignment="1"/>
    <xf numFmtId="0" fontId="36" fillId="0" borderId="4" xfId="77" applyFont="1">
      <alignment vertical="center"/>
      <protection locked="0"/>
    </xf>
    <xf numFmtId="2" fontId="37" fillId="0" borderId="4" xfId="77" applyNumberFormat="1" applyFont="1">
      <alignment vertical="center"/>
      <protection locked="0"/>
    </xf>
    <xf numFmtId="0" fontId="37" fillId="0" borderId="0" xfId="0" applyFont="1">
      <alignment vertical="center"/>
    </xf>
    <xf numFmtId="0" fontId="16" fillId="20" borderId="14" xfId="72" applyBorder="1">
      <alignment horizontal="center" vertical="top" wrapText="1"/>
    </xf>
    <xf numFmtId="0" fontId="16" fillId="20" borderId="15" xfId="72" applyBorder="1">
      <alignment horizontal="center" vertical="top" wrapText="1"/>
    </xf>
    <xf numFmtId="0" fontId="52" fillId="0" borderId="4" xfId="77" applyFont="1">
      <alignment vertical="center"/>
      <protection locked="0"/>
    </xf>
    <xf numFmtId="0" fontId="51" fillId="0" borderId="3" xfId="67" applyFont="1" applyAlignment="1">
      <alignment horizontal="center" vertical="center"/>
      <protection locked="0"/>
    </xf>
    <xf numFmtId="43" fontId="51" fillId="0" borderId="4" xfId="59" applyFont="1" applyBorder="1" applyAlignment="1" applyProtection="1">
      <alignment vertical="center"/>
      <protection locked="0"/>
    </xf>
    <xf numFmtId="0" fontId="51" fillId="0" borderId="4" xfId="77" applyFont="1">
      <alignment vertical="center"/>
      <protection locked="0"/>
    </xf>
    <xf numFmtId="43" fontId="37" fillId="23" borderId="4" xfId="59" applyFont="1" applyFill="1" applyBorder="1" applyAlignment="1" applyProtection="1">
      <alignment vertical="center"/>
      <protection locked="0"/>
    </xf>
    <xf numFmtId="43" fontId="37" fillId="0" borderId="4" xfId="59" applyFont="1" applyBorder="1" applyAlignment="1" applyProtection="1">
      <alignment vertical="center"/>
      <protection locked="0"/>
    </xf>
    <xf numFmtId="0" fontId="22" fillId="0" borderId="0" xfId="0" applyFont="1" applyAlignment="1"/>
    <xf numFmtId="0" fontId="24" fillId="0" borderId="4" xfId="77" applyFont="1">
      <alignment vertical="center"/>
      <protection locked="0"/>
    </xf>
    <xf numFmtId="0" fontId="16" fillId="20" borderId="17" xfId="72" applyBorder="1">
      <alignment horizontal="center" vertical="top" wrapText="1"/>
    </xf>
    <xf numFmtId="0" fontId="37" fillId="23" borderId="4" xfId="77" applyFont="1" applyFill="1">
      <alignment vertical="center"/>
      <protection locked="0"/>
    </xf>
    <xf numFmtId="191" fontId="37" fillId="21" borderId="4" xfId="77" applyNumberFormat="1" applyFont="1" applyFill="1">
      <alignment vertical="center"/>
      <protection locked="0"/>
    </xf>
    <xf numFmtId="0" fontId="14" fillId="21" borderId="0" xfId="0" applyFont="1" applyFill="1">
      <alignment vertical="center"/>
    </xf>
    <xf numFmtId="202" fontId="5" fillId="2" borderId="0" xfId="85" applyNumberFormat="1" applyFont="1">
      <alignment vertical="center"/>
    </xf>
    <xf numFmtId="0" fontId="8" fillId="3" borderId="0" xfId="79" applyFont="1">
      <alignment vertical="center"/>
    </xf>
    <xf numFmtId="0" fontId="20" fillId="0" borderId="4" xfId="77" applyFont="1" applyAlignment="1">
      <alignment vertical="center" wrapText="1"/>
      <protection locked="0"/>
    </xf>
    <xf numFmtId="202" fontId="20" fillId="12" borderId="31" xfId="31" applyNumberFormat="1">
      <alignment vertical="center"/>
      <protection locked="0"/>
    </xf>
    <xf numFmtId="0" fontId="9" fillId="0" borderId="0" xfId="58" applyFill="1" applyBorder="1" applyAlignment="1">
      <alignment horizontal="center" vertical="center"/>
    </xf>
    <xf numFmtId="206" fontId="8" fillId="0" borderId="0" xfId="0" applyNumberFormat="1" applyFont="1">
      <alignment vertical="center"/>
    </xf>
    <xf numFmtId="0" fontId="16" fillId="7" borderId="0" xfId="3" applyAlignment="1">
      <alignment horizontal="left" vertical="top"/>
    </xf>
    <xf numFmtId="0" fontId="53" fillId="0" borderId="29" xfId="46" applyNumberFormat="1" applyFont="1">
      <alignment vertical="center"/>
    </xf>
    <xf numFmtId="0" fontId="0" fillId="0" borderId="0" xfId="0" applyFill="1" applyAlignment="1">
      <alignment horizontal="left" vertical="center"/>
    </xf>
    <xf numFmtId="2" fontId="34" fillId="0" borderId="0" xfId="36" applyNumberFormat="1">
      <alignment vertical="center"/>
    </xf>
    <xf numFmtId="2" fontId="5" fillId="0" borderId="4" xfId="77" applyNumberFormat="1">
      <alignment vertical="center"/>
      <protection locked="0"/>
    </xf>
    <xf numFmtId="2" fontId="0" fillId="0" borderId="28" xfId="30" applyNumberFormat="1" applyFont="1">
      <alignment vertical="center"/>
      <protection locked="0"/>
    </xf>
    <xf numFmtId="1" fontId="38" fillId="0" borderId="0" xfId="59" applyNumberFormat="1" applyFont="1" applyAlignment="1">
      <alignment vertical="center"/>
    </xf>
    <xf numFmtId="15" fontId="0" fillId="0" borderId="0" xfId="0" applyNumberFormat="1">
      <alignment vertical="center"/>
    </xf>
    <xf numFmtId="2" fontId="5" fillId="0" borderId="31" xfId="29" applyNumberFormat="1" applyFont="1" applyAlignment="1">
      <alignment horizontal="center" vertical="center"/>
      <protection locked="0"/>
    </xf>
    <xf numFmtId="1" fontId="0" fillId="0" borderId="0" xfId="0" applyNumberFormat="1">
      <alignment vertical="center"/>
    </xf>
    <xf numFmtId="0" fontId="5" fillId="0" borderId="31" xfId="29" applyFill="1" applyAlignment="1">
      <alignment horizontal="left" vertical="center"/>
      <protection locked="0"/>
    </xf>
    <xf numFmtId="0" fontId="0" fillId="0" borderId="0" xfId="29" applyFont="1" applyFill="1" applyBorder="1" applyAlignment="1">
      <alignment horizontal="left" vertical="center"/>
      <protection locked="0"/>
    </xf>
    <xf numFmtId="9" fontId="40" fillId="0" borderId="0" xfId="89" applyNumberFormat="1" applyFont="1" applyFill="1" applyAlignment="1">
      <alignment vertical="center"/>
    </xf>
    <xf numFmtId="0" fontId="5" fillId="0" borderId="3" xfId="35" applyFill="1">
      <alignment vertical="center"/>
      <protection locked="0"/>
    </xf>
    <xf numFmtId="43" fontId="5" fillId="0" borderId="0" xfId="59" applyFill="1" applyBorder="1" applyAlignment="1" applyProtection="1">
      <alignment horizontal="center" vertical="center"/>
      <protection locked="0"/>
    </xf>
    <xf numFmtId="2" fontId="0" fillId="0" borderId="0" xfId="32" applyNumberFormat="1" applyFont="1" applyFill="1">
      <alignment vertical="center"/>
    </xf>
    <xf numFmtId="9" fontId="0" fillId="0" borderId="0" xfId="65" applyFont="1" applyFill="1" applyAlignment="1">
      <alignment horizontal="center" vertical="center"/>
    </xf>
    <xf numFmtId="2" fontId="0" fillId="0" borderId="0" xfId="40" applyNumberFormat="1" applyFont="1" applyFill="1" applyAlignment="1">
      <alignment horizontal="center" vertical="center"/>
    </xf>
    <xf numFmtId="10" fontId="5" fillId="0" borderId="0" xfId="65" applyNumberFormat="1" applyFill="1" applyBorder="1" applyAlignment="1">
      <alignment vertical="center"/>
    </xf>
    <xf numFmtId="2" fontId="0" fillId="0" borderId="31" xfId="29" applyNumberFormat="1" applyFont="1" applyFill="1" applyAlignment="1">
      <alignment horizontal="center" vertical="center"/>
      <protection locked="0"/>
    </xf>
    <xf numFmtId="0" fontId="34" fillId="0" borderId="0" xfId="36" applyFill="1" applyAlignment="1">
      <alignment horizontal="left" vertical="center"/>
    </xf>
    <xf numFmtId="3" fontId="5" fillId="5" borderId="31" xfId="29" applyNumberFormat="1" applyFill="1">
      <alignment vertical="center"/>
      <protection locked="0"/>
    </xf>
    <xf numFmtId="191" fontId="0" fillId="0" borderId="31" xfId="29" applyNumberFormat="1" applyFont="1" applyFill="1" applyAlignment="1">
      <alignment horizontal="center" vertical="center"/>
      <protection locked="0"/>
    </xf>
    <xf numFmtId="170" fontId="5" fillId="0" borderId="28" xfId="7" applyNumberFormat="1" applyFont="1" applyFill="1" applyBorder="1" applyAlignment="1" applyProtection="1">
      <alignment vertical="center"/>
      <protection locked="0"/>
    </xf>
    <xf numFmtId="10" fontId="0" fillId="0" borderId="0" xfId="0" applyNumberFormat="1" applyBorder="1">
      <alignment vertical="center"/>
    </xf>
    <xf numFmtId="3" fontId="5" fillId="0" borderId="8" xfId="65" applyNumberFormat="1" applyBorder="1" applyAlignment="1">
      <alignment vertical="center"/>
    </xf>
    <xf numFmtId="3" fontId="0" fillId="0" borderId="0" xfId="0" applyNumberFormat="1" applyFill="1">
      <alignment vertical="center"/>
    </xf>
    <xf numFmtId="10" fontId="5" fillId="0" borderId="0" xfId="65" applyNumberFormat="1" applyBorder="1" applyAlignment="1">
      <alignment vertical="center"/>
    </xf>
    <xf numFmtId="1" fontId="5" fillId="0" borderId="0" xfId="65" applyNumberFormat="1" applyBorder="1" applyAlignment="1">
      <alignment vertical="center"/>
    </xf>
    <xf numFmtId="1" fontId="0" fillId="0" borderId="0" xfId="0" applyNumberFormat="1" applyFill="1" applyBorder="1">
      <alignment vertical="center"/>
    </xf>
    <xf numFmtId="198" fontId="8" fillId="0" borderId="0" xfId="29" applyNumberFormat="1" applyFont="1" applyBorder="1">
      <alignment vertical="center"/>
      <protection locked="0"/>
    </xf>
    <xf numFmtId="190" fontId="8" fillId="11" borderId="0" xfId="40" applyNumberFormat="1">
      <alignment vertical="center"/>
    </xf>
    <xf numFmtId="190" fontId="8" fillId="11" borderId="0" xfId="40" applyNumberFormat="1" applyFont="1">
      <alignment vertical="center"/>
    </xf>
    <xf numFmtId="190" fontId="8" fillId="28" borderId="0" xfId="40" applyNumberFormat="1" applyFont="1" applyFill="1">
      <alignment vertical="center"/>
    </xf>
    <xf numFmtId="190" fontId="8" fillId="28" borderId="0" xfId="40" applyNumberFormat="1" applyFont="1" applyFill="1" applyAlignment="1">
      <alignment horizontal="center" vertical="center"/>
    </xf>
    <xf numFmtId="0" fontId="16" fillId="30" borderId="40" xfId="74" applyFill="1" applyBorder="1" applyAlignment="1">
      <alignment horizontal="left" vertical="center"/>
    </xf>
    <xf numFmtId="0" fontId="16" fillId="30" borderId="0" xfId="74" applyFill="1" applyAlignment="1">
      <alignment vertical="center"/>
    </xf>
    <xf numFmtId="0" fontId="16" fillId="20" borderId="19" xfId="72" applyBorder="1" applyAlignment="1">
      <alignment horizontal="center" vertical="center" wrapText="1"/>
    </xf>
    <xf numFmtId="0" fontId="16" fillId="20" borderId="41" xfId="72" applyBorder="1" applyAlignment="1">
      <alignment horizontal="center" vertical="center" wrapText="1"/>
    </xf>
    <xf numFmtId="0" fontId="16" fillId="20" borderId="42" xfId="72" applyBorder="1" applyAlignment="1">
      <alignment horizontal="center" vertical="center" wrapText="1"/>
    </xf>
    <xf numFmtId="0" fontId="16" fillId="20" borderId="43" xfId="72" applyBorder="1" applyAlignment="1">
      <alignment horizontal="center" vertical="center" wrapText="1"/>
    </xf>
    <xf numFmtId="0" fontId="16" fillId="20" borderId="44" xfId="72" applyBorder="1" applyAlignment="1">
      <alignment horizontal="center" vertical="center" wrapText="1"/>
    </xf>
    <xf numFmtId="0" fontId="0" fillId="0" borderId="38" xfId="77" applyFont="1" applyBorder="1">
      <alignment vertical="center"/>
      <protection locked="0"/>
    </xf>
    <xf numFmtId="43" fontId="37" fillId="21" borderId="4" xfId="59" applyFont="1" applyFill="1" applyBorder="1" applyAlignment="1" applyProtection="1">
      <alignment vertical="center"/>
      <protection locked="0"/>
    </xf>
    <xf numFmtId="0" fontId="5" fillId="0" borderId="4" xfId="77" applyAlignment="1">
      <alignment horizontal="center" vertical="center"/>
      <protection locked="0"/>
    </xf>
    <xf numFmtId="0" fontId="0" fillId="0" borderId="45" xfId="77" applyFont="1" applyBorder="1">
      <alignment vertical="center"/>
      <protection locked="0"/>
    </xf>
    <xf numFmtId="0" fontId="16" fillId="20" borderId="46" xfId="72" applyBorder="1">
      <alignment horizontal="center" vertical="top" wrapText="1"/>
    </xf>
    <xf numFmtId="0" fontId="16" fillId="20" borderId="24" xfId="72" applyBorder="1" applyAlignment="1">
      <alignment horizontal="center" vertical="center" wrapText="1"/>
    </xf>
    <xf numFmtId="0" fontId="16" fillId="20" borderId="22" xfId="72" applyBorder="1" applyAlignment="1">
      <alignment horizontal="center" vertical="center" wrapText="1"/>
    </xf>
    <xf numFmtId="43" fontId="37" fillId="0" borderId="4" xfId="59" applyFont="1" applyFill="1" applyBorder="1" applyAlignment="1" applyProtection="1">
      <alignment vertical="center"/>
      <protection locked="0"/>
    </xf>
    <xf numFmtId="0" fontId="55" fillId="0" borderId="4" xfId="77" applyFont="1">
      <alignment vertical="center"/>
      <protection locked="0"/>
    </xf>
    <xf numFmtId="0" fontId="0" fillId="0" borderId="4" xfId="77" applyFont="1" applyAlignment="1">
      <alignment horizontal="right" vertical="center"/>
      <protection locked="0"/>
    </xf>
    <xf numFmtId="2" fontId="0" fillId="0" borderId="4" xfId="77" applyNumberFormat="1" applyFont="1" applyAlignment="1">
      <alignment horizontal="right" vertical="center"/>
      <protection locked="0"/>
    </xf>
    <xf numFmtId="0" fontId="10" fillId="0" borderId="45" xfId="77" applyFont="1" applyBorder="1" applyAlignment="1">
      <alignment vertical="center"/>
      <protection locked="0"/>
    </xf>
    <xf numFmtId="0" fontId="58" fillId="0" borderId="0" xfId="0" applyFont="1" applyAlignment="1"/>
    <xf numFmtId="0" fontId="35" fillId="21" borderId="0" xfId="0" applyFont="1" applyFill="1" applyAlignment="1">
      <alignment horizontal="center" vertical="center"/>
    </xf>
    <xf numFmtId="0" fontId="59" fillId="0" borderId="47" xfId="26" applyFont="1" applyBorder="1" applyAlignment="1">
      <alignment vertical="center"/>
    </xf>
    <xf numFmtId="0" fontId="0" fillId="0" borderId="48" xfId="0" applyBorder="1">
      <alignment vertical="center"/>
    </xf>
    <xf numFmtId="0" fontId="0" fillId="0" borderId="49" xfId="0" applyBorder="1">
      <alignment vertical="center"/>
    </xf>
    <xf numFmtId="0" fontId="60" fillId="21" borderId="0" xfId="86" applyNumberFormat="1" applyFont="1" applyFill="1" applyAlignment="1">
      <alignment vertical="center"/>
    </xf>
    <xf numFmtId="0" fontId="61" fillId="21" borderId="0" xfId="0" applyFont="1" applyFill="1">
      <alignment vertical="center"/>
    </xf>
    <xf numFmtId="0" fontId="62" fillId="19" borderId="50" xfId="86" applyNumberFormat="1" applyFont="1" applyBorder="1" applyAlignment="1">
      <alignment vertical="center"/>
    </xf>
    <xf numFmtId="0" fontId="62" fillId="19" borderId="51" xfId="86" applyNumberFormat="1" applyFont="1" applyBorder="1" applyAlignment="1">
      <alignment vertical="center"/>
    </xf>
    <xf numFmtId="0" fontId="60" fillId="21" borderId="52" xfId="26" applyFont="1" applyFill="1" applyBorder="1" applyAlignment="1">
      <alignment vertical="top"/>
    </xf>
    <xf numFmtId="0" fontId="60" fillId="21" borderId="52" xfId="26" applyFont="1" applyFill="1" applyBorder="1" applyAlignment="1">
      <alignment vertical="center"/>
    </xf>
    <xf numFmtId="0" fontId="63" fillId="18" borderId="53" xfId="86" applyNumberFormat="1" applyFont="1" applyFill="1" applyBorder="1" applyAlignment="1">
      <alignment vertical="center"/>
    </xf>
    <xf numFmtId="0" fontId="63" fillId="18" borderId="54" xfId="86" applyNumberFormat="1" applyFont="1" applyFill="1" applyBorder="1" applyAlignment="1">
      <alignment vertical="center"/>
    </xf>
    <xf numFmtId="0" fontId="65" fillId="20" borderId="59" xfId="72" applyFont="1" applyBorder="1" applyAlignment="1">
      <alignment vertical="center" wrapText="1"/>
    </xf>
    <xf numFmtId="0" fontId="65" fillId="20" borderId="60" xfId="72" applyFont="1" applyBorder="1" applyAlignment="1">
      <alignment vertical="center" wrapText="1"/>
    </xf>
    <xf numFmtId="0" fontId="65" fillId="20" borderId="61" xfId="72" applyFont="1" applyBorder="1" applyAlignment="1">
      <alignment vertical="center" wrapText="1"/>
    </xf>
    <xf numFmtId="0" fontId="60" fillId="32" borderId="47" xfId="26" applyFont="1" applyFill="1" applyBorder="1" applyAlignment="1">
      <alignment vertical="center"/>
    </xf>
    <xf numFmtId="0" fontId="60" fillId="32" borderId="48" xfId="26" applyFont="1" applyFill="1" applyBorder="1" applyAlignment="1">
      <alignment vertical="center"/>
    </xf>
    <xf numFmtId="0" fontId="60" fillId="32" borderId="49" xfId="26" applyFont="1" applyFill="1" applyBorder="1" applyAlignment="1">
      <alignment vertical="center"/>
    </xf>
    <xf numFmtId="0" fontId="60" fillId="33" borderId="47" xfId="26" applyFont="1" applyFill="1" applyBorder="1" applyAlignment="1">
      <alignment vertical="center"/>
    </xf>
    <xf numFmtId="0" fontId="60" fillId="33" borderId="48" xfId="26" applyFont="1" applyFill="1" applyBorder="1" applyAlignment="1">
      <alignment vertical="center"/>
    </xf>
    <xf numFmtId="0" fontId="21" fillId="0" borderId="0" xfId="0" applyFont="1" applyAlignment="1">
      <alignment horizontal="center" vertical="center"/>
    </xf>
    <xf numFmtId="0" fontId="16" fillId="20" borderId="0" xfId="72" applyAlignment="1">
      <alignment horizontal="center" vertical="center" wrapText="1"/>
    </xf>
    <xf numFmtId="0" fontId="16" fillId="20" borderId="17" xfId="72" applyBorder="1" applyAlignment="1">
      <alignment horizontal="center" vertical="center" wrapText="1"/>
    </xf>
    <xf numFmtId="0" fontId="16" fillId="20" borderId="13" xfId="72" applyBorder="1" applyAlignment="1">
      <alignment horizontal="center" vertical="center" wrapText="1"/>
    </xf>
    <xf numFmtId="0" fontId="16" fillId="20" borderId="21" xfId="72" applyBorder="1" applyAlignment="1">
      <alignment horizontal="center" vertical="center" wrapText="1"/>
    </xf>
    <xf numFmtId="0" fontId="16" fillId="20" borderId="18" xfId="72" applyBorder="1" applyAlignment="1">
      <alignment horizontal="center" vertical="center" wrapText="1"/>
    </xf>
    <xf numFmtId="0" fontId="16" fillId="20" borderId="62" xfId="72" applyBorder="1" applyAlignment="1">
      <alignment horizontal="center" vertical="center" wrapText="1"/>
    </xf>
    <xf numFmtId="0" fontId="16" fillId="20" borderId="63" xfId="72" applyBorder="1" applyAlignment="1">
      <alignment vertical="center" wrapText="1"/>
    </xf>
    <xf numFmtId="0" fontId="16" fillId="20" borderId="63" xfId="72" applyBorder="1" applyAlignment="1">
      <alignment horizontal="center" vertical="center" wrapText="1"/>
    </xf>
    <xf numFmtId="0" fontId="37" fillId="34" borderId="4" xfId="77" applyFont="1" applyFill="1">
      <alignment vertical="center"/>
      <protection locked="0"/>
    </xf>
    <xf numFmtId="0" fontId="5" fillId="0" borderId="36" xfId="77" applyBorder="1" applyAlignment="1">
      <alignment horizontal="left" vertical="center"/>
      <protection locked="0"/>
    </xf>
    <xf numFmtId="0" fontId="5" fillId="0" borderId="4" xfId="77" applyAlignment="1">
      <alignment horizontal="left" vertical="top"/>
      <protection locked="0"/>
    </xf>
    <xf numFmtId="2" fontId="37" fillId="21" borderId="4" xfId="77" applyNumberFormat="1" applyFont="1" applyFill="1">
      <alignment vertical="center"/>
      <protection locked="0"/>
    </xf>
    <xf numFmtId="0" fontId="10" fillId="0" borderId="45" xfId="77" applyFont="1" applyBorder="1" applyAlignment="1">
      <alignment vertical="center" wrapText="1"/>
      <protection locked="0"/>
    </xf>
    <xf numFmtId="0" fontId="16" fillId="27" borderId="0" xfId="72" applyFill="1" applyAlignment="1">
      <alignment vertical="center" wrapText="1"/>
    </xf>
    <xf numFmtId="0" fontId="66" fillId="21" borderId="0" xfId="0" applyFont="1" applyFill="1">
      <alignment vertical="center"/>
    </xf>
    <xf numFmtId="0" fontId="64" fillId="18" borderId="57" xfId="86" applyNumberFormat="1" applyFont="1" applyFill="1" applyBorder="1" applyAlignment="1">
      <alignment vertical="center" wrapText="1"/>
    </xf>
    <xf numFmtId="0" fontId="64" fillId="18" borderId="9" xfId="86" applyNumberFormat="1" applyFont="1" applyFill="1" applyBorder="1" applyAlignment="1">
      <alignment vertical="center" wrapText="1"/>
    </xf>
    <xf numFmtId="0" fontId="64" fillId="18" borderId="58" xfId="86" applyNumberFormat="1" applyFont="1" applyFill="1" applyBorder="1" applyAlignment="1">
      <alignment vertical="center" wrapText="1"/>
    </xf>
    <xf numFmtId="0" fontId="5" fillId="21" borderId="4" xfId="77" applyFill="1" applyAlignment="1">
      <alignment vertical="center"/>
      <protection locked="0"/>
    </xf>
    <xf numFmtId="43" fontId="5" fillId="0" borderId="4" xfId="59" applyFont="1" applyFill="1" applyBorder="1" applyAlignment="1" applyProtection="1">
      <alignment vertical="center"/>
      <protection locked="0"/>
    </xf>
    <xf numFmtId="0" fontId="5" fillId="0" borderId="4" xfId="77" applyAlignment="1">
      <alignment horizontal="right" vertical="center"/>
      <protection locked="0"/>
    </xf>
    <xf numFmtId="0" fontId="16" fillId="20" borderId="64" xfId="72" applyBorder="1" applyAlignment="1">
      <alignment horizontal="center" vertical="center" wrapText="1"/>
    </xf>
    <xf numFmtId="0" fontId="16" fillId="20" borderId="65" xfId="72" applyBorder="1" applyAlignment="1">
      <alignment horizontal="center" vertical="center" wrapText="1"/>
    </xf>
    <xf numFmtId="0" fontId="10" fillId="0" borderId="4" xfId="77" applyFont="1">
      <alignment vertical="center"/>
      <protection locked="0"/>
    </xf>
    <xf numFmtId="0" fontId="16" fillId="20" borderId="19" xfId="72" applyBorder="1">
      <alignment horizontal="center" vertical="top" wrapText="1"/>
    </xf>
    <xf numFmtId="0" fontId="16" fillId="20" borderId="25" xfId="72" applyBorder="1">
      <alignment horizontal="center" vertical="top" wrapText="1"/>
    </xf>
    <xf numFmtId="202" fontId="5" fillId="0" borderId="38" xfId="59" applyNumberFormat="1" applyBorder="1" applyAlignment="1" applyProtection="1">
      <alignment vertical="center"/>
      <protection locked="0"/>
    </xf>
    <xf numFmtId="202" fontId="22" fillId="0" borderId="0" xfId="59" applyNumberFormat="1" applyFont="1" applyFill="1" applyAlignment="1"/>
    <xf numFmtId="202" fontId="22" fillId="0" borderId="0" xfId="0" applyNumberFormat="1" applyFont="1" applyAlignment="1"/>
    <xf numFmtId="1" fontId="5" fillId="0" borderId="4" xfId="77" applyNumberFormat="1" applyAlignment="1">
      <alignment horizontal="right" vertical="center"/>
      <protection locked="0"/>
    </xf>
    <xf numFmtId="1" fontId="5" fillId="0" borderId="4" xfId="77" applyNumberFormat="1">
      <alignment vertical="center"/>
      <protection locked="0"/>
    </xf>
    <xf numFmtId="0" fontId="16" fillId="20" borderId="0" xfId="72" applyAlignment="1">
      <alignment vertical="center" wrapText="1"/>
    </xf>
    <xf numFmtId="0" fontId="16" fillId="20" borderId="60" xfId="72" applyBorder="1" applyAlignment="1">
      <alignment vertical="center" wrapText="1"/>
    </xf>
    <xf numFmtId="0" fontId="16" fillId="20" borderId="46" xfId="72" applyBorder="1" applyAlignment="1">
      <alignment vertical="center" wrapText="1"/>
    </xf>
    <xf numFmtId="2" fontId="0" fillId="0" borderId="0" xfId="29" applyNumberFormat="1" applyFont="1" applyBorder="1">
      <alignment vertical="center"/>
      <protection locked="0"/>
    </xf>
    <xf numFmtId="202" fontId="5" fillId="0" borderId="0" xfId="59" applyNumberFormat="1" applyBorder="1" applyAlignment="1" applyProtection="1">
      <alignment vertical="center"/>
      <protection locked="0"/>
    </xf>
    <xf numFmtId="0" fontId="43" fillId="7" borderId="0" xfId="3" applyFont="1">
      <alignment horizontal="center" vertical="top" wrapText="1"/>
    </xf>
    <xf numFmtId="0" fontId="5" fillId="0" borderId="0" xfId="29" applyFill="1" applyBorder="1">
      <alignment vertical="center"/>
      <protection locked="0"/>
    </xf>
    <xf numFmtId="0" fontId="68" fillId="0" borderId="0" xfId="77" applyFont="1" applyBorder="1">
      <alignment vertical="center"/>
      <protection locked="0"/>
    </xf>
    <xf numFmtId="0" fontId="38" fillId="0" borderId="0" xfId="0" applyFont="1" applyBorder="1">
      <alignment vertical="center"/>
    </xf>
    <xf numFmtId="10" fontId="38" fillId="0" borderId="0" xfId="65" applyNumberFormat="1" applyFont="1" applyAlignment="1">
      <alignment vertical="center"/>
    </xf>
    <xf numFmtId="0" fontId="0" fillId="35" borderId="0" xfId="0" applyFill="1" applyAlignment="1">
      <alignment horizontal="center" vertical="center" wrapText="1"/>
    </xf>
    <xf numFmtId="0" fontId="5" fillId="0" borderId="3" xfId="67">
      <alignment vertical="center"/>
      <protection locked="0"/>
    </xf>
    <xf numFmtId="0" fontId="69" fillId="0" borderId="0" xfId="0" applyFont="1" applyAlignment="1"/>
    <xf numFmtId="0" fontId="36" fillId="0" borderId="0" xfId="77" applyFont="1" applyBorder="1">
      <alignment vertical="center"/>
      <protection locked="0"/>
    </xf>
    <xf numFmtId="9" fontId="0" fillId="0" borderId="0" xfId="65" applyFont="1" applyBorder="1" applyAlignment="1" applyProtection="1">
      <alignment horizontal="center" vertical="center"/>
      <protection locked="0"/>
    </xf>
    <xf numFmtId="0" fontId="70" fillId="0" borderId="0" xfId="0" applyFont="1">
      <alignment vertical="center"/>
    </xf>
    <xf numFmtId="2" fontId="26" fillId="0" borderId="0" xfId="58" applyNumberFormat="1" applyFont="1" applyFill="1">
      <alignment vertical="center"/>
    </xf>
    <xf numFmtId="2" fontId="9" fillId="0" borderId="0" xfId="58" applyNumberFormat="1" applyFill="1">
      <alignment vertical="center"/>
    </xf>
    <xf numFmtId="2" fontId="4" fillId="2" borderId="0" xfId="85" applyNumberFormat="1" applyFont="1">
      <alignment vertical="center"/>
    </xf>
    <xf numFmtId="2" fontId="5" fillId="2" borderId="0" xfId="85" applyNumberFormat="1" applyFont="1">
      <alignment vertical="center"/>
    </xf>
    <xf numFmtId="2" fontId="5" fillId="0" borderId="0" xfId="0" applyNumberFormat="1" applyFont="1" applyAlignment="1"/>
    <xf numFmtId="2" fontId="0" fillId="0" borderId="0" xfId="0" applyNumberFormat="1" applyAlignment="1"/>
    <xf numFmtId="2" fontId="4" fillId="0" borderId="0" xfId="26" applyNumberFormat="1" applyAlignment="1">
      <alignment vertical="center"/>
    </xf>
    <xf numFmtId="2" fontId="5" fillId="0" borderId="0" xfId="27" applyNumberFormat="1" applyFont="1" applyAlignment="1">
      <alignment vertical="center"/>
    </xf>
    <xf numFmtId="2" fontId="8" fillId="0" borderId="0" xfId="0" applyNumberFormat="1" applyFont="1">
      <alignment vertical="center"/>
    </xf>
    <xf numFmtId="2" fontId="8" fillId="0" borderId="0" xfId="0" applyNumberFormat="1" applyFont="1" applyAlignment="1"/>
    <xf numFmtId="1" fontId="24" fillId="0" borderId="4" xfId="77" applyNumberFormat="1" applyFont="1">
      <alignment vertical="center"/>
      <protection locked="0"/>
    </xf>
    <xf numFmtId="2" fontId="8" fillId="0" borderId="4" xfId="77" applyNumberFormat="1" applyFont="1">
      <alignment vertical="center"/>
      <protection locked="0"/>
    </xf>
    <xf numFmtId="2" fontId="27" fillId="0" borderId="4" xfId="77" applyNumberFormat="1" applyFont="1">
      <alignment vertical="center"/>
      <protection locked="0"/>
    </xf>
    <xf numFmtId="2" fontId="14" fillId="0" borderId="0" xfId="0" applyNumberFormat="1" applyFont="1">
      <alignment vertical="center"/>
    </xf>
    <xf numFmtId="2" fontId="8" fillId="19" borderId="0" xfId="86" applyNumberFormat="1" applyAlignment="1">
      <alignment horizontal="centerContinuous" vertical="top"/>
    </xf>
    <xf numFmtId="2" fontId="8" fillId="19" borderId="10" xfId="86" applyNumberFormat="1" applyBorder="1" applyAlignment="1">
      <alignment horizontal="centerContinuous" vertical="top"/>
    </xf>
    <xf numFmtId="2" fontId="8" fillId="19" borderId="19" xfId="86" applyNumberFormat="1" applyBorder="1" applyAlignment="1">
      <alignment horizontal="centerContinuous" vertical="top" wrapText="1"/>
    </xf>
    <xf numFmtId="2" fontId="16" fillId="20" borderId="0" xfId="72" applyNumberFormat="1">
      <alignment horizontal="center" vertical="top" wrapText="1"/>
    </xf>
    <xf numFmtId="2" fontId="16" fillId="20" borderId="9" xfId="72" applyNumberFormat="1" applyBorder="1">
      <alignment horizontal="center" vertical="top" wrapText="1"/>
    </xf>
    <xf numFmtId="2" fontId="16" fillId="20" borderId="15" xfId="72" applyNumberFormat="1" applyBorder="1">
      <alignment horizontal="center" vertical="top" wrapText="1"/>
    </xf>
    <xf numFmtId="2" fontId="21" fillId="0" borderId="0" xfId="0" applyNumberFormat="1" applyFont="1" applyAlignment="1"/>
    <xf numFmtId="2" fontId="14" fillId="0" borderId="4" xfId="77" applyNumberFormat="1" applyFont="1">
      <alignment vertical="center"/>
      <protection locked="0"/>
    </xf>
    <xf numFmtId="2" fontId="0" fillId="0" borderId="0" xfId="0" applyNumberFormat="1" applyAlignment="1">
      <alignment horizontal="left"/>
    </xf>
    <xf numFmtId="2" fontId="0" fillId="0" borderId="0" xfId="0" applyNumberFormat="1" applyAlignment="1">
      <alignment horizontal="left" indent="1"/>
    </xf>
    <xf numFmtId="2" fontId="59" fillId="0" borderId="68" xfId="26" applyNumberFormat="1" applyFont="1" applyBorder="1" applyAlignment="1">
      <alignment vertical="center"/>
    </xf>
    <xf numFmtId="2" fontId="0" fillId="0" borderId="69" xfId="0" applyNumberFormat="1" applyBorder="1">
      <alignment vertical="center"/>
    </xf>
    <xf numFmtId="2" fontId="0" fillId="0" borderId="70" xfId="0" applyNumberFormat="1" applyBorder="1">
      <alignment vertical="center"/>
    </xf>
    <xf numFmtId="2" fontId="4" fillId="0" borderId="68" xfId="26" applyNumberFormat="1" applyBorder="1" applyAlignment="1">
      <alignment vertical="center"/>
    </xf>
    <xf numFmtId="2" fontId="8" fillId="19" borderId="68" xfId="26" applyNumberFormat="1" applyFont="1" applyFill="1" applyBorder="1" applyAlignment="1">
      <alignment vertical="center"/>
    </xf>
    <xf numFmtId="2" fontId="8" fillId="19" borderId="68" xfId="26" applyNumberFormat="1" applyFont="1" applyFill="1" applyBorder="1" applyAlignment="1">
      <alignment vertical="center" wrapText="1"/>
    </xf>
    <xf numFmtId="2" fontId="14" fillId="21" borderId="4" xfId="77" applyNumberFormat="1" applyFont="1" applyFill="1">
      <alignment vertical="center"/>
      <protection locked="0"/>
    </xf>
    <xf numFmtId="2" fontId="5" fillId="21" borderId="4" xfId="59" applyNumberFormat="1" applyFont="1" applyFill="1" applyBorder="1" applyAlignment="1" applyProtection="1">
      <alignment vertical="center"/>
      <protection locked="0"/>
    </xf>
    <xf numFmtId="2" fontId="5" fillId="21" borderId="4" xfId="77" applyNumberFormat="1" applyFill="1" applyAlignment="1">
      <alignment vertical="center"/>
      <protection locked="0"/>
    </xf>
    <xf numFmtId="2" fontId="5" fillId="21" borderId="4" xfId="77" applyNumberFormat="1" applyFill="1">
      <alignment vertical="center"/>
      <protection locked="0"/>
    </xf>
    <xf numFmtId="2" fontId="5" fillId="21" borderId="4" xfId="77" applyNumberFormat="1" applyFill="1" applyAlignment="1">
      <alignment horizontal="center" vertical="center"/>
      <protection locked="0"/>
    </xf>
    <xf numFmtId="2" fontId="8" fillId="32" borderId="68" xfId="26" applyNumberFormat="1" applyFont="1" applyFill="1" applyBorder="1" applyAlignment="1">
      <alignment vertical="center"/>
    </xf>
    <xf numFmtId="2" fontId="8" fillId="32" borderId="68" xfId="26" applyNumberFormat="1" applyFont="1" applyFill="1" applyBorder="1" applyAlignment="1">
      <alignment vertical="center" wrapText="1"/>
    </xf>
    <xf numFmtId="2" fontId="5" fillId="0" borderId="4" xfId="59" applyNumberFormat="1" applyFont="1" applyBorder="1" applyAlignment="1" applyProtection="1">
      <alignment vertical="center"/>
      <protection locked="0"/>
    </xf>
    <xf numFmtId="2" fontId="8" fillId="33" borderId="68" xfId="26" applyNumberFormat="1" applyFont="1" applyFill="1" applyBorder="1" applyAlignment="1">
      <alignment vertical="center" wrapText="1"/>
    </xf>
    <xf numFmtId="2" fontId="8" fillId="33" borderId="68" xfId="26" applyNumberFormat="1" applyFont="1" applyFill="1" applyBorder="1" applyAlignment="1">
      <alignment vertical="center"/>
    </xf>
    <xf numFmtId="2" fontId="22" fillId="0" borderId="0" xfId="27" applyNumberFormat="1" applyFont="1" applyAlignment="1">
      <alignment vertical="center"/>
    </xf>
    <xf numFmtId="2" fontId="36" fillId="0" borderId="4" xfId="77" applyNumberFormat="1" applyFont="1">
      <alignment vertical="center"/>
      <protection locked="0"/>
    </xf>
    <xf numFmtId="2" fontId="5" fillId="0" borderId="4" xfId="59" applyNumberFormat="1" applyFont="1" applyFill="1" applyBorder="1" applyAlignment="1" applyProtection="1">
      <alignment vertical="center"/>
      <protection locked="0"/>
    </xf>
    <xf numFmtId="2" fontId="36" fillId="21" borderId="4" xfId="77" applyNumberFormat="1" applyFont="1" applyFill="1">
      <alignment vertical="center"/>
      <protection locked="0"/>
    </xf>
    <xf numFmtId="2" fontId="0" fillId="21" borderId="0" xfId="0" applyNumberFormat="1" applyFill="1">
      <alignment vertical="center"/>
    </xf>
    <xf numFmtId="2" fontId="0" fillId="0" borderId="0" xfId="27" applyNumberFormat="1" applyFont="1" applyAlignment="1">
      <alignment vertical="center"/>
    </xf>
    <xf numFmtId="2" fontId="16" fillId="7" borderId="0" xfId="3" applyNumberFormat="1">
      <alignment horizontal="center" vertical="top" wrapText="1"/>
    </xf>
    <xf numFmtId="2" fontId="5" fillId="0" borderId="4" xfId="77" applyNumberFormat="1" applyAlignment="1">
      <alignment horizontal="center" vertical="center"/>
      <protection locked="0"/>
    </xf>
    <xf numFmtId="39" fontId="5" fillId="0" borderId="4" xfId="77" applyNumberFormat="1" applyAlignment="1">
      <alignment horizontal="center" vertical="center"/>
      <protection locked="0"/>
    </xf>
    <xf numFmtId="2" fontId="5" fillId="15" borderId="4" xfId="78" applyNumberFormat="1" applyAlignment="1">
      <alignment horizontal="center" vertical="center"/>
      <protection locked="0"/>
    </xf>
    <xf numFmtId="199" fontId="0" fillId="0" borderId="0" xfId="65" applyNumberFormat="1" applyFont="1" applyAlignment="1"/>
    <xf numFmtId="3" fontId="5" fillId="0" borderId="4" xfId="77" applyNumberFormat="1">
      <alignment vertical="center"/>
      <protection locked="0"/>
    </xf>
    <xf numFmtId="173" fontId="0" fillId="21" borderId="0" xfId="12" applyFont="1" applyFill="1">
      <alignment vertical="center"/>
    </xf>
    <xf numFmtId="169" fontId="0" fillId="0" borderId="0" xfId="7" applyFont="1" applyAlignment="1">
      <alignment vertical="center"/>
    </xf>
    <xf numFmtId="0" fontId="5" fillId="3" borderId="0" xfId="79">
      <alignment vertical="center"/>
    </xf>
    <xf numFmtId="43" fontId="5" fillId="0" borderId="28" xfId="59" applyNumberFormat="1" applyBorder="1" applyAlignment="1" applyProtection="1">
      <alignment vertical="center"/>
      <protection locked="0"/>
    </xf>
    <xf numFmtId="0" fontId="38" fillId="21" borderId="0" xfId="0" applyFont="1" applyFill="1">
      <alignment vertical="center"/>
    </xf>
    <xf numFmtId="0" fontId="35" fillId="27" borderId="0" xfId="3" applyFont="1" applyFill="1" applyAlignment="1">
      <alignment horizontal="centerContinuous" vertical="top" wrapText="1"/>
    </xf>
    <xf numFmtId="0" fontId="16" fillId="27" borderId="0" xfId="3" applyFill="1">
      <alignment horizontal="center" vertical="top" wrapText="1"/>
    </xf>
    <xf numFmtId="170" fontId="5" fillId="21" borderId="0" xfId="7" applyNumberFormat="1" applyFill="1" applyBorder="1" applyAlignment="1" applyProtection="1">
      <alignment vertical="center"/>
      <protection locked="0"/>
    </xf>
    <xf numFmtId="0" fontId="8" fillId="21" borderId="11" xfId="52" applyNumberFormat="1" applyFill="1" applyBorder="1" applyAlignment="1">
      <alignment horizontal="centerContinuous" vertical="center"/>
    </xf>
    <xf numFmtId="1" fontId="5" fillId="0" borderId="28" xfId="30" applyNumberFormat="1" applyAlignment="1">
      <alignment horizontal="center" vertical="center" wrapText="1"/>
      <protection locked="0"/>
    </xf>
    <xf numFmtId="10" fontId="0" fillId="0" borderId="0" xfId="65" applyNumberFormat="1" applyFont="1" applyAlignment="1"/>
    <xf numFmtId="191" fontId="5" fillId="21" borderId="0" xfId="32" applyNumberFormat="1" applyFill="1" applyAlignment="1">
      <alignment horizontal="center" vertical="center"/>
    </xf>
    <xf numFmtId="191" fontId="20" fillId="25" borderId="31" xfId="31" applyNumberFormat="1" applyFill="1" applyAlignment="1">
      <alignment horizontal="center" vertical="center"/>
      <protection locked="0"/>
    </xf>
    <xf numFmtId="10" fontId="5" fillId="0" borderId="28" xfId="30" applyNumberFormat="1">
      <alignment vertical="center"/>
      <protection locked="0"/>
    </xf>
    <xf numFmtId="0" fontId="0" fillId="21" borderId="0" xfId="0" applyFill="1" applyAlignment="1">
      <alignment horizontal="center" vertical="center"/>
    </xf>
    <xf numFmtId="0" fontId="5" fillId="21" borderId="31" xfId="29" applyFill="1">
      <alignment vertical="center"/>
      <protection locked="0"/>
    </xf>
    <xf numFmtId="0" fontId="34" fillId="21" borderId="0" xfId="36" applyFill="1" applyAlignment="1">
      <alignment horizontal="left" vertical="center"/>
    </xf>
    <xf numFmtId="0" fontId="8" fillId="0" borderId="0" xfId="0" applyFont="1" applyAlignment="1">
      <alignment horizontal="left" vertical="top" indent="1"/>
    </xf>
    <xf numFmtId="0" fontId="0" fillId="21" borderId="0" xfId="0" applyFill="1" applyAlignment="1">
      <alignment horizontal="left" vertical="center" indent="1"/>
    </xf>
    <xf numFmtId="191" fontId="0" fillId="21" borderId="31" xfId="29" applyNumberFormat="1" applyFont="1" applyFill="1" applyAlignment="1">
      <alignment horizontal="center" vertical="center"/>
      <protection locked="0"/>
    </xf>
    <xf numFmtId="0" fontId="0" fillId="0" borderId="0" xfId="0" applyAlignment="1">
      <alignment horizontal="right" vertical="center"/>
    </xf>
    <xf numFmtId="0" fontId="5" fillId="0" borderId="28" xfId="30" applyFill="1" applyAlignment="1">
      <alignment horizontal="center" vertical="center"/>
      <protection locked="0"/>
    </xf>
    <xf numFmtId="207" fontId="0" fillId="0" borderId="0" xfId="0" applyNumberFormat="1">
      <alignment vertical="center"/>
    </xf>
    <xf numFmtId="167" fontId="5" fillId="0" borderId="31" xfId="29" applyNumberFormat="1" applyAlignment="1">
      <alignment horizontal="center" vertical="center"/>
      <protection locked="0"/>
    </xf>
    <xf numFmtId="0" fontId="5" fillId="0" borderId="31" xfId="29" applyFill="1" applyAlignment="1">
      <alignment horizontal="center" vertical="center"/>
      <protection locked="0"/>
    </xf>
    <xf numFmtId="10" fontId="5" fillId="21" borderId="28" xfId="30" applyNumberFormat="1" applyFill="1">
      <alignment vertical="center"/>
      <protection locked="0"/>
    </xf>
    <xf numFmtId="167" fontId="5" fillId="21" borderId="28" xfId="30" applyNumberFormat="1" applyFill="1">
      <alignment vertical="center"/>
      <protection locked="0"/>
    </xf>
    <xf numFmtId="207" fontId="34" fillId="0" borderId="0" xfId="65" applyNumberFormat="1" applyFont="1" applyFill="1" applyBorder="1" applyAlignment="1">
      <alignment vertical="center"/>
    </xf>
    <xf numFmtId="199" fontId="0" fillId="0" borderId="0" xfId="0" applyNumberFormat="1">
      <alignment vertical="center"/>
    </xf>
    <xf numFmtId="3" fontId="8" fillId="0" borderId="35" xfId="29" applyNumberFormat="1" applyFont="1" applyFill="1" applyBorder="1" applyAlignment="1">
      <alignment horizontal="center" vertical="center"/>
      <protection locked="0"/>
    </xf>
    <xf numFmtId="2" fontId="0" fillId="0" borderId="0" xfId="65" applyNumberFormat="1" applyFont="1" applyAlignment="1"/>
    <xf numFmtId="4" fontId="5" fillId="0" borderId="28" xfId="30" applyNumberFormat="1" applyAlignment="1">
      <alignment horizontal="center" vertical="center"/>
      <protection locked="0"/>
    </xf>
    <xf numFmtId="2" fontId="0" fillId="0" borderId="72" xfId="29" applyNumberFormat="1" applyFont="1" applyBorder="1" applyAlignment="1">
      <alignment horizontal="center" vertical="center"/>
      <protection locked="0"/>
    </xf>
    <xf numFmtId="2" fontId="0" fillId="0" borderId="71" xfId="29" applyNumberFormat="1" applyFont="1" applyBorder="1" applyAlignment="1">
      <alignment horizontal="center" vertical="center"/>
      <protection locked="0"/>
    </xf>
    <xf numFmtId="10" fontId="0" fillId="0" borderId="0" xfId="65" applyNumberFormat="1" applyFont="1" applyAlignment="1">
      <alignment vertical="center" wrapText="1"/>
    </xf>
    <xf numFmtId="167" fontId="20" fillId="12" borderId="31" xfId="31" applyNumberFormat="1" applyAlignment="1">
      <alignment horizontal="center" vertical="center"/>
      <protection locked="0"/>
    </xf>
    <xf numFmtId="191" fontId="0" fillId="0" borderId="72" xfId="29" applyNumberFormat="1" applyFont="1" applyBorder="1" applyAlignment="1">
      <alignment horizontal="center" vertical="center"/>
      <protection locked="0"/>
    </xf>
    <xf numFmtId="191" fontId="0" fillId="0" borderId="73" xfId="29" applyNumberFormat="1" applyFont="1" applyBorder="1" applyAlignment="1">
      <alignment horizontal="center" vertical="center"/>
      <protection locked="0"/>
    </xf>
    <xf numFmtId="191" fontId="5" fillId="21" borderId="31" xfId="29" applyNumberFormat="1" applyFill="1" applyAlignment="1" applyProtection="1">
      <alignment horizontal="center" vertical="center"/>
    </xf>
    <xf numFmtId="2" fontId="5" fillId="12" borderId="31" xfId="29" applyNumberFormat="1" applyFill="1" applyAlignment="1">
      <alignment horizontal="center" vertical="center"/>
      <protection locked="0"/>
    </xf>
    <xf numFmtId="1" fontId="24" fillId="21" borderId="4" xfId="77" applyNumberFormat="1" applyFont="1" applyFill="1">
      <alignment vertical="center"/>
      <protection locked="0"/>
    </xf>
    <xf numFmtId="1" fontId="5" fillId="0" borderId="3" xfId="67" applyNumberFormat="1" applyAlignment="1">
      <alignment horizontal="center" vertical="center"/>
      <protection locked="0"/>
    </xf>
    <xf numFmtId="0" fontId="9" fillId="0" borderId="0" xfId="58" applyFont="1" applyFill="1" applyBorder="1">
      <alignment vertical="center"/>
    </xf>
    <xf numFmtId="0" fontId="5" fillId="0" borderId="0" xfId="0" applyFont="1">
      <alignment vertical="center"/>
    </xf>
    <xf numFmtId="0" fontId="16" fillId="7" borderId="0" xfId="3" applyFont="1">
      <alignment horizontal="center" vertical="top" wrapText="1"/>
    </xf>
    <xf numFmtId="0" fontId="5" fillId="0" borderId="31" xfId="29" applyFont="1" applyAlignment="1">
      <alignment horizontal="center" vertical="center"/>
      <protection locked="0"/>
    </xf>
    <xf numFmtId="0" fontId="34" fillId="0" borderId="0" xfId="36" applyFont="1" applyAlignment="1">
      <alignment horizontal="right" vertical="center"/>
    </xf>
    <xf numFmtId="0" fontId="5" fillId="0" borderId="31" xfId="29" applyFont="1" applyAlignment="1" applyProtection="1">
      <alignment horizontal="center" vertical="center"/>
    </xf>
    <xf numFmtId="0" fontId="5" fillId="0" borderId="31" xfId="29" applyFont="1" applyAlignment="1">
      <alignment horizontal="left" vertical="center"/>
      <protection locked="0"/>
    </xf>
    <xf numFmtId="1" fontId="38" fillId="0" borderId="0" xfId="35" applyNumberFormat="1" applyFont="1" applyBorder="1" applyAlignment="1">
      <alignment horizontal="center" vertical="center" wrapText="1"/>
      <protection locked="0"/>
    </xf>
    <xf numFmtId="2" fontId="20" fillId="12" borderId="31" xfId="31" applyNumberFormat="1" applyAlignment="1">
      <alignment horizontal="right" vertical="center"/>
      <protection locked="0"/>
    </xf>
    <xf numFmtId="0" fontId="5" fillId="0" borderId="31" xfId="29" applyAlignment="1" applyProtection="1">
      <alignment horizontal="center" vertical="center"/>
    </xf>
    <xf numFmtId="198" fontId="8" fillId="11" borderId="0" xfId="65" applyNumberFormat="1" applyFont="1" applyFill="1" applyAlignment="1" applyProtection="1">
      <alignment horizontal="center" vertical="center"/>
      <protection locked="0"/>
    </xf>
    <xf numFmtId="198" fontId="5" fillId="13" borderId="0" xfId="32" applyNumberFormat="1" applyAlignment="1">
      <alignment horizontal="center" vertical="center"/>
    </xf>
    <xf numFmtId="198" fontId="24" fillId="12" borderId="31" xfId="31" applyNumberFormat="1" applyFont="1" applyAlignment="1">
      <alignment horizontal="center" vertical="center"/>
      <protection locked="0"/>
    </xf>
    <xf numFmtId="193" fontId="20" fillId="36" borderId="31" xfId="31" applyNumberFormat="1" applyFill="1">
      <alignment vertical="center"/>
      <protection locked="0"/>
    </xf>
    <xf numFmtId="2" fontId="20" fillId="36" borderId="31" xfId="31" applyNumberFormat="1" applyFill="1">
      <alignment vertical="center"/>
      <protection locked="0"/>
    </xf>
    <xf numFmtId="10" fontId="20" fillId="36" borderId="31" xfId="31" applyNumberFormat="1" applyFill="1">
      <alignment vertical="center"/>
      <protection locked="0"/>
    </xf>
    <xf numFmtId="0" fontId="5" fillId="29" borderId="4" xfId="77" applyFill="1">
      <alignment vertical="center"/>
      <protection locked="0"/>
    </xf>
    <xf numFmtId="202" fontId="5" fillId="29" borderId="4" xfId="59" applyNumberFormat="1" applyFill="1" applyBorder="1" applyAlignment="1" applyProtection="1">
      <alignment vertical="center"/>
      <protection locked="0"/>
    </xf>
    <xf numFmtId="0" fontId="0" fillId="0" borderId="0" xfId="0" applyBorder="1" applyAlignment="1"/>
    <xf numFmtId="202" fontId="5" fillId="29" borderId="38" xfId="59" applyNumberFormat="1" applyFill="1" applyBorder="1" applyAlignment="1" applyProtection="1">
      <alignment vertical="center"/>
      <protection locked="0"/>
    </xf>
    <xf numFmtId="0" fontId="5" fillId="29" borderId="4" xfId="77" applyFill="1" applyAlignment="1">
      <alignment horizontal="right" vertical="center"/>
      <protection locked="0"/>
    </xf>
    <xf numFmtId="1" fontId="5" fillId="29" borderId="4" xfId="77" applyNumberFormat="1" applyFill="1" applyAlignment="1">
      <alignment horizontal="right" vertical="center"/>
      <protection locked="0"/>
    </xf>
    <xf numFmtId="0" fontId="37" fillId="29" borderId="4" xfId="77" applyFont="1" applyFill="1" applyAlignment="1">
      <alignment horizontal="center" vertical="center"/>
      <protection locked="0"/>
    </xf>
    <xf numFmtId="0" fontId="37" fillId="29" borderId="4" xfId="77" applyFont="1" applyFill="1">
      <alignment vertical="center"/>
      <protection locked="0"/>
    </xf>
    <xf numFmtId="0" fontId="51" fillId="29" borderId="4" xfId="77" applyFont="1" applyFill="1">
      <alignment vertical="center"/>
      <protection locked="0"/>
    </xf>
    <xf numFmtId="0" fontId="0" fillId="29" borderId="38" xfId="77" applyFont="1" applyFill="1" applyBorder="1">
      <alignment vertical="center"/>
      <protection locked="0"/>
    </xf>
    <xf numFmtId="0" fontId="37" fillId="29" borderId="0" xfId="0" applyFont="1" applyFill="1" applyAlignment="1">
      <alignment horizontal="center" vertical="center"/>
    </xf>
    <xf numFmtId="43" fontId="37" fillId="29" borderId="4" xfId="59" applyFont="1" applyFill="1" applyBorder="1" applyAlignment="1" applyProtection="1">
      <alignment vertical="center"/>
      <protection locked="0"/>
    </xf>
    <xf numFmtId="49" fontId="37" fillId="29" borderId="4" xfId="59" applyNumberFormat="1" applyFont="1" applyFill="1" applyBorder="1" applyAlignment="1" applyProtection="1">
      <alignment horizontal="left" vertical="top"/>
      <protection locked="0"/>
    </xf>
    <xf numFmtId="4" fontId="37" fillId="29" borderId="4" xfId="77" applyNumberFormat="1" applyFont="1" applyFill="1">
      <alignment vertical="center"/>
      <protection locked="0"/>
    </xf>
    <xf numFmtId="2" fontId="37" fillId="29" borderId="4" xfId="77" applyNumberFormat="1" applyFont="1" applyFill="1">
      <alignment vertical="center"/>
      <protection locked="0"/>
    </xf>
    <xf numFmtId="1" fontId="0" fillId="29" borderId="38" xfId="77" applyNumberFormat="1" applyFont="1" applyFill="1" applyBorder="1">
      <alignment vertical="center"/>
      <protection locked="0"/>
    </xf>
    <xf numFmtId="2" fontId="5" fillId="29" borderId="4" xfId="77" applyNumberFormat="1" applyFill="1">
      <alignment vertical="center"/>
      <protection locked="0"/>
    </xf>
    <xf numFmtId="2" fontId="0" fillId="29" borderId="38" xfId="77" applyNumberFormat="1" applyFont="1" applyFill="1" applyBorder="1">
      <alignment vertical="center"/>
      <protection locked="0"/>
    </xf>
    <xf numFmtId="0" fontId="5" fillId="29" borderId="4" xfId="77" applyFill="1" applyAlignment="1">
      <alignment horizontal="center" vertical="center"/>
      <protection locked="0"/>
    </xf>
    <xf numFmtId="0" fontId="10" fillId="29" borderId="45" xfId="77" applyFont="1" applyFill="1" applyBorder="1" applyAlignment="1">
      <alignment horizontal="left" vertical="center"/>
      <protection locked="0"/>
    </xf>
    <xf numFmtId="0" fontId="0" fillId="29" borderId="45" xfId="77" applyFont="1" applyFill="1" applyBorder="1">
      <alignment vertical="center"/>
      <protection locked="0"/>
    </xf>
    <xf numFmtId="0" fontId="0" fillId="29" borderId="0" xfId="0" applyFill="1">
      <alignment vertical="center"/>
    </xf>
    <xf numFmtId="0" fontId="37" fillId="29" borderId="0" xfId="0" applyFont="1" applyFill="1">
      <alignment vertical="center"/>
    </xf>
    <xf numFmtId="0" fontId="54" fillId="29" borderId="4" xfId="77" applyFont="1" applyFill="1" applyAlignment="1">
      <alignment horizontal="center" vertical="center"/>
      <protection locked="0"/>
    </xf>
    <xf numFmtId="0" fontId="10" fillId="29" borderId="45" xfId="77" applyFont="1" applyFill="1" applyBorder="1" applyAlignment="1">
      <alignment vertical="center"/>
      <protection locked="0"/>
    </xf>
    <xf numFmtId="0" fontId="37" fillId="21" borderId="0" xfId="77" applyFont="1" applyFill="1" applyBorder="1" applyAlignment="1">
      <alignment horizontal="center" vertical="center"/>
      <protection locked="0"/>
    </xf>
    <xf numFmtId="0" fontId="37" fillId="21" borderId="0" xfId="77" applyFont="1" applyFill="1" applyBorder="1">
      <alignment vertical="center"/>
      <protection locked="0"/>
    </xf>
    <xf numFmtId="0" fontId="51" fillId="21" borderId="0" xfId="77" applyFont="1" applyFill="1" applyBorder="1">
      <alignment vertical="center"/>
      <protection locked="0"/>
    </xf>
    <xf numFmtId="0" fontId="0" fillId="21" borderId="0" xfId="77" applyFont="1" applyFill="1" applyBorder="1">
      <alignment vertical="center"/>
      <protection locked="0"/>
    </xf>
    <xf numFmtId="0" fontId="37" fillId="21" borderId="0" xfId="0" applyFont="1" applyFill="1" applyBorder="1" applyAlignment="1">
      <alignment horizontal="center" vertical="center"/>
    </xf>
    <xf numFmtId="0" fontId="37" fillId="21" borderId="0" xfId="0" applyFont="1" applyFill="1" applyBorder="1">
      <alignment vertical="center"/>
    </xf>
    <xf numFmtId="43" fontId="37" fillId="21" borderId="0" xfId="59" applyFont="1" applyFill="1" applyBorder="1" applyAlignment="1" applyProtection="1">
      <alignment vertical="center"/>
      <protection locked="0"/>
    </xf>
    <xf numFmtId="49" fontId="37" fillId="21" borderId="0" xfId="59" applyNumberFormat="1" applyFont="1" applyFill="1" applyBorder="1" applyAlignment="1" applyProtection="1">
      <alignment horizontal="left" vertical="top"/>
      <protection locked="0"/>
    </xf>
    <xf numFmtId="4" fontId="37" fillId="21" borderId="0" xfId="77" applyNumberFormat="1" applyFont="1" applyFill="1" applyBorder="1">
      <alignment vertical="center"/>
      <protection locked="0"/>
    </xf>
    <xf numFmtId="2" fontId="37" fillId="21" borderId="0" xfId="77" applyNumberFormat="1" applyFont="1" applyFill="1" applyBorder="1">
      <alignment vertical="center"/>
      <protection locked="0"/>
    </xf>
    <xf numFmtId="0" fontId="5" fillId="21" borderId="0" xfId="77" applyFill="1" applyBorder="1">
      <alignment vertical="center"/>
      <protection locked="0"/>
    </xf>
    <xf numFmtId="1" fontId="0" fillId="21" borderId="0" xfId="77" applyNumberFormat="1" applyFont="1" applyFill="1" applyBorder="1">
      <alignment vertical="center"/>
      <protection locked="0"/>
    </xf>
    <xf numFmtId="2" fontId="5" fillId="21" borderId="0" xfId="77" applyNumberFormat="1" applyFill="1" applyBorder="1">
      <alignment vertical="center"/>
      <protection locked="0"/>
    </xf>
    <xf numFmtId="2" fontId="0" fillId="21" borderId="0" xfId="77" applyNumberFormat="1" applyFont="1" applyFill="1" applyBorder="1">
      <alignment vertical="center"/>
      <protection locked="0"/>
    </xf>
    <xf numFmtId="0" fontId="5" fillId="21" borderId="0" xfId="77" applyFill="1" applyBorder="1" applyAlignment="1">
      <alignment horizontal="center" vertical="center"/>
      <protection locked="0"/>
    </xf>
    <xf numFmtId="0" fontId="10" fillId="21" borderId="0" xfId="77" applyFont="1" applyFill="1" applyBorder="1" applyAlignment="1">
      <alignment horizontal="left" vertical="center"/>
      <protection locked="0"/>
    </xf>
    <xf numFmtId="0" fontId="54" fillId="21" borderId="0" xfId="77" applyFont="1" applyFill="1" applyBorder="1" applyAlignment="1">
      <alignment horizontal="center" vertical="center"/>
      <protection locked="0"/>
    </xf>
    <xf numFmtId="0" fontId="10" fillId="21" borderId="0" xfId="77" applyFont="1" applyFill="1" applyBorder="1" applyAlignment="1">
      <alignment vertical="center"/>
      <protection locked="0"/>
    </xf>
    <xf numFmtId="2" fontId="5" fillId="29" borderId="4" xfId="77" applyNumberFormat="1" applyFill="1" applyAlignment="1">
      <alignment vertical="center"/>
      <protection locked="0"/>
    </xf>
    <xf numFmtId="2" fontId="0" fillId="29" borderId="4" xfId="77" applyNumberFormat="1" applyFont="1" applyFill="1" applyAlignment="1">
      <alignment vertical="center" wrapText="1"/>
      <protection locked="0"/>
    </xf>
    <xf numFmtId="2" fontId="5" fillId="29" borderId="4" xfId="59" applyNumberFormat="1" applyFont="1" applyFill="1" applyBorder="1" applyAlignment="1" applyProtection="1">
      <alignment vertical="center"/>
      <protection locked="0"/>
    </xf>
    <xf numFmtId="2" fontId="0" fillId="29" borderId="0" xfId="0" applyNumberFormat="1" applyFill="1">
      <alignment vertical="center"/>
    </xf>
    <xf numFmtId="2" fontId="5" fillId="29" borderId="37" xfId="77" applyNumberFormat="1" applyFill="1" applyBorder="1" applyAlignment="1">
      <alignment vertical="center"/>
      <protection locked="0"/>
    </xf>
    <xf numFmtId="2" fontId="5" fillId="29" borderId="36" xfId="77" applyNumberFormat="1" applyFill="1" applyBorder="1" applyAlignment="1">
      <alignment vertical="center"/>
      <protection locked="0"/>
    </xf>
    <xf numFmtId="2" fontId="5" fillId="29" borderId="36" xfId="77" applyNumberFormat="1" applyFill="1" applyBorder="1">
      <alignment vertical="center"/>
      <protection locked="0"/>
    </xf>
    <xf numFmtId="2" fontId="0" fillId="21" borderId="0" xfId="0" applyNumberFormat="1" applyFill="1" applyBorder="1">
      <alignment vertical="center"/>
    </xf>
    <xf numFmtId="2" fontId="62" fillId="2" borderId="0" xfId="85" applyNumberFormat="1" applyFont="1">
      <alignment vertical="center"/>
    </xf>
    <xf numFmtId="190" fontId="0" fillId="29" borderId="0" xfId="40" applyNumberFormat="1" applyFont="1" applyFill="1">
      <alignment vertical="center"/>
    </xf>
    <xf numFmtId="194" fontId="0" fillId="29" borderId="0" xfId="40" applyNumberFormat="1" applyFont="1" applyFill="1">
      <alignment vertical="center"/>
    </xf>
    <xf numFmtId="3" fontId="20" fillId="36" borderId="31" xfId="31" applyNumberFormat="1" applyFill="1" applyAlignment="1">
      <alignment horizontal="center" vertical="center"/>
      <protection locked="0"/>
    </xf>
    <xf numFmtId="202" fontId="5" fillId="29" borderId="0" xfId="59" applyNumberFormat="1" applyFill="1" applyAlignment="1">
      <alignment horizontal="center" vertical="center"/>
    </xf>
    <xf numFmtId="190" fontId="5" fillId="29" borderId="0" xfId="32" applyNumberFormat="1" applyFill="1">
      <alignment vertical="center"/>
    </xf>
    <xf numFmtId="190" fontId="0" fillId="29" borderId="0" xfId="32" quotePrefix="1" applyNumberFormat="1" applyFont="1" applyFill="1">
      <alignment vertical="center"/>
    </xf>
    <xf numFmtId="0" fontId="71" fillId="2" borderId="0" xfId="85" applyFont="1">
      <alignment vertical="center"/>
    </xf>
    <xf numFmtId="0" fontId="16" fillId="7" borderId="0" xfId="3" applyAlignment="1">
      <alignment horizontal="left" vertical="center" wrapText="1"/>
    </xf>
    <xf numFmtId="0" fontId="16" fillId="7" borderId="0" xfId="3" applyAlignment="1">
      <alignment horizontal="center" vertical="top" wrapText="1"/>
    </xf>
    <xf numFmtId="0" fontId="8" fillId="9" borderId="0" xfId="52" applyNumberFormat="1" applyAlignment="1">
      <alignment horizontal="center" vertical="top" wrapText="1"/>
    </xf>
    <xf numFmtId="0" fontId="64" fillId="10" borderId="0" xfId="33" applyFont="1" applyAlignment="1">
      <alignment horizontal="center" vertical="center"/>
    </xf>
    <xf numFmtId="0" fontId="0" fillId="35" borderId="67" xfId="0" applyFill="1" applyBorder="1" applyAlignment="1">
      <alignment horizontal="center" vertical="center"/>
    </xf>
    <xf numFmtId="0" fontId="60" fillId="21" borderId="52" xfId="26" applyFont="1" applyFill="1" applyBorder="1" applyAlignment="1">
      <alignment horizontal="left" vertical="center"/>
    </xf>
    <xf numFmtId="0" fontId="14" fillId="0" borderId="0" xfId="0" applyFont="1" applyAlignment="1">
      <alignment horizontal="left" vertical="center" wrapText="1"/>
    </xf>
    <xf numFmtId="0" fontId="14" fillId="0" borderId="39" xfId="0" applyFont="1" applyBorder="1" applyAlignment="1">
      <alignment horizontal="left" vertical="center" wrapText="1"/>
    </xf>
    <xf numFmtId="0" fontId="16" fillId="31" borderId="9" xfId="74" applyFill="1" applyBorder="1" applyAlignment="1">
      <alignment horizontal="center" vertical="top"/>
    </xf>
    <xf numFmtId="0" fontId="16" fillId="31" borderId="10" xfId="74" applyFill="1" applyBorder="1" applyAlignment="1">
      <alignment horizontal="center" vertical="top"/>
    </xf>
    <xf numFmtId="0" fontId="16" fillId="31" borderId="25" xfId="74" applyFill="1" applyBorder="1" applyAlignment="1">
      <alignment horizontal="center" vertical="top"/>
    </xf>
    <xf numFmtId="0" fontId="64" fillId="18" borderId="53" xfId="86" applyNumberFormat="1" applyFont="1" applyFill="1" applyBorder="1" applyAlignment="1">
      <alignment horizontal="center" vertical="center"/>
    </xf>
    <xf numFmtId="0" fontId="64" fillId="18" borderId="55" xfId="86" applyNumberFormat="1" applyFont="1" applyFill="1" applyBorder="1" applyAlignment="1">
      <alignment horizontal="center" vertical="center"/>
    </xf>
    <xf numFmtId="0" fontId="64" fillId="18" borderId="54" xfId="86" applyNumberFormat="1" applyFont="1" applyFill="1" applyBorder="1" applyAlignment="1">
      <alignment horizontal="center" vertical="center"/>
    </xf>
    <xf numFmtId="0" fontId="63" fillId="18" borderId="53" xfId="86" applyNumberFormat="1" applyFont="1" applyFill="1" applyBorder="1" applyAlignment="1">
      <alignment horizontal="center" vertical="center"/>
    </xf>
    <xf numFmtId="0" fontId="63" fillId="18" borderId="54" xfId="86" applyNumberFormat="1" applyFont="1" applyFill="1" applyBorder="1" applyAlignment="1">
      <alignment horizontal="center" vertical="center"/>
    </xf>
    <xf numFmtId="0" fontId="64" fillId="18" borderId="56" xfId="86" applyNumberFormat="1" applyFont="1" applyFill="1" applyBorder="1" applyAlignment="1">
      <alignment horizontal="center" vertical="center"/>
    </xf>
    <xf numFmtId="0" fontId="64" fillId="18" borderId="57" xfId="86" applyNumberFormat="1" applyFont="1" applyFill="1" applyBorder="1" applyAlignment="1">
      <alignment horizontal="center" vertical="center" wrapText="1"/>
    </xf>
    <xf numFmtId="0" fontId="64" fillId="18" borderId="9" xfId="86" applyNumberFormat="1" applyFont="1" applyFill="1" applyBorder="1" applyAlignment="1">
      <alignment horizontal="center" vertical="center" wrapText="1"/>
    </xf>
    <xf numFmtId="0" fontId="64" fillId="18" borderId="58" xfId="86" applyNumberFormat="1" applyFont="1" applyFill="1" applyBorder="1" applyAlignment="1">
      <alignment horizontal="center" vertical="center" wrapText="1"/>
    </xf>
    <xf numFmtId="0" fontId="60" fillId="21" borderId="52" xfId="26" applyFont="1" applyFill="1" applyBorder="1" applyAlignment="1">
      <alignment horizontal="left" vertical="top"/>
    </xf>
    <xf numFmtId="0" fontId="8" fillId="19" borderId="66" xfId="86" applyNumberFormat="1" applyBorder="1" applyAlignment="1">
      <alignment horizontal="center" vertical="center"/>
    </xf>
    <xf numFmtId="0" fontId="60" fillId="32" borderId="47" xfId="26" applyFont="1" applyFill="1" applyBorder="1" applyAlignment="1">
      <alignment horizontal="left" vertical="center"/>
    </xf>
    <xf numFmtId="0" fontId="60" fillId="32" borderId="48" xfId="26" applyFont="1" applyFill="1" applyBorder="1" applyAlignment="1">
      <alignment horizontal="left" vertical="center"/>
    </xf>
    <xf numFmtId="0" fontId="60" fillId="32" borderId="49" xfId="26" applyFont="1" applyFill="1" applyBorder="1" applyAlignment="1">
      <alignment horizontal="left" vertical="center"/>
    </xf>
    <xf numFmtId="0" fontId="60" fillId="33" borderId="47" xfId="26" applyFont="1" applyFill="1" applyBorder="1" applyAlignment="1">
      <alignment horizontal="center" vertical="center"/>
    </xf>
    <xf numFmtId="0" fontId="60" fillId="33" borderId="48" xfId="26" applyFont="1" applyFill="1" applyBorder="1" applyAlignment="1">
      <alignment horizontal="center" vertical="center"/>
    </xf>
    <xf numFmtId="0" fontId="16" fillId="20" borderId="25" xfId="72" applyBorder="1">
      <alignment horizontal="center" vertical="top" wrapText="1"/>
    </xf>
    <xf numFmtId="0" fontId="16" fillId="20" borderId="9" xfId="72" applyBorder="1">
      <alignment horizontal="center" vertical="top" wrapText="1"/>
    </xf>
    <xf numFmtId="0" fontId="65" fillId="20" borderId="59" xfId="72" applyFont="1" applyBorder="1" applyAlignment="1">
      <alignment horizontal="center" vertical="center" wrapText="1"/>
    </xf>
    <xf numFmtId="0" fontId="65" fillId="20" borderId="60" xfId="72" applyFont="1" applyBorder="1" applyAlignment="1">
      <alignment horizontal="center" vertical="center" wrapText="1"/>
    </xf>
    <xf numFmtId="0" fontId="65" fillId="20" borderId="61" xfId="72" applyFont="1" applyBorder="1" applyAlignment="1">
      <alignment horizontal="center" vertical="center" wrapText="1"/>
    </xf>
    <xf numFmtId="2" fontId="8" fillId="33" borderId="68" xfId="26" applyNumberFormat="1" applyFont="1" applyFill="1" applyBorder="1" applyAlignment="1">
      <alignment horizontal="center" vertical="center"/>
    </xf>
    <xf numFmtId="2" fontId="8" fillId="33" borderId="69" xfId="26" applyNumberFormat="1" applyFont="1" applyFill="1" applyBorder="1" applyAlignment="1">
      <alignment horizontal="center" vertical="center"/>
    </xf>
    <xf numFmtId="2" fontId="8" fillId="33" borderId="70" xfId="26" applyNumberFormat="1" applyFont="1" applyFill="1" applyBorder="1" applyAlignment="1">
      <alignment horizontal="center" vertical="center"/>
    </xf>
    <xf numFmtId="2" fontId="8" fillId="19" borderId="68" xfId="26" applyNumberFormat="1" applyFont="1" applyFill="1" applyBorder="1" applyAlignment="1">
      <alignment horizontal="center" vertical="center"/>
    </xf>
    <xf numFmtId="2" fontId="8" fillId="19" borderId="69" xfId="26" applyNumberFormat="1" applyFont="1" applyFill="1" applyBorder="1" applyAlignment="1">
      <alignment horizontal="center" vertical="center"/>
    </xf>
    <xf numFmtId="2" fontId="8" fillId="19" borderId="70" xfId="26" applyNumberFormat="1" applyFont="1" applyFill="1" applyBorder="1" applyAlignment="1">
      <alignment horizontal="center" vertical="center"/>
    </xf>
    <xf numFmtId="2" fontId="8" fillId="32" borderId="68" xfId="26" applyNumberFormat="1" applyFont="1" applyFill="1" applyBorder="1" applyAlignment="1">
      <alignment horizontal="center" vertical="center"/>
    </xf>
    <xf numFmtId="2" fontId="8" fillId="32" borderId="69" xfId="26" applyNumberFormat="1" applyFont="1" applyFill="1" applyBorder="1" applyAlignment="1">
      <alignment horizontal="center" vertical="center"/>
    </xf>
    <xf numFmtId="2" fontId="8" fillId="32" borderId="70" xfId="26" applyNumberFormat="1" applyFont="1" applyFill="1" applyBorder="1" applyAlignment="1">
      <alignment horizontal="center" vertical="center"/>
    </xf>
    <xf numFmtId="2" fontId="8" fillId="33" borderId="68" xfId="26" applyNumberFormat="1" applyFont="1" applyFill="1" applyBorder="1" applyAlignment="1">
      <alignment horizontal="center" vertical="center" wrapText="1"/>
    </xf>
    <xf numFmtId="2" fontId="8" fillId="33" borderId="70" xfId="26" applyNumberFormat="1" applyFont="1" applyFill="1" applyBorder="1" applyAlignment="1">
      <alignment horizontal="center" vertical="center" wrapText="1"/>
    </xf>
  </cellXfs>
  <cellStyles count="96">
    <cellStyle name="Cálculo" xfId="1" builtinId="22" customBuiltin="1"/>
    <cellStyle name="Checksum" xfId="2" xr:uid="{00000000-0005-0000-0000-000001000000}"/>
    <cellStyle name="Column label" xfId="72" xr:uid="{00000000-0005-0000-0000-000002000000}"/>
    <cellStyle name="Column label (left aligned)" xfId="73" xr:uid="{00000000-0005-0000-0000-000003000000}"/>
    <cellStyle name="Column label (no wrap)" xfId="74" xr:uid="{00000000-0005-0000-0000-000004000000}"/>
    <cellStyle name="Column label (not bold)" xfId="75" xr:uid="{00000000-0005-0000-0000-000005000000}"/>
    <cellStyle name="Columna" xfId="3" xr:uid="{00000000-0005-0000-0000-000006000000}"/>
    <cellStyle name="Columna (izquierda)" xfId="4" xr:uid="{00000000-0005-0000-0000-000007000000}"/>
    <cellStyle name="Columna (sin negritas)" xfId="6" xr:uid="{00000000-0005-0000-0000-000008000000}"/>
    <cellStyle name="Columna 0" xfId="66" xr:uid="{00000000-0005-0000-0000-000009000000}"/>
    <cellStyle name="Columna 2" xfId="5" xr:uid="{00000000-0005-0000-0000-00000A000000}"/>
    <cellStyle name="Currency (0dp)" xfId="8" xr:uid="{00000000-0005-0000-0000-00000B000000}"/>
    <cellStyle name="Currency (2dp)" xfId="9" xr:uid="{00000000-0005-0000-0000-00000C000000}"/>
    <cellStyle name="Currency Dollar" xfId="10" xr:uid="{00000000-0005-0000-0000-00000D000000}"/>
    <cellStyle name="Currency Dollar (2dp)" xfId="11" xr:uid="{00000000-0005-0000-0000-00000E000000}"/>
    <cellStyle name="Currency EUR" xfId="12" xr:uid="{00000000-0005-0000-0000-00000F000000}"/>
    <cellStyle name="Currency EUR (2dp)" xfId="13" xr:uid="{00000000-0005-0000-0000-000010000000}"/>
    <cellStyle name="Currency Euro" xfId="14" xr:uid="{00000000-0005-0000-0000-000011000000}"/>
    <cellStyle name="Currency Euro (2dp)" xfId="15" xr:uid="{00000000-0005-0000-0000-000012000000}"/>
    <cellStyle name="Currency GBP" xfId="16" xr:uid="{00000000-0005-0000-0000-000013000000}"/>
    <cellStyle name="Currency GBP (2dp)" xfId="17" xr:uid="{00000000-0005-0000-0000-000014000000}"/>
    <cellStyle name="Currency Pound" xfId="18" xr:uid="{00000000-0005-0000-0000-000015000000}"/>
    <cellStyle name="Currency Pound (2dp)" xfId="19" xr:uid="{00000000-0005-0000-0000-000016000000}"/>
    <cellStyle name="Currency USD" xfId="20" xr:uid="{00000000-0005-0000-0000-000017000000}"/>
    <cellStyle name="Currency USD (2dp)" xfId="21" xr:uid="{00000000-0005-0000-0000-000018000000}"/>
    <cellStyle name="Date" xfId="22" xr:uid="{00000000-0005-0000-0000-000019000000}"/>
    <cellStyle name="Date (Month)" xfId="23" xr:uid="{00000000-0005-0000-0000-00001A000000}"/>
    <cellStyle name="Date (Year)" xfId="24" xr:uid="{00000000-0005-0000-0000-00001B000000}"/>
    <cellStyle name="Dato Calculo" xfId="29" xr:uid="{00000000-0005-0000-0000-00001C000000}"/>
    <cellStyle name="Dato de entrada" xfId="35" xr:uid="{00000000-0005-0000-0000-00001D000000}"/>
    <cellStyle name="Dato Entrada" xfId="30" xr:uid="{00000000-0005-0000-0000-00001E000000}"/>
    <cellStyle name="Dato entrada 2" xfId="60" xr:uid="{00000000-0005-0000-0000-00001F000000}"/>
    <cellStyle name="Dato entrada 2 2" xfId="61" xr:uid="{00000000-0005-0000-0000-000020000000}"/>
    <cellStyle name="Dato Entrada 2 3" xfId="64" xr:uid="{00000000-0005-0000-0000-000021000000}"/>
    <cellStyle name="Datos de otra hoja" xfId="32" xr:uid="{00000000-0005-0000-0000-000022000000}"/>
    <cellStyle name="Datos de otro libro" xfId="34" xr:uid="{00000000-0005-0000-0000-000023000000}"/>
    <cellStyle name="Datos estimados" xfId="31" xr:uid="{00000000-0005-0000-0000-000024000000}"/>
    <cellStyle name="Datos Externos" xfId="33" xr:uid="{00000000-0005-0000-0000-000025000000}"/>
    <cellStyle name="Énfasis5" xfId="89" builtinId="45"/>
    <cellStyle name="H0" xfId="56" xr:uid="{00000000-0005-0000-0000-000027000000}"/>
    <cellStyle name="H0 2" xfId="58" xr:uid="{00000000-0005-0000-0000-000028000000}"/>
    <cellStyle name="H0 3" xfId="70" xr:uid="{00000000-0005-0000-0000-000029000000}"/>
    <cellStyle name="H0 3 2" xfId="93" xr:uid="{00000000-0005-0000-0000-00002A000000}"/>
    <cellStyle name="H1" xfId="57" xr:uid="{00000000-0005-0000-0000-00002B000000}"/>
    <cellStyle name="H2" xfId="25" xr:uid="{00000000-0005-0000-0000-00002C000000}"/>
    <cellStyle name="H3" xfId="26" xr:uid="{00000000-0005-0000-0000-00002D000000}"/>
    <cellStyle name="H4" xfId="27" xr:uid="{00000000-0005-0000-0000-00002E000000}"/>
    <cellStyle name="Highlight" xfId="28" xr:uid="{00000000-0005-0000-0000-00002F000000}"/>
    <cellStyle name="Hipervínculo" xfId="63" builtinId="8"/>
    <cellStyle name="Hipervínculo 2" xfId="92" xr:uid="{00000000-0005-0000-0000-000031000000}"/>
    <cellStyle name="Input calculation" xfId="76" xr:uid="{00000000-0005-0000-0000-000032000000}"/>
    <cellStyle name="Input data" xfId="77" xr:uid="{00000000-0005-0000-0000-000033000000}"/>
    <cellStyle name="Input data 2" xfId="88" xr:uid="{00000000-0005-0000-0000-000034000000}"/>
    <cellStyle name="Input estimate" xfId="78" xr:uid="{00000000-0005-0000-0000-000035000000}"/>
    <cellStyle name="Input link" xfId="79" xr:uid="{00000000-0005-0000-0000-000036000000}"/>
    <cellStyle name="Input link (different workbook)" xfId="80" xr:uid="{00000000-0005-0000-0000-000037000000}"/>
    <cellStyle name="Input Link (different Worksheet)" xfId="81" xr:uid="{00000000-0005-0000-0000-000038000000}"/>
    <cellStyle name="Input parameter" xfId="67" xr:uid="{00000000-0005-0000-0000-000039000000}"/>
    <cellStyle name="Millares" xfId="59" builtinId="3"/>
    <cellStyle name="Millares 2" xfId="69" xr:uid="{00000000-0005-0000-0000-00003B000000}"/>
    <cellStyle name="Millares 3" xfId="91" xr:uid="{00000000-0005-0000-0000-00003C000000}"/>
    <cellStyle name="Milliers 3" xfId="95" xr:uid="{3558647D-A2C4-4661-83F5-A691F7043D65}"/>
    <cellStyle name="Moneda" xfId="7" builtinId="4"/>
    <cellStyle name="Name" xfId="82" xr:uid="{00000000-0005-0000-0000-00003E000000}"/>
    <cellStyle name="Nombre" xfId="36" xr:uid="{00000000-0005-0000-0000-00003F000000}"/>
    <cellStyle name="Normal" xfId="0" builtinId="0"/>
    <cellStyle name="Normal 2" xfId="55" xr:uid="{00000000-0005-0000-0000-000041000000}"/>
    <cellStyle name="Normal 3" xfId="68" xr:uid="{00000000-0005-0000-0000-000042000000}"/>
    <cellStyle name="Normal 4" xfId="90" xr:uid="{00000000-0005-0000-0000-000043000000}"/>
    <cellStyle name="Notas" xfId="37" builtinId="10" customBuiltin="1"/>
    <cellStyle name="Number" xfId="38" xr:uid="{00000000-0005-0000-0000-000045000000}"/>
    <cellStyle name="Number (2dp)" xfId="39" xr:uid="{00000000-0005-0000-0000-000046000000}"/>
    <cellStyle name="Output 2" xfId="87" xr:uid="{00000000-0005-0000-0000-000047000000}"/>
    <cellStyle name="Percentage" xfId="41" xr:uid="{00000000-0005-0000-0000-000048000000}"/>
    <cellStyle name="Percentage (2dp)" xfId="42" xr:uid="{00000000-0005-0000-0000-000049000000}"/>
    <cellStyle name="Porcentaje" xfId="65" builtinId="5"/>
    <cellStyle name="Row label" xfId="43" xr:uid="{00000000-0005-0000-0000-00004B000000}"/>
    <cellStyle name="Row label (indent)" xfId="44" xr:uid="{00000000-0005-0000-0000-00004C000000}"/>
    <cellStyle name="Salida" xfId="40" builtinId="21" customBuiltin="1"/>
    <cellStyle name="Salida 2" xfId="83" xr:uid="{00000000-0005-0000-0000-00004E000000}"/>
    <cellStyle name="Sub-total renglon" xfId="45" xr:uid="{00000000-0005-0000-0000-00004F000000}"/>
    <cellStyle name="Sub-total row" xfId="84" xr:uid="{00000000-0005-0000-0000-000050000000}"/>
    <cellStyle name="Tabla renglon final" xfId="46" xr:uid="{00000000-0005-0000-0000-000051000000}"/>
    <cellStyle name="Tabla sombreado" xfId="47" xr:uid="{00000000-0005-0000-0000-000052000000}"/>
    <cellStyle name="Table finish row" xfId="71" xr:uid="{00000000-0005-0000-0000-000053000000}"/>
    <cellStyle name="Table shading" xfId="85" xr:uid="{00000000-0005-0000-0000-000054000000}"/>
    <cellStyle name="Table unfinish row" xfId="48" xr:uid="{00000000-0005-0000-0000-000055000000}"/>
    <cellStyle name="Table unshading" xfId="49" xr:uid="{00000000-0005-0000-0000-000056000000}"/>
    <cellStyle name="TERA_TableTitle" xfId="94" xr:uid="{00000000-0005-0000-0000-000057000000}"/>
    <cellStyle name="Text" xfId="50" xr:uid="{00000000-0005-0000-0000-000058000000}"/>
    <cellStyle name="Texto explicativo" xfId="62" builtinId="53"/>
    <cellStyle name="Total" xfId="51" builtinId="25" customBuiltin="1"/>
    <cellStyle name="Total renglon" xfId="52" xr:uid="{00000000-0005-0000-0000-00005B000000}"/>
    <cellStyle name="Total row" xfId="86" xr:uid="{00000000-0005-0000-0000-00005C000000}"/>
    <cellStyle name="Unhighlight" xfId="53" xr:uid="{00000000-0005-0000-0000-00005D000000}"/>
    <cellStyle name="Untotal row" xfId="54" xr:uid="{00000000-0005-0000-0000-00005E000000}"/>
  </cellStyles>
  <dxfs count="751">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color theme="2"/>
      </font>
      <fill>
        <patternFill>
          <bgColor theme="2"/>
        </patternFill>
      </fill>
    </dxf>
    <dxf>
      <font>
        <b/>
        <i/>
        <color rgb="FFFFFF00"/>
      </font>
      <fill>
        <patternFill>
          <bgColor rgb="FFC41230"/>
        </patternFill>
      </fill>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750"/>
      <tableStyleElement type="headerRow" dxfId="749"/>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8080"/>
      <rgbColor rgb="00BFDCF9"/>
      <rgbColor rgb="00C00000"/>
      <rgbColor rgb="00008000"/>
      <rgbColor rgb="000000C0"/>
      <rgbColor rgb="00808000"/>
      <rgbColor rgb="00FF00FF"/>
      <rgbColor rgb="000060C0"/>
      <rgbColor rgb="00E0E0E0"/>
      <rgbColor rgb="00A0A0A0"/>
      <rgbColor rgb="00DDB9D8"/>
      <rgbColor rgb="00CDDCEF"/>
      <rgbColor rgb="00A6BEDA"/>
      <rgbColor rgb="00F6DCC2"/>
      <rgbColor rgb="00EFC2C1"/>
      <rgbColor rgb="00DBD7DB"/>
      <rgbColor rgb="00C2CAAA"/>
      <rgbColor rgb="00F5EEB9"/>
      <rgbColor rgb="00A670A1"/>
      <rgbColor rgb="0099CEFF"/>
      <rgbColor rgb="0000679A"/>
      <rgbColor rgb="00ECB088"/>
      <rgbColor rgb="00ED7F7F"/>
      <rgbColor rgb="00A79FAF"/>
      <rgbColor rgb="0049BB3D"/>
      <rgbColor rgb="00E3DE15"/>
      <rgbColor rgb="00C0C0FF"/>
      <rgbColor rgb="00CCECFF"/>
      <rgbColor rgb="00D0FFD0"/>
      <rgbColor rgb="00FFFFA0"/>
      <rgbColor rgb="00E0E0FF"/>
      <rgbColor rgb="00FFC0C0"/>
      <rgbColor rgb="00FFC0FF"/>
      <rgbColor rgb="00FFF1C9"/>
      <rgbColor rgb="008080FF"/>
      <rgbColor rgb="000080FF"/>
      <rgbColor rgb="00C0C000"/>
      <rgbColor rgb="00FFE0A0"/>
      <rgbColor rgb="00FF8000"/>
      <rgbColor rgb="00C06000"/>
      <rgbColor rgb="00C000C0"/>
      <rgbColor rgb="00C0C0C0"/>
      <rgbColor rgb="00003A47"/>
      <rgbColor rgb="0000C000"/>
      <rgbColor rgb="00006000"/>
      <rgbColor rgb="00606000"/>
      <rgbColor rgb="00804000"/>
      <rgbColor rgb="00FF80FF"/>
      <rgbColor rgb="00800080"/>
      <rgbColor rgb="00808080"/>
    </indexedColors>
    <mruColors>
      <color rgb="FFABE33F"/>
      <color rgb="FFFFFF99"/>
      <color rgb="FFB6FF6D"/>
      <color rgb="FF090141"/>
      <color rgb="FFD1FFA3"/>
      <color rgb="FFFFD9D9"/>
      <color rgb="FFFF9999"/>
      <color rgb="FFCCFF99"/>
      <color rgb="FF3C78D8"/>
      <color rgb="FFBEA3E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3" Type="http://schemas.openxmlformats.org/officeDocument/2006/relationships/worksheet" Target="worksheets/sheet3.xml"/><Relationship Id="rId21"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0</xdr:colOff>
      <xdr:row>0</xdr:row>
      <xdr:rowOff>0</xdr:rowOff>
    </xdr:from>
    <xdr:to>
      <xdr:col>17</xdr:col>
      <xdr:colOff>387403</xdr:colOff>
      <xdr:row>0</xdr:row>
      <xdr:rowOff>330653</xdr:rowOff>
    </xdr:to>
    <xdr:pic>
      <xdr:nvPicPr>
        <xdr:cNvPr id="2" name="Imagen 1">
          <a:extLst>
            <a:ext uri="{FF2B5EF4-FFF2-40B4-BE49-F238E27FC236}">
              <a16:creationId xmlns:a16="http://schemas.microsoft.com/office/drawing/2014/main" id="{2AF51C55-4800-42A3-901E-0E1996C7FDE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1765" y="0"/>
          <a:ext cx="4735285" cy="337003"/>
        </a:xfrm>
        <a:prstGeom prst="rect">
          <a:avLst/>
        </a:prstGeom>
        <a:noFill/>
        <a:ln>
          <a:noFill/>
        </a:ln>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13</xdr:col>
      <xdr:colOff>808370</xdr:colOff>
      <xdr:row>0</xdr:row>
      <xdr:rowOff>333828</xdr:rowOff>
    </xdr:to>
    <xdr:pic>
      <xdr:nvPicPr>
        <xdr:cNvPr id="2" name="Imagen 1">
          <a:extLst>
            <a:ext uri="{FF2B5EF4-FFF2-40B4-BE49-F238E27FC236}">
              <a16:creationId xmlns:a16="http://schemas.microsoft.com/office/drawing/2014/main" id="{74EAABF2-4B2F-4962-AD48-12B4F5B89D9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71147" y="0"/>
          <a:ext cx="4738460" cy="333828"/>
        </a:xfrm>
        <a:prstGeom prst="rect">
          <a:avLst/>
        </a:prstGeom>
        <a:noFill/>
        <a:ln>
          <a:noFill/>
        </a:ln>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8</xdr:col>
      <xdr:colOff>468085</xdr:colOff>
      <xdr:row>0</xdr:row>
      <xdr:rowOff>330653</xdr:rowOff>
    </xdr:to>
    <xdr:pic>
      <xdr:nvPicPr>
        <xdr:cNvPr id="2" name="Imagen 1">
          <a:extLst>
            <a:ext uri="{FF2B5EF4-FFF2-40B4-BE49-F238E27FC236}">
              <a16:creationId xmlns:a16="http://schemas.microsoft.com/office/drawing/2014/main" id="{3D472199-46D1-49A6-85BC-BCEE03873E2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72175" y="0"/>
          <a:ext cx="4738460" cy="333828"/>
        </a:xfrm>
        <a:prstGeom prst="rect">
          <a:avLst/>
        </a:prstGeom>
        <a:noFill/>
        <a:ln>
          <a:noFill/>
        </a:ln>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0</xdr:colOff>
      <xdr:row>0</xdr:row>
      <xdr:rowOff>0</xdr:rowOff>
    </xdr:from>
    <xdr:to>
      <xdr:col>12</xdr:col>
      <xdr:colOff>76812</xdr:colOff>
      <xdr:row>1</xdr:row>
      <xdr:rowOff>109710</xdr:rowOff>
    </xdr:to>
    <xdr:pic>
      <xdr:nvPicPr>
        <xdr:cNvPr id="2" name="Imagen 1">
          <a:extLst>
            <a:ext uri="{FF2B5EF4-FFF2-40B4-BE49-F238E27FC236}">
              <a16:creationId xmlns:a16="http://schemas.microsoft.com/office/drawing/2014/main" id="{A043D852-2428-45B2-A299-7C295F76385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03676" y="0"/>
          <a:ext cx="4738460" cy="333828"/>
        </a:xfrm>
        <a:prstGeom prst="rect">
          <a:avLst/>
        </a:prstGeom>
        <a:noFill/>
        <a:ln>
          <a:noFill/>
        </a:ln>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11</xdr:col>
      <xdr:colOff>0</xdr:colOff>
      <xdr:row>0</xdr:row>
      <xdr:rowOff>0</xdr:rowOff>
    </xdr:from>
    <xdr:to>
      <xdr:col>14</xdr:col>
      <xdr:colOff>252185</xdr:colOff>
      <xdr:row>0</xdr:row>
      <xdr:rowOff>333828</xdr:rowOff>
    </xdr:to>
    <xdr:pic>
      <xdr:nvPicPr>
        <xdr:cNvPr id="2" name="Imagen 1">
          <a:extLst>
            <a:ext uri="{FF2B5EF4-FFF2-40B4-BE49-F238E27FC236}">
              <a16:creationId xmlns:a16="http://schemas.microsoft.com/office/drawing/2014/main" id="{7EF1D345-B7DC-4582-9062-BA7FA7685A8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48825" y="0"/>
          <a:ext cx="4738460" cy="333828"/>
        </a:xfrm>
        <a:prstGeom prst="rect">
          <a:avLst/>
        </a:prstGeom>
        <a:noFill/>
        <a:ln>
          <a:noFill/>
        </a:ln>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11</xdr:col>
      <xdr:colOff>0</xdr:colOff>
      <xdr:row>0</xdr:row>
      <xdr:rowOff>0</xdr:rowOff>
    </xdr:from>
    <xdr:to>
      <xdr:col>15</xdr:col>
      <xdr:colOff>704342</xdr:colOff>
      <xdr:row>0</xdr:row>
      <xdr:rowOff>333828</xdr:rowOff>
    </xdr:to>
    <xdr:pic>
      <xdr:nvPicPr>
        <xdr:cNvPr id="2" name="Imagen 1">
          <a:extLst>
            <a:ext uri="{FF2B5EF4-FFF2-40B4-BE49-F238E27FC236}">
              <a16:creationId xmlns:a16="http://schemas.microsoft.com/office/drawing/2014/main" id="{1DC1E80E-43C9-4956-8549-4204A3E4512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0" y="0"/>
          <a:ext cx="4738460" cy="333828"/>
        </a:xfrm>
        <a:prstGeom prst="rect">
          <a:avLst/>
        </a:prstGeom>
        <a:noFill/>
        <a:ln>
          <a:noFill/>
        </a:ln>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8</xdr:col>
      <xdr:colOff>755278</xdr:colOff>
      <xdr:row>0</xdr:row>
      <xdr:rowOff>333828</xdr:rowOff>
    </xdr:to>
    <xdr:pic>
      <xdr:nvPicPr>
        <xdr:cNvPr id="2" name="Imagen 1">
          <a:extLst>
            <a:ext uri="{FF2B5EF4-FFF2-40B4-BE49-F238E27FC236}">
              <a16:creationId xmlns:a16="http://schemas.microsoft.com/office/drawing/2014/main" id="{FB4C2316-C8D9-40BD-B9CE-321D59E01E4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07682" y="0"/>
          <a:ext cx="4738460" cy="333828"/>
        </a:xfrm>
        <a:prstGeom prst="rect">
          <a:avLst/>
        </a:prstGeom>
        <a:noFill/>
        <a:ln>
          <a:noFill/>
        </a:ln>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10</xdr:col>
      <xdr:colOff>61685</xdr:colOff>
      <xdr:row>0</xdr:row>
      <xdr:rowOff>333828</xdr:rowOff>
    </xdr:to>
    <xdr:pic>
      <xdr:nvPicPr>
        <xdr:cNvPr id="2" name="Imagen 1">
          <a:extLst>
            <a:ext uri="{FF2B5EF4-FFF2-40B4-BE49-F238E27FC236}">
              <a16:creationId xmlns:a16="http://schemas.microsoft.com/office/drawing/2014/main" id="{65D9AF86-2F33-403C-BBE0-ADC5F73FAC6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48225" y="0"/>
          <a:ext cx="4738460" cy="333828"/>
        </a:xfrm>
        <a:prstGeom prst="rect">
          <a:avLst/>
        </a:prstGeom>
        <a:noFill/>
        <a:ln>
          <a:noFill/>
        </a:ln>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8</xdr:col>
      <xdr:colOff>407760</xdr:colOff>
      <xdr:row>0</xdr:row>
      <xdr:rowOff>333828</xdr:rowOff>
    </xdr:to>
    <xdr:pic>
      <xdr:nvPicPr>
        <xdr:cNvPr id="3" name="Imagen 2">
          <a:extLst>
            <a:ext uri="{FF2B5EF4-FFF2-40B4-BE49-F238E27FC236}">
              <a16:creationId xmlns:a16="http://schemas.microsoft.com/office/drawing/2014/main" id="{C4C2FA9A-4EA3-4876-B9AE-544816C2A38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33975" y="0"/>
          <a:ext cx="4738460" cy="333828"/>
        </a:xfrm>
        <a:prstGeom prst="rect">
          <a:avLst/>
        </a:prstGeom>
        <a:noFill/>
        <a:ln>
          <a:noFill/>
        </a:ln>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1.%20IFT\1.%20UPR\1.%20Modelos%20de%20Costos\29.%20Desagregacion%202019\1.%20Costos%20Evitados\IFT%20-%20Modelo%20de%20costos%20evitados%20-SRL+SAIB-%2023112016%200851%20pm%20v9%20-%20FINAL.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cesar.martinez/Documents/IFT/2021/Modelos%20de%20costos/Servicios%20Auxiliares/Actualizaci&#243;n%202022/Servicios%20Auxiliares%20y%20otros%20-%20OREDA%202022%20VF.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20IFT\1.%20UPR\1.%20Modelos%20de%20Costos\11.%20Proyecto%20-%20Modificaci&#243;n%20Modelos%20Desagregaci&#243;n\2.%20Costos%20evitados\1.%20Referencias\Requerimiento%20Informacion%20-%20Modelo%20de%20Costos%20Evitados%202016\V3Telmex%2020161014%20env&#237;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esar.martinez/AppData/Local/Temp/Temp1_modelocostosevitados-anonimizado-2019final%20(2).zip/Modelo%20Costos%20Evitados%20-%20Anonimizado%20-%202019%20Final.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FFPORRAS\Documents\GEE\Modelos\desagregaci&#243;n%20y%20reventa%202020\informaci&#243;n\armado\Requerimiento%20de%20informaci&#243;n%20del%20Modelo%20de%20Costos%20Evitados%20JAH25091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01.%20TERA/011.%20Conseil/0114.%20Affaires%20en%20cours/2020-19-PD-IFT-Modelo%20de%20Costo/2.%20Doc/Copia%20de%20Modelo%20de%20Costo%20Integral%20V051218.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01.%20TERA\011.%20Conseil\0114.%20Affaires%20en%20cours\2020-19-PD-IFT-Modelo%20de%20Costo\2.%20Doc\Copia%20de%20Modelo%20de%20Costo%20Integral%20V051218.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205.51.251\d\Req%20Modelo%20de%20costos\2022\Requerimiento%20de%20informaci&#243;n%20del%20Modelo%20de%20Costos%20Evitados%20110822%20JA%20V.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205.51.251\d\Req%20Modelo%20de%20costos\2022\Requerimiento%20de%20informaci&#243;n%20del%20Modelo%20de%20Costos%20Evitados%20120822%20JA%20V3.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amelie.brossard/Documents/Modelos%20y%20Ofertas%20de%20Referencia/Modelo%20de%20Costos%20Evitados/Respues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V"/>
      <sheetName val="Data input panel"/>
      <sheetName val="S"/>
      <sheetName val="Listas"/>
      <sheetName val="Control"/>
      <sheetName val="Inputs de conexiones"/>
      <sheetName val="Inputs de precios"/>
      <sheetName val="Mercado"/>
      <sheetName val="Inputs de costos evitables"/>
      <sheetName val="Precios dentro de paquetes"/>
      <sheetName val="Cálculos SRL con entrega de Tx"/>
      <sheetName val="Cálculos banda ancha SRL"/>
      <sheetName val="Cálculos banda ancha SAIB"/>
      <sheetName val="Cálculos renta de línea"/>
      <sheetName val="Precios retail minus"/>
      <sheetName val="Hoja10"/>
      <sheetName val="Precios SRL"/>
      <sheetName val="Figura 2.2.1.1"/>
      <sheetName val="Figura 2.2.1.2"/>
      <sheetName val="Figura 2.2.2.1"/>
      <sheetName val="Figura 2.2.3.1"/>
      <sheetName val="Figura 2.2.3.2"/>
      <sheetName val="Figura 2.2.3.3"/>
      <sheetName val="Precios SAIB"/>
      <sheetName val="Cálculos Auxiliares"/>
      <sheetName val="Datos de Telmex --&gt;"/>
      <sheetName val="V.1"/>
      <sheetName val="V.4"/>
      <sheetName val="V.7 "/>
      <sheetName val="V.8 "/>
      <sheetName val="V.11"/>
      <sheetName val="P.1"/>
      <sheetName val="P. 2.2"/>
      <sheetName val="P. 2.1"/>
      <sheetName val="P. 2.3"/>
      <sheetName val="P. 2.4"/>
      <sheetName val="P. 2.5"/>
      <sheetName val="P. 2.6"/>
      <sheetName val="P. 2.8"/>
      <sheetName val="P. 2.9 y 2.10"/>
      <sheetName val="P. 2.11"/>
      <sheetName val="P. 3"/>
      <sheetName val="P.4"/>
      <sheetName val="P.5"/>
      <sheetName val="P.6"/>
      <sheetName val="Modem Blanco y Mensajería"/>
      <sheetName val="20150901 - OREDA"/>
      <sheetName val="Serv. Entrega de Equipo"/>
      <sheetName val="Valores Infinitum V6"/>
      <sheetName val="Datos"/>
      <sheetName val="Voz y Datos"/>
      <sheetName val="Voz"/>
      <sheetName val="Datos de IFT u Otros --&gt;"/>
      <sheetName val="BAF - Cobre nacional"/>
      <sheetName val="BAF - Fibra nacional"/>
      <sheetName val="Lineas de Telefonia Fija por Op"/>
      <sheetName val="Suscripciones de Banda Ancha Fi"/>
      <sheetName val="Bucle Reconciliacion Top-Down"/>
    </sheetNames>
    <sheetDataSet>
      <sheetData sheetId="0"/>
      <sheetData sheetId="1"/>
      <sheetData sheetId="2"/>
      <sheetData sheetId="3"/>
      <sheetData sheetId="4">
        <row r="6">
          <cell r="Y6">
            <v>90.78725</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V"/>
      <sheetName val="S"/>
      <sheetName val="List"/>
      <sheetName val="Otros servicios"/>
      <sheetName val="Habilitación Masiva SAIB"/>
      <sheetName val="Serv. Anexo Caja Dist."/>
      <sheetName val="Entrega Equipo SAIB"/>
      <sheetName val="DFO - DFO"/>
      <sheetName val="Cableado Multipar"/>
      <sheetName val="Equipos Modem blanco "/>
      <sheetName val="SDTFO"/>
    </sheetNames>
    <sheetDataSet>
      <sheetData sheetId="0"/>
      <sheetData sheetId="1"/>
      <sheetData sheetId="2"/>
      <sheetData sheetId="3"/>
      <sheetData sheetId="4">
        <row r="110">
          <cell r="W110">
            <v>610.96</v>
          </cell>
        </row>
        <row r="112">
          <cell r="W112">
            <v>1948.6425855513301</v>
          </cell>
        </row>
      </sheetData>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V.1"/>
      <sheetName val="V.4"/>
      <sheetName val="V.7 "/>
      <sheetName val="V.8 "/>
      <sheetName val="V.11"/>
      <sheetName val="E. Reconcil"/>
      <sheetName val="P. 2.1"/>
      <sheetName val="P. 2.2"/>
      <sheetName val="P. 2.3"/>
      <sheetName val="P. 2.4"/>
      <sheetName val="P. 2.5"/>
      <sheetName val="P. 2.6"/>
      <sheetName val="P. 2.8"/>
      <sheetName val="P. 2.9 y 2.10"/>
      <sheetName val="P. 2.11"/>
      <sheetName val="P. 3"/>
      <sheetName val="P.4"/>
      <sheetName val="P.5"/>
      <sheetName val="P.6"/>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5">
          <cell r="C5" t="str">
            <v>Residencial</v>
          </cell>
        </row>
        <row r="6">
          <cell r="C6" t="str">
            <v>No Residencial</v>
          </cell>
        </row>
        <row r="7">
          <cell r="C7" t="str">
            <v>Residencial y No Residencial</v>
          </cell>
        </row>
        <row r="8">
          <cell r="C8" t="str">
            <v>Otro</v>
          </cell>
        </row>
        <row r="9">
          <cell r="C9" t="str">
            <v>Especifique Modalidad</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Control"/>
      <sheetName val="Mercado"/>
      <sheetName val="Cálculos auxiliares"/>
      <sheetName val="Cálculos principales"/>
      <sheetName val="Cálculos SCyD"/>
      <sheetName val="Calculos Renta de Linea y Voz"/>
      <sheetName val="Calculos Banda Ancha"/>
      <sheetName val="Datos AEP--&gt;"/>
      <sheetName val="Info General Planes Paquetes"/>
      <sheetName val="Datos Precios"/>
      <sheetName val="Resultados"/>
    </sheetNames>
    <sheetDataSet>
      <sheetData sheetId="0"/>
      <sheetData sheetId="1"/>
      <sheetData sheetId="2"/>
      <sheetData sheetId="3"/>
      <sheetData sheetId="4"/>
      <sheetData sheetId="5"/>
      <sheetData sheetId="6"/>
      <sheetData sheetId="7">
        <row r="96">
          <cell r="J96">
            <v>0.31793739171130975</v>
          </cell>
        </row>
      </sheetData>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V"/>
      <sheetName val="S"/>
      <sheetName val="List"/>
      <sheetName val="P.1"/>
      <sheetName val="P. 2 - 6"/>
      <sheetName val="P.7"/>
      <sheetName val="P.8"/>
      <sheetName val="P.9"/>
      <sheetName val="P.10"/>
      <sheetName val="P.11"/>
      <sheetName val="P.12"/>
      <sheetName val="P. 13"/>
      <sheetName val="P.14"/>
      <sheetName val="P.15"/>
    </sheetNames>
    <sheetDataSet>
      <sheetData sheetId="0" refreshError="1"/>
      <sheetData sheetId="1" refreshError="1"/>
      <sheetData sheetId="2" refreshError="1"/>
      <sheetData sheetId="3">
        <row r="5">
          <cell r="L5" t="str">
            <v>Renta Mensual</v>
          </cell>
        </row>
        <row r="6">
          <cell r="L6" t="str">
            <v>Cobro por minuto</v>
          </cell>
        </row>
        <row r="7">
          <cell r="L7" t="str">
            <v>Cobro por llamada</v>
          </cell>
        </row>
        <row r="8">
          <cell r="L8" t="str">
            <v>Cobro por segundo</v>
          </cell>
        </row>
        <row r="9">
          <cell r="L9" t="str">
            <v>Otro (describa el tipo de cobro)</v>
          </cell>
        </row>
        <row r="10">
          <cell r="L10" t="str">
            <v>Especifique Tipo de Contraprestación</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elcome"/>
      <sheetName val="Dashboard"/>
      <sheetName val="Import from MSSQL "/>
      <sheetName val="Demand"/>
      <sheetName val="Unit costs of assets "/>
      <sheetName val="Routing matrix per services"/>
      <sheetName val="Inventory"/>
      <sheetName val="Investment"/>
      <sheetName val="Annual Capex"/>
      <sheetName val="Opex Calculation"/>
      <sheetName val="Services"/>
      <sheetName val="Otro Servicios"/>
      <sheetName val="P. Servicios"/>
      <sheetName val="Legend"/>
    </sheetNames>
    <sheetDataSet>
      <sheetData sheetId="0"/>
      <sheetData sheetId="1"/>
      <sheetData sheetId="2"/>
      <sheetData sheetId="3"/>
      <sheetData sheetId="4">
        <row r="287">
          <cell r="I287">
            <v>48</v>
          </cell>
        </row>
      </sheetData>
      <sheetData sheetId="5">
        <row r="211">
          <cell r="G211">
            <v>1</v>
          </cell>
          <cell r="H211">
            <v>1</v>
          </cell>
          <cell r="I211">
            <v>1</v>
          </cell>
          <cell r="J211">
            <v>1</v>
          </cell>
          <cell r="K211">
            <v>1</v>
          </cell>
          <cell r="L211">
            <v>1</v>
          </cell>
          <cell r="M211">
            <v>1</v>
          </cell>
          <cell r="N211">
            <v>1</v>
          </cell>
          <cell r="O211">
            <v>1</v>
          </cell>
          <cell r="P211">
            <v>1</v>
          </cell>
          <cell r="Q211">
            <v>1</v>
          </cell>
          <cell r="R211">
            <v>1</v>
          </cell>
          <cell r="S211">
            <v>1</v>
          </cell>
          <cell r="T211">
            <v>1</v>
          </cell>
          <cell r="U211">
            <v>1</v>
          </cell>
          <cell r="V211">
            <v>1</v>
          </cell>
          <cell r="W211">
            <v>1</v>
          </cell>
          <cell r="X211">
            <v>1</v>
          </cell>
          <cell r="Y211">
            <v>1</v>
          </cell>
          <cell r="Z211">
            <v>1</v>
          </cell>
          <cell r="AA211">
            <v>1</v>
          </cell>
          <cell r="AB211">
            <v>0</v>
          </cell>
          <cell r="AC211">
            <v>0</v>
          </cell>
          <cell r="AD211">
            <v>1</v>
          </cell>
          <cell r="AE211">
            <v>1</v>
          </cell>
          <cell r="AF211">
            <v>1</v>
          </cell>
          <cell r="AG211">
            <v>0</v>
          </cell>
          <cell r="AH211">
            <v>0</v>
          </cell>
        </row>
      </sheetData>
      <sheetData sheetId="6"/>
      <sheetData sheetId="7"/>
      <sheetData sheetId="8"/>
      <sheetData sheetId="9"/>
      <sheetData sheetId="10"/>
      <sheetData sheetId="11"/>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elcome"/>
      <sheetName val="Dashboard"/>
      <sheetName val="Import from MSSQL "/>
      <sheetName val="Demand"/>
      <sheetName val="Unit costs of assets "/>
      <sheetName val="Routing matrix per services"/>
      <sheetName val="Inventory"/>
      <sheetName val="Investment"/>
      <sheetName val="Annual Capex"/>
      <sheetName val="Opex Calculation"/>
      <sheetName val="Services"/>
      <sheetName val="Otro Servicios"/>
      <sheetName val="P. Servicios"/>
      <sheetName val="Legend"/>
    </sheetNames>
    <sheetDataSet>
      <sheetData sheetId="0"/>
      <sheetData sheetId="1"/>
      <sheetData sheetId="2"/>
      <sheetData sheetId="3"/>
      <sheetData sheetId="4">
        <row r="287">
          <cell r="I287">
            <v>48</v>
          </cell>
        </row>
      </sheetData>
      <sheetData sheetId="5">
        <row r="211">
          <cell r="G211">
            <v>1</v>
          </cell>
          <cell r="H211">
            <v>1</v>
          </cell>
          <cell r="I211">
            <v>1</v>
          </cell>
          <cell r="J211">
            <v>1</v>
          </cell>
          <cell r="K211">
            <v>1</v>
          </cell>
          <cell r="L211">
            <v>1</v>
          </cell>
          <cell r="M211">
            <v>1</v>
          </cell>
          <cell r="N211">
            <v>1</v>
          </cell>
          <cell r="O211">
            <v>1</v>
          </cell>
          <cell r="P211">
            <v>1</v>
          </cell>
          <cell r="Q211">
            <v>1</v>
          </cell>
          <cell r="R211">
            <v>1</v>
          </cell>
          <cell r="S211">
            <v>1</v>
          </cell>
          <cell r="T211">
            <v>1</v>
          </cell>
          <cell r="U211">
            <v>1</v>
          </cell>
          <cell r="V211">
            <v>1</v>
          </cell>
          <cell r="W211">
            <v>1</v>
          </cell>
          <cell r="X211">
            <v>1</v>
          </cell>
          <cell r="Y211">
            <v>1</v>
          </cell>
          <cell r="Z211">
            <v>1</v>
          </cell>
          <cell r="AA211">
            <v>1</v>
          </cell>
          <cell r="AB211">
            <v>0</v>
          </cell>
          <cell r="AC211">
            <v>0</v>
          </cell>
          <cell r="AD211">
            <v>1</v>
          </cell>
          <cell r="AE211">
            <v>1</v>
          </cell>
          <cell r="AF211">
            <v>1</v>
          </cell>
          <cell r="AG211">
            <v>0</v>
          </cell>
          <cell r="AH211">
            <v>0</v>
          </cell>
        </row>
      </sheetData>
      <sheetData sheetId="6"/>
      <sheetData sheetId="7"/>
      <sheetData sheetId="8"/>
      <sheetData sheetId="9"/>
      <sheetData sheetId="10"/>
      <sheetData sheetId="11"/>
      <sheetData sheetId="12"/>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C"/>
      <sheetName val="V"/>
      <sheetName val="S"/>
      <sheetName val="List"/>
      <sheetName val="P. 1 - 5"/>
      <sheetName val="vel sim"/>
      <sheetName val="P.6"/>
      <sheetName val="P.7"/>
      <sheetName val="P.8"/>
      <sheetName val="P.9"/>
      <sheetName val="P.10"/>
      <sheetName val="P.11"/>
    </sheetNames>
    <sheetDataSet>
      <sheetData sheetId="0"/>
      <sheetData sheetId="1">
        <row r="5">
          <cell r="B5" t="str">
            <v>Workbook Title</v>
          </cell>
        </row>
        <row r="6">
          <cell r="B6" t="str">
            <v>Workbook Objective</v>
          </cell>
        </row>
        <row r="8">
          <cell r="B8" t="str">
            <v>Workbook Version</v>
          </cell>
        </row>
        <row r="9">
          <cell r="B9" t="str">
            <v>Under construction</v>
          </cell>
        </row>
        <row r="14">
          <cell r="B14" t="str">
            <v>Workbook Author</v>
          </cell>
        </row>
        <row r="15">
          <cell r="B15" t="str">
            <v>Workbook Author's Email Address</v>
          </cell>
        </row>
      </sheetData>
      <sheetData sheetId="2"/>
      <sheetData sheetId="3"/>
      <sheetData sheetId="4">
        <row r="5">
          <cell r="B5" t="str">
            <v>Telefonía fija</v>
          </cell>
          <cell r="D5" t="str">
            <v>Residencial</v>
          </cell>
          <cell r="L5" t="str">
            <v>Renta Mensual</v>
          </cell>
          <cell r="N5" t="str">
            <v>Mensual</v>
          </cell>
        </row>
        <row r="6">
          <cell r="B6" t="str">
            <v>Internet fijo</v>
          </cell>
          <cell r="D6" t="str">
            <v>No Residencial</v>
          </cell>
          <cell r="L6" t="str">
            <v>Cobro por minuto</v>
          </cell>
          <cell r="N6" t="str">
            <v>Anual</v>
          </cell>
        </row>
        <row r="7">
          <cell r="B7" t="str">
            <v>Telefonía fija + Internet fijo</v>
          </cell>
          <cell r="D7" t="str">
            <v>Residencial y No Residencial</v>
          </cell>
          <cell r="L7" t="str">
            <v>Cobro por llamada</v>
          </cell>
          <cell r="N7" t="str">
            <v>Otra (especifique)</v>
          </cell>
        </row>
        <row r="8">
          <cell r="B8" t="str">
            <v>Otro</v>
          </cell>
          <cell r="D8" t="str">
            <v>Otro</v>
          </cell>
          <cell r="L8" t="str">
            <v>Cobro por segundo</v>
          </cell>
          <cell r="N8" t="str">
            <v>Especifique periodicidad</v>
          </cell>
        </row>
        <row r="9">
          <cell r="B9" t="str">
            <v>Especifique Tipo de Servicio</v>
          </cell>
          <cell r="D9" t="str">
            <v>Especifique Modalidad</v>
          </cell>
          <cell r="L9" t="str">
            <v>Otro (describa el tipo de cobro)</v>
          </cell>
        </row>
        <row r="10">
          <cell r="L10" t="str">
            <v>Especifique Tipo de Contraprestación</v>
          </cell>
        </row>
      </sheetData>
      <sheetData sheetId="5">
        <row r="57">
          <cell r="G57">
            <v>440.68</v>
          </cell>
        </row>
      </sheetData>
      <sheetData sheetId="6"/>
      <sheetData sheetId="7"/>
      <sheetData sheetId="8"/>
      <sheetData sheetId="9"/>
      <sheetData sheetId="10"/>
      <sheetData sheetId="11"/>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C"/>
      <sheetName val="V"/>
      <sheetName val="S"/>
      <sheetName val="List"/>
      <sheetName val="P. 1 - 5"/>
      <sheetName val="vel sim"/>
      <sheetName val="P.6"/>
      <sheetName val="P.7"/>
      <sheetName val="P.8"/>
      <sheetName val="P.9"/>
      <sheetName val="P.10"/>
      <sheetName val="P.11"/>
    </sheetNames>
    <sheetDataSet>
      <sheetData sheetId="0"/>
      <sheetData sheetId="1">
        <row r="5">
          <cell r="B5" t="str">
            <v>Workbook Title</v>
          </cell>
        </row>
        <row r="6">
          <cell r="B6" t="str">
            <v>Workbook Objective</v>
          </cell>
        </row>
        <row r="8">
          <cell r="B8" t="str">
            <v>Workbook Version</v>
          </cell>
        </row>
        <row r="9">
          <cell r="B9" t="str">
            <v>Under construction</v>
          </cell>
        </row>
        <row r="14">
          <cell r="B14" t="str">
            <v>Workbook Author</v>
          </cell>
        </row>
        <row r="15">
          <cell r="B15" t="str">
            <v>Workbook Author's Email Address</v>
          </cell>
        </row>
      </sheetData>
      <sheetData sheetId="2"/>
      <sheetData sheetId="3"/>
      <sheetData sheetId="4">
        <row r="5">
          <cell r="B5" t="str">
            <v>Telefonía fija</v>
          </cell>
          <cell r="D5" t="str">
            <v>Residencial</v>
          </cell>
          <cell r="L5" t="str">
            <v>Renta Mensual</v>
          </cell>
          <cell r="N5" t="str">
            <v>Mensual</v>
          </cell>
        </row>
        <row r="6">
          <cell r="B6" t="str">
            <v>Internet fijo</v>
          </cell>
          <cell r="D6" t="str">
            <v>No Residencial</v>
          </cell>
          <cell r="L6" t="str">
            <v>Cobro por minuto</v>
          </cell>
          <cell r="N6" t="str">
            <v>Anual</v>
          </cell>
        </row>
        <row r="7">
          <cell r="B7" t="str">
            <v>Telefonía fija + Internet fijo</v>
          </cell>
          <cell r="D7" t="str">
            <v>Residencial y No Residencial</v>
          </cell>
          <cell r="L7" t="str">
            <v>Cobro por llamada</v>
          </cell>
          <cell r="N7" t="str">
            <v>Otra (especifique)</v>
          </cell>
        </row>
        <row r="8">
          <cell r="B8" t="str">
            <v>Otro</v>
          </cell>
          <cell r="D8" t="str">
            <v>Otro</v>
          </cell>
          <cell r="L8" t="str">
            <v>Cobro por segundo</v>
          </cell>
          <cell r="N8" t="str">
            <v>Especifique periodicidad</v>
          </cell>
        </row>
        <row r="9">
          <cell r="B9" t="str">
            <v>Especifique Tipo de Servicio</v>
          </cell>
          <cell r="D9" t="str">
            <v>Especifique Modalidad</v>
          </cell>
          <cell r="L9" t="str">
            <v>Otro (describa el tipo de cobro)</v>
          </cell>
        </row>
        <row r="10">
          <cell r="L10" t="str">
            <v>Especifique Tipo de Contraprestación</v>
          </cell>
        </row>
      </sheetData>
      <sheetData sheetId="5"/>
      <sheetData sheetId="6"/>
      <sheetData sheetId="7"/>
      <sheetData sheetId="8"/>
      <sheetData sheetId="9"/>
      <sheetData sheetId="10"/>
      <sheetData sheetId="11"/>
      <sheetData sheetId="1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V"/>
      <sheetName val="S"/>
      <sheetName val="List"/>
      <sheetName val="P.1"/>
      <sheetName val="P. 2 - 6"/>
      <sheetName val="P.7"/>
      <sheetName val="P.8"/>
      <sheetName val="P.9"/>
      <sheetName val="P.10"/>
      <sheetName val="P.11"/>
      <sheetName val="P.12"/>
      <sheetName val="P. 13"/>
      <sheetName val="P.14"/>
      <sheetName val="P.15"/>
    </sheetNames>
    <sheetDataSet>
      <sheetData sheetId="0"/>
      <sheetData sheetId="1"/>
      <sheetData sheetId="2"/>
      <sheetData sheetId="3">
        <row r="5">
          <cell r="B5" t="str">
            <v>Telefonía fija</v>
          </cell>
          <cell r="D5" t="str">
            <v>Residencial</v>
          </cell>
          <cell r="L5" t="str">
            <v>Renta Mensual</v>
          </cell>
          <cell r="N5" t="str">
            <v>Mensual</v>
          </cell>
        </row>
        <row r="6">
          <cell r="B6" t="str">
            <v>Internet fijo</v>
          </cell>
          <cell r="D6" t="str">
            <v>No Residencial</v>
          </cell>
          <cell r="L6" t="str">
            <v>Cobro por minuto</v>
          </cell>
          <cell r="N6" t="str">
            <v>Anual</v>
          </cell>
        </row>
        <row r="7">
          <cell r="B7" t="str">
            <v>Telefonía fija + Internet fijo</v>
          </cell>
          <cell r="D7" t="str">
            <v>Residencial y No Residencial</v>
          </cell>
          <cell r="L7" t="str">
            <v>Cobro por llamada</v>
          </cell>
          <cell r="N7" t="str">
            <v>Otra (especifique)</v>
          </cell>
        </row>
        <row r="8">
          <cell r="B8" t="str">
            <v>Otro</v>
          </cell>
          <cell r="D8" t="str">
            <v>Otro</v>
          </cell>
          <cell r="L8" t="str">
            <v>Cobro por segundo</v>
          </cell>
          <cell r="N8" t="str">
            <v>Especifique periodicidad</v>
          </cell>
        </row>
        <row r="9">
          <cell r="B9" t="str">
            <v>Especifique Tipo de Servicio</v>
          </cell>
          <cell r="D9" t="str">
            <v>Especifique Modalidad</v>
          </cell>
          <cell r="L9" t="str">
            <v>Otro (describa el tipo de cobro)</v>
          </cell>
        </row>
        <row r="10">
          <cell r="L10" t="str">
            <v>Especifique Tipo de Contraprestación</v>
          </cell>
        </row>
      </sheetData>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AnalysysMasonXL">
  <a:themeElements>
    <a:clrScheme name="AnalysysMasonXL">
      <a:dk1>
        <a:srgbClr val="003352"/>
      </a:dk1>
      <a:lt1>
        <a:srgbClr val="FFFFFF"/>
      </a:lt1>
      <a:dk2>
        <a:srgbClr val="003352"/>
      </a:dk2>
      <a:lt2>
        <a:srgbClr val="61586C"/>
      </a:lt2>
      <a:accent1>
        <a:srgbClr val="221F72"/>
      </a:accent1>
      <a:accent2>
        <a:srgbClr val="6762D4"/>
      </a:accent2>
      <a:accent3>
        <a:srgbClr val="A5A2E6"/>
      </a:accent3>
      <a:accent4>
        <a:srgbClr val="5A2149"/>
      </a:accent4>
      <a:accent5>
        <a:srgbClr val="9F3B80"/>
      </a:accent5>
      <a:accent6>
        <a:srgbClr val="D284BA"/>
      </a:accent6>
      <a:hlink>
        <a:srgbClr val="013352"/>
      </a:hlink>
      <a:folHlink>
        <a:srgbClr val="003352"/>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5.bin"/><Relationship Id="rId1" Type="http://schemas.openxmlformats.org/officeDocument/2006/relationships/hyperlink" Target="https://www.clarovideo.com/fe/sitesplus/sk_telmex/html/esp/faqs.html"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7.bin"/><Relationship Id="rId1" Type="http://schemas.openxmlformats.org/officeDocument/2006/relationships/hyperlink" Target="https://telmex.com/web/negocios/velocidades-simetricas"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reamble1">
    <outlinePr summaryBelow="0"/>
    <pageSetUpPr autoPageBreaks="0"/>
  </sheetPr>
  <dimension ref="A1:E35"/>
  <sheetViews>
    <sheetView showGridLines="0" defaultGridColor="0" colorId="22" zoomScale="70" zoomScaleNormal="70" zoomScaleSheetLayoutView="75" workbookViewId="0">
      <pane ySplit="19" topLeftCell="A41" activePane="bottomLeft" state="frozen"/>
      <selection pane="bottomLeft" activeCell="C29" sqref="C29"/>
    </sheetView>
  </sheetViews>
  <sheetFormatPr baseColWidth="10" defaultColWidth="12.796875" defaultRowHeight="11.5" x14ac:dyDescent="0.25"/>
  <cols>
    <col min="1" max="4" width="16.796875" style="66" customWidth="1"/>
    <col min="5" max="5" width="62.796875" style="66" customWidth="1"/>
  </cols>
  <sheetData>
    <row r="1" spans="1:5" s="78" customFormat="1" ht="33.75" customHeight="1" x14ac:dyDescent="0.25">
      <c r="C1" s="88" t="s">
        <v>113</v>
      </c>
    </row>
    <row r="2" spans="1:5" s="79" customFormat="1" ht="12" customHeight="1" x14ac:dyDescent="0.25"/>
    <row r="3" spans="1:5" s="2" customFormat="1" ht="18" x14ac:dyDescent="0.4">
      <c r="A3" s="62" t="s">
        <v>108</v>
      </c>
      <c r="C3"/>
    </row>
    <row r="4" spans="1:5" ht="6" customHeight="1" x14ac:dyDescent="0.25">
      <c r="A4"/>
      <c r="B4"/>
      <c r="C4"/>
      <c r="D4"/>
      <c r="E4"/>
    </row>
    <row r="5" spans="1:5" x14ac:dyDescent="0.25">
      <c r="A5" s="63" t="s">
        <v>101</v>
      </c>
      <c r="B5" s="76" t="s">
        <v>102</v>
      </c>
      <c r="C5"/>
      <c r="D5"/>
      <c r="E5"/>
    </row>
    <row r="6" spans="1:5" x14ac:dyDescent="0.25">
      <c r="A6" s="63" t="s">
        <v>100</v>
      </c>
      <c r="B6" s="76" t="s">
        <v>103</v>
      </c>
      <c r="C6"/>
      <c r="D6"/>
      <c r="E6"/>
    </row>
    <row r="7" spans="1:5" ht="6" customHeight="1" x14ac:dyDescent="0.25">
      <c r="A7"/>
      <c r="B7"/>
      <c r="C7"/>
      <c r="D7"/>
      <c r="E7"/>
    </row>
    <row r="8" spans="1:5" x14ac:dyDescent="0.25">
      <c r="A8" s="63" t="s">
        <v>99</v>
      </c>
      <c r="B8" s="76" t="s">
        <v>104</v>
      </c>
      <c r="C8"/>
      <c r="D8"/>
      <c r="E8"/>
    </row>
    <row r="9" spans="1:5" x14ac:dyDescent="0.25">
      <c r="A9" s="63" t="s">
        <v>2</v>
      </c>
      <c r="B9" s="66" t="s">
        <v>110</v>
      </c>
      <c r="C9"/>
      <c r="D9"/>
      <c r="E9"/>
    </row>
    <row r="10" spans="1:5" hidden="1" x14ac:dyDescent="0.25">
      <c r="A10" s="63"/>
      <c r="B10" s="66" t="s">
        <v>110</v>
      </c>
      <c r="C10"/>
      <c r="D10"/>
      <c r="E10"/>
    </row>
    <row r="11" spans="1:5" hidden="1" x14ac:dyDescent="0.25">
      <c r="A11" s="63"/>
      <c r="B11" s="66" t="s">
        <v>109</v>
      </c>
      <c r="C11"/>
      <c r="D11"/>
      <c r="E11"/>
    </row>
    <row r="12" spans="1:5" hidden="1" x14ac:dyDescent="0.25">
      <c r="A12" s="63"/>
      <c r="B12" s="66" t="s">
        <v>136</v>
      </c>
      <c r="C12"/>
      <c r="D12"/>
      <c r="E12"/>
    </row>
    <row r="13" spans="1:5" hidden="1" x14ac:dyDescent="0.25">
      <c r="A13" s="63"/>
      <c r="B13" s="66" t="s">
        <v>111</v>
      </c>
      <c r="C13"/>
      <c r="D13"/>
      <c r="E13"/>
    </row>
    <row r="14" spans="1:5" x14ac:dyDescent="0.25">
      <c r="A14" s="63" t="s">
        <v>106</v>
      </c>
      <c r="B14" s="76" t="s">
        <v>107</v>
      </c>
      <c r="C14"/>
      <c r="D14"/>
      <c r="E14"/>
    </row>
    <row r="15" spans="1:5" x14ac:dyDescent="0.25">
      <c r="A15" s="63" t="s">
        <v>117</v>
      </c>
      <c r="B15" s="76" t="s">
        <v>118</v>
      </c>
      <c r="C15"/>
      <c r="D15"/>
      <c r="E15"/>
    </row>
    <row r="16" spans="1:5" ht="6" customHeight="1" x14ac:dyDescent="0.25">
      <c r="A16" s="63"/>
      <c r="B16" s="76"/>
      <c r="C16"/>
      <c r="D16"/>
      <c r="E16"/>
    </row>
    <row r="17" spans="1:5" s="2" customFormat="1" ht="18" x14ac:dyDescent="0.4">
      <c r="A17" s="62" t="s">
        <v>113</v>
      </c>
      <c r="C17"/>
    </row>
    <row r="18" spans="1:5" ht="6" customHeight="1" x14ac:dyDescent="0.25">
      <c r="A18"/>
      <c r="B18"/>
      <c r="C18"/>
      <c r="D18"/>
      <c r="E18"/>
    </row>
    <row r="19" spans="1:5" ht="15.5" x14ac:dyDescent="0.35">
      <c r="A19" s="4" t="s">
        <v>0</v>
      </c>
      <c r="B19" s="4" t="s">
        <v>1</v>
      </c>
      <c r="C19" s="37"/>
      <c r="D19" s="4" t="s">
        <v>2</v>
      </c>
      <c r="E19" s="4" t="s">
        <v>3</v>
      </c>
    </row>
    <row r="20" spans="1:5" x14ac:dyDescent="0.25">
      <c r="A20" s="66" t="s">
        <v>138</v>
      </c>
      <c r="B20" s="66" t="s">
        <v>116</v>
      </c>
      <c r="D20" s="66" t="s">
        <v>111</v>
      </c>
    </row>
    <row r="21" spans="1:5" x14ac:dyDescent="0.25">
      <c r="A21" s="66" t="s">
        <v>139</v>
      </c>
      <c r="B21" s="66" t="s">
        <v>114</v>
      </c>
      <c r="D21" s="66" t="s">
        <v>111</v>
      </c>
    </row>
    <row r="22" spans="1:5" x14ac:dyDescent="0.25">
      <c r="A22" s="66" t="s">
        <v>140</v>
      </c>
      <c r="B22" s="66" t="s">
        <v>115</v>
      </c>
      <c r="D22" s="66" t="s">
        <v>111</v>
      </c>
    </row>
    <row r="23" spans="1:5" ht="12" x14ac:dyDescent="0.25">
      <c r="A23" s="66" t="s">
        <v>0</v>
      </c>
      <c r="B23" s="75" t="s">
        <v>137</v>
      </c>
      <c r="D23" s="66" t="s">
        <v>111</v>
      </c>
    </row>
    <row r="24" spans="1:5" x14ac:dyDescent="0.25">
      <c r="A24" s="85" t="s">
        <v>135</v>
      </c>
      <c r="B24" s="85"/>
      <c r="C24" s="85"/>
      <c r="D24" s="85"/>
      <c r="E24" s="85"/>
    </row>
    <row r="25" spans="1:5" x14ac:dyDescent="0.25">
      <c r="A25" s="84"/>
      <c r="B25" s="84"/>
      <c r="C25" s="84"/>
      <c r="D25" s="84"/>
      <c r="E25" s="84"/>
    </row>
    <row r="35" spans="3:3" x14ac:dyDescent="0.25">
      <c r="C35" s="84"/>
    </row>
  </sheetData>
  <phoneticPr fontId="0" type="noConversion"/>
  <dataValidations count="1">
    <dataValidation type="list" allowBlank="1" sqref="B9 D23 D20:D22" xr:uid="{00000000-0002-0000-0000-000000000000}">
      <formula1>$B$10:$B$13</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dimension ref="A1:BC108"/>
  <sheetViews>
    <sheetView showGridLines="0" zoomScale="85" zoomScaleNormal="85" workbookViewId="0">
      <pane xSplit="9" ySplit="2" topLeftCell="J3" activePane="bottomRight" state="frozen"/>
      <selection activeCell="E16" sqref="E16:E29"/>
      <selection pane="topRight" activeCell="E16" sqref="E16:E29"/>
      <selection pane="bottomLeft" activeCell="E16" sqref="E16:E29"/>
      <selection pane="bottomRight" sqref="A1:XFD1048576"/>
    </sheetView>
  </sheetViews>
  <sheetFormatPr baseColWidth="10" defaultRowHeight="11.5" x14ac:dyDescent="0.25"/>
  <cols>
    <col min="1" max="2" width="6.796875" customWidth="1"/>
    <col min="3" max="3" width="4.796875" customWidth="1"/>
    <col min="4" max="4" width="22.796875" customWidth="1"/>
    <col min="10" max="10" width="17.19921875" bestFit="1" customWidth="1"/>
    <col min="12" max="12" width="19.8984375" bestFit="1" customWidth="1"/>
    <col min="13" max="13" width="17.796875" bestFit="1" customWidth="1"/>
    <col min="14" max="14" width="14.3984375" bestFit="1" customWidth="1"/>
  </cols>
  <sheetData>
    <row r="1" spans="1:55" s="93" customFormat="1" ht="33.75" customHeight="1" x14ac:dyDescent="0.25">
      <c r="C1" s="94" t="s">
        <v>676</v>
      </c>
      <c r="D1" s="94"/>
      <c r="E1" s="94"/>
      <c r="F1" s="94"/>
    </row>
    <row r="2" spans="1:55" s="44" customFormat="1" x14ac:dyDescent="0.25">
      <c r="C2" s="72"/>
      <c r="D2" s="72" t="s">
        <v>166</v>
      </c>
      <c r="E2" s="1"/>
      <c r="F2" s="1"/>
      <c r="G2" s="1"/>
      <c r="H2" s="1" t="s">
        <v>167</v>
      </c>
      <c r="I2" s="1"/>
      <c r="J2" s="1"/>
      <c r="K2" s="1"/>
      <c r="L2" s="1"/>
      <c r="M2" s="1"/>
      <c r="N2" s="1"/>
      <c r="O2" s="1"/>
      <c r="P2" s="1" t="s">
        <v>170</v>
      </c>
      <c r="Q2" s="1"/>
      <c r="R2" s="1"/>
      <c r="S2" s="1"/>
      <c r="T2" s="1"/>
      <c r="U2" s="1"/>
      <c r="V2" s="1"/>
      <c r="W2" s="1"/>
      <c r="X2" s="1"/>
      <c r="Y2" s="1"/>
      <c r="Z2" s="1"/>
      <c r="AA2" s="1"/>
      <c r="AB2" s="1"/>
      <c r="AC2" s="1"/>
      <c r="AD2" s="1"/>
      <c r="AE2" s="1"/>
    </row>
    <row r="3" spans="1:55" s="44" customFormat="1" x14ac:dyDescent="0.25">
      <c r="A3" s="100">
        <v>1</v>
      </c>
      <c r="B3" s="100" t="s">
        <v>472</v>
      </c>
      <c r="C3" s="40"/>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row>
    <row r="4" spans="1:55" s="44" customFormat="1" x14ac:dyDescent="0.25"/>
    <row r="5" spans="1:55" s="44" customFormat="1" x14ac:dyDescent="0.25">
      <c r="B5" s="100">
        <v>1.1000000000000001</v>
      </c>
      <c r="C5" s="100" t="s">
        <v>677</v>
      </c>
      <c r="D5" s="100"/>
      <c r="E5" s="100"/>
      <c r="F5" s="100"/>
      <c r="G5" s="10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row>
    <row r="6" spans="1:55" s="44" customFormat="1" x14ac:dyDescent="0.25"/>
    <row r="7" spans="1:55" s="44" customFormat="1" x14ac:dyDescent="0.25">
      <c r="C7" s="102" t="s">
        <v>678</v>
      </c>
      <c r="L7" s="262"/>
      <c r="M7" s="262"/>
    </row>
    <row r="8" spans="1:55" s="44" customFormat="1" x14ac:dyDescent="0.25">
      <c r="D8" s="44" t="str">
        <f>"Número de suscripciones en "&amp;Year.selected-1</f>
        <v>Número de suscripciones en 2021</v>
      </c>
      <c r="H8" s="77" t="s">
        <v>188</v>
      </c>
      <c r="J8" s="134">
        <f>INDEX(Broadbad.suscriptions.AEP,MATCH(Year.selected-1,Years,0))</f>
        <v>10022554</v>
      </c>
      <c r="L8" s="262"/>
      <c r="M8" s="262"/>
    </row>
    <row r="9" spans="1:55" s="44" customFormat="1" x14ac:dyDescent="0.25">
      <c r="D9" s="44" t="str">
        <f>"Número de suscripciones en "&amp;Year.selected</f>
        <v>Número de suscripciones en 2022</v>
      </c>
      <c r="H9" s="77" t="s">
        <v>188</v>
      </c>
      <c r="J9" s="134">
        <f>INDEX(Broadbad.suscriptions.AEP,MATCH(Year.selected,Years,0))</f>
        <v>10036609</v>
      </c>
      <c r="L9" s="262"/>
      <c r="M9" s="262"/>
    </row>
    <row r="10" spans="1:55" s="44" customFormat="1" x14ac:dyDescent="0.25">
      <c r="D10" s="44" t="s">
        <v>625</v>
      </c>
      <c r="H10" s="77" t="s">
        <v>188</v>
      </c>
      <c r="J10" s="134">
        <f>J9-J8</f>
        <v>14055</v>
      </c>
      <c r="L10" s="262"/>
      <c r="M10" s="262"/>
    </row>
    <row r="11" spans="1:55" s="44" customFormat="1" x14ac:dyDescent="0.25">
      <c r="L11" s="262"/>
      <c r="M11" s="262"/>
    </row>
    <row r="12" spans="1:55" s="44" customFormat="1" x14ac:dyDescent="0.25">
      <c r="D12" s="44" t="s">
        <v>428</v>
      </c>
      <c r="H12" s="190" t="s">
        <v>172</v>
      </c>
      <c r="J12" s="229">
        <f>Line.rental.churn</f>
        <v>1.3650000000000001E-2</v>
      </c>
      <c r="L12" s="262"/>
    </row>
    <row r="13" spans="1:55" s="44" customFormat="1" x14ac:dyDescent="0.25">
      <c r="L13" s="262"/>
      <c r="M13" s="262"/>
    </row>
    <row r="14" spans="1:55" s="44" customFormat="1" x14ac:dyDescent="0.25">
      <c r="D14" s="44" t="s">
        <v>626</v>
      </c>
      <c r="H14" s="77" t="s">
        <v>188</v>
      </c>
      <c r="J14" s="134">
        <f>J8*J12+J10</f>
        <v>150862.8621</v>
      </c>
    </row>
    <row r="15" spans="1:55" s="44" customFormat="1" x14ac:dyDescent="0.25"/>
    <row r="16" spans="1:55" s="44" customFormat="1" x14ac:dyDescent="0.25">
      <c r="C16" s="102" t="s">
        <v>679</v>
      </c>
    </row>
    <row r="17" spans="3:11" s="44" customFormat="1" x14ac:dyDescent="0.25">
      <c r="D17" s="44" t="str">
        <f>"Número de líneas en "&amp;Year.selected-1</f>
        <v>Número de líneas en 2021</v>
      </c>
      <c r="H17" s="77" t="s">
        <v>188</v>
      </c>
      <c r="J17" s="134">
        <f>INDEX(AEP.broadband.subs.residential,MATCH(Year.selected-1,Years,0))</f>
        <v>8592152.5364580154</v>
      </c>
    </row>
    <row r="18" spans="3:11" s="44" customFormat="1" x14ac:dyDescent="0.25">
      <c r="D18" s="44" t="str">
        <f>"Número de líneas en "&amp;Year.selected</f>
        <v>Número de líneas en 2022</v>
      </c>
      <c r="H18" s="77" t="s">
        <v>188</v>
      </c>
      <c r="J18" s="134">
        <f>INDEX(AEP.broadband.subs.residential,MATCH(Year.selected,Years,0))</f>
        <v>8676844.9196293205</v>
      </c>
    </row>
    <row r="19" spans="3:11" s="44" customFormat="1" x14ac:dyDescent="0.25">
      <c r="D19" s="44" t="s">
        <v>625</v>
      </c>
      <c r="H19" s="77" t="s">
        <v>188</v>
      </c>
      <c r="J19" s="335">
        <f>J18-J17</f>
        <v>84692.38317130506</v>
      </c>
    </row>
    <row r="20" spans="3:11" s="44" customFormat="1" x14ac:dyDescent="0.25"/>
    <row r="21" spans="3:11" s="44" customFormat="1" x14ac:dyDescent="0.25">
      <c r="D21" s="44" t="s">
        <v>428</v>
      </c>
      <c r="H21" s="190" t="s">
        <v>172</v>
      </c>
      <c r="J21" s="229">
        <f>Line.rental.churn</f>
        <v>1.3650000000000001E-2</v>
      </c>
    </row>
    <row r="22" spans="3:11" s="44" customFormat="1" x14ac:dyDescent="0.25"/>
    <row r="23" spans="3:11" s="44" customFormat="1" ht="12" x14ac:dyDescent="0.25">
      <c r="D23" s="44" t="s">
        <v>626</v>
      </c>
      <c r="H23" s="77" t="s">
        <v>188</v>
      </c>
      <c r="J23" s="196">
        <f>J17*J21+J19</f>
        <v>201975.26529395697</v>
      </c>
      <c r="K23" s="45" t="s">
        <v>683</v>
      </c>
    </row>
    <row r="24" spans="3:11" s="44" customFormat="1" x14ac:dyDescent="0.25"/>
    <row r="25" spans="3:11" s="44" customFormat="1" x14ac:dyDescent="0.25">
      <c r="C25" s="102" t="s">
        <v>680</v>
      </c>
    </row>
    <row r="26" spans="3:11" s="44" customFormat="1" x14ac:dyDescent="0.25">
      <c r="D26" s="44" t="str">
        <f>"Número de líneas en "&amp;Year.selected-1</f>
        <v>Número de líneas en 2021</v>
      </c>
      <c r="H26" s="77" t="s">
        <v>188</v>
      </c>
      <c r="J26" s="134">
        <f>INDEX(AEP.broadband.subs.non.residential,MATCH(Year.selected-1,Years,0))</f>
        <v>1430401.463541986</v>
      </c>
    </row>
    <row r="27" spans="3:11" s="44" customFormat="1" x14ac:dyDescent="0.25">
      <c r="D27" s="44" t="str">
        <f>"Número de líneas en "&amp;Year.selected</f>
        <v>Número de líneas en 2022</v>
      </c>
      <c r="H27" s="77" t="s">
        <v>188</v>
      </c>
      <c r="J27" s="134">
        <f>INDEX(AEP.broadband.subs.non.residential,MATCH(Year.selected,Years,0))</f>
        <v>1359764.0803706793</v>
      </c>
    </row>
    <row r="28" spans="3:11" s="44" customFormat="1" x14ac:dyDescent="0.25">
      <c r="D28" s="44" t="s">
        <v>625</v>
      </c>
      <c r="H28" s="77" t="s">
        <v>188</v>
      </c>
      <c r="J28" s="196">
        <f>J27-J26</f>
        <v>-70637.38317130669</v>
      </c>
    </row>
    <row r="29" spans="3:11" s="44" customFormat="1" x14ac:dyDescent="0.25"/>
    <row r="30" spans="3:11" s="44" customFormat="1" x14ac:dyDescent="0.25">
      <c r="D30" s="44" t="s">
        <v>428</v>
      </c>
      <c r="H30" s="190" t="s">
        <v>172</v>
      </c>
      <c r="J30" s="229">
        <f>Line.rental.churn</f>
        <v>1.3650000000000001E-2</v>
      </c>
    </row>
    <row r="31" spans="3:11" s="44" customFormat="1" x14ac:dyDescent="0.25"/>
    <row r="32" spans="3:11" s="44" customFormat="1" ht="12" x14ac:dyDescent="0.25">
      <c r="D32" s="44" t="s">
        <v>626</v>
      </c>
      <c r="H32" s="77" t="s">
        <v>188</v>
      </c>
      <c r="J32" s="196">
        <f>J26*J30+J28</f>
        <v>-51112.403193958584</v>
      </c>
      <c r="K32" s="45" t="s">
        <v>684</v>
      </c>
    </row>
    <row r="33" spans="2:55" s="44" customFormat="1" x14ac:dyDescent="0.25"/>
    <row r="34" spans="2:55" s="44" customFormat="1" x14ac:dyDescent="0.25">
      <c r="C34" s="102" t="s">
        <v>682</v>
      </c>
    </row>
    <row r="35" spans="2:55" s="44" customFormat="1" x14ac:dyDescent="0.25">
      <c r="D35" s="44" t="s">
        <v>197</v>
      </c>
      <c r="H35" s="77" t="s">
        <v>188</v>
      </c>
      <c r="J35" s="196">
        <f>AVERAGE(J17:J18)</f>
        <v>8634498.728043668</v>
      </c>
    </row>
    <row r="36" spans="2:55" s="44" customFormat="1" x14ac:dyDescent="0.25">
      <c r="D36" s="44" t="s">
        <v>637</v>
      </c>
      <c r="H36" s="77" t="s">
        <v>188</v>
      </c>
      <c r="J36" s="196">
        <f>AVERAGE(J26:J27)</f>
        <v>1395082.7719563325</v>
      </c>
    </row>
    <row r="37" spans="2:55" s="44" customFormat="1" x14ac:dyDescent="0.25"/>
    <row r="38" spans="2:55" s="44" customFormat="1" x14ac:dyDescent="0.25">
      <c r="B38" s="100">
        <v>1.2</v>
      </c>
      <c r="C38" s="100" t="s">
        <v>644</v>
      </c>
      <c r="D38" s="100"/>
      <c r="E38" s="100"/>
      <c r="F38" s="100"/>
      <c r="G38" s="10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row>
    <row r="39" spans="2:55" s="44" customFormat="1" x14ac:dyDescent="0.25">
      <c r="C39" s="102"/>
    </row>
    <row r="40" spans="2:55" s="44" customFormat="1" x14ac:dyDescent="0.25">
      <c r="C40" s="96">
        <v>1</v>
      </c>
      <c r="D40" s="44" t="s">
        <v>639</v>
      </c>
      <c r="H40" s="77" t="s">
        <v>643</v>
      </c>
      <c r="J40" s="192">
        <v>0</v>
      </c>
      <c r="K40" s="289"/>
      <c r="P40" s="44" t="s">
        <v>685</v>
      </c>
    </row>
    <row r="41" spans="2:55" s="44" customFormat="1" x14ac:dyDescent="0.25">
      <c r="M41" s="262"/>
    </row>
    <row r="42" spans="2:55" s="44" customFormat="1" x14ac:dyDescent="0.25">
      <c r="C42" s="197">
        <f>1+C40</f>
        <v>2</v>
      </c>
      <c r="D42" s="44" t="s">
        <v>640</v>
      </c>
      <c r="H42" s="77" t="s">
        <v>643</v>
      </c>
      <c r="J42" s="478">
        <f>SUMPRODUCT(vector.users.broadband,vector.periodicity,vector.implicit.prices.broadband.before.discount)</f>
        <v>25000559173.957912</v>
      </c>
      <c r="K42" s="289"/>
      <c r="L42" s="316"/>
      <c r="M42" s="262"/>
    </row>
    <row r="43" spans="2:55" s="44" customFormat="1" x14ac:dyDescent="0.25">
      <c r="C43" s="95">
        <f>1+C42</f>
        <v>3</v>
      </c>
      <c r="D43" s="44" t="s">
        <v>641</v>
      </c>
      <c r="H43" s="77" t="s">
        <v>643</v>
      </c>
      <c r="J43" s="134">
        <f>SUMPRODUCT(vector.users.broadband,vector.periodicity,vector.implicit.prices.broadband.after.discount)</f>
        <v>23028686017.341541</v>
      </c>
      <c r="L43" s="654"/>
      <c r="M43" s="262"/>
    </row>
    <row r="44" spans="2:55" s="44" customFormat="1" x14ac:dyDescent="0.25"/>
    <row r="45" spans="2:55" s="44" customFormat="1" x14ac:dyDescent="0.25">
      <c r="C45" s="95">
        <v>5</v>
      </c>
      <c r="D45" s="102" t="s">
        <v>94</v>
      </c>
      <c r="H45" s="77" t="s">
        <v>643</v>
      </c>
      <c r="J45" s="199">
        <f>J40+J43</f>
        <v>23028686017.341541</v>
      </c>
      <c r="K45" s="412"/>
      <c r="L45" s="633"/>
      <c r="P45" s="44" t="s">
        <v>642</v>
      </c>
    </row>
    <row r="46" spans="2:55" s="44" customFormat="1" x14ac:dyDescent="0.25"/>
    <row r="47" spans="2:55" s="44" customFormat="1" x14ac:dyDescent="0.25">
      <c r="B47" s="100">
        <v>1.3</v>
      </c>
      <c r="C47" s="100" t="s">
        <v>645</v>
      </c>
      <c r="D47" s="100"/>
      <c r="E47" s="100"/>
      <c r="F47" s="100"/>
      <c r="G47" s="10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row>
    <row r="48" spans="2:55" s="44" customFormat="1" x14ac:dyDescent="0.25"/>
    <row r="49" spans="3:14" s="44" customFormat="1" x14ac:dyDescent="0.25">
      <c r="C49" s="102" t="s">
        <v>646</v>
      </c>
      <c r="J49" s="199">
        <f>J51</f>
        <v>918274466.59340417</v>
      </c>
      <c r="K49" s="181">
        <f>J49/J$90</f>
        <v>3.6730157121842862E-2</v>
      </c>
    </row>
    <row r="50" spans="3:14" s="44" customFormat="1" x14ac:dyDescent="0.25">
      <c r="C50" s="197">
        <f>1+C45</f>
        <v>6</v>
      </c>
      <c r="D50" s="44" t="str">
        <f>Control!D14</f>
        <v>Costos de facturación (incluyendo el sistema de facturación a clientes minoristas) sobre el total de ingresos</v>
      </c>
      <c r="H50" s="77" t="s">
        <v>172</v>
      </c>
      <c r="J50" s="228">
        <f>Billing.cost</f>
        <v>3.987524368094237E-2</v>
      </c>
    </row>
    <row r="51" spans="3:14" s="44" customFormat="1" x14ac:dyDescent="0.25">
      <c r="C51" s="95">
        <f>1+C50</f>
        <v>7</v>
      </c>
      <c r="D51" s="44" t="s">
        <v>647</v>
      </c>
      <c r="H51" s="44" t="s">
        <v>643</v>
      </c>
      <c r="J51" s="134">
        <f>J50*J$45</f>
        <v>918274466.59340417</v>
      </c>
    </row>
    <row r="52" spans="3:14" s="44" customFormat="1" x14ac:dyDescent="0.25"/>
    <row r="53" spans="3:14" s="44" customFormat="1" x14ac:dyDescent="0.25">
      <c r="C53" s="102" t="s">
        <v>648</v>
      </c>
      <c r="J53" s="199">
        <f>J55</f>
        <v>426619599.16942161</v>
      </c>
      <c r="K53" s="181">
        <f>J53/J$90</f>
        <v>1.7064402288002194E-2</v>
      </c>
    </row>
    <row r="54" spans="3:14" s="44" customFormat="1" x14ac:dyDescent="0.25">
      <c r="C54" s="95">
        <f>1+C51</f>
        <v>8</v>
      </c>
      <c r="D54" s="44" t="s">
        <v>649</v>
      </c>
      <c r="H54" s="77" t="s">
        <v>172</v>
      </c>
      <c r="J54" s="330">
        <f>Bad.debt.cost</f>
        <v>1.8525572794216728E-2</v>
      </c>
    </row>
    <row r="55" spans="3:14" s="44" customFormat="1" x14ac:dyDescent="0.25">
      <c r="C55" s="95">
        <f>1+C54</f>
        <v>9</v>
      </c>
      <c r="D55" s="44" t="s">
        <v>647</v>
      </c>
      <c r="H55" s="44" t="s">
        <v>643</v>
      </c>
      <c r="J55" s="134">
        <f>J54*J$45</f>
        <v>426619599.16942161</v>
      </c>
    </row>
    <row r="56" spans="3:14" s="44" customFormat="1" x14ac:dyDescent="0.25"/>
    <row r="57" spans="3:14" s="44" customFormat="1" x14ac:dyDescent="0.25">
      <c r="C57" s="102" t="s">
        <v>437</v>
      </c>
      <c r="J57" s="199">
        <f>J60</f>
        <v>1860415848.2347927</v>
      </c>
      <c r="K57" s="181">
        <f>J57/J$90</f>
        <v>7.4414969492870936E-2</v>
      </c>
    </row>
    <row r="58" spans="3:14" s="44" customFormat="1" x14ac:dyDescent="0.25">
      <c r="C58" s="95">
        <f>1+C55</f>
        <v>10</v>
      </c>
      <c r="D58" s="44" t="s">
        <v>661</v>
      </c>
      <c r="H58" s="77" t="s">
        <v>435</v>
      </c>
      <c r="J58" s="198">
        <f>Marketing.and.sales.per.gross.add.broadband</f>
        <v>1800</v>
      </c>
    </row>
    <row r="59" spans="3:14" s="44" customFormat="1" x14ac:dyDescent="0.25">
      <c r="C59" s="95">
        <f>1+C58</f>
        <v>11</v>
      </c>
      <c r="D59" s="44" t="s">
        <v>662</v>
      </c>
      <c r="H59" s="77" t="s">
        <v>172</v>
      </c>
      <c r="J59" s="228">
        <f>Marketing.and.sales.minimum.proportion.broadband</f>
        <v>8.0786886704426977E-2</v>
      </c>
      <c r="L59" s="179"/>
    </row>
    <row r="60" spans="3:14" s="44" customFormat="1" x14ac:dyDescent="0.25">
      <c r="C60" s="95">
        <f>1+C59</f>
        <v>12</v>
      </c>
      <c r="D60" s="44" t="s">
        <v>663</v>
      </c>
      <c r="H60" s="77" t="s">
        <v>643</v>
      </c>
      <c r="J60" s="134">
        <f>MAX(J58*J14,J$45*J59)</f>
        <v>1860415848.2347927</v>
      </c>
    </row>
    <row r="61" spans="3:14" s="44" customFormat="1" x14ac:dyDescent="0.25"/>
    <row r="62" spans="3:14" s="44" customFormat="1" x14ac:dyDescent="0.25">
      <c r="C62" s="102" t="s">
        <v>436</v>
      </c>
      <c r="J62" s="199">
        <f>J65</f>
        <v>2052162624.869374</v>
      </c>
      <c r="K62" s="181">
        <f>J62/J$90</f>
        <v>8.2084669010404787E-2</v>
      </c>
      <c r="M62" s="179"/>
    </row>
    <row r="63" spans="3:14" s="44" customFormat="1" x14ac:dyDescent="0.25">
      <c r="C63" s="95">
        <f>1+C59</f>
        <v>12</v>
      </c>
      <c r="D63" s="44" t="s">
        <v>650</v>
      </c>
      <c r="H63" s="77" t="s">
        <v>438</v>
      </c>
      <c r="J63" s="193">
        <f>Customer.care.broadbandsubscriber.per.staff</f>
        <v>944.74650977260421</v>
      </c>
      <c r="M63" s="660"/>
      <c r="N63" s="633"/>
    </row>
    <row r="64" spans="3:14" s="44" customFormat="1" x14ac:dyDescent="0.25">
      <c r="C64" s="95">
        <f>1+C63</f>
        <v>13</v>
      </c>
      <c r="D64" s="44" t="s">
        <v>651</v>
      </c>
      <c r="H64" s="77" t="s">
        <v>443</v>
      </c>
      <c r="J64" s="193">
        <f>Monthly.cost.per.staff</f>
        <v>16097.514254491789</v>
      </c>
      <c r="L64" s="316"/>
    </row>
    <row r="65" spans="3:14" s="44" customFormat="1" x14ac:dyDescent="0.25">
      <c r="C65" s="95">
        <f>1+C64</f>
        <v>14</v>
      </c>
      <c r="D65" s="44" t="s">
        <v>652</v>
      </c>
      <c r="H65" s="44" t="s">
        <v>643</v>
      </c>
      <c r="J65" s="134">
        <f>J9/J63*J64*12</f>
        <v>2052162624.869374</v>
      </c>
    </row>
    <row r="66" spans="3:14" s="44" customFormat="1" x14ac:dyDescent="0.25"/>
    <row r="67" spans="3:14" s="44" customFormat="1" x14ac:dyDescent="0.25">
      <c r="C67" s="102" t="s">
        <v>445</v>
      </c>
      <c r="J67" s="199">
        <f>J79</f>
        <v>1202063370.8234251</v>
      </c>
      <c r="K67" s="181">
        <f>J67/J$90</f>
        <v>4.8081459396938878E-2</v>
      </c>
    </row>
    <row r="68" spans="3:14" s="44" customFormat="1" x14ac:dyDescent="0.25">
      <c r="C68" s="197">
        <f>1+C65</f>
        <v>15</v>
      </c>
      <c r="D68" s="102" t="s">
        <v>653</v>
      </c>
      <c r="H68" s="44" t="s">
        <v>666</v>
      </c>
      <c r="J68" s="134">
        <f>J9/Customer.care.broadbandsubscriber.per.staff</f>
        <v>10623.599977538697</v>
      </c>
    </row>
    <row r="69" spans="3:14" s="44" customFormat="1" x14ac:dyDescent="0.25">
      <c r="C69" s="95">
        <f>1+C68</f>
        <v>16</v>
      </c>
      <c r="D69" s="103" t="s">
        <v>468</v>
      </c>
      <c r="H69" s="77" t="s">
        <v>172</v>
      </c>
      <c r="J69" s="228">
        <f>Admin.staff.per.customer.care.staff</f>
        <v>0.1</v>
      </c>
    </row>
    <row r="70" spans="3:14" s="44" customFormat="1" x14ac:dyDescent="0.25">
      <c r="C70" s="95">
        <f>1+C69</f>
        <v>17</v>
      </c>
      <c r="D70" s="103" t="s">
        <v>654</v>
      </c>
      <c r="H70" s="44" t="s">
        <v>666</v>
      </c>
      <c r="J70" s="134">
        <f>J68*J69</f>
        <v>1062.3599977538697</v>
      </c>
      <c r="N70" s="306"/>
    </row>
    <row r="71" spans="3:14" s="44" customFormat="1" x14ac:dyDescent="0.25">
      <c r="C71" s="95">
        <f>1+C70</f>
        <v>18</v>
      </c>
      <c r="D71" s="103" t="s">
        <v>655</v>
      </c>
      <c r="H71" s="44" t="s">
        <v>666</v>
      </c>
      <c r="J71" s="134">
        <f>J68+J70</f>
        <v>11685.959975292568</v>
      </c>
      <c r="M71" s="284"/>
    </row>
    <row r="72" spans="3:14" s="44" customFormat="1" x14ac:dyDescent="0.25"/>
    <row r="73" spans="3:14" s="44" customFormat="1" x14ac:dyDescent="0.25">
      <c r="C73" s="95">
        <f>1+C71</f>
        <v>19</v>
      </c>
      <c r="D73" s="102" t="s">
        <v>656</v>
      </c>
    </row>
    <row r="74" spans="3:14" s="44" customFormat="1" ht="13.5" x14ac:dyDescent="0.25">
      <c r="C74" s="95">
        <f>1+C73</f>
        <v>20</v>
      </c>
      <c r="D74" s="103" t="s">
        <v>657</v>
      </c>
      <c r="E74" s="103"/>
      <c r="H74" s="77" t="s">
        <v>470</v>
      </c>
      <c r="J74" s="193">
        <f>Floorspace.per.staff</f>
        <v>9</v>
      </c>
    </row>
    <row r="75" spans="3:14" s="44" customFormat="1" ht="13.5" x14ac:dyDescent="0.25">
      <c r="C75" s="95">
        <f>1+C74</f>
        <v>21</v>
      </c>
      <c r="D75" s="103" t="s">
        <v>658</v>
      </c>
      <c r="E75" s="103"/>
      <c r="H75" s="77" t="s">
        <v>434</v>
      </c>
      <c r="J75" s="193">
        <f>Rent.per.sqm</f>
        <v>520</v>
      </c>
    </row>
    <row r="76" spans="3:14" s="44" customFormat="1" x14ac:dyDescent="0.25">
      <c r="C76" s="95">
        <f>1+C75</f>
        <v>22</v>
      </c>
      <c r="D76" s="103" t="s">
        <v>656</v>
      </c>
      <c r="H76" s="44" t="s">
        <v>643</v>
      </c>
      <c r="J76" s="134">
        <f>J71*J75*J74*12</f>
        <v>656283512.2124306</v>
      </c>
    </row>
    <row r="77" spans="3:14" s="44" customFormat="1" x14ac:dyDescent="0.25"/>
    <row r="78" spans="3:14" s="44" customFormat="1" x14ac:dyDescent="0.25">
      <c r="C78" s="95">
        <f>1+C76</f>
        <v>23</v>
      </c>
      <c r="D78" s="102" t="s">
        <v>659</v>
      </c>
      <c r="H78" s="77" t="s">
        <v>172</v>
      </c>
      <c r="J78" s="330">
        <f>Admin.costs</f>
        <v>2.3699999999999999E-2</v>
      </c>
    </row>
    <row r="79" spans="3:14" s="44" customFormat="1" x14ac:dyDescent="0.25">
      <c r="C79" s="95">
        <f>1+C78</f>
        <v>24</v>
      </c>
      <c r="D79" s="103" t="s">
        <v>445</v>
      </c>
      <c r="H79" s="44" t="s">
        <v>643</v>
      </c>
      <c r="J79" s="134">
        <f>J76+J78*J$45</f>
        <v>1202063370.8234251</v>
      </c>
    </row>
    <row r="80" spans="3:14" s="44" customFormat="1" x14ac:dyDescent="0.25"/>
    <row r="81" spans="2:55" s="44" customFormat="1" x14ac:dyDescent="0.25">
      <c r="C81" s="102" t="s">
        <v>449</v>
      </c>
    </row>
    <row r="82" spans="2:55" s="44" customFormat="1" x14ac:dyDescent="0.25">
      <c r="C82" s="95">
        <f>1+C79</f>
        <v>25</v>
      </c>
      <c r="D82" s="44" t="s">
        <v>449</v>
      </c>
      <c r="H82" s="77" t="s">
        <v>172</v>
      </c>
      <c r="J82" s="330">
        <f>Retail.profit</f>
        <v>8.9754971998106364E-2</v>
      </c>
      <c r="K82" s="181">
        <f>SUM(K49,K53,K57,K62,K67)*J82</f>
        <v>2.3190499886856727E-2</v>
      </c>
    </row>
    <row r="83" spans="2:55" s="44" customFormat="1" x14ac:dyDescent="0.25"/>
    <row r="84" spans="2:55" s="44" customFormat="1" x14ac:dyDescent="0.25">
      <c r="C84" s="102" t="s">
        <v>670</v>
      </c>
    </row>
    <row r="85" spans="2:55" s="44" customFormat="1" x14ac:dyDescent="0.25">
      <c r="C85" s="95">
        <f>1+C82</f>
        <v>26</v>
      </c>
      <c r="D85" s="44" t="s">
        <v>664</v>
      </c>
      <c r="H85" s="44" t="s">
        <v>643</v>
      </c>
      <c r="J85" s="200">
        <f>J42-J43</f>
        <v>1971873156.6163712</v>
      </c>
      <c r="K85" s="181">
        <f>J85/J90</f>
        <v>7.8873162111925604E-2</v>
      </c>
    </row>
    <row r="86" spans="2:55" s="44" customFormat="1" x14ac:dyDescent="0.25">
      <c r="C86" s="95">
        <f>1+C85</f>
        <v>27</v>
      </c>
      <c r="D86" s="130" t="s">
        <v>660</v>
      </c>
      <c r="H86" s="44" t="s">
        <v>643</v>
      </c>
      <c r="J86" s="199">
        <f>SUM(J49,J53,J57,J62,J67)*(1+J82)+J85</f>
        <v>9011184531.0018158</v>
      </c>
      <c r="M86" s="218"/>
    </row>
    <row r="87" spans="2:55" s="44" customFormat="1" x14ac:dyDescent="0.25"/>
    <row r="88" spans="2:55" s="44" customFormat="1" x14ac:dyDescent="0.25"/>
    <row r="89" spans="2:55" s="44" customFormat="1" x14ac:dyDescent="0.25">
      <c r="C89" s="102" t="s">
        <v>665</v>
      </c>
    </row>
    <row r="90" spans="2:55" s="44" customFormat="1" x14ac:dyDescent="0.25">
      <c r="C90" s="95">
        <f>1+C86</f>
        <v>28</v>
      </c>
      <c r="D90" s="44" t="s">
        <v>669</v>
      </c>
      <c r="H90" s="44" t="s">
        <v>643</v>
      </c>
      <c r="J90" s="134">
        <f>J40+J42</f>
        <v>25000559173.957912</v>
      </c>
    </row>
    <row r="91" spans="2:55" s="44" customFormat="1" x14ac:dyDescent="0.25">
      <c r="C91" s="95">
        <f>1+C90</f>
        <v>29</v>
      </c>
      <c r="D91" s="130" t="s">
        <v>667</v>
      </c>
      <c r="H91" s="44" t="s">
        <v>643</v>
      </c>
      <c r="J91" s="193">
        <f>J86</f>
        <v>9011184531.0018158</v>
      </c>
    </row>
    <row r="92" spans="2:55" s="44" customFormat="1" x14ac:dyDescent="0.25">
      <c r="C92" s="95">
        <f>1+C91</f>
        <v>30</v>
      </c>
      <c r="D92" s="44" t="s">
        <v>668</v>
      </c>
      <c r="H92" s="44" t="s">
        <v>643</v>
      </c>
      <c r="J92" s="134">
        <f>J90-J91</f>
        <v>15989374642.956097</v>
      </c>
    </row>
    <row r="93" spans="2:55" x14ac:dyDescent="0.25">
      <c r="L93" s="44"/>
      <c r="M93" s="44"/>
      <c r="N93" s="44"/>
      <c r="O93" s="44"/>
    </row>
    <row r="94" spans="2:55" s="221" customFormat="1" x14ac:dyDescent="0.25">
      <c r="B94" s="100">
        <v>1.4</v>
      </c>
      <c r="C94" s="100" t="s">
        <v>752</v>
      </c>
      <c r="D94" s="100"/>
      <c r="E94" s="100"/>
      <c r="F94" s="100"/>
      <c r="G94" s="10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row>
    <row r="95" spans="2:55" s="221" customFormat="1" x14ac:dyDescent="0.25"/>
    <row r="96" spans="2:55" s="221" customFormat="1" x14ac:dyDescent="0.25">
      <c r="C96" s="102" t="str">
        <f>C94</f>
        <v>Estimación de costos evitados equipos terminales</v>
      </c>
    </row>
    <row r="97" spans="1:55" s="221" customFormat="1" x14ac:dyDescent="0.25">
      <c r="C97" s="95">
        <f>1+C92</f>
        <v>31</v>
      </c>
      <c r="D97" s="103" t="s">
        <v>923</v>
      </c>
      <c r="H97" s="221" t="s">
        <v>643</v>
      </c>
      <c r="J97" s="193">
        <f>'Cálculos auxiliares'!I535</f>
        <v>27459614.504220024</v>
      </c>
      <c r="K97" s="181">
        <f>J97/($J$42*'Cálculos auxiliares'!F535)</f>
        <v>4.7095255411537295E-3</v>
      </c>
    </row>
    <row r="98" spans="1:55" s="221" customFormat="1" x14ac:dyDescent="0.25">
      <c r="C98" s="197">
        <f>1+C97</f>
        <v>32</v>
      </c>
      <c r="D98" s="103" t="s">
        <v>753</v>
      </c>
      <c r="H98" s="221" t="s">
        <v>643</v>
      </c>
      <c r="J98" s="193">
        <f>'Cálculos auxiliares'!I536</f>
        <v>76650229.04384236</v>
      </c>
      <c r="K98" s="181">
        <f>J98/($J$42*'Cálculos auxiliares'!F536)</f>
        <v>9.4248627790408847E-3</v>
      </c>
    </row>
    <row r="99" spans="1:55" s="221" customFormat="1" x14ac:dyDescent="0.25">
      <c r="C99" s="197">
        <f>1+C98</f>
        <v>33</v>
      </c>
      <c r="D99" s="103" t="s">
        <v>754</v>
      </c>
      <c r="H99" s="221" t="s">
        <v>643</v>
      </c>
      <c r="J99" s="193">
        <f>'Cálculos auxiliares'!I537</f>
        <v>145008051.00569081</v>
      </c>
      <c r="K99" s="181">
        <f>J99/($J$42*'Cálculos auxiliares'!F537)</f>
        <v>1.3138195127183434E-2</v>
      </c>
    </row>
    <row r="100" spans="1:55" s="221" customFormat="1" x14ac:dyDescent="0.25"/>
    <row r="101" spans="1:55" s="221" customFormat="1" x14ac:dyDescent="0.25"/>
    <row r="102" spans="1:55" s="221" customFormat="1" x14ac:dyDescent="0.25">
      <c r="B102" s="100">
        <v>1.4</v>
      </c>
      <c r="C102" s="100" t="s">
        <v>645</v>
      </c>
      <c r="D102" s="100"/>
      <c r="E102" s="100"/>
      <c r="F102" s="100"/>
      <c r="G102" s="10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row>
    <row r="103" spans="1:55" s="221" customFormat="1" x14ac:dyDescent="0.25"/>
    <row r="104" spans="1:55" ht="12" x14ac:dyDescent="0.25">
      <c r="C104" s="102" t="s">
        <v>706</v>
      </c>
      <c r="H104" t="s">
        <v>172</v>
      </c>
      <c r="J104" s="227">
        <f>J91/J90</f>
        <v>0.36043931930884204</v>
      </c>
      <c r="K104" s="45" t="s">
        <v>983</v>
      </c>
      <c r="L104" s="44"/>
      <c r="M104" s="44"/>
      <c r="N104" s="218"/>
      <c r="O104" s="44"/>
    </row>
    <row r="105" spans="1:55" x14ac:dyDescent="0.25">
      <c r="C105" s="95">
        <f>1+C99</f>
        <v>34</v>
      </c>
      <c r="D105" s="103" t="s">
        <v>721</v>
      </c>
      <c r="H105" t="s">
        <v>172</v>
      </c>
      <c r="J105" s="201">
        <f>J85/J90</f>
        <v>7.8873162111925604E-2</v>
      </c>
      <c r="L105" s="44"/>
      <c r="M105" s="44"/>
      <c r="N105" s="44"/>
      <c r="O105" s="44"/>
    </row>
    <row r="106" spans="1:55" ht="12" x14ac:dyDescent="0.25">
      <c r="C106" s="95">
        <f>1+C105</f>
        <v>35</v>
      </c>
      <c r="D106" s="103" t="s">
        <v>705</v>
      </c>
      <c r="H106" t="s">
        <v>172</v>
      </c>
      <c r="J106" s="201">
        <f>J104-J105</f>
        <v>0.28156615719691647</v>
      </c>
      <c r="K106" s="45" t="s">
        <v>984</v>
      </c>
      <c r="L106" s="44"/>
      <c r="M106" s="44"/>
      <c r="N106" s="44"/>
      <c r="O106" s="44"/>
    </row>
    <row r="107" spans="1:55" x14ac:dyDescent="0.25">
      <c r="L107" s="44"/>
      <c r="M107" s="44"/>
      <c r="N107" s="44"/>
      <c r="O107" s="44"/>
    </row>
    <row r="108" spans="1:55" s="44" customFormat="1" x14ac:dyDescent="0.25">
      <c r="A108" s="100" t="s">
        <v>425</v>
      </c>
      <c r="B108" s="100" t="s">
        <v>400</v>
      </c>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c r="AX108" s="40"/>
      <c r="AY108" s="40"/>
      <c r="AZ108" s="40"/>
      <c r="BA108" s="40"/>
    </row>
  </sheetData>
  <pageMargins left="0.7" right="0.7" top="0.75" bottom="0.75" header="0.3" footer="0.3"/>
  <pageSetup orientation="portrait" r:id="rId1"/>
  <ignoredErrors>
    <ignoredError sqref="C104 C42:C93 J8:J13 C106 C97:C99 J15:J16 J24:J25 J18:J22 J27:J31 J36:J41 J46:J50 J87:J90 J33:J34 J59 J61:J84 J52:J56 J92:J93 J43:J44 J105" unlockedFormula="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4"/>
  <dimension ref="A1:BA71"/>
  <sheetViews>
    <sheetView showGridLines="0" topLeftCell="B1" zoomScale="70" zoomScaleNormal="70" workbookViewId="0">
      <pane ySplit="1" topLeftCell="A2" activePane="bottomLeft" state="frozen"/>
      <selection pane="bottomLeft" activeCell="B1" sqref="A1:XFD1048576"/>
    </sheetView>
  </sheetViews>
  <sheetFormatPr baseColWidth="10" defaultColWidth="11.3984375" defaultRowHeight="11.5" x14ac:dyDescent="0.25"/>
  <cols>
    <col min="1" max="1" width="9.19921875" style="44" customWidth="1"/>
    <col min="2" max="2" width="32.3984375" style="44" customWidth="1"/>
    <col min="3" max="3" width="55.796875" style="44" bestFit="1" customWidth="1"/>
    <col min="4" max="4" width="4.3984375" style="44" customWidth="1"/>
    <col min="5" max="5" width="47.796875" style="44" customWidth="1"/>
    <col min="6" max="6" width="28.69921875" style="44" customWidth="1"/>
    <col min="7" max="7" width="22.796875" style="44" customWidth="1"/>
    <col min="8" max="8" width="11.19921875" style="44" customWidth="1"/>
    <col min="9" max="9" width="12.19921875" style="44" customWidth="1"/>
    <col min="10" max="11" width="11.3984375" style="44" customWidth="1"/>
    <col min="12" max="12" width="7.59765625" style="44" customWidth="1"/>
    <col min="13" max="13" width="16" style="44" customWidth="1"/>
    <col min="14" max="14" width="21.3984375" style="44" bestFit="1" customWidth="1"/>
    <col min="15" max="15" width="12" style="44" bestFit="1" customWidth="1"/>
    <col min="16" max="16" width="17" style="44" customWidth="1"/>
    <col min="17" max="17" width="14" style="44" bestFit="1" customWidth="1"/>
    <col min="18" max="23" width="11.3984375" style="44"/>
    <col min="24" max="24" width="12.19921875" style="44" bestFit="1" customWidth="1"/>
    <col min="25" max="16384" width="11.3984375" style="44"/>
  </cols>
  <sheetData>
    <row r="1" spans="1:53" s="93" customFormat="1" ht="33.75" customHeight="1" x14ac:dyDescent="0.25">
      <c r="C1" s="94" t="s">
        <v>686</v>
      </c>
      <c r="D1" s="94"/>
      <c r="E1" s="94"/>
      <c r="F1" s="94"/>
    </row>
    <row r="2" spans="1:53" x14ac:dyDescent="0.25">
      <c r="A2" s="100">
        <v>1</v>
      </c>
      <c r="B2" s="100" t="s">
        <v>700</v>
      </c>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row>
    <row r="5" spans="1:53" ht="12" x14ac:dyDescent="0.25">
      <c r="C5" s="246">
        <f ca="1">INDIRECT(D5)</f>
        <v>0.30364247590525267</v>
      </c>
      <c r="D5" s="45" t="s">
        <v>672</v>
      </c>
      <c r="F5" s="45"/>
    </row>
    <row r="7" spans="1:53" ht="12" x14ac:dyDescent="0.25">
      <c r="C7" s="246">
        <f ca="1">INDIRECT(D7)</f>
        <v>0.37129594072010919</v>
      </c>
      <c r="D7" s="45" t="s">
        <v>674</v>
      </c>
      <c r="F7" s="45"/>
    </row>
    <row r="9" spans="1:53" x14ac:dyDescent="0.25">
      <c r="E9" s="102" t="s">
        <v>701</v>
      </c>
    </row>
    <row r="10" spans="1:53" x14ac:dyDescent="0.25">
      <c r="F10" s="96">
        <v>4</v>
      </c>
      <c r="G10" s="96">
        <v>7</v>
      </c>
    </row>
    <row r="11" spans="1:53" ht="46" x14ac:dyDescent="0.25">
      <c r="E11" s="1" t="s">
        <v>180</v>
      </c>
      <c r="F11" s="1" t="s">
        <v>167</v>
      </c>
      <c r="G11" s="1" t="str">
        <f>"Precio minorista "&amp;Year.selected
&amp;" Sin impuestos"</f>
        <v>Precio minorista 2022 Sin impuestos</v>
      </c>
      <c r="H11" s="1"/>
      <c r="I11" s="271" t="s">
        <v>622</v>
      </c>
      <c r="J11" s="271" t="s">
        <v>623</v>
      </c>
      <c r="K11" s="1"/>
      <c r="L11" s="1"/>
      <c r="M11" s="1" t="s">
        <v>695</v>
      </c>
      <c r="N11" s="1" t="s">
        <v>170</v>
      </c>
      <c r="O11" s="1"/>
      <c r="P11" s="1"/>
      <c r="Q11" s="1"/>
    </row>
    <row r="12" spans="1:53" x14ac:dyDescent="0.25">
      <c r="D12" s="96">
        <v>1</v>
      </c>
      <c r="E12" s="102"/>
      <c r="F12" s="149"/>
      <c r="G12" s="317"/>
      <c r="I12" s="207"/>
      <c r="J12" s="207"/>
      <c r="M12" s="489"/>
    </row>
    <row r="13" spans="1:53" ht="12" thickBot="1" x14ac:dyDescent="0.3">
      <c r="D13" s="95">
        <f>1+D12</f>
        <v>2</v>
      </c>
      <c r="E13" s="102"/>
      <c r="F13" s="149"/>
      <c r="G13" s="317"/>
      <c r="I13" s="207"/>
      <c r="J13" s="207"/>
      <c r="M13" s="489"/>
    </row>
    <row r="14" spans="1:53" x14ac:dyDescent="0.25">
      <c r="E14" s="41"/>
      <c r="F14" s="41"/>
      <c r="G14" s="41"/>
      <c r="H14" s="41"/>
      <c r="I14" s="270"/>
      <c r="J14" s="41"/>
      <c r="K14" s="41"/>
      <c r="L14" s="41"/>
      <c r="M14" s="41"/>
      <c r="N14" s="41"/>
      <c r="O14" s="41"/>
      <c r="P14" s="41"/>
      <c r="Q14" s="41"/>
    </row>
    <row r="15" spans="1:53" ht="12" x14ac:dyDescent="0.25">
      <c r="B15" s="363"/>
      <c r="E15" s="102" t="s">
        <v>702</v>
      </c>
    </row>
    <row r="16" spans="1:53" ht="12" x14ac:dyDescent="0.25">
      <c r="B16" s="363"/>
      <c r="F16" s="96">
        <v>4</v>
      </c>
      <c r="G16" s="96">
        <v>7</v>
      </c>
    </row>
    <row r="17" spans="2:20" ht="46" x14ac:dyDescent="0.25">
      <c r="B17" s="363"/>
      <c r="E17" s="1" t="s">
        <v>180</v>
      </c>
      <c r="F17" s="1" t="s">
        <v>167</v>
      </c>
      <c r="G17" s="268" t="str">
        <f>"Precio minorista "&amp;Year.selected
&amp;" Sin impuestos"</f>
        <v>Precio minorista 2022 Sin impuestos</v>
      </c>
      <c r="H17" s="1"/>
      <c r="I17" s="268"/>
      <c r="J17" s="268"/>
      <c r="K17" s="1"/>
      <c r="L17" s="1"/>
      <c r="M17" s="1" t="s">
        <v>695</v>
      </c>
      <c r="N17" s="1" t="s">
        <v>170</v>
      </c>
      <c r="O17" s="1"/>
      <c r="P17" s="1"/>
      <c r="Q17" s="1"/>
    </row>
    <row r="18" spans="2:20" ht="12.5" thickBot="1" x14ac:dyDescent="0.3">
      <c r="B18" s="363"/>
      <c r="D18" s="95">
        <f>1+D13</f>
        <v>3</v>
      </c>
      <c r="E18" s="295"/>
      <c r="F18" s="99"/>
      <c r="G18" s="99"/>
      <c r="M18" s="488"/>
    </row>
    <row r="19" spans="2:20" x14ac:dyDescent="0.25">
      <c r="B19" s="305"/>
      <c r="E19" s="41"/>
      <c r="F19" s="41"/>
      <c r="G19" s="41"/>
      <c r="H19" s="41"/>
      <c r="I19" s="268"/>
      <c r="J19" s="1"/>
      <c r="K19" s="1"/>
      <c r="L19" s="1"/>
      <c r="M19" s="268"/>
      <c r="N19" s="268"/>
      <c r="O19" s="1"/>
      <c r="P19" s="1"/>
      <c r="Q19" s="1"/>
    </row>
    <row r="20" spans="2:20" x14ac:dyDescent="0.25">
      <c r="B20" s="305"/>
    </row>
    <row r="21" spans="2:20" x14ac:dyDescent="0.25">
      <c r="B21" s="305"/>
      <c r="E21" s="102" t="s">
        <v>696</v>
      </c>
    </row>
    <row r="22" spans="2:20" x14ac:dyDescent="0.25">
      <c r="B22" s="305"/>
      <c r="F22" s="96">
        <v>4</v>
      </c>
      <c r="G22" s="96">
        <v>7</v>
      </c>
    </row>
    <row r="23" spans="2:20" ht="46" x14ac:dyDescent="0.25">
      <c r="B23" s="363"/>
      <c r="E23" s="1" t="s">
        <v>180</v>
      </c>
      <c r="F23" s="1" t="s">
        <v>167</v>
      </c>
      <c r="G23" s="268" t="str">
        <f>"Precio minorista "&amp;Year.selected
&amp;" Sin impuestos"</f>
        <v>Precio minorista 2022 Sin impuestos</v>
      </c>
      <c r="H23" s="1"/>
      <c r="I23" s="268"/>
      <c r="J23" s="268"/>
      <c r="K23" s="1"/>
      <c r="L23" s="1"/>
      <c r="M23" s="1" t="s">
        <v>695</v>
      </c>
      <c r="N23" s="1"/>
      <c r="O23" s="1" t="s">
        <v>170</v>
      </c>
      <c r="P23" s="1"/>
      <c r="Q23" s="1"/>
    </row>
    <row r="24" spans="2:20" ht="12.5" thickBot="1" x14ac:dyDescent="0.3">
      <c r="B24" s="363"/>
      <c r="D24" s="95">
        <f>1+D18</f>
        <v>4</v>
      </c>
      <c r="E24" s="296"/>
      <c r="F24" s="113"/>
      <c r="G24" s="99"/>
      <c r="M24" s="490"/>
    </row>
    <row r="25" spans="2:20" x14ac:dyDescent="0.25">
      <c r="E25" s="41"/>
      <c r="F25" s="41"/>
      <c r="G25" s="41"/>
      <c r="H25" s="41"/>
      <c r="I25" s="270"/>
      <c r="J25" s="41"/>
      <c r="K25" s="41"/>
      <c r="L25" s="41"/>
      <c r="M25" s="41"/>
      <c r="N25" s="41"/>
      <c r="O25" s="41"/>
      <c r="P25" s="41"/>
      <c r="Q25" s="41"/>
    </row>
    <row r="27" spans="2:20" x14ac:dyDescent="0.25">
      <c r="F27" s="96">
        <v>4</v>
      </c>
      <c r="G27" s="96">
        <v>7</v>
      </c>
      <c r="T27"/>
    </row>
    <row r="28" spans="2:20" ht="46" x14ac:dyDescent="0.25">
      <c r="E28" s="1" t="s">
        <v>166</v>
      </c>
      <c r="F28" s="1" t="s">
        <v>167</v>
      </c>
      <c r="G28" s="268" t="str">
        <f>"Precio minorista "&amp;Year.selected
&amp;" Sin impuestos"</f>
        <v>Precio minorista 2022 Sin impuestos</v>
      </c>
      <c r="H28" s="1"/>
      <c r="I28" s="268"/>
      <c r="J28" s="268"/>
      <c r="K28" s="268"/>
      <c r="L28" s="1"/>
      <c r="M28" s="1" t="s">
        <v>695</v>
      </c>
      <c r="N28" s="1"/>
      <c r="O28" s="1" t="s">
        <v>170</v>
      </c>
      <c r="P28" s="1"/>
      <c r="Q28" s="1"/>
      <c r="T28"/>
    </row>
    <row r="29" spans="2:20" ht="12" thickBot="1" x14ac:dyDescent="0.3">
      <c r="D29" s="95">
        <f>1+D24</f>
        <v>5</v>
      </c>
      <c r="E29" s="297"/>
      <c r="F29" s="149"/>
      <c r="G29" s="157"/>
      <c r="M29" s="490"/>
      <c r="T29"/>
    </row>
    <row r="30" spans="2:20" x14ac:dyDescent="0.25">
      <c r="D30" s="41"/>
      <c r="E30" s="41"/>
      <c r="F30" s="41"/>
      <c r="G30" s="41"/>
      <c r="H30" s="41"/>
      <c r="I30" s="270"/>
      <c r="J30" s="41"/>
      <c r="K30" s="41"/>
      <c r="L30" s="41"/>
      <c r="M30" s="41"/>
      <c r="N30" s="41"/>
      <c r="O30" s="41"/>
      <c r="P30" s="41"/>
      <c r="Q30" s="41"/>
      <c r="T30"/>
    </row>
    <row r="31" spans="2:20" x14ac:dyDescent="0.25">
      <c r="T31"/>
    </row>
    <row r="32" spans="2:20" x14ac:dyDescent="0.25">
      <c r="T32"/>
    </row>
    <row r="33" spans="1:53" x14ac:dyDescent="0.25">
      <c r="A33" s="100">
        <v>2</v>
      </c>
      <c r="B33" s="100" t="s">
        <v>703</v>
      </c>
      <c r="C33" s="40"/>
      <c r="D33" s="40"/>
      <c r="E33" s="40"/>
      <c r="F33" s="40"/>
      <c r="G33" s="40"/>
      <c r="H33" s="40"/>
      <c r="I33" s="265"/>
      <c r="J33" s="40"/>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row>
    <row r="34" spans="1:53" x14ac:dyDescent="0.25">
      <c r="T34"/>
    </row>
    <row r="35" spans="1:53" x14ac:dyDescent="0.25">
      <c r="T35"/>
    </row>
    <row r="36" spans="1:53" ht="12" x14ac:dyDescent="0.25">
      <c r="C36" s="246">
        <f ca="1">INDIRECT(D36)</f>
        <v>0.28156615719691647</v>
      </c>
      <c r="D36" s="45" t="s">
        <v>984</v>
      </c>
      <c r="T36"/>
    </row>
    <row r="38" spans="1:53" x14ac:dyDescent="0.25">
      <c r="E38" s="102" t="s">
        <v>694</v>
      </c>
    </row>
    <row r="40" spans="1:53" x14ac:dyDescent="0.25">
      <c r="F40" s="96">
        <v>4</v>
      </c>
      <c r="G40" s="96">
        <v>7</v>
      </c>
    </row>
    <row r="41" spans="1:53" ht="46" x14ac:dyDescent="0.25">
      <c r="E41" s="1" t="s">
        <v>180</v>
      </c>
      <c r="F41" s="1" t="s">
        <v>167</v>
      </c>
      <c r="G41" s="268" t="str">
        <f>"Precio minorista "&amp;Year.selected
&amp;" Sin impuestos"</f>
        <v>Precio minorista 2022 Sin impuestos</v>
      </c>
      <c r="H41" s="271" t="s">
        <v>698</v>
      </c>
      <c r="I41" s="268"/>
      <c r="J41" s="268"/>
      <c r="K41" s="1"/>
      <c r="L41" s="1"/>
      <c r="M41" s="268" t="s">
        <v>695</v>
      </c>
      <c r="N41" s="1" t="s">
        <v>170</v>
      </c>
      <c r="O41" s="1"/>
      <c r="P41" s="1"/>
    </row>
    <row r="42" spans="1:53" x14ac:dyDescent="0.25">
      <c r="D42" s="96">
        <v>1</v>
      </c>
      <c r="E42" s="346"/>
      <c r="F42" s="99"/>
      <c r="G42" s="99"/>
      <c r="H42" s="321"/>
      <c r="I42" s="219"/>
      <c r="M42" s="489"/>
    </row>
    <row r="45" spans="1:53" x14ac:dyDescent="0.25">
      <c r="A45" s="100">
        <v>3</v>
      </c>
      <c r="B45" s="100" t="s">
        <v>704</v>
      </c>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row>
    <row r="50" spans="1:26" ht="12" x14ac:dyDescent="0.25">
      <c r="C50" s="246">
        <f ca="1">INDIRECT(D50)</f>
        <v>0.28156615719691647</v>
      </c>
      <c r="D50" s="45" t="s">
        <v>984</v>
      </c>
    </row>
    <row r="52" spans="1:26" ht="12" x14ac:dyDescent="0.25">
      <c r="C52" s="227">
        <f ca="1">INDIRECT(D52)</f>
        <v>9.246005032451296E-2</v>
      </c>
      <c r="D52" s="45" t="s">
        <v>673</v>
      </c>
    </row>
    <row r="54" spans="1:26" ht="12" x14ac:dyDescent="0.25">
      <c r="C54" s="227">
        <f ca="1">INDIRECT(D54)</f>
        <v>8.3477246886665413E-2</v>
      </c>
      <c r="D54" s="45" t="s">
        <v>675</v>
      </c>
    </row>
    <row r="55" spans="1:26" x14ac:dyDescent="0.25">
      <c r="C55" s="221"/>
      <c r="D55" s="221"/>
    </row>
    <row r="57" spans="1:26" x14ac:dyDescent="0.25">
      <c r="E57" s="102" t="s">
        <v>694</v>
      </c>
    </row>
    <row r="58" spans="1:26" x14ac:dyDescent="0.25">
      <c r="F58" s="96">
        <v>4</v>
      </c>
      <c r="G58" s="96">
        <v>7</v>
      </c>
      <c r="H58" s="204" t="s">
        <v>697</v>
      </c>
      <c r="I58" s="205"/>
      <c r="J58" s="205"/>
      <c r="K58" s="205"/>
      <c r="L58" s="262"/>
    </row>
    <row r="59" spans="1:26" ht="66" customHeight="1" x14ac:dyDescent="0.25">
      <c r="E59" s="1" t="s">
        <v>180</v>
      </c>
      <c r="F59" s="1" t="s">
        <v>167</v>
      </c>
      <c r="G59" s="268" t="str">
        <f>"Precio minorista "&amp;Year.selected
&amp;" Sin impuestos"</f>
        <v>Precio minorista 2022 Sin impuestos</v>
      </c>
      <c r="H59" s="189" t="s">
        <v>698</v>
      </c>
      <c r="I59" s="189" t="s">
        <v>622</v>
      </c>
      <c r="J59" s="189" t="s">
        <v>623</v>
      </c>
      <c r="K59" s="206" t="s">
        <v>416</v>
      </c>
      <c r="L59" s="271"/>
      <c r="M59" s="1" t="s">
        <v>695</v>
      </c>
      <c r="N59" s="1" t="s">
        <v>671</v>
      </c>
      <c r="O59" s="1"/>
      <c r="P59" s="1" t="s">
        <v>699</v>
      </c>
      <c r="Q59" s="1" t="s">
        <v>988</v>
      </c>
      <c r="R59" s="262"/>
    </row>
    <row r="60" spans="1:26" ht="14" x14ac:dyDescent="0.25">
      <c r="A60" s="361"/>
      <c r="B60" s="325"/>
      <c r="D60" s="96">
        <v>1</v>
      </c>
      <c r="E60" s="467"/>
      <c r="F60" s="362"/>
      <c r="G60" s="362"/>
      <c r="H60" s="207"/>
      <c r="I60" s="207"/>
      <c r="J60" s="207"/>
      <c r="K60" s="207"/>
      <c r="L60" s="395"/>
      <c r="M60" s="491"/>
      <c r="N60" s="181"/>
      <c r="P60" s="181"/>
      <c r="Q60" s="482"/>
      <c r="R60" s="481"/>
      <c r="S60" s="484"/>
      <c r="T60" s="485"/>
      <c r="U60" s="481"/>
      <c r="V60" s="57"/>
      <c r="Y60" s="209"/>
      <c r="Z60" s="209"/>
    </row>
    <row r="61" spans="1:26" s="2" customFormat="1" ht="14" x14ac:dyDescent="0.25">
      <c r="A61" s="468"/>
      <c r="B61" s="469"/>
      <c r="D61" s="470"/>
      <c r="E61" s="467"/>
      <c r="F61" s="471"/>
      <c r="G61" s="471"/>
      <c r="H61" s="472"/>
      <c r="I61" s="472"/>
      <c r="J61" s="472"/>
      <c r="K61" s="472"/>
      <c r="L61" s="473"/>
      <c r="M61" s="474"/>
      <c r="N61" s="475"/>
      <c r="P61" s="475"/>
      <c r="Q61" s="483"/>
      <c r="R61" s="305"/>
      <c r="S61" s="475"/>
      <c r="T61" s="486"/>
      <c r="U61" s="305"/>
      <c r="V61" s="305"/>
      <c r="Y61" s="411"/>
      <c r="Z61" s="411"/>
    </row>
    <row r="62" spans="1:26" s="2" customFormat="1" ht="14.5" thickBot="1" x14ac:dyDescent="0.3">
      <c r="A62" s="468"/>
      <c r="B62" s="469"/>
      <c r="D62" s="267"/>
      <c r="E62" s="296"/>
      <c r="F62" s="149" t="s">
        <v>260</v>
      </c>
      <c r="G62" s="265"/>
      <c r="H62" s="265"/>
      <c r="I62" s="265"/>
      <c r="J62" s="265"/>
      <c r="K62" s="265"/>
      <c r="L62" s="265"/>
      <c r="M62" s="265"/>
      <c r="N62" s="318"/>
      <c r="O62" s="318"/>
      <c r="P62" s="262"/>
      <c r="R62" s="305"/>
      <c r="S62" s="487"/>
      <c r="T62" s="305"/>
      <c r="U62" s="305"/>
      <c r="V62" s="305"/>
      <c r="Y62" s="411"/>
      <c r="Z62" s="411"/>
    </row>
    <row r="63" spans="1:26" ht="12" x14ac:dyDescent="0.25">
      <c r="A63" s="361"/>
      <c r="E63" s="41"/>
      <c r="F63" s="41"/>
      <c r="G63" s="41"/>
      <c r="H63" s="41"/>
      <c r="I63" s="41"/>
      <c r="J63" s="41"/>
      <c r="K63" s="41"/>
      <c r="L63" s="41"/>
      <c r="M63" s="41"/>
      <c r="N63" s="41"/>
      <c r="O63" s="41"/>
      <c r="P63" s="41"/>
      <c r="Q63" s="41"/>
      <c r="R63" s="57"/>
      <c r="S63" s="370"/>
      <c r="T63" s="57"/>
      <c r="U63" s="57"/>
      <c r="V63" s="57"/>
    </row>
    <row r="64" spans="1:26" ht="12" x14ac:dyDescent="0.25">
      <c r="A64" s="361"/>
      <c r="R64" s="57"/>
      <c r="S64" s="370"/>
      <c r="T64" s="57"/>
      <c r="U64" s="57"/>
      <c r="V64" s="57"/>
    </row>
    <row r="65" spans="1:53" ht="12" x14ac:dyDescent="0.25">
      <c r="A65" s="361"/>
      <c r="E65" s="300" t="s">
        <v>696</v>
      </c>
      <c r="R65" s="57"/>
      <c r="S65" s="369"/>
      <c r="T65" s="57"/>
      <c r="U65" s="57"/>
      <c r="V65" s="57"/>
    </row>
    <row r="66" spans="1:53" ht="12" x14ac:dyDescent="0.25">
      <c r="A66" s="361"/>
      <c r="G66" s="267">
        <v>4</v>
      </c>
      <c r="O66" s="289"/>
      <c r="P66" s="289"/>
      <c r="R66" s="57"/>
      <c r="S66" s="369"/>
      <c r="T66" s="57"/>
      <c r="U66" s="57"/>
      <c r="V66" s="57"/>
    </row>
    <row r="67" spans="1:53" ht="46" x14ac:dyDescent="0.25">
      <c r="A67" s="361"/>
      <c r="E67" s="1" t="s">
        <v>180</v>
      </c>
      <c r="F67" s="1" t="s">
        <v>167</v>
      </c>
      <c r="G67" s="268" t="str">
        <f>"Precio minorista "&amp;Year.selected
&amp;" Sin impuestos"</f>
        <v>Precio minorista 2022 Sin impuestos</v>
      </c>
      <c r="H67" s="1"/>
      <c r="I67" s="1" t="s">
        <v>695</v>
      </c>
      <c r="J67" s="1" t="s">
        <v>170</v>
      </c>
      <c r="K67" s="1"/>
      <c r="L67" s="1"/>
      <c r="M67" s="1"/>
      <c r="N67" s="1"/>
      <c r="O67" s="268"/>
      <c r="P67" s="1"/>
      <c r="Q67" s="1"/>
      <c r="R67" s="57"/>
      <c r="S67" s="369"/>
      <c r="T67" s="57"/>
      <c r="U67" s="57"/>
      <c r="V67" s="57"/>
    </row>
    <row r="68" spans="1:53" ht="12.5" thickBot="1" x14ac:dyDescent="0.3">
      <c r="A68" s="361"/>
      <c r="D68" s="96">
        <v>1</v>
      </c>
      <c r="E68" s="301"/>
      <c r="F68" s="99"/>
      <c r="G68" s="211"/>
      <c r="I68" s="489"/>
      <c r="J68" s="2"/>
      <c r="O68" s="423"/>
      <c r="P68" s="218"/>
      <c r="R68" s="57"/>
      <c r="S68" s="369"/>
      <c r="T68" s="57"/>
      <c r="U68" s="57"/>
      <c r="V68" s="57"/>
    </row>
    <row r="69" spans="1:53" s="262" customFormat="1" x14ac:dyDescent="0.25">
      <c r="E69" s="270"/>
      <c r="F69" s="270"/>
      <c r="G69" s="270"/>
      <c r="H69" s="270"/>
      <c r="I69" s="270"/>
      <c r="J69" s="270"/>
      <c r="K69" s="270"/>
      <c r="L69" s="270"/>
      <c r="M69" s="270"/>
      <c r="N69" s="270"/>
      <c r="O69" s="270"/>
      <c r="P69" s="270"/>
      <c r="Q69" s="270"/>
    </row>
    <row r="71" spans="1:53" x14ac:dyDescent="0.25">
      <c r="A71" s="100" t="s">
        <v>425</v>
      </c>
      <c r="B71" s="100" t="s">
        <v>400</v>
      </c>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row>
  </sheetData>
  <pageMargins left="0.7" right="0.7" top="0.75" bottom="0.75" header="0.3" footer="0.3"/>
  <pageSetup orientation="portrait" r:id="rId1"/>
  <ignoredErrors>
    <ignoredError sqref="D18" unlockedFormula="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dimension ref="A1:BA19"/>
  <sheetViews>
    <sheetView showGridLines="0" zoomScaleNormal="100" workbookViewId="0">
      <pane ySplit="1" topLeftCell="A2" activePane="bottomLeft" state="frozen"/>
      <selection pane="bottomLeft" sqref="A1:XFD1048576"/>
    </sheetView>
  </sheetViews>
  <sheetFormatPr baseColWidth="10" defaultColWidth="11.3984375" defaultRowHeight="11.5" x14ac:dyDescent="0.25"/>
  <cols>
    <col min="1" max="2" width="11.3984375" style="44"/>
    <col min="3" max="3" width="25.19921875" style="44" customWidth="1"/>
    <col min="4" max="4" width="11.3984375" style="44"/>
    <col min="5" max="5" width="17" style="44" bestFit="1" customWidth="1"/>
    <col min="6" max="6" width="12.19921875" style="44" bestFit="1" customWidth="1"/>
    <col min="7" max="7" width="20.796875" style="44" customWidth="1"/>
    <col min="8" max="8" width="12" style="44" bestFit="1" customWidth="1"/>
    <col min="9" max="9" width="17.19921875" style="44" customWidth="1"/>
    <col min="10" max="16384" width="11.3984375" style="44"/>
  </cols>
  <sheetData>
    <row r="1" spans="1:53" s="93" customFormat="1" ht="33.75" customHeight="1" x14ac:dyDescent="0.25">
      <c r="C1" s="94" t="s">
        <v>687</v>
      </c>
      <c r="D1" s="94"/>
      <c r="E1" s="94"/>
      <c r="F1" s="94"/>
    </row>
    <row r="2" spans="1:53" x14ac:dyDescent="0.25">
      <c r="A2" s="100">
        <v>1</v>
      </c>
      <c r="B2" s="100" t="s">
        <v>722</v>
      </c>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row>
    <row r="4" spans="1:53" x14ac:dyDescent="0.25">
      <c r="B4" s="1" t="s">
        <v>161</v>
      </c>
      <c r="C4" s="1" t="s">
        <v>688</v>
      </c>
      <c r="D4" s="1" t="s">
        <v>167</v>
      </c>
      <c r="E4" s="1" t="s">
        <v>426</v>
      </c>
      <c r="F4" s="1" t="s">
        <v>170</v>
      </c>
      <c r="G4" s="1"/>
      <c r="H4" s="1"/>
      <c r="I4" s="1"/>
    </row>
    <row r="5" spans="1:53" x14ac:dyDescent="0.25">
      <c r="B5" s="202">
        <v>1</v>
      </c>
      <c r="C5" s="7" t="s">
        <v>240</v>
      </c>
      <c r="D5" s="203" t="s">
        <v>558</v>
      </c>
      <c r="E5" s="139">
        <f>weighted.price.line.rental.residential</f>
        <v>142.86181813082604</v>
      </c>
      <c r="F5" s="23" t="s">
        <v>689</v>
      </c>
      <c r="G5" s="23"/>
      <c r="H5" s="23"/>
      <c r="I5" s="23"/>
    </row>
    <row r="6" spans="1:53" ht="12" thickBot="1" x14ac:dyDescent="0.3">
      <c r="B6" s="202">
        <f>1+B5</f>
        <v>2</v>
      </c>
      <c r="C6" s="7" t="s">
        <v>242</v>
      </c>
      <c r="D6" s="203" t="s">
        <v>558</v>
      </c>
      <c r="E6" s="139">
        <f>weighted.price.line.rental.no.residential</f>
        <v>196.88845896419366</v>
      </c>
      <c r="F6" s="23" t="s">
        <v>690</v>
      </c>
      <c r="G6" s="23"/>
      <c r="H6" s="23"/>
      <c r="I6" s="23"/>
    </row>
    <row r="7" spans="1:53" x14ac:dyDescent="0.25">
      <c r="B7" s="41"/>
      <c r="C7" s="41"/>
      <c r="D7" s="41"/>
      <c r="E7" s="41"/>
      <c r="F7" s="41"/>
      <c r="G7" s="41"/>
      <c r="H7" s="41"/>
      <c r="I7" s="41"/>
    </row>
    <row r="9" spans="1:53" x14ac:dyDescent="0.25">
      <c r="A9" s="100">
        <v>2</v>
      </c>
      <c r="B9" s="100" t="s">
        <v>691</v>
      </c>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row>
    <row r="11" spans="1:53" ht="12" x14ac:dyDescent="0.25">
      <c r="C11" s="417">
        <f>Retail.minus.line.rental</f>
        <v>0.30364247590525267</v>
      </c>
      <c r="D11" s="45" t="s">
        <v>672</v>
      </c>
    </row>
    <row r="14" spans="1:53" x14ac:dyDescent="0.25">
      <c r="B14" s="1" t="s">
        <v>161</v>
      </c>
      <c r="C14" s="1" t="s">
        <v>166</v>
      </c>
      <c r="D14" s="1" t="s">
        <v>167</v>
      </c>
      <c r="E14" s="1" t="s">
        <v>426</v>
      </c>
      <c r="F14" s="1" t="s">
        <v>170</v>
      </c>
      <c r="G14" s="1"/>
      <c r="H14" s="1"/>
      <c r="I14" s="1"/>
    </row>
    <row r="15" spans="1:53" x14ac:dyDescent="0.25">
      <c r="B15" s="202">
        <v>1</v>
      </c>
      <c r="C15" s="7" t="s">
        <v>692</v>
      </c>
      <c r="D15" s="203" t="s">
        <v>558</v>
      </c>
      <c r="E15" s="143">
        <f>weighted.price.line.rental.residential*(1-Retail.minus.line.rental)</f>
        <v>99.48290196125609</v>
      </c>
      <c r="F15" s="632" t="s">
        <v>689</v>
      </c>
      <c r="G15" s="23"/>
      <c r="H15" s="23"/>
      <c r="I15" s="23"/>
    </row>
    <row r="16" spans="1:53" ht="12" thickBot="1" x14ac:dyDescent="0.3">
      <c r="B16" s="202">
        <f>1+B15</f>
        <v>2</v>
      </c>
      <c r="C16" s="7" t="s">
        <v>693</v>
      </c>
      <c r="D16" s="203" t="s">
        <v>558</v>
      </c>
      <c r="E16" s="143">
        <f>weighted.price.line.rental.no.residential*(1-Retail.minus.line.rental)</f>
        <v>137.10475980713613</v>
      </c>
      <c r="F16" s="632" t="s">
        <v>690</v>
      </c>
      <c r="G16" s="23"/>
      <c r="H16" s="23"/>
      <c r="I16" s="23"/>
    </row>
    <row r="17" spans="1:53" x14ac:dyDescent="0.25">
      <c r="B17" s="41"/>
      <c r="C17" s="41"/>
      <c r="D17" s="41"/>
      <c r="E17" s="41"/>
      <c r="F17" s="41"/>
      <c r="G17" s="41"/>
      <c r="H17" s="41"/>
      <c r="I17" s="41"/>
    </row>
    <row r="19" spans="1:53" x14ac:dyDescent="0.25">
      <c r="A19" s="100" t="s">
        <v>425</v>
      </c>
      <c r="B19" s="100" t="s">
        <v>400</v>
      </c>
      <c r="C19" s="40"/>
      <c r="D19" s="40"/>
      <c r="E19" s="40"/>
      <c r="F19" s="40"/>
      <c r="G19" s="40"/>
      <c r="H19" s="40"/>
      <c r="I19" s="40"/>
      <c r="J19" s="40"/>
      <c r="K19" s="40"/>
      <c r="L19" s="40"/>
      <c r="M19" s="40"/>
      <c r="N19" s="40"/>
      <c r="O19" s="40"/>
      <c r="P19" s="40"/>
      <c r="Q19" s="40"/>
      <c r="R19" s="40"/>
      <c r="S19" s="40"/>
      <c r="T19" s="40"/>
      <c r="U19" s="40"/>
      <c r="V19" s="40"/>
      <c r="W19" s="40"/>
      <c r="X19" s="40"/>
      <c r="Y19" s="40"/>
      <c r="Z19" s="40"/>
      <c r="AA19" s="40"/>
      <c r="AB19" s="40"/>
      <c r="AC19" s="40"/>
      <c r="AD19" s="40"/>
      <c r="AE19" s="40"/>
      <c r="AF19" s="40"/>
      <c r="AG19" s="40"/>
      <c r="AH19" s="40"/>
      <c r="AI19" s="40"/>
      <c r="AJ19" s="40"/>
      <c r="AK19" s="40"/>
      <c r="AL19" s="40"/>
      <c r="AM19" s="40"/>
      <c r="AN19" s="40"/>
      <c r="AO19" s="40"/>
      <c r="AP19" s="40"/>
      <c r="AQ19" s="40"/>
      <c r="AR19" s="40"/>
      <c r="AS19" s="40"/>
      <c r="AT19" s="40"/>
      <c r="AU19" s="40"/>
      <c r="AV19" s="40"/>
      <c r="AW19" s="40"/>
      <c r="AX19" s="40"/>
      <c r="AY19" s="40"/>
      <c r="AZ19" s="40"/>
      <c r="BA19" s="40"/>
    </row>
  </sheetData>
  <pageMargins left="0.7" right="0.7" top="0.75" bottom="0.75" header="0.3" footer="0.3"/>
  <pageSetup orientation="portrait" horizontalDpi="90" verticalDpi="90" r:id="rId1"/>
  <ignoredErrors>
    <ignoredError sqref="B6 B16" unlocked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1FB3D-8C1D-4DAB-BA80-BF416FAF5A39}">
  <sheetPr>
    <tabColor rgb="FFABE33F"/>
  </sheetPr>
  <dimension ref="A1:BA12"/>
  <sheetViews>
    <sheetView showGridLines="0" tabSelected="1" workbookViewId="0">
      <selection sqref="A1:XFD1048576"/>
    </sheetView>
  </sheetViews>
  <sheetFormatPr baseColWidth="10" defaultRowHeight="11.5" x14ac:dyDescent="0.25"/>
  <cols>
    <col min="1" max="1" width="11.19921875" style="262"/>
    <col min="2" max="2" width="6" style="262" customWidth="1"/>
    <col min="3" max="3" width="32" style="262" customWidth="1"/>
    <col min="4" max="4" width="31.69921875" style="262" customWidth="1"/>
    <col min="5" max="5" width="18.59765625" style="262" customWidth="1"/>
    <col min="6" max="6" width="19.8984375" style="262" customWidth="1"/>
    <col min="7" max="7" width="11.19921875" style="262"/>
    <col min="8" max="9" width="18.296875" style="262" customWidth="1"/>
    <col min="10" max="10" width="31.69921875" style="262" customWidth="1"/>
    <col min="11" max="12" width="18.296875" style="262" customWidth="1"/>
    <col min="13" max="16384" width="11.19921875" style="262"/>
  </cols>
  <sheetData>
    <row r="1" spans="1:53" s="93" customFormat="1" ht="28" x14ac:dyDescent="0.25">
      <c r="C1" s="94" t="s">
        <v>1327</v>
      </c>
      <c r="D1" s="94"/>
      <c r="E1" s="94"/>
      <c r="F1" s="94"/>
    </row>
    <row r="2" spans="1:53" x14ac:dyDescent="0.25">
      <c r="A2" s="264"/>
      <c r="B2" s="264"/>
      <c r="C2" s="265"/>
      <c r="D2" s="265"/>
      <c r="E2" s="265"/>
      <c r="F2" s="265"/>
      <c r="G2" s="265"/>
      <c r="H2" s="265"/>
      <c r="I2" s="265"/>
      <c r="J2" s="265"/>
      <c r="K2" s="265"/>
      <c r="L2" s="265"/>
      <c r="M2" s="265"/>
      <c r="N2" s="265"/>
      <c r="O2" s="265"/>
      <c r="P2" s="265"/>
      <c r="Q2" s="265"/>
      <c r="R2" s="265"/>
      <c r="S2" s="265"/>
      <c r="T2" s="265"/>
      <c r="U2" s="265"/>
      <c r="V2" s="265"/>
      <c r="W2" s="265"/>
      <c r="X2" s="265"/>
      <c r="Y2" s="265"/>
      <c r="Z2" s="265"/>
      <c r="AA2" s="265"/>
      <c r="AB2" s="265"/>
      <c r="AC2" s="265"/>
      <c r="AD2" s="265"/>
      <c r="AE2" s="265"/>
      <c r="AF2" s="265"/>
      <c r="AG2" s="265"/>
      <c r="AH2" s="265"/>
      <c r="AI2" s="265"/>
      <c r="AJ2" s="265"/>
      <c r="AK2" s="265"/>
      <c r="AL2" s="265"/>
      <c r="AM2" s="265"/>
      <c r="AN2" s="265"/>
      <c r="AO2" s="265"/>
      <c r="AP2" s="265"/>
      <c r="AQ2" s="265"/>
      <c r="AR2" s="265"/>
      <c r="AS2" s="265"/>
      <c r="AT2" s="265"/>
      <c r="AU2" s="265"/>
      <c r="AV2" s="265"/>
      <c r="AW2" s="265"/>
      <c r="AX2" s="265"/>
      <c r="AY2" s="265"/>
      <c r="AZ2" s="265"/>
      <c r="BA2" s="265"/>
    </row>
    <row r="4" spans="1:53" ht="14" x14ac:dyDescent="0.25">
      <c r="H4" s="752" t="s">
        <v>1331</v>
      </c>
      <c r="I4" s="752"/>
      <c r="J4" s="752"/>
      <c r="K4" s="752"/>
      <c r="L4" s="752"/>
    </row>
    <row r="5" spans="1:53" ht="23" x14ac:dyDescent="0.25">
      <c r="B5" s="268" t="s">
        <v>161</v>
      </c>
      <c r="C5" s="268" t="s">
        <v>166</v>
      </c>
      <c r="D5" s="268" t="s">
        <v>1328</v>
      </c>
      <c r="E5" s="268" t="s">
        <v>1329</v>
      </c>
      <c r="F5" s="268" t="s">
        <v>1330</v>
      </c>
      <c r="H5" s="268" t="s">
        <v>161</v>
      </c>
      <c r="I5" s="268" t="s">
        <v>166</v>
      </c>
      <c r="J5" s="268" t="s">
        <v>1328</v>
      </c>
      <c r="K5" s="268" t="s">
        <v>1329</v>
      </c>
      <c r="L5" s="268" t="s">
        <v>1330</v>
      </c>
    </row>
    <row r="6" spans="1:53" x14ac:dyDescent="0.25">
      <c r="B6" s="131">
        <v>1</v>
      </c>
      <c r="C6" s="102" t="s">
        <v>531</v>
      </c>
      <c r="D6" s="685">
        <f>'Calculos Renta de Linea y Voz'!J98</f>
        <v>0.21118242558073971</v>
      </c>
      <c r="E6" s="685">
        <f>Retail.minus.line.rental.retail.minus.items.only</f>
        <v>9.246005032451296E-2</v>
      </c>
      <c r="F6" s="684">
        <f>SUM(D6:E6)</f>
        <v>0.30364247590525267</v>
      </c>
      <c r="H6" s="131">
        <v>1</v>
      </c>
      <c r="I6" s="102" t="s">
        <v>531</v>
      </c>
      <c r="J6" s="686">
        <v>0.20692337920334017</v>
      </c>
      <c r="K6" s="686">
        <v>9.1744793611106629E-2</v>
      </c>
      <c r="L6" s="686">
        <v>0.2986681728144468</v>
      </c>
    </row>
    <row r="7" spans="1:53" x14ac:dyDescent="0.25">
      <c r="B7" s="683">
        <f>B6+1</f>
        <v>2</v>
      </c>
      <c r="C7" s="102" t="s">
        <v>623</v>
      </c>
      <c r="D7" s="685">
        <f>'Calculos Renta de Linea y Voz'!M98</f>
        <v>0.28781869383344377</v>
      </c>
      <c r="E7" s="685">
        <f>Retail.minus.additional.calls.retail.minus.items.only</f>
        <v>8.3477246886665413E-2</v>
      </c>
      <c r="F7" s="684">
        <f t="shared" ref="F7:F8" si="0">SUM(D7:E7)</f>
        <v>0.37129594072010919</v>
      </c>
      <c r="H7" s="683">
        <f>H6+1</f>
        <v>2</v>
      </c>
      <c r="I7" s="102" t="s">
        <v>623</v>
      </c>
      <c r="J7" s="686">
        <v>0.2840129247542697</v>
      </c>
      <c r="K7" s="686">
        <v>8.2826910697045231E-2</v>
      </c>
      <c r="L7" s="686">
        <v>0.36683983545131493</v>
      </c>
    </row>
    <row r="8" spans="1:53" ht="12" thickBot="1" x14ac:dyDescent="0.3">
      <c r="B8" s="683">
        <f>B7+1</f>
        <v>3</v>
      </c>
      <c r="C8" s="102" t="s">
        <v>175</v>
      </c>
      <c r="D8" s="685">
        <f>'Calculos Banda Ancha'!J105</f>
        <v>7.8873162111925604E-2</v>
      </c>
      <c r="E8" s="685">
        <f>Retail.minus.int.retail.minus.items.only</f>
        <v>0.28156615719691647</v>
      </c>
      <c r="F8" s="684">
        <f t="shared" si="0"/>
        <v>0.3604393193088421</v>
      </c>
      <c r="H8" s="683">
        <f>H7+1</f>
        <v>3</v>
      </c>
      <c r="I8" s="102" t="s">
        <v>175</v>
      </c>
      <c r="J8" s="686">
        <v>7.6204512285635295E-2</v>
      </c>
      <c r="K8" s="686">
        <v>0.28652834267824173</v>
      </c>
      <c r="L8" s="686">
        <v>0.36273285496387703</v>
      </c>
    </row>
    <row r="9" spans="1:53" x14ac:dyDescent="0.25">
      <c r="B9" s="270"/>
      <c r="C9" s="270"/>
      <c r="D9" s="270"/>
      <c r="E9" s="270"/>
      <c r="F9" s="270"/>
      <c r="H9" s="270"/>
      <c r="I9" s="270"/>
      <c r="J9" s="270"/>
      <c r="K9" s="270"/>
      <c r="L9" s="270"/>
    </row>
    <row r="12" spans="1:53" x14ac:dyDescent="0.25">
      <c r="A12" s="156"/>
      <c r="B12" s="264"/>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265"/>
      <c r="AL12" s="265"/>
      <c r="AM12" s="265"/>
      <c r="AN12" s="265"/>
      <c r="AO12" s="265"/>
      <c r="AP12" s="265"/>
      <c r="AQ12" s="265"/>
      <c r="AR12" s="265"/>
      <c r="AS12" s="265"/>
      <c r="AT12" s="265"/>
      <c r="AU12" s="265"/>
      <c r="AV12" s="265"/>
      <c r="AW12" s="265"/>
      <c r="AX12" s="265"/>
      <c r="AY12" s="265"/>
      <c r="AZ12" s="265"/>
      <c r="BA12" s="265"/>
    </row>
  </sheetData>
  <mergeCells count="1">
    <mergeCell ref="H4:L4"/>
  </mergeCells>
  <pageMargins left="0.7" right="0.7" top="0.75" bottom="0.75" header="0.3" footer="0.3"/>
  <pageSetup orientation="portrait" horizontalDpi="90" verticalDpi="9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9">
    <tabColor rgb="FFFF0000"/>
  </sheetPr>
  <dimension ref="C1:E3"/>
  <sheetViews>
    <sheetView showGridLines="0" zoomScale="70" zoomScaleNormal="70" workbookViewId="0">
      <pane ySplit="1" topLeftCell="A2" activePane="bottomLeft" state="frozen"/>
      <selection pane="bottomLeft" activeCell="F2" sqref="F2"/>
    </sheetView>
  </sheetViews>
  <sheetFormatPr baseColWidth="10" defaultRowHeight="11.5" x14ac:dyDescent="0.25"/>
  <sheetData>
    <row r="1" spans="3:5" s="93" customFormat="1" ht="33.75" customHeight="1" x14ac:dyDescent="0.25">
      <c r="C1" s="94" t="s">
        <v>245</v>
      </c>
      <c r="D1" s="94"/>
      <c r="E1" s="94"/>
    </row>
    <row r="3" spans="3:5" x14ac:dyDescent="0.25">
      <c r="C3" t="s">
        <v>246</v>
      </c>
    </row>
  </sheetData>
  <pageMargins left="0.7" right="0.7" top="0.75" bottom="0.75" header="0.3" footer="0.3"/>
  <pageSetup orientation="portrait" horizontalDpi="90" verticalDpi="90"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0913C-89E7-4529-8289-47A4979222CC}">
  <sheetPr filterMode="1">
    <tabColor rgb="FF00CC00"/>
    <pageSetUpPr autoPageBreaks="0"/>
  </sheetPr>
  <dimension ref="A1:EV1376"/>
  <sheetViews>
    <sheetView showGridLines="0" defaultGridColor="0" colorId="22" zoomScale="55" zoomScaleNormal="55" workbookViewId="0">
      <selection activeCell="B2" sqref="B2"/>
    </sheetView>
  </sheetViews>
  <sheetFormatPr baseColWidth="10" defaultColWidth="12.69921875" defaultRowHeight="11.5" outlineLevelRow="1" x14ac:dyDescent="0.25"/>
  <cols>
    <col min="1" max="1" width="8" style="262" customWidth="1"/>
    <col min="2" max="2" width="12.69921875" style="262"/>
    <col min="3" max="3" width="67.296875" style="262" customWidth="1"/>
    <col min="4" max="4" width="24.59765625" style="262" customWidth="1"/>
    <col min="5" max="5" width="29.69921875" style="262" customWidth="1"/>
    <col min="6" max="6" width="35.296875" style="262" customWidth="1"/>
    <col min="7" max="7" width="36.59765625" style="262" customWidth="1"/>
    <col min="8" max="8" width="28.59765625" style="262" customWidth="1"/>
    <col min="9" max="9" width="31.59765625" style="262" customWidth="1"/>
    <col min="10" max="11" width="35.09765625" style="262" customWidth="1"/>
    <col min="12" max="13" width="25.09765625" style="262" customWidth="1"/>
    <col min="14" max="14" width="29.69921875" style="262" customWidth="1"/>
    <col min="15" max="19" width="33.69921875" style="262" customWidth="1"/>
    <col min="20" max="20" width="32.3984375" style="262" customWidth="1"/>
    <col min="21" max="21" width="35.09765625" style="262" customWidth="1"/>
    <col min="22" max="22" width="27.69921875" style="262" customWidth="1"/>
    <col min="23" max="23" width="36.3984375" style="262" customWidth="1"/>
    <col min="24" max="30" width="27.69921875" style="262" customWidth="1"/>
    <col min="31" max="31" width="26.59765625" style="262" customWidth="1"/>
    <col min="32" max="35" width="29.8984375" style="262" customWidth="1"/>
    <col min="36" max="36" width="24.3984375" style="262" customWidth="1"/>
    <col min="37" max="38" width="34.09765625" style="262" customWidth="1"/>
    <col min="39" max="39" width="36.59765625" style="262" customWidth="1"/>
    <col min="40" max="40" width="26.8984375" style="262" customWidth="1"/>
    <col min="41" max="41" width="29" style="262" customWidth="1"/>
    <col min="42" max="42" width="25.3984375" style="262" customWidth="1"/>
    <col min="43" max="43" width="22.09765625" style="262" customWidth="1"/>
    <col min="44" max="44" width="22.8984375" style="262" customWidth="1"/>
    <col min="45" max="45" width="22.69921875" style="262" customWidth="1"/>
    <col min="46" max="67" width="35.296875" style="262" customWidth="1"/>
    <col min="68" max="71" width="14.09765625" style="262" customWidth="1"/>
    <col min="72" max="16384" width="12.69921875" style="262"/>
  </cols>
  <sheetData>
    <row r="1" spans="1:116" s="428" customFormat="1" ht="33.75" customHeight="1" x14ac:dyDescent="0.25"/>
    <row r="2" spans="1:116" s="119" customFormat="1" ht="25" x14ac:dyDescent="0.25">
      <c r="A2" s="429"/>
      <c r="B2" s="748" t="s">
        <v>251</v>
      </c>
      <c r="C2" s="429"/>
      <c r="D2" s="430"/>
      <c r="E2" s="430"/>
      <c r="F2" s="430"/>
      <c r="G2" s="430"/>
      <c r="H2" s="430"/>
      <c r="I2" s="430"/>
      <c r="J2" s="430"/>
      <c r="K2" s="430"/>
      <c r="L2" s="430"/>
      <c r="M2" s="430"/>
      <c r="N2" s="430"/>
      <c r="O2" s="430"/>
      <c r="P2" s="430"/>
      <c r="Q2" s="430"/>
      <c r="R2" s="430"/>
      <c r="S2" s="430"/>
      <c r="T2" s="430"/>
      <c r="U2" s="430"/>
      <c r="V2" s="430"/>
      <c r="W2" s="430"/>
      <c r="X2" s="430"/>
      <c r="Y2" s="430"/>
      <c r="Z2" s="430"/>
      <c r="AA2" s="430"/>
      <c r="AB2" s="430"/>
      <c r="AC2" s="430"/>
      <c r="AD2" s="430"/>
      <c r="AE2" s="430"/>
      <c r="AF2" s="430"/>
      <c r="AG2" s="430"/>
      <c r="AH2" s="430"/>
      <c r="AI2" s="430"/>
      <c r="AJ2" s="430"/>
      <c r="AK2" s="430"/>
      <c r="AL2" s="430"/>
      <c r="AM2" s="430"/>
      <c r="AN2" s="430"/>
      <c r="AO2" s="430"/>
      <c r="AP2" s="430"/>
      <c r="AQ2" s="430"/>
      <c r="AR2" s="430"/>
      <c r="AS2" s="430"/>
      <c r="AT2" s="430"/>
      <c r="AU2" s="430"/>
      <c r="AV2" s="430"/>
      <c r="AW2" s="430"/>
      <c r="AX2" s="430"/>
      <c r="AY2" s="430"/>
      <c r="AZ2" s="430"/>
      <c r="BA2" s="430"/>
      <c r="BB2" s="430"/>
      <c r="BC2" s="430"/>
      <c r="BD2" s="430"/>
      <c r="BE2" s="430"/>
      <c r="BF2" s="430"/>
      <c r="BG2" s="430"/>
      <c r="BH2" s="430"/>
      <c r="BI2" s="430"/>
      <c r="BJ2" s="430"/>
      <c r="BK2" s="430"/>
      <c r="BL2" s="430"/>
      <c r="BM2" s="430"/>
      <c r="BN2" s="430"/>
      <c r="BO2" s="430"/>
      <c r="BP2" s="430"/>
      <c r="BQ2" s="430"/>
      <c r="BR2" s="430"/>
      <c r="BS2" s="430"/>
      <c r="BT2" s="430"/>
      <c r="BU2" s="430"/>
      <c r="BV2" s="430"/>
      <c r="BW2" s="430"/>
      <c r="BX2" s="430"/>
      <c r="BY2" s="430"/>
      <c r="BZ2" s="430"/>
      <c r="CA2" s="430"/>
      <c r="CB2" s="430"/>
      <c r="CC2" s="430"/>
      <c r="CD2" s="430"/>
      <c r="CE2" s="430"/>
      <c r="CF2" s="430"/>
      <c r="CG2" s="430"/>
      <c r="CH2" s="430"/>
      <c r="CI2" s="430"/>
      <c r="CJ2" s="430"/>
      <c r="CK2" s="430"/>
      <c r="CL2" s="430"/>
      <c r="CM2" s="430"/>
      <c r="CN2" s="430"/>
      <c r="CO2" s="430"/>
      <c r="CP2" s="430"/>
      <c r="CQ2" s="430"/>
      <c r="CR2" s="430"/>
      <c r="CS2" s="430"/>
      <c r="CT2" s="430"/>
      <c r="CU2" s="430"/>
      <c r="CV2" s="430"/>
      <c r="CW2" s="430"/>
      <c r="CX2" s="430"/>
      <c r="CY2" s="430"/>
      <c r="CZ2" s="430"/>
      <c r="DA2" s="430"/>
      <c r="DB2" s="430"/>
      <c r="DC2" s="430"/>
      <c r="DD2" s="430"/>
      <c r="DE2" s="430"/>
      <c r="DF2" s="430"/>
      <c r="DG2" s="430"/>
      <c r="DH2" s="430"/>
      <c r="DI2" s="430"/>
      <c r="DJ2" s="430"/>
      <c r="DK2" s="430"/>
      <c r="DL2" s="430"/>
    </row>
    <row r="3" spans="1:116" x14ac:dyDescent="0.25">
      <c r="C3" s="120"/>
      <c r="D3" s="120"/>
      <c r="E3" s="120"/>
      <c r="F3" s="120"/>
    </row>
    <row r="4" spans="1:116" ht="15.5" x14ac:dyDescent="0.25">
      <c r="C4" s="37" t="s">
        <v>989</v>
      </c>
      <c r="D4" s="120"/>
      <c r="E4" s="446">
        <v>2021</v>
      </c>
    </row>
    <row r="5" spans="1:116" ht="12" x14ac:dyDescent="0.25">
      <c r="B5" s="120"/>
      <c r="C5" s="126" t="s">
        <v>947</v>
      </c>
    </row>
    <row r="6" spans="1:116" ht="51.65" customHeight="1" x14ac:dyDescent="0.25">
      <c r="B6" s="120"/>
      <c r="C6" s="755" t="s">
        <v>990</v>
      </c>
      <c r="D6" s="755"/>
      <c r="E6" s="755"/>
      <c r="F6" s="756"/>
      <c r="G6" s="492">
        <v>2021</v>
      </c>
      <c r="H6" s="493"/>
      <c r="I6" s="493"/>
      <c r="J6" s="493"/>
      <c r="K6" s="493"/>
      <c r="L6" s="493"/>
      <c r="M6" s="493"/>
      <c r="N6" s="493"/>
      <c r="O6" s="493"/>
      <c r="P6" s="493"/>
      <c r="Q6" s="493"/>
      <c r="R6" s="493"/>
      <c r="S6" s="493"/>
      <c r="T6" s="493"/>
      <c r="U6" s="493"/>
      <c r="V6" s="493"/>
      <c r="W6" s="493"/>
      <c r="X6" s="493"/>
      <c r="Y6" s="493"/>
      <c r="Z6" s="493"/>
      <c r="AA6" s="493"/>
      <c r="AB6" s="493"/>
      <c r="AC6" s="493"/>
      <c r="AD6" s="493"/>
      <c r="AE6" s="493"/>
      <c r="AF6" s="493"/>
      <c r="AG6" s="493"/>
      <c r="AH6" s="493"/>
      <c r="AI6" s="493"/>
      <c r="AJ6" s="493"/>
      <c r="AK6" s="493"/>
      <c r="AL6" s="493"/>
      <c r="AM6" s="493"/>
      <c r="AN6" s="493"/>
      <c r="AO6" s="493"/>
      <c r="AP6" s="493"/>
      <c r="AQ6" s="493"/>
      <c r="AR6" s="493"/>
      <c r="AS6" s="493"/>
    </row>
    <row r="7" spans="1:116" ht="46" x14ac:dyDescent="0.25">
      <c r="B7" s="120"/>
      <c r="C7" s="431" t="s">
        <v>252</v>
      </c>
      <c r="D7" s="431" t="s">
        <v>253</v>
      </c>
      <c r="E7" s="432" t="s">
        <v>254</v>
      </c>
      <c r="F7" s="432" t="s">
        <v>255</v>
      </c>
      <c r="G7" s="494" t="s">
        <v>334</v>
      </c>
      <c r="H7" s="494" t="s">
        <v>335</v>
      </c>
      <c r="I7" s="495" t="s">
        <v>991</v>
      </c>
      <c r="J7" s="496" t="s">
        <v>992</v>
      </c>
      <c r="K7" s="497" t="s">
        <v>993</v>
      </c>
      <c r="L7" s="498" t="s">
        <v>994</v>
      </c>
      <c r="M7" s="496" t="s">
        <v>995</v>
      </c>
      <c r="N7" s="497" t="s">
        <v>996</v>
      </c>
      <c r="O7" s="498" t="s">
        <v>994</v>
      </c>
      <c r="P7" s="496" t="s">
        <v>997</v>
      </c>
      <c r="Q7" s="497" t="s">
        <v>998</v>
      </c>
      <c r="R7" s="498" t="s">
        <v>994</v>
      </c>
      <c r="S7" s="496" t="s">
        <v>999</v>
      </c>
      <c r="T7" s="497" t="s">
        <v>1000</v>
      </c>
      <c r="U7" s="498" t="s">
        <v>994</v>
      </c>
      <c r="V7" s="496" t="s">
        <v>1001</v>
      </c>
      <c r="W7" s="497" t="s">
        <v>1002</v>
      </c>
      <c r="X7" s="498" t="s">
        <v>994</v>
      </c>
      <c r="Y7" s="496" t="s">
        <v>1003</v>
      </c>
      <c r="Z7" s="497" t="s">
        <v>1004</v>
      </c>
      <c r="AA7" s="498" t="s">
        <v>994</v>
      </c>
      <c r="AB7" s="496" t="s">
        <v>1005</v>
      </c>
      <c r="AC7" s="497" t="s">
        <v>1006</v>
      </c>
      <c r="AD7" s="498" t="s">
        <v>994</v>
      </c>
      <c r="AE7" s="496" t="s">
        <v>1007</v>
      </c>
      <c r="AF7" s="497" t="s">
        <v>1008</v>
      </c>
      <c r="AG7" s="498" t="s">
        <v>994</v>
      </c>
      <c r="AH7" s="496" t="s">
        <v>1009</v>
      </c>
      <c r="AI7" s="497" t="s">
        <v>1010</v>
      </c>
      <c r="AJ7" s="498" t="s">
        <v>994</v>
      </c>
      <c r="AK7" s="496" t="s">
        <v>1011</v>
      </c>
      <c r="AL7" s="497" t="s">
        <v>1012</v>
      </c>
      <c r="AM7" s="497" t="s">
        <v>1013</v>
      </c>
      <c r="AN7" s="498" t="s">
        <v>994</v>
      </c>
      <c r="AO7" s="496" t="s">
        <v>1014</v>
      </c>
      <c r="AP7" s="497" t="s">
        <v>1015</v>
      </c>
      <c r="AQ7" s="497" t="s">
        <v>1016</v>
      </c>
      <c r="AR7" s="497" t="s">
        <v>1017</v>
      </c>
      <c r="AS7" s="498" t="s">
        <v>994</v>
      </c>
      <c r="AV7" s="436"/>
      <c r="AW7" s="436"/>
      <c r="AX7" s="436"/>
    </row>
    <row r="8" spans="1:116" s="436" customFormat="1" ht="14.5" x14ac:dyDescent="0.35">
      <c r="B8" s="433">
        <v>1</v>
      </c>
      <c r="C8" s="434" t="s">
        <v>415</v>
      </c>
      <c r="D8" s="340" t="s">
        <v>240</v>
      </c>
      <c r="E8" s="340" t="s">
        <v>241</v>
      </c>
      <c r="F8" s="340" t="s">
        <v>260</v>
      </c>
      <c r="G8" s="444">
        <v>300.86</v>
      </c>
      <c r="H8" s="444">
        <v>348.99759999999998</v>
      </c>
      <c r="I8" s="696" t="s">
        <v>1018</v>
      </c>
      <c r="J8" s="697"/>
      <c r="K8" s="697"/>
      <c r="L8" s="697"/>
      <c r="M8" s="697"/>
      <c r="N8" s="697"/>
      <c r="O8" s="697"/>
      <c r="P8" s="696"/>
      <c r="Q8" s="696"/>
      <c r="R8" s="696"/>
      <c r="S8" s="697"/>
      <c r="T8" s="697"/>
      <c r="U8" s="697"/>
      <c r="V8" s="697"/>
      <c r="W8" s="697"/>
      <c r="X8" s="697"/>
      <c r="Y8" s="697"/>
      <c r="Z8" s="697"/>
      <c r="AA8" s="697"/>
      <c r="AB8" s="697"/>
      <c r="AC8" s="697"/>
      <c r="AD8" s="697"/>
      <c r="AE8" s="697"/>
      <c r="AF8" s="698"/>
      <c r="AG8" s="697"/>
      <c r="AH8" s="698"/>
      <c r="AI8" s="697"/>
      <c r="AJ8" s="697"/>
      <c r="AK8" s="696" t="s">
        <v>1018</v>
      </c>
      <c r="AL8" s="699"/>
      <c r="AM8" s="699"/>
      <c r="AN8" s="699"/>
      <c r="AO8" s="700" t="s">
        <v>1018</v>
      </c>
      <c r="AP8" s="699"/>
      <c r="AQ8" s="699"/>
      <c r="AR8" s="699"/>
      <c r="AS8" s="699"/>
      <c r="AT8" s="262"/>
      <c r="AU8" s="715"/>
      <c r="AV8" s="716"/>
      <c r="AW8" s="716"/>
      <c r="AX8" s="716"/>
      <c r="AY8" s="716"/>
      <c r="AZ8" s="716"/>
      <c r="BA8" s="716"/>
      <c r="BB8" s="715"/>
      <c r="BC8" s="715"/>
      <c r="BD8" s="715"/>
      <c r="BE8" s="716"/>
      <c r="BF8" s="716"/>
      <c r="BG8" s="716"/>
      <c r="BH8" s="716"/>
      <c r="BI8" s="716"/>
      <c r="BJ8" s="716"/>
      <c r="BK8" s="716"/>
      <c r="BL8" s="716"/>
      <c r="BM8" s="716"/>
      <c r="BN8" s="716"/>
      <c r="BO8" s="716"/>
      <c r="BP8" s="716"/>
      <c r="BQ8" s="716"/>
      <c r="BR8" s="717"/>
      <c r="BS8" s="716"/>
      <c r="BT8" s="717"/>
      <c r="BU8" s="716"/>
      <c r="BV8" s="716"/>
      <c r="BW8" s="715"/>
      <c r="BX8" s="718"/>
      <c r="BY8" s="718"/>
      <c r="BZ8" s="718"/>
      <c r="CA8" s="719"/>
      <c r="CB8" s="718"/>
      <c r="CC8" s="718"/>
      <c r="CD8" s="718"/>
      <c r="CE8" s="718"/>
      <c r="CF8" s="720"/>
    </row>
    <row r="9" spans="1:116" s="436" customFormat="1" ht="14.5" x14ac:dyDescent="0.35">
      <c r="B9" s="433">
        <v>2</v>
      </c>
      <c r="C9" s="434" t="s">
        <v>815</v>
      </c>
      <c r="D9" s="340" t="s">
        <v>240</v>
      </c>
      <c r="E9" s="340" t="s">
        <v>241</v>
      </c>
      <c r="F9" s="340" t="s">
        <v>260</v>
      </c>
      <c r="G9" s="444">
        <v>775</v>
      </c>
      <c r="H9" s="444">
        <v>898.99999999999989</v>
      </c>
      <c r="I9" s="696" t="s">
        <v>1018</v>
      </c>
      <c r="J9" s="697"/>
      <c r="K9" s="697"/>
      <c r="L9" s="697"/>
      <c r="M9" s="697"/>
      <c r="N9" s="697"/>
      <c r="O9" s="697"/>
      <c r="P9" s="696"/>
      <c r="Q9" s="696"/>
      <c r="R9" s="696"/>
      <c r="S9" s="697"/>
      <c r="T9" s="697"/>
      <c r="U9" s="697"/>
      <c r="V9" s="697"/>
      <c r="W9" s="697"/>
      <c r="X9" s="697"/>
      <c r="Y9" s="697"/>
      <c r="Z9" s="697"/>
      <c r="AA9" s="697"/>
      <c r="AB9" s="697"/>
      <c r="AC9" s="697"/>
      <c r="AD9" s="697"/>
      <c r="AE9" s="697"/>
      <c r="AF9" s="698"/>
      <c r="AG9" s="697"/>
      <c r="AH9" s="698"/>
      <c r="AI9" s="697"/>
      <c r="AJ9" s="697"/>
      <c r="AK9" s="696" t="s">
        <v>1018</v>
      </c>
      <c r="AL9" s="699"/>
      <c r="AM9" s="699"/>
      <c r="AN9" s="699"/>
      <c r="AO9" s="696" t="s">
        <v>1018</v>
      </c>
      <c r="AP9" s="699"/>
      <c r="AQ9" s="699"/>
      <c r="AR9" s="699"/>
      <c r="AS9" s="699"/>
      <c r="AT9" s="262"/>
      <c r="AU9" s="715"/>
      <c r="AV9" s="716"/>
      <c r="AW9" s="716"/>
      <c r="AX9" s="716"/>
      <c r="AY9" s="716"/>
      <c r="AZ9" s="716"/>
      <c r="BA9" s="716"/>
      <c r="BB9" s="715"/>
      <c r="BC9" s="715"/>
      <c r="BD9" s="715"/>
      <c r="BE9" s="716"/>
      <c r="BF9" s="716"/>
      <c r="BG9" s="716"/>
      <c r="BH9" s="716"/>
      <c r="BI9" s="716"/>
      <c r="BJ9" s="716"/>
      <c r="BK9" s="716"/>
      <c r="BL9" s="716"/>
      <c r="BM9" s="716"/>
      <c r="BN9" s="716"/>
      <c r="BO9" s="716"/>
      <c r="BP9" s="716"/>
      <c r="BQ9" s="716"/>
      <c r="BR9" s="717"/>
      <c r="BS9" s="716"/>
      <c r="BT9" s="717"/>
      <c r="BU9" s="716"/>
      <c r="BV9" s="716"/>
      <c r="BW9" s="715"/>
      <c r="BX9" s="718"/>
      <c r="BY9" s="718"/>
      <c r="BZ9" s="718"/>
      <c r="CA9" s="715"/>
      <c r="CB9" s="718"/>
      <c r="CC9" s="718"/>
      <c r="CD9" s="718"/>
      <c r="CE9" s="718"/>
      <c r="CF9" s="720"/>
    </row>
    <row r="10" spans="1:116" s="436" customFormat="1" ht="14.5" x14ac:dyDescent="0.35">
      <c r="B10" s="433">
        <v>3</v>
      </c>
      <c r="C10" s="434" t="s">
        <v>823</v>
      </c>
      <c r="D10" s="340" t="s">
        <v>240</v>
      </c>
      <c r="E10" s="340" t="s">
        <v>241</v>
      </c>
      <c r="F10" s="340" t="s">
        <v>260</v>
      </c>
      <c r="G10" s="444">
        <v>343.97</v>
      </c>
      <c r="H10" s="444">
        <v>398.99520000000001</v>
      </c>
      <c r="I10" s="696" t="s">
        <v>1018</v>
      </c>
      <c r="J10" s="697"/>
      <c r="K10" s="697"/>
      <c r="L10" s="697"/>
      <c r="M10" s="697"/>
      <c r="N10" s="697"/>
      <c r="O10" s="697"/>
      <c r="P10" s="696"/>
      <c r="Q10" s="696"/>
      <c r="R10" s="696"/>
      <c r="S10" s="697"/>
      <c r="T10" s="697"/>
      <c r="U10" s="697"/>
      <c r="V10" s="697"/>
      <c r="W10" s="697"/>
      <c r="X10" s="697"/>
      <c r="Y10" s="697"/>
      <c r="Z10" s="697"/>
      <c r="AA10" s="697"/>
      <c r="AB10" s="697"/>
      <c r="AC10" s="697"/>
      <c r="AD10" s="697"/>
      <c r="AE10" s="697"/>
      <c r="AF10" s="698"/>
      <c r="AG10" s="697"/>
      <c r="AH10" s="698"/>
      <c r="AI10" s="697"/>
      <c r="AJ10" s="697"/>
      <c r="AK10" s="696" t="s">
        <v>1018</v>
      </c>
      <c r="AL10" s="699"/>
      <c r="AM10" s="699"/>
      <c r="AN10" s="699"/>
      <c r="AO10" s="696" t="s">
        <v>1018</v>
      </c>
      <c r="AP10" s="699"/>
      <c r="AQ10" s="699"/>
      <c r="AR10" s="699"/>
      <c r="AS10" s="699"/>
      <c r="AT10" s="262"/>
      <c r="AU10" s="715"/>
      <c r="AV10" s="716"/>
      <c r="AW10" s="716"/>
      <c r="AX10" s="716"/>
      <c r="AY10" s="716"/>
      <c r="AZ10" s="716"/>
      <c r="BA10" s="716"/>
      <c r="BB10" s="715"/>
      <c r="BC10" s="715"/>
      <c r="BD10" s="715"/>
      <c r="BE10" s="716"/>
      <c r="BF10" s="716"/>
      <c r="BG10" s="716"/>
      <c r="BH10" s="716"/>
      <c r="BI10" s="716"/>
      <c r="BJ10" s="716"/>
      <c r="BK10" s="716"/>
      <c r="BL10" s="716"/>
      <c r="BM10" s="716"/>
      <c r="BN10" s="716"/>
      <c r="BO10" s="716"/>
      <c r="BP10" s="716"/>
      <c r="BQ10" s="716"/>
      <c r="BR10" s="717"/>
      <c r="BS10" s="716"/>
      <c r="BT10" s="717"/>
      <c r="BU10" s="716"/>
      <c r="BV10" s="716"/>
      <c r="BW10" s="715"/>
      <c r="BX10" s="718"/>
      <c r="BY10" s="718"/>
      <c r="BZ10" s="718"/>
      <c r="CA10" s="715"/>
      <c r="CB10" s="718"/>
      <c r="CC10" s="718"/>
      <c r="CD10" s="718"/>
      <c r="CE10" s="718"/>
      <c r="CF10" s="720"/>
    </row>
    <row r="11" spans="1:116" s="436" customFormat="1" ht="14.5" x14ac:dyDescent="0.35">
      <c r="B11" s="433">
        <v>4</v>
      </c>
      <c r="C11" s="434" t="s">
        <v>848</v>
      </c>
      <c r="D11" s="340" t="s">
        <v>240</v>
      </c>
      <c r="E11" s="340" t="s">
        <v>241</v>
      </c>
      <c r="F11" s="340" t="s">
        <v>260</v>
      </c>
      <c r="G11" s="444">
        <v>473.28</v>
      </c>
      <c r="H11" s="444">
        <v>549</v>
      </c>
      <c r="I11" s="696" t="s">
        <v>1018</v>
      </c>
      <c r="J11" s="697"/>
      <c r="K11" s="697"/>
      <c r="L11" s="697"/>
      <c r="M11" s="697"/>
      <c r="N11" s="697"/>
      <c r="O11" s="697"/>
      <c r="P11" s="696"/>
      <c r="Q11" s="696"/>
      <c r="R11" s="696"/>
      <c r="S11" s="697"/>
      <c r="T11" s="697"/>
      <c r="U11" s="697"/>
      <c r="V11" s="697"/>
      <c r="W11" s="697"/>
      <c r="X11" s="697"/>
      <c r="Y11" s="697"/>
      <c r="Z11" s="697"/>
      <c r="AA11" s="697"/>
      <c r="AB11" s="697"/>
      <c r="AC11" s="697"/>
      <c r="AD11" s="697"/>
      <c r="AE11" s="697"/>
      <c r="AF11" s="698"/>
      <c r="AG11" s="697"/>
      <c r="AH11" s="698"/>
      <c r="AI11" s="697"/>
      <c r="AJ11" s="697"/>
      <c r="AK11" s="696" t="s">
        <v>1018</v>
      </c>
      <c r="AL11" s="699"/>
      <c r="AM11" s="699"/>
      <c r="AN11" s="699"/>
      <c r="AO11" s="696" t="s">
        <v>1018</v>
      </c>
      <c r="AP11" s="699"/>
      <c r="AQ11" s="699"/>
      <c r="AR11" s="699"/>
      <c r="AS11" s="699"/>
      <c r="AT11" s="262"/>
      <c r="AU11" s="715"/>
      <c r="AV11" s="716"/>
      <c r="AW11" s="716"/>
      <c r="AX11" s="716"/>
      <c r="AY11" s="716"/>
      <c r="AZ11" s="716"/>
      <c r="BA11" s="716"/>
      <c r="BB11" s="715"/>
      <c r="BC11" s="715"/>
      <c r="BD11" s="715"/>
      <c r="BE11" s="716"/>
      <c r="BF11" s="716"/>
      <c r="BG11" s="716"/>
      <c r="BH11" s="716"/>
      <c r="BI11" s="716"/>
      <c r="BJ11" s="716"/>
      <c r="BK11" s="716"/>
      <c r="BL11" s="716"/>
      <c r="BM11" s="716"/>
      <c r="BN11" s="716"/>
      <c r="BO11" s="716"/>
      <c r="BP11" s="716"/>
      <c r="BQ11" s="716"/>
      <c r="BR11" s="717"/>
      <c r="BS11" s="716"/>
      <c r="BT11" s="717"/>
      <c r="BU11" s="716"/>
      <c r="BV11" s="716"/>
      <c r="BW11" s="715"/>
      <c r="BX11" s="718"/>
      <c r="BY11" s="718"/>
      <c r="BZ11" s="718"/>
      <c r="CA11" s="715"/>
      <c r="CB11" s="718"/>
      <c r="CC11" s="718"/>
      <c r="CD11" s="718"/>
      <c r="CE11" s="718"/>
      <c r="CF11" s="720"/>
    </row>
    <row r="12" spans="1:116" s="436" customFormat="1" ht="14.5" x14ac:dyDescent="0.35">
      <c r="B12" s="433">
        <v>5</v>
      </c>
      <c r="C12" s="434" t="s">
        <v>948</v>
      </c>
      <c r="D12" s="340" t="s">
        <v>240</v>
      </c>
      <c r="E12" s="340" t="s">
        <v>241</v>
      </c>
      <c r="F12" s="340" t="s">
        <v>260</v>
      </c>
      <c r="G12" s="444">
        <v>240.52</v>
      </c>
      <c r="H12" s="444">
        <v>279</v>
      </c>
      <c r="I12" s="696" t="s">
        <v>1018</v>
      </c>
      <c r="J12" s="697"/>
      <c r="K12" s="697"/>
      <c r="L12" s="697"/>
      <c r="M12" s="697"/>
      <c r="N12" s="697"/>
      <c r="O12" s="697"/>
      <c r="P12" s="696"/>
      <c r="Q12" s="696"/>
      <c r="R12" s="696"/>
      <c r="S12" s="697"/>
      <c r="T12" s="697"/>
      <c r="U12" s="697"/>
      <c r="V12" s="697"/>
      <c r="W12" s="697"/>
      <c r="X12" s="697"/>
      <c r="Y12" s="697"/>
      <c r="Z12" s="697"/>
      <c r="AA12" s="697"/>
      <c r="AB12" s="697"/>
      <c r="AC12" s="697"/>
      <c r="AD12" s="697"/>
      <c r="AE12" s="697"/>
      <c r="AF12" s="698"/>
      <c r="AG12" s="697"/>
      <c r="AH12" s="698"/>
      <c r="AI12" s="697"/>
      <c r="AJ12" s="697"/>
      <c r="AK12" s="696" t="s">
        <v>1018</v>
      </c>
      <c r="AL12" s="699"/>
      <c r="AM12" s="699"/>
      <c r="AN12" s="699"/>
      <c r="AO12" s="696" t="s">
        <v>1018</v>
      </c>
      <c r="AP12" s="699"/>
      <c r="AQ12" s="699"/>
      <c r="AR12" s="699"/>
      <c r="AS12" s="699"/>
      <c r="AT12" s="262"/>
      <c r="AU12" s="715"/>
      <c r="AV12" s="716"/>
      <c r="AW12" s="716"/>
      <c r="AX12" s="716"/>
      <c r="AY12" s="716"/>
      <c r="AZ12" s="716"/>
      <c r="BA12" s="716"/>
      <c r="BB12" s="715"/>
      <c r="BC12" s="715"/>
      <c r="BD12" s="715"/>
      <c r="BE12" s="716"/>
      <c r="BF12" s="716"/>
      <c r="BG12" s="716"/>
      <c r="BH12" s="716"/>
      <c r="BI12" s="716"/>
      <c r="BJ12" s="716"/>
      <c r="BK12" s="716"/>
      <c r="BL12" s="716"/>
      <c r="BM12" s="716"/>
      <c r="BN12" s="716"/>
      <c r="BO12" s="716"/>
      <c r="BP12" s="716"/>
      <c r="BQ12" s="716"/>
      <c r="BR12" s="717"/>
      <c r="BS12" s="716"/>
      <c r="BT12" s="717"/>
      <c r="BU12" s="716"/>
      <c r="BV12" s="716"/>
      <c r="BW12" s="715"/>
      <c r="BX12" s="718"/>
      <c r="BY12" s="718"/>
      <c r="BZ12" s="718"/>
      <c r="CA12" s="715"/>
      <c r="CB12" s="718"/>
      <c r="CC12" s="718"/>
      <c r="CD12" s="718"/>
      <c r="CE12" s="718"/>
      <c r="CF12" s="720"/>
    </row>
    <row r="13" spans="1:116" s="436" customFormat="1" ht="14.5" x14ac:dyDescent="0.35">
      <c r="B13" s="433">
        <v>6</v>
      </c>
      <c r="C13" s="434" t="s">
        <v>949</v>
      </c>
      <c r="D13" s="340" t="s">
        <v>240</v>
      </c>
      <c r="E13" s="340" t="s">
        <v>241</v>
      </c>
      <c r="F13" s="340" t="s">
        <v>260</v>
      </c>
      <c r="G13" s="444">
        <v>257.76</v>
      </c>
      <c r="H13" s="444">
        <v>299</v>
      </c>
      <c r="I13" s="696" t="s">
        <v>1018</v>
      </c>
      <c r="J13" s="697"/>
      <c r="K13" s="697"/>
      <c r="L13" s="697"/>
      <c r="M13" s="697"/>
      <c r="N13" s="697"/>
      <c r="O13" s="697"/>
      <c r="P13" s="696"/>
      <c r="Q13" s="696"/>
      <c r="R13" s="696"/>
      <c r="S13" s="697"/>
      <c r="T13" s="697"/>
      <c r="U13" s="697"/>
      <c r="V13" s="697"/>
      <c r="W13" s="697"/>
      <c r="X13" s="697"/>
      <c r="Y13" s="697"/>
      <c r="Z13" s="697"/>
      <c r="AA13" s="697"/>
      <c r="AB13" s="697"/>
      <c r="AC13" s="697"/>
      <c r="AD13" s="697"/>
      <c r="AE13" s="697"/>
      <c r="AF13" s="698"/>
      <c r="AG13" s="697"/>
      <c r="AH13" s="698"/>
      <c r="AI13" s="697"/>
      <c r="AJ13" s="697"/>
      <c r="AK13" s="696" t="s">
        <v>1018</v>
      </c>
      <c r="AL13" s="699"/>
      <c r="AM13" s="699"/>
      <c r="AN13" s="699"/>
      <c r="AO13" s="696" t="s">
        <v>1018</v>
      </c>
      <c r="AP13" s="699"/>
      <c r="AQ13" s="699"/>
      <c r="AR13" s="699"/>
      <c r="AS13" s="699"/>
      <c r="AT13" s="262"/>
      <c r="AU13" s="715"/>
      <c r="AV13" s="716"/>
      <c r="AW13" s="716"/>
      <c r="AX13" s="716"/>
      <c r="AY13" s="716"/>
      <c r="AZ13" s="716"/>
      <c r="BA13" s="716"/>
      <c r="BB13" s="715"/>
      <c r="BC13" s="715"/>
      <c r="BD13" s="715"/>
      <c r="BE13" s="716"/>
      <c r="BF13" s="716"/>
      <c r="BG13" s="716"/>
      <c r="BH13" s="716"/>
      <c r="BI13" s="716"/>
      <c r="BJ13" s="716"/>
      <c r="BK13" s="716"/>
      <c r="BL13" s="716"/>
      <c r="BM13" s="716"/>
      <c r="BN13" s="716"/>
      <c r="BO13" s="716"/>
      <c r="BP13" s="716"/>
      <c r="BQ13" s="716"/>
      <c r="BR13" s="717"/>
      <c r="BS13" s="716"/>
      <c r="BT13" s="717"/>
      <c r="BU13" s="716"/>
      <c r="BV13" s="716"/>
      <c r="BW13" s="715"/>
      <c r="BX13" s="718"/>
      <c r="BY13" s="718"/>
      <c r="BZ13" s="718"/>
      <c r="CA13" s="715"/>
      <c r="CB13" s="718"/>
      <c r="CC13" s="718"/>
      <c r="CD13" s="718"/>
      <c r="CE13" s="718"/>
      <c r="CF13" s="720"/>
    </row>
    <row r="14" spans="1:116" s="436" customFormat="1" ht="14.5" x14ac:dyDescent="0.35">
      <c r="B14" s="433">
        <v>7</v>
      </c>
      <c r="C14" s="434" t="s">
        <v>949</v>
      </c>
      <c r="D14" s="340" t="s">
        <v>242</v>
      </c>
      <c r="E14" s="340" t="s">
        <v>241</v>
      </c>
      <c r="F14" s="340" t="s">
        <v>260</v>
      </c>
      <c r="G14" s="444">
        <v>257.76</v>
      </c>
      <c r="H14" s="444">
        <v>299</v>
      </c>
      <c r="I14" s="696" t="s">
        <v>1018</v>
      </c>
      <c r="J14" s="697"/>
      <c r="K14" s="697"/>
      <c r="L14" s="697"/>
      <c r="M14" s="697"/>
      <c r="N14" s="697"/>
      <c r="O14" s="697"/>
      <c r="P14" s="696"/>
      <c r="Q14" s="696"/>
      <c r="R14" s="696"/>
      <c r="S14" s="697"/>
      <c r="T14" s="697"/>
      <c r="U14" s="697"/>
      <c r="V14" s="697"/>
      <c r="W14" s="697"/>
      <c r="X14" s="697"/>
      <c r="Y14" s="697"/>
      <c r="Z14" s="697"/>
      <c r="AA14" s="697"/>
      <c r="AB14" s="697"/>
      <c r="AC14" s="697"/>
      <c r="AD14" s="697"/>
      <c r="AE14" s="697"/>
      <c r="AF14" s="698"/>
      <c r="AG14" s="697"/>
      <c r="AH14" s="698"/>
      <c r="AI14" s="697"/>
      <c r="AJ14" s="697"/>
      <c r="AK14" s="696" t="s">
        <v>1018</v>
      </c>
      <c r="AL14" s="699"/>
      <c r="AM14" s="699"/>
      <c r="AN14" s="699"/>
      <c r="AO14" s="696" t="s">
        <v>1018</v>
      </c>
      <c r="AP14" s="699"/>
      <c r="AQ14" s="699"/>
      <c r="AR14" s="699"/>
      <c r="AS14" s="699"/>
      <c r="AT14" s="262"/>
      <c r="AU14" s="715"/>
      <c r="AV14" s="716"/>
      <c r="AW14" s="716"/>
      <c r="AX14" s="716"/>
      <c r="AY14" s="716"/>
      <c r="AZ14" s="716"/>
      <c r="BA14" s="716"/>
      <c r="BB14" s="715"/>
      <c r="BC14" s="715"/>
      <c r="BD14" s="715"/>
      <c r="BE14" s="716"/>
      <c r="BF14" s="716"/>
      <c r="BG14" s="716"/>
      <c r="BH14" s="716"/>
      <c r="BI14" s="716"/>
      <c r="BJ14" s="716"/>
      <c r="BK14" s="716"/>
      <c r="BL14" s="716"/>
      <c r="BM14" s="716"/>
      <c r="BN14" s="716"/>
      <c r="BO14" s="716"/>
      <c r="BP14" s="716"/>
      <c r="BQ14" s="716"/>
      <c r="BR14" s="717"/>
      <c r="BS14" s="716"/>
      <c r="BT14" s="717"/>
      <c r="BU14" s="716"/>
      <c r="BV14" s="716"/>
      <c r="BW14" s="715"/>
      <c r="BX14" s="718"/>
      <c r="BY14" s="718"/>
      <c r="BZ14" s="718"/>
      <c r="CA14" s="715"/>
      <c r="CB14" s="718"/>
      <c r="CC14" s="718"/>
      <c r="CD14" s="718"/>
      <c r="CE14" s="718"/>
      <c r="CF14" s="720"/>
    </row>
    <row r="15" spans="1:116" s="436" customFormat="1" ht="14.5" collapsed="1" x14ac:dyDescent="0.35">
      <c r="B15" s="433">
        <v>8</v>
      </c>
      <c r="C15" s="434" t="s">
        <v>200</v>
      </c>
      <c r="D15" s="340" t="s">
        <v>242</v>
      </c>
      <c r="E15" s="340" t="s">
        <v>241</v>
      </c>
      <c r="F15" s="340" t="s">
        <v>260</v>
      </c>
      <c r="G15" s="444">
        <v>300.86</v>
      </c>
      <c r="H15" s="444">
        <v>349</v>
      </c>
      <c r="I15" s="696" t="s">
        <v>1018</v>
      </c>
      <c r="J15" s="697"/>
      <c r="K15" s="697"/>
      <c r="L15" s="697"/>
      <c r="M15" s="697"/>
      <c r="N15" s="697"/>
      <c r="O15" s="697"/>
      <c r="P15" s="696"/>
      <c r="Q15" s="696"/>
      <c r="R15" s="696"/>
      <c r="S15" s="697"/>
      <c r="T15" s="697"/>
      <c r="U15" s="697"/>
      <c r="V15" s="697"/>
      <c r="W15" s="697"/>
      <c r="X15" s="697"/>
      <c r="Y15" s="697"/>
      <c r="Z15" s="697"/>
      <c r="AA15" s="697"/>
      <c r="AB15" s="697"/>
      <c r="AC15" s="697"/>
      <c r="AD15" s="697"/>
      <c r="AE15" s="697"/>
      <c r="AF15" s="698"/>
      <c r="AG15" s="697"/>
      <c r="AH15" s="698"/>
      <c r="AI15" s="697"/>
      <c r="AJ15" s="697"/>
      <c r="AK15" s="696" t="s">
        <v>1018</v>
      </c>
      <c r="AL15" s="699"/>
      <c r="AM15" s="699"/>
      <c r="AN15" s="699"/>
      <c r="AO15" s="696" t="s">
        <v>1018</v>
      </c>
      <c r="AP15" s="699"/>
      <c r="AQ15" s="699"/>
      <c r="AR15" s="699"/>
      <c r="AS15" s="699"/>
      <c r="AT15" s="262"/>
      <c r="AU15" s="715"/>
      <c r="AV15" s="716"/>
      <c r="AW15" s="716"/>
      <c r="AX15" s="716"/>
      <c r="AY15" s="716"/>
      <c r="AZ15" s="716"/>
      <c r="BA15" s="716"/>
      <c r="BB15" s="715"/>
      <c r="BC15" s="715"/>
      <c r="BD15" s="715"/>
      <c r="BE15" s="716"/>
      <c r="BF15" s="716"/>
      <c r="BG15" s="716"/>
      <c r="BH15" s="716"/>
      <c r="BI15" s="716"/>
      <c r="BJ15" s="716"/>
      <c r="BK15" s="716"/>
      <c r="BL15" s="716"/>
      <c r="BM15" s="716"/>
      <c r="BN15" s="716"/>
      <c r="BO15" s="716"/>
      <c r="BP15" s="716"/>
      <c r="BQ15" s="716"/>
      <c r="BR15" s="717"/>
      <c r="BS15" s="716"/>
      <c r="BT15" s="717"/>
      <c r="BU15" s="716"/>
      <c r="BV15" s="716"/>
      <c r="BW15" s="715"/>
      <c r="BX15" s="718"/>
      <c r="BY15" s="718"/>
      <c r="BZ15" s="718"/>
      <c r="CA15" s="715"/>
      <c r="CB15" s="718"/>
      <c r="CC15" s="718"/>
      <c r="CD15" s="718"/>
      <c r="CE15" s="718"/>
      <c r="CF15" s="720"/>
    </row>
    <row r="16" spans="1:116" s="436" customFormat="1" ht="14.5" x14ac:dyDescent="0.35">
      <c r="B16" s="433">
        <v>9</v>
      </c>
      <c r="C16" s="434" t="s">
        <v>849</v>
      </c>
      <c r="D16" s="340" t="s">
        <v>242</v>
      </c>
      <c r="E16" s="340" t="s">
        <v>241</v>
      </c>
      <c r="F16" s="340" t="s">
        <v>260</v>
      </c>
      <c r="G16" s="444">
        <v>343.97</v>
      </c>
      <c r="H16" s="444">
        <v>399</v>
      </c>
      <c r="I16" s="696" t="s">
        <v>1018</v>
      </c>
      <c r="J16" s="697"/>
      <c r="K16" s="697"/>
      <c r="L16" s="697"/>
      <c r="M16" s="697"/>
      <c r="N16" s="697"/>
      <c r="O16" s="697"/>
      <c r="P16" s="696"/>
      <c r="Q16" s="696"/>
      <c r="R16" s="696"/>
      <c r="S16" s="697"/>
      <c r="T16" s="697"/>
      <c r="U16" s="697"/>
      <c r="V16" s="697"/>
      <c r="W16" s="697"/>
      <c r="X16" s="697"/>
      <c r="Y16" s="697"/>
      <c r="Z16" s="697"/>
      <c r="AA16" s="697"/>
      <c r="AB16" s="697"/>
      <c r="AC16" s="697"/>
      <c r="AD16" s="697"/>
      <c r="AE16" s="697"/>
      <c r="AF16" s="698"/>
      <c r="AG16" s="697"/>
      <c r="AH16" s="698"/>
      <c r="AI16" s="697"/>
      <c r="AJ16" s="697"/>
      <c r="AK16" s="696" t="s">
        <v>1018</v>
      </c>
      <c r="AL16" s="699"/>
      <c r="AM16" s="699"/>
      <c r="AN16" s="699"/>
      <c r="AO16" s="696" t="s">
        <v>1018</v>
      </c>
      <c r="AP16" s="699"/>
      <c r="AQ16" s="699"/>
      <c r="AR16" s="699"/>
      <c r="AS16" s="699"/>
      <c r="AT16" s="262"/>
      <c r="AU16" s="715"/>
      <c r="AV16" s="716"/>
      <c r="AW16" s="716"/>
      <c r="AX16" s="716"/>
      <c r="AY16" s="716"/>
      <c r="AZ16" s="716"/>
      <c r="BA16" s="716"/>
      <c r="BB16" s="715"/>
      <c r="BC16" s="715"/>
      <c r="BD16" s="715"/>
      <c r="BE16" s="716"/>
      <c r="BF16" s="716"/>
      <c r="BG16" s="716"/>
      <c r="BH16" s="716"/>
      <c r="BI16" s="716"/>
      <c r="BJ16" s="716"/>
      <c r="BK16" s="716"/>
      <c r="BL16" s="716"/>
      <c r="BM16" s="716"/>
      <c r="BN16" s="716"/>
      <c r="BO16" s="716"/>
      <c r="BP16" s="716"/>
      <c r="BQ16" s="716"/>
      <c r="BR16" s="717"/>
      <c r="BS16" s="716"/>
      <c r="BT16" s="717"/>
      <c r="BU16" s="716"/>
      <c r="BV16" s="716"/>
      <c r="BW16" s="715"/>
      <c r="BX16" s="718"/>
      <c r="BY16" s="718"/>
      <c r="BZ16" s="718"/>
      <c r="CA16" s="715"/>
      <c r="CB16" s="718"/>
      <c r="CC16" s="718"/>
      <c r="CD16" s="718"/>
      <c r="CE16" s="718"/>
      <c r="CF16" s="720"/>
    </row>
    <row r="17" spans="2:84" s="436" customFormat="1" ht="14.5" x14ac:dyDescent="0.35">
      <c r="B17" s="433">
        <v>10</v>
      </c>
      <c r="C17" s="434" t="s">
        <v>850</v>
      </c>
      <c r="D17" s="340" t="s">
        <v>242</v>
      </c>
      <c r="E17" s="340" t="s">
        <v>241</v>
      </c>
      <c r="F17" s="340" t="s">
        <v>260</v>
      </c>
      <c r="G17" s="444">
        <v>473.28</v>
      </c>
      <c r="H17" s="444">
        <v>549</v>
      </c>
      <c r="I17" s="696" t="s">
        <v>1018</v>
      </c>
      <c r="J17" s="697"/>
      <c r="K17" s="697"/>
      <c r="L17" s="697"/>
      <c r="M17" s="697"/>
      <c r="N17" s="697"/>
      <c r="O17" s="697"/>
      <c r="P17" s="696"/>
      <c r="Q17" s="696"/>
      <c r="R17" s="696"/>
      <c r="S17" s="697"/>
      <c r="T17" s="697"/>
      <c r="U17" s="697"/>
      <c r="V17" s="697"/>
      <c r="W17" s="697"/>
      <c r="X17" s="697"/>
      <c r="Y17" s="697"/>
      <c r="Z17" s="697"/>
      <c r="AA17" s="697"/>
      <c r="AB17" s="697"/>
      <c r="AC17" s="697"/>
      <c r="AD17" s="697"/>
      <c r="AE17" s="697"/>
      <c r="AF17" s="698"/>
      <c r="AG17" s="697"/>
      <c r="AH17" s="698"/>
      <c r="AI17" s="697"/>
      <c r="AJ17" s="697"/>
      <c r="AK17" s="696" t="s">
        <v>1018</v>
      </c>
      <c r="AL17" s="699"/>
      <c r="AM17" s="699"/>
      <c r="AN17" s="699"/>
      <c r="AO17" s="696" t="s">
        <v>1018</v>
      </c>
      <c r="AP17" s="699"/>
      <c r="AQ17" s="699"/>
      <c r="AR17" s="699"/>
      <c r="AS17" s="699"/>
      <c r="AT17" s="262"/>
      <c r="AU17" s="715"/>
      <c r="AV17" s="716"/>
      <c r="AW17" s="716"/>
      <c r="AX17" s="716"/>
      <c r="AY17" s="716"/>
      <c r="AZ17" s="716"/>
      <c r="BA17" s="716"/>
      <c r="BB17" s="715"/>
      <c r="BC17" s="715"/>
      <c r="BD17" s="715"/>
      <c r="BE17" s="716"/>
      <c r="BF17" s="716"/>
      <c r="BG17" s="716"/>
      <c r="BH17" s="716"/>
      <c r="BI17" s="716"/>
      <c r="BJ17" s="716"/>
      <c r="BK17" s="716"/>
      <c r="BL17" s="716"/>
      <c r="BM17" s="716"/>
      <c r="BN17" s="716"/>
      <c r="BO17" s="716"/>
      <c r="BP17" s="716"/>
      <c r="BQ17" s="716"/>
      <c r="BR17" s="717"/>
      <c r="BS17" s="716"/>
      <c r="BT17" s="717"/>
      <c r="BU17" s="716"/>
      <c r="BV17" s="716"/>
      <c r="BW17" s="715"/>
      <c r="BX17" s="718"/>
      <c r="BY17" s="718"/>
      <c r="BZ17" s="718"/>
      <c r="CA17" s="715"/>
      <c r="CB17" s="718"/>
      <c r="CC17" s="718"/>
      <c r="CD17" s="718"/>
      <c r="CE17" s="718"/>
      <c r="CF17" s="720"/>
    </row>
    <row r="18" spans="2:84" s="436" customFormat="1" ht="14.5" x14ac:dyDescent="0.35">
      <c r="B18" s="433">
        <v>11</v>
      </c>
      <c r="C18" s="434" t="s">
        <v>851</v>
      </c>
      <c r="D18" s="340" t="s">
        <v>242</v>
      </c>
      <c r="E18" s="340" t="s">
        <v>241</v>
      </c>
      <c r="F18" s="340" t="s">
        <v>260</v>
      </c>
      <c r="G18" s="444">
        <v>775</v>
      </c>
      <c r="H18" s="444">
        <v>899</v>
      </c>
      <c r="I18" s="696" t="s">
        <v>1018</v>
      </c>
      <c r="J18" s="697"/>
      <c r="K18" s="697"/>
      <c r="L18" s="697"/>
      <c r="M18" s="697"/>
      <c r="N18" s="697"/>
      <c r="O18" s="697"/>
      <c r="P18" s="696"/>
      <c r="Q18" s="696"/>
      <c r="R18" s="696"/>
      <c r="S18" s="697"/>
      <c r="T18" s="697"/>
      <c r="U18" s="697"/>
      <c r="V18" s="697"/>
      <c r="W18" s="697"/>
      <c r="X18" s="697"/>
      <c r="Y18" s="697"/>
      <c r="Z18" s="697"/>
      <c r="AA18" s="697"/>
      <c r="AB18" s="697"/>
      <c r="AC18" s="697"/>
      <c r="AD18" s="697"/>
      <c r="AE18" s="697"/>
      <c r="AF18" s="698"/>
      <c r="AG18" s="697"/>
      <c r="AH18" s="698"/>
      <c r="AI18" s="697"/>
      <c r="AJ18" s="697"/>
      <c r="AK18" s="696" t="s">
        <v>1018</v>
      </c>
      <c r="AL18" s="699"/>
      <c r="AM18" s="699"/>
      <c r="AN18" s="699"/>
      <c r="AO18" s="696" t="s">
        <v>1018</v>
      </c>
      <c r="AP18" s="699"/>
      <c r="AQ18" s="699"/>
      <c r="AR18" s="699"/>
      <c r="AS18" s="699"/>
      <c r="AT18" s="262"/>
      <c r="AU18" s="715"/>
      <c r="AV18" s="716"/>
      <c r="AW18" s="716"/>
      <c r="AX18" s="716"/>
      <c r="AY18" s="716"/>
      <c r="AZ18" s="716"/>
      <c r="BA18" s="716"/>
      <c r="BB18" s="715"/>
      <c r="BC18" s="715"/>
      <c r="BD18" s="715"/>
      <c r="BE18" s="716"/>
      <c r="BF18" s="716"/>
      <c r="BG18" s="716"/>
      <c r="BH18" s="716"/>
      <c r="BI18" s="716"/>
      <c r="BJ18" s="716"/>
      <c r="BK18" s="716"/>
      <c r="BL18" s="716"/>
      <c r="BM18" s="716"/>
      <c r="BN18" s="716"/>
      <c r="BO18" s="716"/>
      <c r="BP18" s="716"/>
      <c r="BQ18" s="716"/>
      <c r="BR18" s="717"/>
      <c r="BS18" s="716"/>
      <c r="BT18" s="717"/>
      <c r="BU18" s="716"/>
      <c r="BV18" s="716"/>
      <c r="BW18" s="715"/>
      <c r="BX18" s="718"/>
      <c r="BY18" s="718"/>
      <c r="BZ18" s="718"/>
      <c r="CA18" s="715"/>
      <c r="CB18" s="718"/>
      <c r="CC18" s="718"/>
      <c r="CD18" s="718"/>
      <c r="CE18" s="718"/>
      <c r="CF18" s="720"/>
    </row>
    <row r="19" spans="2:84" s="436" customFormat="1" ht="14.5" outlineLevel="1" x14ac:dyDescent="0.35">
      <c r="B19" s="433">
        <v>12</v>
      </c>
      <c r="C19" s="434" t="s">
        <v>852</v>
      </c>
      <c r="D19" s="340" t="s">
        <v>240</v>
      </c>
      <c r="E19" s="340" t="s">
        <v>243</v>
      </c>
      <c r="F19" s="340" t="s">
        <v>260</v>
      </c>
      <c r="G19" s="444">
        <v>210.24</v>
      </c>
      <c r="H19" s="444">
        <v>249</v>
      </c>
      <c r="I19" s="696" t="s">
        <v>1018</v>
      </c>
      <c r="J19" s="697"/>
      <c r="K19" s="697"/>
      <c r="L19" s="697"/>
      <c r="M19" s="697"/>
      <c r="N19" s="697"/>
      <c r="O19" s="697"/>
      <c r="P19" s="696"/>
      <c r="Q19" s="696"/>
      <c r="R19" s="696"/>
      <c r="S19" s="697"/>
      <c r="T19" s="697"/>
      <c r="U19" s="697"/>
      <c r="V19" s="697"/>
      <c r="W19" s="697"/>
      <c r="X19" s="697"/>
      <c r="Y19" s="697"/>
      <c r="Z19" s="697"/>
      <c r="AA19" s="697"/>
      <c r="AB19" s="697"/>
      <c r="AC19" s="697"/>
      <c r="AD19" s="697"/>
      <c r="AE19" s="697"/>
      <c r="AF19" s="698"/>
      <c r="AG19" s="697"/>
      <c r="AH19" s="698"/>
      <c r="AI19" s="697"/>
      <c r="AJ19" s="697"/>
      <c r="AK19" s="696" t="s">
        <v>1018</v>
      </c>
      <c r="AL19" s="699"/>
      <c r="AM19" s="699"/>
      <c r="AN19" s="699"/>
      <c r="AO19" s="696" t="s">
        <v>1018</v>
      </c>
      <c r="AP19" s="699"/>
      <c r="AQ19" s="699"/>
      <c r="AR19" s="699"/>
      <c r="AS19" s="699"/>
      <c r="AT19" s="262"/>
      <c r="AU19" s="715"/>
      <c r="AV19" s="716"/>
      <c r="AW19" s="716"/>
      <c r="AX19" s="716"/>
      <c r="AY19" s="716"/>
      <c r="AZ19" s="716"/>
      <c r="BA19" s="716"/>
      <c r="BB19" s="715"/>
      <c r="BC19" s="715"/>
      <c r="BD19" s="715"/>
      <c r="BE19" s="716"/>
      <c r="BF19" s="716"/>
      <c r="BG19" s="716"/>
      <c r="BH19" s="716"/>
      <c r="BI19" s="716"/>
      <c r="BJ19" s="716"/>
      <c r="BK19" s="716"/>
      <c r="BL19" s="716"/>
      <c r="BM19" s="716"/>
      <c r="BN19" s="716"/>
      <c r="BO19" s="716"/>
      <c r="BP19" s="716"/>
      <c r="BQ19" s="716"/>
      <c r="BR19" s="717"/>
      <c r="BS19" s="716"/>
      <c r="BT19" s="717"/>
      <c r="BU19" s="716"/>
      <c r="BV19" s="716"/>
      <c r="BW19" s="715"/>
      <c r="BX19" s="718"/>
      <c r="BY19" s="718"/>
      <c r="BZ19" s="718"/>
      <c r="CA19" s="715"/>
      <c r="CB19" s="718"/>
      <c r="CC19" s="718"/>
      <c r="CD19" s="718"/>
      <c r="CE19" s="718"/>
      <c r="CF19" s="720"/>
    </row>
    <row r="20" spans="2:84" s="436" customFormat="1" ht="14.5" outlineLevel="1" x14ac:dyDescent="0.35">
      <c r="B20" s="433">
        <v>13</v>
      </c>
      <c r="C20" s="434" t="s">
        <v>204</v>
      </c>
      <c r="D20" s="340" t="s">
        <v>240</v>
      </c>
      <c r="E20" s="340" t="s">
        <v>243</v>
      </c>
      <c r="F20" s="340" t="s">
        <v>260</v>
      </c>
      <c r="G20" s="444">
        <v>244.01</v>
      </c>
      <c r="H20" s="444">
        <v>289</v>
      </c>
      <c r="I20" s="696" t="s">
        <v>1018</v>
      </c>
      <c r="J20" s="697"/>
      <c r="K20" s="697"/>
      <c r="L20" s="697"/>
      <c r="M20" s="697"/>
      <c r="N20" s="697"/>
      <c r="O20" s="697"/>
      <c r="P20" s="696"/>
      <c r="Q20" s="696"/>
      <c r="R20" s="696"/>
      <c r="S20" s="697"/>
      <c r="T20" s="697"/>
      <c r="U20" s="697"/>
      <c r="V20" s="697"/>
      <c r="W20" s="697"/>
      <c r="X20" s="697"/>
      <c r="Y20" s="697"/>
      <c r="Z20" s="697"/>
      <c r="AA20" s="697"/>
      <c r="AB20" s="697"/>
      <c r="AC20" s="697"/>
      <c r="AD20" s="697"/>
      <c r="AE20" s="697"/>
      <c r="AF20" s="698"/>
      <c r="AG20" s="697"/>
      <c r="AH20" s="698"/>
      <c r="AI20" s="697"/>
      <c r="AJ20" s="697"/>
      <c r="AK20" s="696" t="s">
        <v>1018</v>
      </c>
      <c r="AL20" s="699"/>
      <c r="AM20" s="699"/>
      <c r="AN20" s="699"/>
      <c r="AO20" s="696" t="s">
        <v>1018</v>
      </c>
      <c r="AP20" s="699"/>
      <c r="AQ20" s="699"/>
      <c r="AR20" s="699"/>
      <c r="AS20" s="699"/>
      <c r="AT20" s="262"/>
      <c r="AU20" s="715"/>
      <c r="AV20" s="716"/>
      <c r="AW20" s="716"/>
      <c r="AX20" s="716"/>
      <c r="AY20" s="716"/>
      <c r="AZ20" s="716"/>
      <c r="BA20" s="716"/>
      <c r="BB20" s="715"/>
      <c r="BC20" s="715"/>
      <c r="BD20" s="715"/>
      <c r="BE20" s="716"/>
      <c r="BF20" s="716"/>
      <c r="BG20" s="716"/>
      <c r="BH20" s="716"/>
      <c r="BI20" s="716"/>
      <c r="BJ20" s="716"/>
      <c r="BK20" s="716"/>
      <c r="BL20" s="716"/>
      <c r="BM20" s="716"/>
      <c r="BN20" s="716"/>
      <c r="BO20" s="716"/>
      <c r="BP20" s="716"/>
      <c r="BQ20" s="716"/>
      <c r="BR20" s="717"/>
      <c r="BS20" s="716"/>
      <c r="BT20" s="717"/>
      <c r="BU20" s="716"/>
      <c r="BV20" s="716"/>
      <c r="BW20" s="715"/>
      <c r="BX20" s="718"/>
      <c r="BY20" s="718"/>
      <c r="BZ20" s="718"/>
      <c r="CA20" s="715"/>
      <c r="CB20" s="718"/>
      <c r="CC20" s="718"/>
      <c r="CD20" s="718"/>
      <c r="CE20" s="718"/>
      <c r="CF20" s="720"/>
    </row>
    <row r="21" spans="2:84" s="436" customFormat="1" ht="14.5" outlineLevel="1" x14ac:dyDescent="0.35">
      <c r="B21" s="433">
        <v>14</v>
      </c>
      <c r="C21" s="434" t="s">
        <v>797</v>
      </c>
      <c r="D21" s="340" t="s">
        <v>240</v>
      </c>
      <c r="E21" s="340" t="s">
        <v>243</v>
      </c>
      <c r="F21" s="340" t="s">
        <v>260</v>
      </c>
      <c r="G21" s="444">
        <v>367.29</v>
      </c>
      <c r="H21" s="444">
        <v>435</v>
      </c>
      <c r="I21" s="696" t="s">
        <v>1018</v>
      </c>
      <c r="J21" s="697"/>
      <c r="K21" s="697"/>
      <c r="L21" s="697"/>
      <c r="M21" s="697"/>
      <c r="N21" s="697"/>
      <c r="O21" s="697"/>
      <c r="P21" s="696"/>
      <c r="Q21" s="696"/>
      <c r="R21" s="696"/>
      <c r="S21" s="697"/>
      <c r="T21" s="697"/>
      <c r="U21" s="697"/>
      <c r="V21" s="697"/>
      <c r="W21" s="697"/>
      <c r="X21" s="697"/>
      <c r="Y21" s="697"/>
      <c r="Z21" s="697"/>
      <c r="AA21" s="697"/>
      <c r="AB21" s="697"/>
      <c r="AC21" s="697"/>
      <c r="AD21" s="697"/>
      <c r="AE21" s="697"/>
      <c r="AF21" s="698"/>
      <c r="AG21" s="697"/>
      <c r="AH21" s="698"/>
      <c r="AI21" s="697"/>
      <c r="AJ21" s="697"/>
      <c r="AK21" s="696" t="s">
        <v>1019</v>
      </c>
      <c r="AL21" s="701"/>
      <c r="AM21" s="701"/>
      <c r="AN21" s="702"/>
      <c r="AO21" s="696" t="s">
        <v>1018</v>
      </c>
      <c r="AP21" s="699"/>
      <c r="AQ21" s="699"/>
      <c r="AR21" s="699"/>
      <c r="AS21" s="699"/>
      <c r="AT21" s="262"/>
      <c r="AU21" s="715"/>
      <c r="AV21" s="716"/>
      <c r="AW21" s="716"/>
      <c r="AX21" s="716"/>
      <c r="AY21" s="716"/>
      <c r="AZ21" s="716"/>
      <c r="BA21" s="716"/>
      <c r="BB21" s="715"/>
      <c r="BC21" s="715"/>
      <c r="BD21" s="715"/>
      <c r="BE21" s="716"/>
      <c r="BF21" s="716"/>
      <c r="BG21" s="716"/>
      <c r="BH21" s="716"/>
      <c r="BI21" s="716"/>
      <c r="BJ21" s="716"/>
      <c r="BK21" s="716"/>
      <c r="BL21" s="716"/>
      <c r="BM21" s="716"/>
      <c r="BN21" s="716"/>
      <c r="BO21" s="716"/>
      <c r="BP21" s="716"/>
      <c r="BQ21" s="716"/>
      <c r="BR21" s="717"/>
      <c r="BS21" s="716"/>
      <c r="BT21" s="717"/>
      <c r="BU21" s="716"/>
      <c r="BV21" s="716"/>
      <c r="BW21" s="715"/>
      <c r="BX21" s="721"/>
      <c r="BY21" s="721"/>
      <c r="BZ21" s="722"/>
      <c r="CA21" s="715"/>
      <c r="CB21" s="718"/>
      <c r="CC21" s="718"/>
      <c r="CD21" s="718"/>
      <c r="CE21" s="718"/>
      <c r="CF21" s="720"/>
    </row>
    <row r="22" spans="2:84" s="436" customFormat="1" ht="14.5" outlineLevel="1" x14ac:dyDescent="0.35">
      <c r="B22" s="433">
        <v>15</v>
      </c>
      <c r="C22" s="434" t="s">
        <v>798</v>
      </c>
      <c r="D22" s="340" t="s">
        <v>240</v>
      </c>
      <c r="E22" s="340" t="s">
        <v>243</v>
      </c>
      <c r="F22" s="340" t="s">
        <v>260</v>
      </c>
      <c r="G22" s="444">
        <v>421.32</v>
      </c>
      <c r="H22" s="444">
        <v>499</v>
      </c>
      <c r="I22" s="696" t="s">
        <v>1018</v>
      </c>
      <c r="J22" s="697"/>
      <c r="K22" s="697"/>
      <c r="L22" s="697"/>
      <c r="M22" s="697"/>
      <c r="N22" s="697"/>
      <c r="O22" s="697"/>
      <c r="P22" s="696"/>
      <c r="Q22" s="696"/>
      <c r="R22" s="696"/>
      <c r="S22" s="697"/>
      <c r="T22" s="697"/>
      <c r="U22" s="697"/>
      <c r="V22" s="697"/>
      <c r="W22" s="697"/>
      <c r="X22" s="697"/>
      <c r="Y22" s="697"/>
      <c r="Z22" s="697"/>
      <c r="AA22" s="697"/>
      <c r="AB22" s="697"/>
      <c r="AC22" s="697"/>
      <c r="AD22" s="697"/>
      <c r="AE22" s="697"/>
      <c r="AF22" s="698"/>
      <c r="AG22" s="697"/>
      <c r="AH22" s="698"/>
      <c r="AI22" s="697"/>
      <c r="AJ22" s="697"/>
      <c r="AK22" s="696" t="s">
        <v>1019</v>
      </c>
      <c r="AL22" s="701"/>
      <c r="AM22" s="701"/>
      <c r="AN22" s="702"/>
      <c r="AO22" s="696" t="s">
        <v>1018</v>
      </c>
      <c r="AP22" s="699"/>
      <c r="AQ22" s="699"/>
      <c r="AR22" s="699"/>
      <c r="AS22" s="699"/>
      <c r="AT22" s="262"/>
      <c r="AU22" s="715"/>
      <c r="AV22" s="716"/>
      <c r="AW22" s="716"/>
      <c r="AX22" s="716"/>
      <c r="AY22" s="716"/>
      <c r="AZ22" s="716"/>
      <c r="BA22" s="716"/>
      <c r="BB22" s="715"/>
      <c r="BC22" s="715"/>
      <c r="BD22" s="715"/>
      <c r="BE22" s="716"/>
      <c r="BF22" s="716"/>
      <c r="BG22" s="716"/>
      <c r="BH22" s="716"/>
      <c r="BI22" s="716"/>
      <c r="BJ22" s="716"/>
      <c r="BK22" s="716"/>
      <c r="BL22" s="716"/>
      <c r="BM22" s="716"/>
      <c r="BN22" s="716"/>
      <c r="BO22" s="716"/>
      <c r="BP22" s="716"/>
      <c r="BQ22" s="716"/>
      <c r="BR22" s="717"/>
      <c r="BS22" s="716"/>
      <c r="BT22" s="717"/>
      <c r="BU22" s="716"/>
      <c r="BV22" s="716"/>
      <c r="BW22" s="715"/>
      <c r="BX22" s="721"/>
      <c r="BY22" s="721"/>
      <c r="BZ22" s="722"/>
      <c r="CA22" s="715"/>
      <c r="CB22" s="718"/>
      <c r="CC22" s="718"/>
      <c r="CD22" s="718"/>
      <c r="CE22" s="718"/>
      <c r="CF22" s="720"/>
    </row>
    <row r="23" spans="2:84" s="436" customFormat="1" ht="14.5" outlineLevel="1" x14ac:dyDescent="0.35">
      <c r="B23" s="433">
        <v>16</v>
      </c>
      <c r="C23" s="434" t="s">
        <v>205</v>
      </c>
      <c r="D23" s="340" t="s">
        <v>240</v>
      </c>
      <c r="E23" s="340" t="s">
        <v>243</v>
      </c>
      <c r="F23" s="340" t="s">
        <v>260</v>
      </c>
      <c r="G23" s="444">
        <v>505.76</v>
      </c>
      <c r="H23" s="444">
        <v>599.00191359999997</v>
      </c>
      <c r="I23" s="696" t="s">
        <v>1018</v>
      </c>
      <c r="J23" s="697"/>
      <c r="K23" s="697"/>
      <c r="L23" s="697"/>
      <c r="M23" s="697"/>
      <c r="N23" s="697"/>
      <c r="O23" s="697"/>
      <c r="P23" s="696"/>
      <c r="Q23" s="696"/>
      <c r="R23" s="696"/>
      <c r="S23" s="697"/>
      <c r="T23" s="697"/>
      <c r="U23" s="697"/>
      <c r="V23" s="697"/>
      <c r="W23" s="697"/>
      <c r="X23" s="697"/>
      <c r="Y23" s="697"/>
      <c r="Z23" s="697"/>
      <c r="AA23" s="697"/>
      <c r="AB23" s="697"/>
      <c r="AC23" s="697"/>
      <c r="AD23" s="697"/>
      <c r="AE23" s="697"/>
      <c r="AF23" s="698"/>
      <c r="AG23" s="697"/>
      <c r="AH23" s="698"/>
      <c r="AI23" s="697"/>
      <c r="AJ23" s="697"/>
      <c r="AK23" s="696" t="s">
        <v>1019</v>
      </c>
      <c r="AL23" s="701"/>
      <c r="AM23" s="701"/>
      <c r="AN23" s="702"/>
      <c r="AO23" s="696" t="s">
        <v>1018</v>
      </c>
      <c r="AP23" s="699"/>
      <c r="AQ23" s="699"/>
      <c r="AR23" s="699"/>
      <c r="AS23" s="699"/>
      <c r="AT23" s="262"/>
      <c r="AU23" s="715"/>
      <c r="AV23" s="716"/>
      <c r="AW23" s="716"/>
      <c r="AX23" s="716"/>
      <c r="AY23" s="716"/>
      <c r="AZ23" s="716"/>
      <c r="BA23" s="716"/>
      <c r="BB23" s="715"/>
      <c r="BC23" s="715"/>
      <c r="BD23" s="715"/>
      <c r="BE23" s="716"/>
      <c r="BF23" s="716"/>
      <c r="BG23" s="716"/>
      <c r="BH23" s="716"/>
      <c r="BI23" s="716"/>
      <c r="BJ23" s="716"/>
      <c r="BK23" s="716"/>
      <c r="BL23" s="716"/>
      <c r="BM23" s="716"/>
      <c r="BN23" s="716"/>
      <c r="BO23" s="716"/>
      <c r="BP23" s="716"/>
      <c r="BQ23" s="716"/>
      <c r="BR23" s="717"/>
      <c r="BS23" s="716"/>
      <c r="BT23" s="717"/>
      <c r="BU23" s="716"/>
      <c r="BV23" s="716"/>
      <c r="BW23" s="715"/>
      <c r="BX23" s="721"/>
      <c r="BY23" s="721"/>
      <c r="BZ23" s="722"/>
      <c r="CA23" s="715"/>
      <c r="CB23" s="718"/>
      <c r="CC23" s="718"/>
      <c r="CD23" s="718"/>
      <c r="CE23" s="718"/>
      <c r="CF23" s="720"/>
    </row>
    <row r="24" spans="2:84" s="436" customFormat="1" ht="14.5" outlineLevel="1" x14ac:dyDescent="0.35">
      <c r="B24" s="433">
        <v>17</v>
      </c>
      <c r="C24" s="434" t="s">
        <v>708</v>
      </c>
      <c r="D24" s="340" t="s">
        <v>240</v>
      </c>
      <c r="E24" s="340" t="s">
        <v>243</v>
      </c>
      <c r="F24" s="340" t="s">
        <v>260</v>
      </c>
      <c r="G24" s="444">
        <v>328.44</v>
      </c>
      <c r="H24" s="444">
        <v>389</v>
      </c>
      <c r="I24" s="696" t="s">
        <v>1018</v>
      </c>
      <c r="J24" s="697"/>
      <c r="K24" s="697"/>
      <c r="L24" s="697"/>
      <c r="M24" s="697"/>
      <c r="N24" s="697"/>
      <c r="O24" s="697"/>
      <c r="P24" s="696"/>
      <c r="Q24" s="696"/>
      <c r="R24" s="696"/>
      <c r="S24" s="697"/>
      <c r="T24" s="697"/>
      <c r="U24" s="697"/>
      <c r="V24" s="697"/>
      <c r="W24" s="697"/>
      <c r="X24" s="697"/>
      <c r="Y24" s="697"/>
      <c r="Z24" s="697"/>
      <c r="AA24" s="697"/>
      <c r="AB24" s="697"/>
      <c r="AC24" s="697"/>
      <c r="AD24" s="697"/>
      <c r="AE24" s="697"/>
      <c r="AF24" s="698"/>
      <c r="AG24" s="697"/>
      <c r="AH24" s="698"/>
      <c r="AI24" s="697"/>
      <c r="AJ24" s="697"/>
      <c r="AK24" s="696" t="s">
        <v>1018</v>
      </c>
      <c r="AL24" s="699"/>
      <c r="AM24" s="699"/>
      <c r="AN24" s="699"/>
      <c r="AO24" s="696" t="s">
        <v>1018</v>
      </c>
      <c r="AP24" s="699"/>
      <c r="AQ24" s="699"/>
      <c r="AR24" s="699"/>
      <c r="AS24" s="699"/>
      <c r="AT24" s="262"/>
      <c r="AU24" s="715"/>
      <c r="AV24" s="716"/>
      <c r="AW24" s="716"/>
      <c r="AX24" s="716"/>
      <c r="AY24" s="716"/>
      <c r="AZ24" s="716"/>
      <c r="BA24" s="716"/>
      <c r="BB24" s="715"/>
      <c r="BC24" s="715"/>
      <c r="BD24" s="715"/>
      <c r="BE24" s="716"/>
      <c r="BF24" s="716"/>
      <c r="BG24" s="716"/>
      <c r="BH24" s="716"/>
      <c r="BI24" s="716"/>
      <c r="BJ24" s="716"/>
      <c r="BK24" s="716"/>
      <c r="BL24" s="716"/>
      <c r="BM24" s="716"/>
      <c r="BN24" s="716"/>
      <c r="BO24" s="716"/>
      <c r="BP24" s="716"/>
      <c r="BQ24" s="716"/>
      <c r="BR24" s="717"/>
      <c r="BS24" s="716"/>
      <c r="BT24" s="717"/>
      <c r="BU24" s="716"/>
      <c r="BV24" s="716"/>
      <c r="BW24" s="715"/>
      <c r="BX24" s="718"/>
      <c r="BY24" s="718"/>
      <c r="BZ24" s="718"/>
      <c r="CA24" s="715"/>
      <c r="CB24" s="718"/>
      <c r="CC24" s="718"/>
      <c r="CD24" s="718"/>
      <c r="CE24" s="718"/>
      <c r="CF24" s="720"/>
    </row>
    <row r="25" spans="2:84" s="436" customFormat="1" ht="14.5" outlineLevel="1" x14ac:dyDescent="0.35">
      <c r="B25" s="433">
        <v>18</v>
      </c>
      <c r="C25" s="434" t="s">
        <v>206</v>
      </c>
      <c r="D25" s="340" t="s">
        <v>242</v>
      </c>
      <c r="E25" s="340" t="s">
        <v>243</v>
      </c>
      <c r="F25" s="340" t="s">
        <v>260</v>
      </c>
      <c r="G25" s="444">
        <v>336.9</v>
      </c>
      <c r="H25" s="444">
        <v>399</v>
      </c>
      <c r="I25" s="696" t="s">
        <v>1018</v>
      </c>
      <c r="J25" s="697"/>
      <c r="K25" s="697"/>
      <c r="L25" s="697"/>
      <c r="M25" s="697"/>
      <c r="N25" s="697"/>
      <c r="O25" s="697"/>
      <c r="P25" s="696"/>
      <c r="Q25" s="696"/>
      <c r="R25" s="696"/>
      <c r="S25" s="697"/>
      <c r="T25" s="697"/>
      <c r="U25" s="697"/>
      <c r="V25" s="697"/>
      <c r="W25" s="697"/>
      <c r="X25" s="697"/>
      <c r="Y25" s="697"/>
      <c r="Z25" s="697"/>
      <c r="AA25" s="697"/>
      <c r="AB25" s="697"/>
      <c r="AC25" s="697"/>
      <c r="AD25" s="697"/>
      <c r="AE25" s="697"/>
      <c r="AF25" s="698"/>
      <c r="AG25" s="697"/>
      <c r="AH25" s="698"/>
      <c r="AI25" s="697"/>
      <c r="AJ25" s="697"/>
      <c r="AK25" s="696" t="s">
        <v>1018</v>
      </c>
      <c r="AL25" s="699"/>
      <c r="AM25" s="699"/>
      <c r="AN25" s="699"/>
      <c r="AO25" s="696" t="s">
        <v>1018</v>
      </c>
      <c r="AP25" s="699"/>
      <c r="AQ25" s="699"/>
      <c r="AR25" s="699"/>
      <c r="AS25" s="699"/>
      <c r="AT25" s="262"/>
      <c r="AU25" s="715"/>
      <c r="AV25" s="716"/>
      <c r="AW25" s="716"/>
      <c r="AX25" s="716"/>
      <c r="AY25" s="716"/>
      <c r="AZ25" s="716"/>
      <c r="BA25" s="716"/>
      <c r="BB25" s="715"/>
      <c r="BC25" s="715"/>
      <c r="BD25" s="715"/>
      <c r="BE25" s="716"/>
      <c r="BF25" s="716"/>
      <c r="BG25" s="716"/>
      <c r="BH25" s="716"/>
      <c r="BI25" s="716"/>
      <c r="BJ25" s="716"/>
      <c r="BK25" s="716"/>
      <c r="BL25" s="716"/>
      <c r="BM25" s="716"/>
      <c r="BN25" s="716"/>
      <c r="BO25" s="716"/>
      <c r="BP25" s="716"/>
      <c r="BQ25" s="716"/>
      <c r="BR25" s="717"/>
      <c r="BS25" s="716"/>
      <c r="BT25" s="717"/>
      <c r="BU25" s="716"/>
      <c r="BV25" s="716"/>
      <c r="BW25" s="715"/>
      <c r="BX25" s="718"/>
      <c r="BY25" s="718"/>
      <c r="BZ25" s="718"/>
      <c r="CA25" s="715"/>
      <c r="CB25" s="718"/>
      <c r="CC25" s="718"/>
      <c r="CD25" s="718"/>
      <c r="CE25" s="718"/>
      <c r="CF25" s="720"/>
    </row>
    <row r="26" spans="2:84" s="436" customFormat="1" ht="14.5" outlineLevel="1" x14ac:dyDescent="0.35">
      <c r="B26" s="433">
        <v>19</v>
      </c>
      <c r="C26" s="434" t="s">
        <v>799</v>
      </c>
      <c r="D26" s="340" t="s">
        <v>240</v>
      </c>
      <c r="E26" s="340" t="s">
        <v>243</v>
      </c>
      <c r="F26" s="340" t="s">
        <v>260</v>
      </c>
      <c r="G26" s="444">
        <v>1270.3800000000001</v>
      </c>
      <c r="H26" s="444">
        <v>1499</v>
      </c>
      <c r="I26" s="696" t="s">
        <v>1018</v>
      </c>
      <c r="J26" s="697"/>
      <c r="K26" s="697"/>
      <c r="L26" s="697"/>
      <c r="M26" s="697"/>
      <c r="N26" s="697"/>
      <c r="O26" s="697"/>
      <c r="P26" s="696"/>
      <c r="Q26" s="696"/>
      <c r="R26" s="696"/>
      <c r="S26" s="697"/>
      <c r="T26" s="697"/>
      <c r="U26" s="697"/>
      <c r="V26" s="697"/>
      <c r="W26" s="697"/>
      <c r="X26" s="697"/>
      <c r="Y26" s="697"/>
      <c r="Z26" s="697"/>
      <c r="AA26" s="697"/>
      <c r="AB26" s="697"/>
      <c r="AC26" s="697"/>
      <c r="AD26" s="697"/>
      <c r="AE26" s="697"/>
      <c r="AF26" s="698"/>
      <c r="AG26" s="697"/>
      <c r="AH26" s="698"/>
      <c r="AI26" s="697"/>
      <c r="AJ26" s="697"/>
      <c r="AK26" s="696" t="s">
        <v>1018</v>
      </c>
      <c r="AL26" s="699"/>
      <c r="AM26" s="699"/>
      <c r="AN26" s="699"/>
      <c r="AO26" s="696" t="s">
        <v>1018</v>
      </c>
      <c r="AP26" s="699"/>
      <c r="AQ26" s="699"/>
      <c r="AR26" s="699"/>
      <c r="AS26" s="699"/>
      <c r="AT26" s="262"/>
      <c r="AU26" s="715"/>
      <c r="AV26" s="716"/>
      <c r="AW26" s="716"/>
      <c r="AX26" s="716"/>
      <c r="AY26" s="716"/>
      <c r="AZ26" s="716"/>
      <c r="BA26" s="716"/>
      <c r="BB26" s="715"/>
      <c r="BC26" s="715"/>
      <c r="BD26" s="715"/>
      <c r="BE26" s="716"/>
      <c r="BF26" s="716"/>
      <c r="BG26" s="716"/>
      <c r="BH26" s="716"/>
      <c r="BI26" s="716"/>
      <c r="BJ26" s="716"/>
      <c r="BK26" s="716"/>
      <c r="BL26" s="716"/>
      <c r="BM26" s="716"/>
      <c r="BN26" s="716"/>
      <c r="BO26" s="716"/>
      <c r="BP26" s="716"/>
      <c r="BQ26" s="716"/>
      <c r="BR26" s="717"/>
      <c r="BS26" s="716"/>
      <c r="BT26" s="717"/>
      <c r="BU26" s="716"/>
      <c r="BV26" s="716"/>
      <c r="BW26" s="715"/>
      <c r="BX26" s="718"/>
      <c r="BY26" s="718"/>
      <c r="BZ26" s="718"/>
      <c r="CA26" s="715"/>
      <c r="CB26" s="718"/>
      <c r="CC26" s="718"/>
      <c r="CD26" s="718"/>
      <c r="CE26" s="718"/>
      <c r="CF26" s="720"/>
    </row>
    <row r="27" spans="2:84" s="436" customFormat="1" ht="14.5" outlineLevel="1" x14ac:dyDescent="0.35">
      <c r="B27" s="433">
        <v>20</v>
      </c>
      <c r="C27" s="434" t="s">
        <v>853</v>
      </c>
      <c r="D27" s="340" t="s">
        <v>240</v>
      </c>
      <c r="E27" s="340" t="s">
        <v>243</v>
      </c>
      <c r="F27" s="340" t="s">
        <v>260</v>
      </c>
      <c r="G27" s="444">
        <v>281.16000000000003</v>
      </c>
      <c r="H27" s="444">
        <v>333</v>
      </c>
      <c r="I27" s="696" t="s">
        <v>1018</v>
      </c>
      <c r="J27" s="697"/>
      <c r="K27" s="697"/>
      <c r="L27" s="697"/>
      <c r="M27" s="697"/>
      <c r="N27" s="697"/>
      <c r="O27" s="697"/>
      <c r="P27" s="696"/>
      <c r="Q27" s="696"/>
      <c r="R27" s="696"/>
      <c r="S27" s="697"/>
      <c r="T27" s="697"/>
      <c r="U27" s="697"/>
      <c r="V27" s="697"/>
      <c r="W27" s="697"/>
      <c r="X27" s="697"/>
      <c r="Y27" s="697"/>
      <c r="Z27" s="697"/>
      <c r="AA27" s="697"/>
      <c r="AB27" s="697"/>
      <c r="AC27" s="697"/>
      <c r="AD27" s="697"/>
      <c r="AE27" s="697"/>
      <c r="AF27" s="698"/>
      <c r="AG27" s="697"/>
      <c r="AH27" s="698"/>
      <c r="AI27" s="697"/>
      <c r="AJ27" s="697"/>
      <c r="AK27" s="696" t="s">
        <v>1018</v>
      </c>
      <c r="AL27" s="699"/>
      <c r="AM27" s="699"/>
      <c r="AN27" s="699"/>
      <c r="AO27" s="696" t="s">
        <v>1018</v>
      </c>
      <c r="AP27" s="699"/>
      <c r="AQ27" s="699"/>
      <c r="AR27" s="699"/>
      <c r="AS27" s="699"/>
      <c r="AT27" s="262"/>
      <c r="AU27" s="715"/>
      <c r="AV27" s="716"/>
      <c r="AW27" s="716"/>
      <c r="AX27" s="716"/>
      <c r="AY27" s="716"/>
      <c r="AZ27" s="716"/>
      <c r="BA27" s="716"/>
      <c r="BB27" s="715"/>
      <c r="BC27" s="715"/>
      <c r="BD27" s="715"/>
      <c r="BE27" s="716"/>
      <c r="BF27" s="716"/>
      <c r="BG27" s="716"/>
      <c r="BH27" s="716"/>
      <c r="BI27" s="716"/>
      <c r="BJ27" s="716"/>
      <c r="BK27" s="716"/>
      <c r="BL27" s="716"/>
      <c r="BM27" s="716"/>
      <c r="BN27" s="716"/>
      <c r="BO27" s="716"/>
      <c r="BP27" s="716"/>
      <c r="BQ27" s="716"/>
      <c r="BR27" s="717"/>
      <c r="BS27" s="716"/>
      <c r="BT27" s="717"/>
      <c r="BU27" s="716"/>
      <c r="BV27" s="716"/>
      <c r="BW27" s="715"/>
      <c r="BX27" s="718"/>
      <c r="BY27" s="718"/>
      <c r="BZ27" s="718"/>
      <c r="CA27" s="715"/>
      <c r="CB27" s="718"/>
      <c r="CC27" s="718"/>
      <c r="CD27" s="718"/>
      <c r="CE27" s="718"/>
      <c r="CF27" s="720"/>
    </row>
    <row r="28" spans="2:84" s="436" customFormat="1" ht="14.5" outlineLevel="1" x14ac:dyDescent="0.35">
      <c r="B28" s="433">
        <v>21</v>
      </c>
      <c r="C28" s="434" t="s">
        <v>207</v>
      </c>
      <c r="D28" s="340" t="s">
        <v>242</v>
      </c>
      <c r="E28" s="340" t="s">
        <v>243</v>
      </c>
      <c r="F28" s="340" t="s">
        <v>260</v>
      </c>
      <c r="G28" s="444">
        <v>463.55</v>
      </c>
      <c r="H28" s="444">
        <v>549</v>
      </c>
      <c r="I28" s="696" t="s">
        <v>1018</v>
      </c>
      <c r="J28" s="697"/>
      <c r="K28" s="697"/>
      <c r="L28" s="697"/>
      <c r="M28" s="697"/>
      <c r="N28" s="697"/>
      <c r="O28" s="697"/>
      <c r="P28" s="696"/>
      <c r="Q28" s="696"/>
      <c r="R28" s="696"/>
      <c r="S28" s="697"/>
      <c r="T28" s="697"/>
      <c r="U28" s="697"/>
      <c r="V28" s="697"/>
      <c r="W28" s="697"/>
      <c r="X28" s="697"/>
      <c r="Y28" s="697"/>
      <c r="Z28" s="697"/>
      <c r="AA28" s="697"/>
      <c r="AB28" s="697"/>
      <c r="AC28" s="697"/>
      <c r="AD28" s="697"/>
      <c r="AE28" s="697"/>
      <c r="AF28" s="698"/>
      <c r="AG28" s="697"/>
      <c r="AH28" s="698"/>
      <c r="AI28" s="697"/>
      <c r="AJ28" s="697"/>
      <c r="AK28" s="696" t="s">
        <v>1018</v>
      </c>
      <c r="AL28" s="699"/>
      <c r="AM28" s="699"/>
      <c r="AN28" s="699"/>
      <c r="AO28" s="696" t="s">
        <v>1018</v>
      </c>
      <c r="AP28" s="699"/>
      <c r="AQ28" s="699"/>
      <c r="AR28" s="699"/>
      <c r="AS28" s="699"/>
      <c r="AT28" s="262"/>
      <c r="AU28" s="715"/>
      <c r="AV28" s="716"/>
      <c r="AW28" s="716"/>
      <c r="AX28" s="716"/>
      <c r="AY28" s="716"/>
      <c r="AZ28" s="716"/>
      <c r="BA28" s="716"/>
      <c r="BB28" s="715"/>
      <c r="BC28" s="715"/>
      <c r="BD28" s="715"/>
      <c r="BE28" s="716"/>
      <c r="BF28" s="716"/>
      <c r="BG28" s="716"/>
      <c r="BH28" s="716"/>
      <c r="BI28" s="716"/>
      <c r="BJ28" s="716"/>
      <c r="BK28" s="716"/>
      <c r="BL28" s="716"/>
      <c r="BM28" s="716"/>
      <c r="BN28" s="716"/>
      <c r="BO28" s="716"/>
      <c r="BP28" s="716"/>
      <c r="BQ28" s="716"/>
      <c r="BR28" s="717"/>
      <c r="BS28" s="716"/>
      <c r="BT28" s="717"/>
      <c r="BU28" s="716"/>
      <c r="BV28" s="716"/>
      <c r="BW28" s="715"/>
      <c r="BX28" s="718"/>
      <c r="BY28" s="718"/>
      <c r="BZ28" s="718"/>
      <c r="CA28" s="715"/>
      <c r="CB28" s="718"/>
      <c r="CC28" s="718"/>
      <c r="CD28" s="718"/>
      <c r="CE28" s="718"/>
      <c r="CF28" s="720"/>
    </row>
    <row r="29" spans="2:84" s="436" customFormat="1" ht="14.5" outlineLevel="1" x14ac:dyDescent="0.35">
      <c r="B29" s="433">
        <v>22</v>
      </c>
      <c r="C29" s="434" t="s">
        <v>367</v>
      </c>
      <c r="D29" s="340" t="s">
        <v>242</v>
      </c>
      <c r="E29" s="340" t="s">
        <v>243</v>
      </c>
      <c r="F29" s="340" t="s">
        <v>260</v>
      </c>
      <c r="G29" s="444">
        <v>674.64</v>
      </c>
      <c r="H29" s="444">
        <v>799</v>
      </c>
      <c r="I29" s="696" t="s">
        <v>1018</v>
      </c>
      <c r="J29" s="697"/>
      <c r="K29" s="697"/>
      <c r="L29" s="697"/>
      <c r="M29" s="697"/>
      <c r="N29" s="697"/>
      <c r="O29" s="697"/>
      <c r="P29" s="696"/>
      <c r="Q29" s="696"/>
      <c r="R29" s="696"/>
      <c r="S29" s="697"/>
      <c r="T29" s="697"/>
      <c r="U29" s="697"/>
      <c r="V29" s="697"/>
      <c r="W29" s="697"/>
      <c r="X29" s="697"/>
      <c r="Y29" s="697"/>
      <c r="Z29" s="697"/>
      <c r="AA29" s="697"/>
      <c r="AB29" s="697"/>
      <c r="AC29" s="697"/>
      <c r="AD29" s="697"/>
      <c r="AE29" s="697"/>
      <c r="AF29" s="698"/>
      <c r="AG29" s="697"/>
      <c r="AH29" s="698"/>
      <c r="AI29" s="697"/>
      <c r="AJ29" s="697"/>
      <c r="AK29" s="696" t="s">
        <v>1018</v>
      </c>
      <c r="AL29" s="699"/>
      <c r="AM29" s="699"/>
      <c r="AN29" s="699"/>
      <c r="AO29" s="696" t="s">
        <v>1018</v>
      </c>
      <c r="AP29" s="699"/>
      <c r="AQ29" s="699"/>
      <c r="AR29" s="699"/>
      <c r="AS29" s="699"/>
      <c r="AT29" s="262"/>
      <c r="AU29" s="715"/>
      <c r="AV29" s="716"/>
      <c r="AW29" s="716"/>
      <c r="AX29" s="716"/>
      <c r="AY29" s="716"/>
      <c r="AZ29" s="716"/>
      <c r="BA29" s="716"/>
      <c r="BB29" s="715"/>
      <c r="BC29" s="715"/>
      <c r="BD29" s="715"/>
      <c r="BE29" s="716"/>
      <c r="BF29" s="716"/>
      <c r="BG29" s="716"/>
      <c r="BH29" s="716"/>
      <c r="BI29" s="716"/>
      <c r="BJ29" s="716"/>
      <c r="BK29" s="716"/>
      <c r="BL29" s="716"/>
      <c r="BM29" s="716"/>
      <c r="BN29" s="716"/>
      <c r="BO29" s="716"/>
      <c r="BP29" s="716"/>
      <c r="BQ29" s="716"/>
      <c r="BR29" s="717"/>
      <c r="BS29" s="716"/>
      <c r="BT29" s="717"/>
      <c r="BU29" s="716"/>
      <c r="BV29" s="716"/>
      <c r="BW29" s="715"/>
      <c r="BX29" s="718"/>
      <c r="BY29" s="718"/>
      <c r="BZ29" s="718"/>
      <c r="CA29" s="715"/>
      <c r="CB29" s="718"/>
      <c r="CC29" s="718"/>
      <c r="CD29" s="718"/>
      <c r="CE29" s="718"/>
      <c r="CF29" s="720"/>
    </row>
    <row r="30" spans="2:84" s="436" customFormat="1" ht="14.5" outlineLevel="1" x14ac:dyDescent="0.35">
      <c r="B30" s="433">
        <v>23</v>
      </c>
      <c r="C30" s="434" t="s">
        <v>208</v>
      </c>
      <c r="D30" s="340" t="s">
        <v>240</v>
      </c>
      <c r="E30" s="340" t="s">
        <v>243</v>
      </c>
      <c r="F30" s="340" t="s">
        <v>260</v>
      </c>
      <c r="G30" s="444">
        <v>843.5</v>
      </c>
      <c r="H30" s="444">
        <v>999</v>
      </c>
      <c r="I30" s="696" t="s">
        <v>1018</v>
      </c>
      <c r="J30" s="697"/>
      <c r="K30" s="697"/>
      <c r="L30" s="697"/>
      <c r="M30" s="697"/>
      <c r="N30" s="697"/>
      <c r="O30" s="697"/>
      <c r="P30" s="696"/>
      <c r="Q30" s="696"/>
      <c r="R30" s="696"/>
      <c r="S30" s="697"/>
      <c r="T30" s="697"/>
      <c r="U30" s="697"/>
      <c r="V30" s="697"/>
      <c r="W30" s="697"/>
      <c r="X30" s="697"/>
      <c r="Y30" s="697"/>
      <c r="Z30" s="697"/>
      <c r="AA30" s="697"/>
      <c r="AB30" s="697"/>
      <c r="AC30" s="697"/>
      <c r="AD30" s="697"/>
      <c r="AE30" s="697"/>
      <c r="AF30" s="698"/>
      <c r="AG30" s="697"/>
      <c r="AH30" s="698"/>
      <c r="AI30" s="697"/>
      <c r="AJ30" s="697"/>
      <c r="AK30" s="696" t="s">
        <v>1018</v>
      </c>
      <c r="AL30" s="699"/>
      <c r="AM30" s="699"/>
      <c r="AN30" s="699"/>
      <c r="AO30" s="696" t="s">
        <v>1018</v>
      </c>
      <c r="AP30" s="699"/>
      <c r="AQ30" s="699"/>
      <c r="AR30" s="699"/>
      <c r="AS30" s="699"/>
      <c r="AT30" s="262"/>
      <c r="AU30" s="715"/>
      <c r="AV30" s="716"/>
      <c r="AW30" s="716"/>
      <c r="AX30" s="716"/>
      <c r="AY30" s="716"/>
      <c r="AZ30" s="716"/>
      <c r="BA30" s="716"/>
      <c r="BB30" s="715"/>
      <c r="BC30" s="715"/>
      <c r="BD30" s="715"/>
      <c r="BE30" s="716"/>
      <c r="BF30" s="716"/>
      <c r="BG30" s="716"/>
      <c r="BH30" s="716"/>
      <c r="BI30" s="716"/>
      <c r="BJ30" s="716"/>
      <c r="BK30" s="716"/>
      <c r="BL30" s="716"/>
      <c r="BM30" s="716"/>
      <c r="BN30" s="716"/>
      <c r="BO30" s="716"/>
      <c r="BP30" s="716"/>
      <c r="BQ30" s="716"/>
      <c r="BR30" s="717"/>
      <c r="BS30" s="716"/>
      <c r="BT30" s="717"/>
      <c r="BU30" s="716"/>
      <c r="BV30" s="716"/>
      <c r="BW30" s="715"/>
      <c r="BX30" s="718"/>
      <c r="BY30" s="718"/>
      <c r="BZ30" s="718"/>
      <c r="CA30" s="715"/>
      <c r="CB30" s="718"/>
      <c r="CC30" s="718"/>
      <c r="CD30" s="718"/>
      <c r="CE30" s="718"/>
      <c r="CF30" s="720"/>
    </row>
    <row r="31" spans="2:84" s="436" customFormat="1" ht="14.5" outlineLevel="1" x14ac:dyDescent="0.35">
      <c r="B31" s="433">
        <v>24</v>
      </c>
      <c r="C31" s="434" t="s">
        <v>800</v>
      </c>
      <c r="D31" s="340" t="s">
        <v>242</v>
      </c>
      <c r="E31" s="340" t="s">
        <v>243</v>
      </c>
      <c r="F31" s="340" t="s">
        <v>260</v>
      </c>
      <c r="G31" s="500">
        <v>1301.6199999999999</v>
      </c>
      <c r="H31" s="500">
        <v>1536</v>
      </c>
      <c r="I31" s="696" t="s">
        <v>1018</v>
      </c>
      <c r="J31" s="697"/>
      <c r="K31" s="697"/>
      <c r="L31" s="697"/>
      <c r="M31" s="697"/>
      <c r="N31" s="697"/>
      <c r="O31" s="697"/>
      <c r="P31" s="696"/>
      <c r="Q31" s="696"/>
      <c r="R31" s="696"/>
      <c r="S31" s="697"/>
      <c r="T31" s="697"/>
      <c r="U31" s="697"/>
      <c r="V31" s="697"/>
      <c r="W31" s="697"/>
      <c r="X31" s="697"/>
      <c r="Y31" s="697"/>
      <c r="Z31" s="697"/>
      <c r="AA31" s="697"/>
      <c r="AB31" s="697"/>
      <c r="AC31" s="697"/>
      <c r="AD31" s="697"/>
      <c r="AE31" s="697"/>
      <c r="AF31" s="698"/>
      <c r="AG31" s="697"/>
      <c r="AH31" s="698"/>
      <c r="AI31" s="697"/>
      <c r="AJ31" s="697"/>
      <c r="AK31" s="696" t="s">
        <v>1018</v>
      </c>
      <c r="AL31" s="699"/>
      <c r="AM31" s="699"/>
      <c r="AN31" s="699"/>
      <c r="AO31" s="696" t="s">
        <v>1018</v>
      </c>
      <c r="AP31" s="699"/>
      <c r="AQ31" s="699"/>
      <c r="AR31" s="699"/>
      <c r="AS31" s="699"/>
      <c r="AT31" s="262"/>
      <c r="AU31" s="715"/>
      <c r="AV31" s="716"/>
      <c r="AW31" s="716"/>
      <c r="AX31" s="716"/>
      <c r="AY31" s="716"/>
      <c r="AZ31" s="716"/>
      <c r="BA31" s="716"/>
      <c r="BB31" s="715"/>
      <c r="BC31" s="715"/>
      <c r="BD31" s="715"/>
      <c r="BE31" s="716"/>
      <c r="BF31" s="716"/>
      <c r="BG31" s="716"/>
      <c r="BH31" s="716"/>
      <c r="BI31" s="716"/>
      <c r="BJ31" s="716"/>
      <c r="BK31" s="716"/>
      <c r="BL31" s="716"/>
      <c r="BM31" s="716"/>
      <c r="BN31" s="716"/>
      <c r="BO31" s="716"/>
      <c r="BP31" s="716"/>
      <c r="BQ31" s="716"/>
      <c r="BR31" s="717"/>
      <c r="BS31" s="716"/>
      <c r="BT31" s="717"/>
      <c r="BU31" s="716"/>
      <c r="BV31" s="716"/>
      <c r="BW31" s="715"/>
      <c r="BX31" s="718"/>
      <c r="BY31" s="718"/>
      <c r="BZ31" s="718"/>
      <c r="CA31" s="715"/>
      <c r="CB31" s="718"/>
      <c r="CC31" s="718"/>
      <c r="CD31" s="718"/>
      <c r="CE31" s="718"/>
      <c r="CF31" s="720"/>
    </row>
    <row r="32" spans="2:84" s="436" customFormat="1" ht="14.5" outlineLevel="1" x14ac:dyDescent="0.35">
      <c r="B32" s="433">
        <v>25</v>
      </c>
      <c r="C32" s="434" t="s">
        <v>801</v>
      </c>
      <c r="D32" s="340" t="s">
        <v>242</v>
      </c>
      <c r="E32" s="340" t="s">
        <v>243</v>
      </c>
      <c r="F32" s="340" t="s">
        <v>260</v>
      </c>
      <c r="G32" s="500">
        <v>1546.48</v>
      </c>
      <c r="H32" s="500">
        <v>1826</v>
      </c>
      <c r="I32" s="696" t="s">
        <v>1018</v>
      </c>
      <c r="J32" s="697"/>
      <c r="K32" s="697"/>
      <c r="L32" s="697"/>
      <c r="M32" s="697"/>
      <c r="N32" s="697"/>
      <c r="O32" s="697"/>
      <c r="P32" s="696"/>
      <c r="Q32" s="696"/>
      <c r="R32" s="696"/>
      <c r="S32" s="697"/>
      <c r="T32" s="697"/>
      <c r="U32" s="697"/>
      <c r="V32" s="697"/>
      <c r="W32" s="697"/>
      <c r="X32" s="697"/>
      <c r="Y32" s="697"/>
      <c r="Z32" s="697"/>
      <c r="AA32" s="697"/>
      <c r="AB32" s="697"/>
      <c r="AC32" s="697"/>
      <c r="AD32" s="697"/>
      <c r="AE32" s="697"/>
      <c r="AF32" s="698"/>
      <c r="AG32" s="697"/>
      <c r="AH32" s="698"/>
      <c r="AI32" s="697"/>
      <c r="AJ32" s="697"/>
      <c r="AK32" s="696" t="s">
        <v>1018</v>
      </c>
      <c r="AL32" s="699"/>
      <c r="AM32" s="699"/>
      <c r="AN32" s="699"/>
      <c r="AO32" s="696" t="s">
        <v>1018</v>
      </c>
      <c r="AP32" s="699"/>
      <c r="AQ32" s="699"/>
      <c r="AR32" s="699"/>
      <c r="AS32" s="699"/>
      <c r="AT32" s="262"/>
      <c r="AU32" s="715"/>
      <c r="AV32" s="716"/>
      <c r="AW32" s="716"/>
      <c r="AX32" s="716"/>
      <c r="AY32" s="716"/>
      <c r="AZ32" s="716"/>
      <c r="BA32" s="716"/>
      <c r="BB32" s="715"/>
      <c r="BC32" s="715"/>
      <c r="BD32" s="715"/>
      <c r="BE32" s="716"/>
      <c r="BF32" s="716"/>
      <c r="BG32" s="716"/>
      <c r="BH32" s="716"/>
      <c r="BI32" s="716"/>
      <c r="BJ32" s="716"/>
      <c r="BK32" s="716"/>
      <c r="BL32" s="716"/>
      <c r="BM32" s="716"/>
      <c r="BN32" s="716"/>
      <c r="BO32" s="716"/>
      <c r="BP32" s="716"/>
      <c r="BQ32" s="716"/>
      <c r="BR32" s="717"/>
      <c r="BS32" s="716"/>
      <c r="BT32" s="717"/>
      <c r="BU32" s="716"/>
      <c r="BV32" s="716"/>
      <c r="BW32" s="715"/>
      <c r="BX32" s="718"/>
      <c r="BY32" s="718"/>
      <c r="BZ32" s="718"/>
      <c r="CA32" s="715"/>
      <c r="CB32" s="718"/>
      <c r="CC32" s="718"/>
      <c r="CD32" s="718"/>
      <c r="CE32" s="718"/>
      <c r="CF32" s="720"/>
    </row>
    <row r="33" spans="2:84" s="436" customFormat="1" ht="14.5" outlineLevel="1" x14ac:dyDescent="0.35">
      <c r="B33" s="433">
        <v>26</v>
      </c>
      <c r="C33" s="434" t="s">
        <v>830</v>
      </c>
      <c r="D33" s="340" t="s">
        <v>242</v>
      </c>
      <c r="E33" s="340" t="s">
        <v>243</v>
      </c>
      <c r="F33" s="340" t="s">
        <v>260</v>
      </c>
      <c r="G33" s="500">
        <v>1968.65</v>
      </c>
      <c r="H33" s="500">
        <v>2326</v>
      </c>
      <c r="I33" s="696" t="s">
        <v>1018</v>
      </c>
      <c r="J33" s="697"/>
      <c r="K33" s="697"/>
      <c r="L33" s="697"/>
      <c r="M33" s="697"/>
      <c r="N33" s="697"/>
      <c r="O33" s="697"/>
      <c r="P33" s="696"/>
      <c r="Q33" s="696"/>
      <c r="R33" s="696"/>
      <c r="S33" s="697"/>
      <c r="T33" s="697"/>
      <c r="U33" s="697"/>
      <c r="V33" s="697"/>
      <c r="W33" s="697"/>
      <c r="X33" s="697"/>
      <c r="Y33" s="697"/>
      <c r="Z33" s="697"/>
      <c r="AA33" s="697"/>
      <c r="AB33" s="697"/>
      <c r="AC33" s="697"/>
      <c r="AD33" s="697"/>
      <c r="AE33" s="697"/>
      <c r="AF33" s="698"/>
      <c r="AG33" s="697"/>
      <c r="AH33" s="698"/>
      <c r="AI33" s="697"/>
      <c r="AJ33" s="697"/>
      <c r="AK33" s="696" t="s">
        <v>1018</v>
      </c>
      <c r="AL33" s="699"/>
      <c r="AM33" s="699"/>
      <c r="AN33" s="699"/>
      <c r="AO33" s="696" t="s">
        <v>1018</v>
      </c>
      <c r="AP33" s="699"/>
      <c r="AQ33" s="699"/>
      <c r="AR33" s="699"/>
      <c r="AS33" s="699"/>
      <c r="AT33" s="262"/>
      <c r="AU33" s="715"/>
      <c r="AV33" s="716"/>
      <c r="AW33" s="716"/>
      <c r="AX33" s="716"/>
      <c r="AY33" s="716"/>
      <c r="AZ33" s="716"/>
      <c r="BA33" s="716"/>
      <c r="BB33" s="715"/>
      <c r="BC33" s="715"/>
      <c r="BD33" s="715"/>
      <c r="BE33" s="716"/>
      <c r="BF33" s="716"/>
      <c r="BG33" s="716"/>
      <c r="BH33" s="716"/>
      <c r="BI33" s="716"/>
      <c r="BJ33" s="716"/>
      <c r="BK33" s="716"/>
      <c r="BL33" s="716"/>
      <c r="BM33" s="716"/>
      <c r="BN33" s="716"/>
      <c r="BO33" s="716"/>
      <c r="BP33" s="716"/>
      <c r="BQ33" s="716"/>
      <c r="BR33" s="717"/>
      <c r="BS33" s="716"/>
      <c r="BT33" s="717"/>
      <c r="BU33" s="716"/>
      <c r="BV33" s="716"/>
      <c r="BW33" s="715"/>
      <c r="BX33" s="718"/>
      <c r="BY33" s="718"/>
      <c r="BZ33" s="718"/>
      <c r="CA33" s="715"/>
      <c r="CB33" s="718"/>
      <c r="CC33" s="718"/>
      <c r="CD33" s="718"/>
      <c r="CE33" s="718"/>
      <c r="CF33" s="720"/>
    </row>
    <row r="34" spans="2:84" s="436" customFormat="1" ht="14.5" outlineLevel="1" x14ac:dyDescent="0.35">
      <c r="B34" s="433">
        <v>27</v>
      </c>
      <c r="C34" s="434" t="s">
        <v>201</v>
      </c>
      <c r="D34" s="340" t="s">
        <v>242</v>
      </c>
      <c r="E34" s="340" t="s">
        <v>954</v>
      </c>
      <c r="F34" s="340" t="s">
        <v>260</v>
      </c>
      <c r="G34" s="444">
        <v>349</v>
      </c>
      <c r="H34" s="444">
        <v>404.84</v>
      </c>
      <c r="I34" s="696" t="s">
        <v>1018</v>
      </c>
      <c r="J34" s="697"/>
      <c r="K34" s="697"/>
      <c r="L34" s="697"/>
      <c r="M34" s="697"/>
      <c r="N34" s="697"/>
      <c r="O34" s="697"/>
      <c r="P34" s="696"/>
      <c r="Q34" s="696"/>
      <c r="R34" s="696"/>
      <c r="S34" s="697"/>
      <c r="T34" s="697"/>
      <c r="U34" s="697"/>
      <c r="V34" s="697"/>
      <c r="W34" s="697"/>
      <c r="X34" s="697"/>
      <c r="Y34" s="697"/>
      <c r="Z34" s="697"/>
      <c r="AA34" s="697"/>
      <c r="AB34" s="697"/>
      <c r="AC34" s="697"/>
      <c r="AD34" s="697"/>
      <c r="AE34" s="697"/>
      <c r="AF34" s="698"/>
      <c r="AG34" s="697"/>
      <c r="AH34" s="698"/>
      <c r="AI34" s="697"/>
      <c r="AJ34" s="697"/>
      <c r="AK34" s="696" t="s">
        <v>1018</v>
      </c>
      <c r="AL34" s="699"/>
      <c r="AM34" s="699"/>
      <c r="AN34" s="699"/>
      <c r="AO34" s="696" t="s">
        <v>1018</v>
      </c>
      <c r="AP34" s="699"/>
      <c r="AQ34" s="699"/>
      <c r="AR34" s="699"/>
      <c r="AS34" s="699"/>
      <c r="AT34" s="262"/>
      <c r="AU34" s="715"/>
      <c r="AV34" s="716"/>
      <c r="AW34" s="716"/>
      <c r="AX34" s="716"/>
      <c r="AY34" s="716"/>
      <c r="AZ34" s="716"/>
      <c r="BA34" s="716"/>
      <c r="BB34" s="715"/>
      <c r="BC34" s="715"/>
      <c r="BD34" s="715"/>
      <c r="BE34" s="716"/>
      <c r="BF34" s="716"/>
      <c r="BG34" s="716"/>
      <c r="BH34" s="716"/>
      <c r="BI34" s="716"/>
      <c r="BJ34" s="716"/>
      <c r="BK34" s="716"/>
      <c r="BL34" s="716"/>
      <c r="BM34" s="716"/>
      <c r="BN34" s="716"/>
      <c r="BO34" s="716"/>
      <c r="BP34" s="716"/>
      <c r="BQ34" s="716"/>
      <c r="BR34" s="717"/>
      <c r="BS34" s="716"/>
      <c r="BT34" s="717"/>
      <c r="BU34" s="716"/>
      <c r="BV34" s="716"/>
      <c r="BW34" s="715"/>
      <c r="BX34" s="718"/>
      <c r="BY34" s="718"/>
      <c r="BZ34" s="718"/>
      <c r="CA34" s="715"/>
      <c r="CB34" s="718"/>
      <c r="CC34" s="718"/>
      <c r="CD34" s="718"/>
      <c r="CE34" s="718"/>
      <c r="CF34" s="720"/>
    </row>
    <row r="35" spans="2:84" s="436" customFormat="1" ht="14.5" outlineLevel="1" x14ac:dyDescent="0.35">
      <c r="B35" s="433">
        <v>28</v>
      </c>
      <c r="C35" s="434" t="s">
        <v>202</v>
      </c>
      <c r="D35" s="340" t="s">
        <v>242</v>
      </c>
      <c r="E35" s="340" t="s">
        <v>954</v>
      </c>
      <c r="F35" s="340" t="s">
        <v>260</v>
      </c>
      <c r="G35" s="444">
        <v>608.69000000000005</v>
      </c>
      <c r="H35" s="444">
        <v>706.08</v>
      </c>
      <c r="I35" s="696" t="s">
        <v>1018</v>
      </c>
      <c r="J35" s="697"/>
      <c r="K35" s="697"/>
      <c r="L35" s="697"/>
      <c r="M35" s="697"/>
      <c r="N35" s="697"/>
      <c r="O35" s="697"/>
      <c r="P35" s="696"/>
      <c r="Q35" s="696"/>
      <c r="R35" s="696"/>
      <c r="S35" s="697"/>
      <c r="T35" s="697"/>
      <c r="U35" s="697"/>
      <c r="V35" s="697"/>
      <c r="W35" s="697"/>
      <c r="X35" s="697"/>
      <c r="Y35" s="697"/>
      <c r="Z35" s="697"/>
      <c r="AA35" s="697"/>
      <c r="AB35" s="697"/>
      <c r="AC35" s="697"/>
      <c r="AD35" s="697"/>
      <c r="AE35" s="697"/>
      <c r="AF35" s="698"/>
      <c r="AG35" s="697"/>
      <c r="AH35" s="698"/>
      <c r="AI35" s="697"/>
      <c r="AJ35" s="697"/>
      <c r="AK35" s="696" t="s">
        <v>1018</v>
      </c>
      <c r="AL35" s="699"/>
      <c r="AM35" s="699"/>
      <c r="AN35" s="699"/>
      <c r="AO35" s="696" t="s">
        <v>1018</v>
      </c>
      <c r="AP35" s="699"/>
      <c r="AQ35" s="699"/>
      <c r="AR35" s="699"/>
      <c r="AS35" s="699"/>
      <c r="AT35" s="262"/>
      <c r="AU35" s="715"/>
      <c r="AV35" s="716"/>
      <c r="AW35" s="716"/>
      <c r="AX35" s="716"/>
      <c r="AY35" s="716"/>
      <c r="AZ35" s="716"/>
      <c r="BA35" s="716"/>
      <c r="BB35" s="715"/>
      <c r="BC35" s="715"/>
      <c r="BD35" s="715"/>
      <c r="BE35" s="716"/>
      <c r="BF35" s="716"/>
      <c r="BG35" s="716"/>
      <c r="BH35" s="716"/>
      <c r="BI35" s="716"/>
      <c r="BJ35" s="716"/>
      <c r="BK35" s="716"/>
      <c r="BL35" s="716"/>
      <c r="BM35" s="716"/>
      <c r="BN35" s="716"/>
      <c r="BO35" s="716"/>
      <c r="BP35" s="716"/>
      <c r="BQ35" s="716"/>
      <c r="BR35" s="717"/>
      <c r="BS35" s="716"/>
      <c r="BT35" s="717"/>
      <c r="BU35" s="716"/>
      <c r="BV35" s="716"/>
      <c r="BW35" s="715"/>
      <c r="BX35" s="718"/>
      <c r="BY35" s="718"/>
      <c r="BZ35" s="718"/>
      <c r="CA35" s="715"/>
      <c r="CB35" s="718"/>
      <c r="CC35" s="718"/>
      <c r="CD35" s="718"/>
      <c r="CE35" s="718"/>
      <c r="CF35" s="720"/>
    </row>
    <row r="36" spans="2:84" s="436" customFormat="1" ht="14.5" outlineLevel="1" x14ac:dyDescent="0.35">
      <c r="B36" s="433">
        <v>29</v>
      </c>
      <c r="C36" s="434" t="s">
        <v>203</v>
      </c>
      <c r="D36" s="340" t="s">
        <v>242</v>
      </c>
      <c r="E36" s="340" t="s">
        <v>954</v>
      </c>
      <c r="F36" s="340" t="s">
        <v>260</v>
      </c>
      <c r="G36" s="444">
        <v>1042.5999999999999</v>
      </c>
      <c r="H36" s="444">
        <v>1209.42</v>
      </c>
      <c r="I36" s="696" t="s">
        <v>1018</v>
      </c>
      <c r="J36" s="697"/>
      <c r="K36" s="697"/>
      <c r="L36" s="697"/>
      <c r="M36" s="697"/>
      <c r="N36" s="697"/>
      <c r="O36" s="697"/>
      <c r="P36" s="696"/>
      <c r="Q36" s="696"/>
      <c r="R36" s="696"/>
      <c r="S36" s="697"/>
      <c r="T36" s="697"/>
      <c r="U36" s="697"/>
      <c r="V36" s="697"/>
      <c r="W36" s="697"/>
      <c r="X36" s="697"/>
      <c r="Y36" s="697"/>
      <c r="Z36" s="697"/>
      <c r="AA36" s="697"/>
      <c r="AB36" s="697"/>
      <c r="AC36" s="697"/>
      <c r="AD36" s="697"/>
      <c r="AE36" s="697"/>
      <c r="AF36" s="698"/>
      <c r="AG36" s="697"/>
      <c r="AH36" s="698"/>
      <c r="AI36" s="697"/>
      <c r="AJ36" s="697"/>
      <c r="AK36" s="696" t="s">
        <v>1018</v>
      </c>
      <c r="AL36" s="699"/>
      <c r="AM36" s="699"/>
      <c r="AN36" s="699"/>
      <c r="AO36" s="696" t="s">
        <v>1018</v>
      </c>
      <c r="AP36" s="699"/>
      <c r="AQ36" s="699"/>
      <c r="AR36" s="699"/>
      <c r="AS36" s="699"/>
      <c r="AT36" s="262"/>
      <c r="AU36" s="715"/>
      <c r="AV36" s="716"/>
      <c r="AW36" s="716"/>
      <c r="AX36" s="716"/>
      <c r="AY36" s="716"/>
      <c r="AZ36" s="716"/>
      <c r="BA36" s="716"/>
      <c r="BB36" s="715"/>
      <c r="BC36" s="715"/>
      <c r="BD36" s="715"/>
      <c r="BE36" s="716"/>
      <c r="BF36" s="716"/>
      <c r="BG36" s="716"/>
      <c r="BH36" s="716"/>
      <c r="BI36" s="716"/>
      <c r="BJ36" s="716"/>
      <c r="BK36" s="716"/>
      <c r="BL36" s="716"/>
      <c r="BM36" s="716"/>
      <c r="BN36" s="716"/>
      <c r="BO36" s="716"/>
      <c r="BP36" s="716"/>
      <c r="BQ36" s="716"/>
      <c r="BR36" s="717"/>
      <c r="BS36" s="716"/>
      <c r="BT36" s="717"/>
      <c r="BU36" s="716"/>
      <c r="BV36" s="716"/>
      <c r="BW36" s="715"/>
      <c r="BX36" s="718"/>
      <c r="BY36" s="718"/>
      <c r="BZ36" s="718"/>
      <c r="CA36" s="715"/>
      <c r="CB36" s="718"/>
      <c r="CC36" s="718"/>
      <c r="CD36" s="718"/>
      <c r="CE36" s="718"/>
      <c r="CF36" s="720"/>
    </row>
    <row r="37" spans="2:84" s="436" customFormat="1" ht="14.5" outlineLevel="1" x14ac:dyDescent="0.35">
      <c r="B37" s="433">
        <v>30</v>
      </c>
      <c r="C37" s="434" t="s">
        <v>854</v>
      </c>
      <c r="D37" s="340" t="s">
        <v>240</v>
      </c>
      <c r="E37" s="340" t="s">
        <v>243</v>
      </c>
      <c r="F37" s="340" t="s">
        <v>260</v>
      </c>
      <c r="G37" s="444">
        <v>432.23</v>
      </c>
      <c r="H37" s="444">
        <v>509</v>
      </c>
      <c r="I37" s="696" t="s">
        <v>1018</v>
      </c>
      <c r="J37" s="697"/>
      <c r="K37" s="697"/>
      <c r="L37" s="697"/>
      <c r="M37" s="697"/>
      <c r="N37" s="697"/>
      <c r="O37" s="697"/>
      <c r="P37" s="696"/>
      <c r="Q37" s="696"/>
      <c r="R37" s="696"/>
      <c r="S37" s="697"/>
      <c r="T37" s="697"/>
      <c r="U37" s="697"/>
      <c r="V37" s="697"/>
      <c r="W37" s="697"/>
      <c r="X37" s="697"/>
      <c r="Y37" s="697"/>
      <c r="Z37" s="697"/>
      <c r="AA37" s="697"/>
      <c r="AB37" s="697"/>
      <c r="AC37" s="697"/>
      <c r="AD37" s="697"/>
      <c r="AE37" s="697"/>
      <c r="AF37" s="698"/>
      <c r="AG37" s="697"/>
      <c r="AH37" s="698"/>
      <c r="AI37" s="697"/>
      <c r="AJ37" s="697"/>
      <c r="AK37" s="696" t="s">
        <v>1018</v>
      </c>
      <c r="AL37" s="699"/>
      <c r="AM37" s="699"/>
      <c r="AN37" s="699"/>
      <c r="AO37" s="696" t="s">
        <v>1018</v>
      </c>
      <c r="AP37" s="699"/>
      <c r="AQ37" s="699"/>
      <c r="AR37" s="699"/>
      <c r="AS37" s="699"/>
      <c r="AT37" s="262"/>
      <c r="AU37" s="715"/>
      <c r="AV37" s="716"/>
      <c r="AW37" s="716"/>
      <c r="AX37" s="716"/>
      <c r="AY37" s="716"/>
      <c r="AZ37" s="716"/>
      <c r="BA37" s="716"/>
      <c r="BB37" s="715"/>
      <c r="BC37" s="715"/>
      <c r="BD37" s="715"/>
      <c r="BE37" s="716"/>
      <c r="BF37" s="716"/>
      <c r="BG37" s="716"/>
      <c r="BH37" s="716"/>
      <c r="BI37" s="716"/>
      <c r="BJ37" s="716"/>
      <c r="BK37" s="716"/>
      <c r="BL37" s="716"/>
      <c r="BM37" s="716"/>
      <c r="BN37" s="716"/>
      <c r="BO37" s="716"/>
      <c r="BP37" s="716"/>
      <c r="BQ37" s="716"/>
      <c r="BR37" s="717"/>
      <c r="BS37" s="716"/>
      <c r="BT37" s="717"/>
      <c r="BU37" s="716"/>
      <c r="BV37" s="716"/>
      <c r="BW37" s="715"/>
      <c r="BX37" s="718"/>
      <c r="BY37" s="718"/>
      <c r="BZ37" s="718"/>
      <c r="CA37" s="715"/>
      <c r="CB37" s="718"/>
      <c r="CC37" s="718"/>
      <c r="CD37" s="718"/>
      <c r="CE37" s="718"/>
      <c r="CF37" s="720"/>
    </row>
    <row r="38" spans="2:84" s="436" customFormat="1" ht="14.5" outlineLevel="1" x14ac:dyDescent="0.35">
      <c r="B38" s="433">
        <v>31</v>
      </c>
      <c r="C38" s="434" t="s">
        <v>855</v>
      </c>
      <c r="D38" s="340" t="s">
        <v>240</v>
      </c>
      <c r="E38" s="340" t="s">
        <v>243</v>
      </c>
      <c r="F38" s="340" t="s">
        <v>260</v>
      </c>
      <c r="G38" s="444">
        <v>481.37</v>
      </c>
      <c r="H38" s="444">
        <v>566</v>
      </c>
      <c r="I38" s="696" t="s">
        <v>1018</v>
      </c>
      <c r="J38" s="697"/>
      <c r="K38" s="697"/>
      <c r="L38" s="697"/>
      <c r="M38" s="697"/>
      <c r="N38" s="697"/>
      <c r="O38" s="697"/>
      <c r="P38" s="696"/>
      <c r="Q38" s="696"/>
      <c r="R38" s="696"/>
      <c r="S38" s="697"/>
      <c r="T38" s="697"/>
      <c r="U38" s="697"/>
      <c r="V38" s="697"/>
      <c r="W38" s="697"/>
      <c r="X38" s="697"/>
      <c r="Y38" s="697"/>
      <c r="Z38" s="697"/>
      <c r="AA38" s="697"/>
      <c r="AB38" s="697"/>
      <c r="AC38" s="697"/>
      <c r="AD38" s="697"/>
      <c r="AE38" s="697"/>
      <c r="AF38" s="698"/>
      <c r="AG38" s="697"/>
      <c r="AH38" s="698"/>
      <c r="AI38" s="697"/>
      <c r="AJ38" s="697"/>
      <c r="AK38" s="696" t="s">
        <v>1018</v>
      </c>
      <c r="AL38" s="699"/>
      <c r="AM38" s="699"/>
      <c r="AN38" s="699"/>
      <c r="AO38" s="696" t="s">
        <v>1018</v>
      </c>
      <c r="AP38" s="699"/>
      <c r="AQ38" s="699"/>
      <c r="AR38" s="699"/>
      <c r="AS38" s="699"/>
      <c r="AT38" s="262"/>
      <c r="AU38" s="715"/>
      <c r="AV38" s="716"/>
      <c r="AW38" s="716"/>
      <c r="AX38" s="716"/>
      <c r="AY38" s="716"/>
      <c r="AZ38" s="716"/>
      <c r="BA38" s="716"/>
      <c r="BB38" s="715"/>
      <c r="BC38" s="715"/>
      <c r="BD38" s="715"/>
      <c r="BE38" s="716"/>
      <c r="BF38" s="716"/>
      <c r="BG38" s="716"/>
      <c r="BH38" s="716"/>
      <c r="BI38" s="716"/>
      <c r="BJ38" s="716"/>
      <c r="BK38" s="716"/>
      <c r="BL38" s="716"/>
      <c r="BM38" s="716"/>
      <c r="BN38" s="716"/>
      <c r="BO38" s="716"/>
      <c r="BP38" s="716"/>
      <c r="BQ38" s="716"/>
      <c r="BR38" s="717"/>
      <c r="BS38" s="716"/>
      <c r="BT38" s="717"/>
      <c r="BU38" s="716"/>
      <c r="BV38" s="716"/>
      <c r="BW38" s="715"/>
      <c r="BX38" s="718"/>
      <c r="BY38" s="718"/>
      <c r="BZ38" s="718"/>
      <c r="CA38" s="715"/>
      <c r="CB38" s="718"/>
      <c r="CC38" s="718"/>
      <c r="CD38" s="718"/>
      <c r="CE38" s="718"/>
      <c r="CF38" s="720"/>
    </row>
    <row r="39" spans="2:84" s="436" customFormat="1" ht="14.5" outlineLevel="1" x14ac:dyDescent="0.35">
      <c r="B39" s="433">
        <v>32</v>
      </c>
      <c r="C39" s="434" t="s">
        <v>856</v>
      </c>
      <c r="D39" s="340" t="s">
        <v>240</v>
      </c>
      <c r="E39" s="340" t="s">
        <v>243</v>
      </c>
      <c r="F39" s="340" t="s">
        <v>260</v>
      </c>
      <c r="G39" s="444">
        <v>541.71</v>
      </c>
      <c r="H39" s="444">
        <v>636</v>
      </c>
      <c r="I39" s="696" t="s">
        <v>1018</v>
      </c>
      <c r="J39" s="697"/>
      <c r="K39" s="697"/>
      <c r="L39" s="697"/>
      <c r="M39" s="697"/>
      <c r="N39" s="697"/>
      <c r="O39" s="697"/>
      <c r="P39" s="696"/>
      <c r="Q39" s="696"/>
      <c r="R39" s="696"/>
      <c r="S39" s="697"/>
      <c r="T39" s="697"/>
      <c r="U39" s="697"/>
      <c r="V39" s="697"/>
      <c r="W39" s="697"/>
      <c r="X39" s="697"/>
      <c r="Y39" s="697"/>
      <c r="Z39" s="697"/>
      <c r="AA39" s="697"/>
      <c r="AB39" s="697"/>
      <c r="AC39" s="697"/>
      <c r="AD39" s="697"/>
      <c r="AE39" s="697"/>
      <c r="AF39" s="698"/>
      <c r="AG39" s="697"/>
      <c r="AH39" s="698"/>
      <c r="AI39" s="697"/>
      <c r="AJ39" s="697"/>
      <c r="AK39" s="696" t="s">
        <v>1018</v>
      </c>
      <c r="AL39" s="699"/>
      <c r="AM39" s="699"/>
      <c r="AN39" s="699"/>
      <c r="AO39" s="696" t="s">
        <v>1018</v>
      </c>
      <c r="AP39" s="699"/>
      <c r="AQ39" s="699"/>
      <c r="AR39" s="699"/>
      <c r="AS39" s="699"/>
      <c r="AT39" s="262"/>
      <c r="AU39" s="715"/>
      <c r="AV39" s="716"/>
      <c r="AW39" s="716"/>
      <c r="AX39" s="716"/>
      <c r="AY39" s="716"/>
      <c r="AZ39" s="716"/>
      <c r="BA39" s="716"/>
      <c r="BB39" s="715"/>
      <c r="BC39" s="715"/>
      <c r="BD39" s="715"/>
      <c r="BE39" s="716"/>
      <c r="BF39" s="716"/>
      <c r="BG39" s="716"/>
      <c r="BH39" s="716"/>
      <c r="BI39" s="716"/>
      <c r="BJ39" s="716"/>
      <c r="BK39" s="716"/>
      <c r="BL39" s="716"/>
      <c r="BM39" s="716"/>
      <c r="BN39" s="716"/>
      <c r="BO39" s="716"/>
      <c r="BP39" s="716"/>
      <c r="BQ39" s="716"/>
      <c r="BR39" s="717"/>
      <c r="BS39" s="716"/>
      <c r="BT39" s="717"/>
      <c r="BU39" s="716"/>
      <c r="BV39" s="716"/>
      <c r="BW39" s="715"/>
      <c r="BX39" s="718"/>
      <c r="BY39" s="718"/>
      <c r="BZ39" s="718"/>
      <c r="CA39" s="715"/>
      <c r="CB39" s="718"/>
      <c r="CC39" s="718"/>
      <c r="CD39" s="718"/>
      <c r="CE39" s="718"/>
      <c r="CF39" s="720"/>
    </row>
    <row r="40" spans="2:84" s="436" customFormat="1" ht="14.5" outlineLevel="1" x14ac:dyDescent="0.35">
      <c r="B40" s="433">
        <v>33</v>
      </c>
      <c r="C40" s="434" t="s">
        <v>857</v>
      </c>
      <c r="D40" s="340" t="s">
        <v>240</v>
      </c>
      <c r="E40" s="340" t="s">
        <v>243</v>
      </c>
      <c r="F40" s="340" t="s">
        <v>260</v>
      </c>
      <c r="G40" s="444">
        <v>515.15</v>
      </c>
      <c r="H40" s="444">
        <v>606</v>
      </c>
      <c r="I40" s="696" t="s">
        <v>1018</v>
      </c>
      <c r="J40" s="697"/>
      <c r="K40" s="697"/>
      <c r="L40" s="697"/>
      <c r="M40" s="697"/>
      <c r="N40" s="697"/>
      <c r="O40" s="697"/>
      <c r="P40" s="696"/>
      <c r="Q40" s="696"/>
      <c r="R40" s="696"/>
      <c r="S40" s="697"/>
      <c r="T40" s="697"/>
      <c r="U40" s="697"/>
      <c r="V40" s="697"/>
      <c r="W40" s="697"/>
      <c r="X40" s="697"/>
      <c r="Y40" s="697"/>
      <c r="Z40" s="697"/>
      <c r="AA40" s="697"/>
      <c r="AB40" s="697"/>
      <c r="AC40" s="697"/>
      <c r="AD40" s="697"/>
      <c r="AE40" s="697"/>
      <c r="AF40" s="698"/>
      <c r="AG40" s="697"/>
      <c r="AH40" s="698"/>
      <c r="AI40" s="697"/>
      <c r="AJ40" s="697"/>
      <c r="AK40" s="696" t="s">
        <v>1018</v>
      </c>
      <c r="AL40" s="699"/>
      <c r="AM40" s="699"/>
      <c r="AN40" s="699"/>
      <c r="AO40" s="696" t="s">
        <v>1018</v>
      </c>
      <c r="AP40" s="699"/>
      <c r="AQ40" s="699"/>
      <c r="AR40" s="699"/>
      <c r="AS40" s="699"/>
      <c r="AT40" s="262"/>
      <c r="AU40" s="715"/>
      <c r="AV40" s="716"/>
      <c r="AW40" s="716"/>
      <c r="AX40" s="716"/>
      <c r="AY40" s="716"/>
      <c r="AZ40" s="716"/>
      <c r="BA40" s="716"/>
      <c r="BB40" s="715"/>
      <c r="BC40" s="715"/>
      <c r="BD40" s="715"/>
      <c r="BE40" s="716"/>
      <c r="BF40" s="716"/>
      <c r="BG40" s="716"/>
      <c r="BH40" s="716"/>
      <c r="BI40" s="716"/>
      <c r="BJ40" s="716"/>
      <c r="BK40" s="716"/>
      <c r="BL40" s="716"/>
      <c r="BM40" s="716"/>
      <c r="BN40" s="716"/>
      <c r="BO40" s="716"/>
      <c r="BP40" s="716"/>
      <c r="BQ40" s="716"/>
      <c r="BR40" s="717"/>
      <c r="BS40" s="716"/>
      <c r="BT40" s="717"/>
      <c r="BU40" s="716"/>
      <c r="BV40" s="716"/>
      <c r="BW40" s="715"/>
      <c r="BX40" s="718"/>
      <c r="BY40" s="718"/>
      <c r="BZ40" s="718"/>
      <c r="CA40" s="715"/>
      <c r="CB40" s="718"/>
      <c r="CC40" s="718"/>
      <c r="CD40" s="718"/>
      <c r="CE40" s="718"/>
      <c r="CF40" s="720"/>
    </row>
    <row r="41" spans="2:84" s="436" customFormat="1" ht="14.5" outlineLevel="1" x14ac:dyDescent="0.35">
      <c r="B41" s="433">
        <v>34</v>
      </c>
      <c r="C41" s="434" t="s">
        <v>858</v>
      </c>
      <c r="D41" s="340" t="s">
        <v>240</v>
      </c>
      <c r="E41" s="340" t="s">
        <v>243</v>
      </c>
      <c r="F41" s="340" t="s">
        <v>260</v>
      </c>
      <c r="G41" s="444">
        <v>575.49</v>
      </c>
      <c r="H41" s="444">
        <v>676</v>
      </c>
      <c r="I41" s="696" t="s">
        <v>1018</v>
      </c>
      <c r="J41" s="697"/>
      <c r="K41" s="697"/>
      <c r="L41" s="697"/>
      <c r="M41" s="697"/>
      <c r="N41" s="697"/>
      <c r="O41" s="697"/>
      <c r="P41" s="696"/>
      <c r="Q41" s="696"/>
      <c r="R41" s="696"/>
      <c r="S41" s="697"/>
      <c r="T41" s="697"/>
      <c r="U41" s="697"/>
      <c r="V41" s="697"/>
      <c r="W41" s="697"/>
      <c r="X41" s="697"/>
      <c r="Y41" s="697"/>
      <c r="Z41" s="697"/>
      <c r="AA41" s="697"/>
      <c r="AB41" s="697"/>
      <c r="AC41" s="697"/>
      <c r="AD41" s="697"/>
      <c r="AE41" s="697"/>
      <c r="AF41" s="698"/>
      <c r="AG41" s="697"/>
      <c r="AH41" s="698"/>
      <c r="AI41" s="697"/>
      <c r="AJ41" s="697"/>
      <c r="AK41" s="696" t="s">
        <v>1018</v>
      </c>
      <c r="AL41" s="699"/>
      <c r="AM41" s="699"/>
      <c r="AN41" s="699"/>
      <c r="AO41" s="696" t="s">
        <v>1018</v>
      </c>
      <c r="AP41" s="699"/>
      <c r="AQ41" s="699"/>
      <c r="AR41" s="699"/>
      <c r="AS41" s="699"/>
      <c r="AT41" s="262"/>
      <c r="AU41" s="715"/>
      <c r="AV41" s="716"/>
      <c r="AW41" s="716"/>
      <c r="AX41" s="716"/>
      <c r="AY41" s="716"/>
      <c r="AZ41" s="716"/>
      <c r="BA41" s="716"/>
      <c r="BB41" s="715"/>
      <c r="BC41" s="715"/>
      <c r="BD41" s="715"/>
      <c r="BE41" s="716"/>
      <c r="BF41" s="716"/>
      <c r="BG41" s="716"/>
      <c r="BH41" s="716"/>
      <c r="BI41" s="716"/>
      <c r="BJ41" s="716"/>
      <c r="BK41" s="716"/>
      <c r="BL41" s="716"/>
      <c r="BM41" s="716"/>
      <c r="BN41" s="716"/>
      <c r="BO41" s="716"/>
      <c r="BP41" s="716"/>
      <c r="BQ41" s="716"/>
      <c r="BR41" s="717"/>
      <c r="BS41" s="716"/>
      <c r="BT41" s="717"/>
      <c r="BU41" s="716"/>
      <c r="BV41" s="716"/>
      <c r="BW41" s="715"/>
      <c r="BX41" s="718"/>
      <c r="BY41" s="718"/>
      <c r="BZ41" s="718"/>
      <c r="CA41" s="715"/>
      <c r="CB41" s="718"/>
      <c r="CC41" s="718"/>
      <c r="CD41" s="718"/>
      <c r="CE41" s="718"/>
      <c r="CF41" s="720"/>
    </row>
    <row r="42" spans="2:84" s="436" customFormat="1" ht="14.5" outlineLevel="1" x14ac:dyDescent="0.35">
      <c r="B42" s="433">
        <v>35</v>
      </c>
      <c r="C42" s="434" t="s">
        <v>859</v>
      </c>
      <c r="D42" s="340" t="s">
        <v>240</v>
      </c>
      <c r="E42" s="340" t="s">
        <v>243</v>
      </c>
      <c r="F42" s="340" t="s">
        <v>260</v>
      </c>
      <c r="G42" s="444">
        <v>565.80999999999995</v>
      </c>
      <c r="H42" s="444">
        <v>666</v>
      </c>
      <c r="I42" s="696" t="s">
        <v>1018</v>
      </c>
      <c r="J42" s="697"/>
      <c r="K42" s="697"/>
      <c r="L42" s="697"/>
      <c r="M42" s="697"/>
      <c r="N42" s="697"/>
      <c r="O42" s="697"/>
      <c r="P42" s="696"/>
      <c r="Q42" s="696"/>
      <c r="R42" s="696"/>
      <c r="S42" s="697"/>
      <c r="T42" s="697"/>
      <c r="U42" s="697"/>
      <c r="V42" s="697"/>
      <c r="W42" s="697"/>
      <c r="X42" s="697"/>
      <c r="Y42" s="697"/>
      <c r="Z42" s="697"/>
      <c r="AA42" s="697"/>
      <c r="AB42" s="697"/>
      <c r="AC42" s="697"/>
      <c r="AD42" s="697"/>
      <c r="AE42" s="697"/>
      <c r="AF42" s="698"/>
      <c r="AG42" s="697"/>
      <c r="AH42" s="698"/>
      <c r="AI42" s="697"/>
      <c r="AJ42" s="697"/>
      <c r="AK42" s="696" t="s">
        <v>1018</v>
      </c>
      <c r="AL42" s="699"/>
      <c r="AM42" s="699"/>
      <c r="AN42" s="699"/>
      <c r="AO42" s="696" t="s">
        <v>1018</v>
      </c>
      <c r="AP42" s="699"/>
      <c r="AQ42" s="699"/>
      <c r="AR42" s="699"/>
      <c r="AS42" s="699"/>
      <c r="AT42" s="262"/>
      <c r="AU42" s="715"/>
      <c r="AV42" s="716"/>
      <c r="AW42" s="716"/>
      <c r="AX42" s="716"/>
      <c r="AY42" s="716"/>
      <c r="AZ42" s="716"/>
      <c r="BA42" s="716"/>
      <c r="BB42" s="715"/>
      <c r="BC42" s="715"/>
      <c r="BD42" s="715"/>
      <c r="BE42" s="716"/>
      <c r="BF42" s="716"/>
      <c r="BG42" s="716"/>
      <c r="BH42" s="716"/>
      <c r="BI42" s="716"/>
      <c r="BJ42" s="716"/>
      <c r="BK42" s="716"/>
      <c r="BL42" s="716"/>
      <c r="BM42" s="716"/>
      <c r="BN42" s="716"/>
      <c r="BO42" s="716"/>
      <c r="BP42" s="716"/>
      <c r="BQ42" s="716"/>
      <c r="BR42" s="717"/>
      <c r="BS42" s="716"/>
      <c r="BT42" s="717"/>
      <c r="BU42" s="716"/>
      <c r="BV42" s="716"/>
      <c r="BW42" s="715"/>
      <c r="BX42" s="718"/>
      <c r="BY42" s="718"/>
      <c r="BZ42" s="718"/>
      <c r="CA42" s="715"/>
      <c r="CB42" s="718"/>
      <c r="CC42" s="718"/>
      <c r="CD42" s="718"/>
      <c r="CE42" s="718"/>
      <c r="CF42" s="720"/>
    </row>
    <row r="43" spans="2:84" s="436" customFormat="1" ht="14.5" outlineLevel="1" x14ac:dyDescent="0.35">
      <c r="B43" s="433">
        <v>36</v>
      </c>
      <c r="C43" s="434" t="s">
        <v>860</v>
      </c>
      <c r="D43" s="340" t="s">
        <v>240</v>
      </c>
      <c r="E43" s="340" t="s">
        <v>243</v>
      </c>
      <c r="F43" s="340" t="s">
        <v>260</v>
      </c>
      <c r="G43" s="444">
        <v>626.15</v>
      </c>
      <c r="H43" s="444">
        <v>736</v>
      </c>
      <c r="I43" s="696" t="s">
        <v>1018</v>
      </c>
      <c r="J43" s="697"/>
      <c r="K43" s="697"/>
      <c r="L43" s="697"/>
      <c r="M43" s="697"/>
      <c r="N43" s="697"/>
      <c r="O43" s="697"/>
      <c r="P43" s="696"/>
      <c r="Q43" s="696"/>
      <c r="R43" s="696"/>
      <c r="S43" s="697"/>
      <c r="T43" s="697"/>
      <c r="U43" s="697"/>
      <c r="V43" s="697"/>
      <c r="W43" s="697"/>
      <c r="X43" s="697"/>
      <c r="Y43" s="697"/>
      <c r="Z43" s="697"/>
      <c r="AA43" s="697"/>
      <c r="AB43" s="697"/>
      <c r="AC43" s="697"/>
      <c r="AD43" s="697"/>
      <c r="AE43" s="697"/>
      <c r="AF43" s="698"/>
      <c r="AG43" s="697"/>
      <c r="AH43" s="698"/>
      <c r="AI43" s="697"/>
      <c r="AJ43" s="697"/>
      <c r="AK43" s="696" t="s">
        <v>1018</v>
      </c>
      <c r="AL43" s="699"/>
      <c r="AM43" s="699"/>
      <c r="AN43" s="699"/>
      <c r="AO43" s="696" t="s">
        <v>1018</v>
      </c>
      <c r="AP43" s="699"/>
      <c r="AQ43" s="699"/>
      <c r="AR43" s="699"/>
      <c r="AS43" s="699"/>
      <c r="AT43" s="262"/>
      <c r="AU43" s="715"/>
      <c r="AV43" s="716"/>
      <c r="AW43" s="716"/>
      <c r="AX43" s="716"/>
      <c r="AY43" s="716"/>
      <c r="AZ43" s="716"/>
      <c r="BA43" s="716"/>
      <c r="BB43" s="715"/>
      <c r="BC43" s="715"/>
      <c r="BD43" s="715"/>
      <c r="BE43" s="716"/>
      <c r="BF43" s="716"/>
      <c r="BG43" s="716"/>
      <c r="BH43" s="716"/>
      <c r="BI43" s="716"/>
      <c r="BJ43" s="716"/>
      <c r="BK43" s="716"/>
      <c r="BL43" s="716"/>
      <c r="BM43" s="716"/>
      <c r="BN43" s="716"/>
      <c r="BO43" s="716"/>
      <c r="BP43" s="716"/>
      <c r="BQ43" s="716"/>
      <c r="BR43" s="717"/>
      <c r="BS43" s="716"/>
      <c r="BT43" s="717"/>
      <c r="BU43" s="716"/>
      <c r="BV43" s="716"/>
      <c r="BW43" s="715"/>
      <c r="BX43" s="718"/>
      <c r="BY43" s="718"/>
      <c r="BZ43" s="718"/>
      <c r="CA43" s="715"/>
      <c r="CB43" s="718"/>
      <c r="CC43" s="718"/>
      <c r="CD43" s="718"/>
      <c r="CE43" s="718"/>
      <c r="CF43" s="720"/>
    </row>
    <row r="44" spans="2:84" s="436" customFormat="1" ht="14.5" outlineLevel="1" x14ac:dyDescent="0.35">
      <c r="B44" s="433">
        <v>37</v>
      </c>
      <c r="C44" s="434" t="s">
        <v>861</v>
      </c>
      <c r="D44" s="340" t="s">
        <v>240</v>
      </c>
      <c r="E44" s="340" t="s">
        <v>243</v>
      </c>
      <c r="F44" s="340" t="s">
        <v>260</v>
      </c>
      <c r="G44" s="444">
        <v>692.01</v>
      </c>
      <c r="H44" s="444">
        <v>814</v>
      </c>
      <c r="I44" s="696" t="s">
        <v>1018</v>
      </c>
      <c r="J44" s="697"/>
      <c r="K44" s="697"/>
      <c r="L44" s="697"/>
      <c r="M44" s="697"/>
      <c r="N44" s="697"/>
      <c r="O44" s="697"/>
      <c r="P44" s="696"/>
      <c r="Q44" s="696"/>
      <c r="R44" s="696"/>
      <c r="S44" s="697"/>
      <c r="T44" s="697"/>
      <c r="U44" s="697"/>
      <c r="V44" s="697"/>
      <c r="W44" s="697"/>
      <c r="X44" s="697"/>
      <c r="Y44" s="697"/>
      <c r="Z44" s="697"/>
      <c r="AA44" s="697"/>
      <c r="AB44" s="697"/>
      <c r="AC44" s="697"/>
      <c r="AD44" s="697"/>
      <c r="AE44" s="697"/>
      <c r="AF44" s="698"/>
      <c r="AG44" s="697"/>
      <c r="AH44" s="698"/>
      <c r="AI44" s="697"/>
      <c r="AJ44" s="697"/>
      <c r="AK44" s="696" t="s">
        <v>1018</v>
      </c>
      <c r="AL44" s="699"/>
      <c r="AM44" s="699"/>
      <c r="AN44" s="699"/>
      <c r="AO44" s="696" t="s">
        <v>1018</v>
      </c>
      <c r="AP44" s="699"/>
      <c r="AQ44" s="699"/>
      <c r="AR44" s="699"/>
      <c r="AS44" s="699"/>
      <c r="AT44" s="262"/>
      <c r="AU44" s="715"/>
      <c r="AV44" s="716"/>
      <c r="AW44" s="716"/>
      <c r="AX44" s="716"/>
      <c r="AY44" s="716"/>
      <c r="AZ44" s="716"/>
      <c r="BA44" s="716"/>
      <c r="BB44" s="715"/>
      <c r="BC44" s="715"/>
      <c r="BD44" s="715"/>
      <c r="BE44" s="716"/>
      <c r="BF44" s="716"/>
      <c r="BG44" s="716"/>
      <c r="BH44" s="716"/>
      <c r="BI44" s="716"/>
      <c r="BJ44" s="716"/>
      <c r="BK44" s="716"/>
      <c r="BL44" s="716"/>
      <c r="BM44" s="716"/>
      <c r="BN44" s="716"/>
      <c r="BO44" s="716"/>
      <c r="BP44" s="716"/>
      <c r="BQ44" s="716"/>
      <c r="BR44" s="717"/>
      <c r="BS44" s="716"/>
      <c r="BT44" s="717"/>
      <c r="BU44" s="716"/>
      <c r="BV44" s="716"/>
      <c r="BW44" s="715"/>
      <c r="BX44" s="718"/>
      <c r="BY44" s="718"/>
      <c r="BZ44" s="718"/>
      <c r="CA44" s="715"/>
      <c r="CB44" s="718"/>
      <c r="CC44" s="718"/>
      <c r="CD44" s="718"/>
      <c r="CE44" s="718"/>
      <c r="CF44" s="720"/>
    </row>
    <row r="45" spans="2:84" s="436" customFormat="1" ht="14.5" outlineLevel="1" x14ac:dyDescent="0.35">
      <c r="B45" s="433">
        <v>38</v>
      </c>
      <c r="C45" s="434" t="s">
        <v>862</v>
      </c>
      <c r="D45" s="340" t="s">
        <v>240</v>
      </c>
      <c r="E45" s="340" t="s">
        <v>243</v>
      </c>
      <c r="F45" s="340" t="s">
        <v>260</v>
      </c>
      <c r="G45" s="444">
        <v>650.24</v>
      </c>
      <c r="H45" s="444">
        <v>766</v>
      </c>
      <c r="I45" s="696" t="s">
        <v>1018</v>
      </c>
      <c r="J45" s="697"/>
      <c r="K45" s="697"/>
      <c r="L45" s="697"/>
      <c r="M45" s="697"/>
      <c r="N45" s="697"/>
      <c r="O45" s="697"/>
      <c r="P45" s="696"/>
      <c r="Q45" s="696"/>
      <c r="R45" s="696"/>
      <c r="S45" s="697"/>
      <c r="T45" s="697"/>
      <c r="U45" s="697"/>
      <c r="V45" s="697"/>
      <c r="W45" s="697"/>
      <c r="X45" s="697"/>
      <c r="Y45" s="697"/>
      <c r="Z45" s="697"/>
      <c r="AA45" s="697"/>
      <c r="AB45" s="697"/>
      <c r="AC45" s="697"/>
      <c r="AD45" s="697"/>
      <c r="AE45" s="697"/>
      <c r="AF45" s="698"/>
      <c r="AG45" s="697"/>
      <c r="AH45" s="698"/>
      <c r="AI45" s="697"/>
      <c r="AJ45" s="697"/>
      <c r="AK45" s="696" t="s">
        <v>1018</v>
      </c>
      <c r="AL45" s="699"/>
      <c r="AM45" s="699"/>
      <c r="AN45" s="699"/>
      <c r="AO45" s="696" t="s">
        <v>1018</v>
      </c>
      <c r="AP45" s="699"/>
      <c r="AQ45" s="699"/>
      <c r="AR45" s="699"/>
      <c r="AS45" s="699"/>
      <c r="AT45" s="262"/>
      <c r="AU45" s="715"/>
      <c r="AV45" s="716"/>
      <c r="AW45" s="716"/>
      <c r="AX45" s="716"/>
      <c r="AY45" s="716"/>
      <c r="AZ45" s="716"/>
      <c r="BA45" s="716"/>
      <c r="BB45" s="715"/>
      <c r="BC45" s="715"/>
      <c r="BD45" s="715"/>
      <c r="BE45" s="716"/>
      <c r="BF45" s="716"/>
      <c r="BG45" s="716"/>
      <c r="BH45" s="716"/>
      <c r="BI45" s="716"/>
      <c r="BJ45" s="716"/>
      <c r="BK45" s="716"/>
      <c r="BL45" s="716"/>
      <c r="BM45" s="716"/>
      <c r="BN45" s="716"/>
      <c r="BO45" s="716"/>
      <c r="BP45" s="716"/>
      <c r="BQ45" s="716"/>
      <c r="BR45" s="717"/>
      <c r="BS45" s="716"/>
      <c r="BT45" s="717"/>
      <c r="BU45" s="716"/>
      <c r="BV45" s="716"/>
      <c r="BW45" s="715"/>
      <c r="BX45" s="718"/>
      <c r="BY45" s="718"/>
      <c r="BZ45" s="718"/>
      <c r="CA45" s="715"/>
      <c r="CB45" s="718"/>
      <c r="CC45" s="718"/>
      <c r="CD45" s="718"/>
      <c r="CE45" s="718"/>
      <c r="CF45" s="720"/>
    </row>
    <row r="46" spans="2:84" s="436" customFormat="1" ht="14.5" outlineLevel="1" x14ac:dyDescent="0.35">
      <c r="B46" s="433">
        <v>39</v>
      </c>
      <c r="C46" s="434" t="s">
        <v>863</v>
      </c>
      <c r="D46" s="340" t="s">
        <v>240</v>
      </c>
      <c r="E46" s="340" t="s">
        <v>243</v>
      </c>
      <c r="F46" s="340" t="s">
        <v>260</v>
      </c>
      <c r="G46" s="444">
        <v>1006.1</v>
      </c>
      <c r="H46" s="444">
        <v>1186</v>
      </c>
      <c r="I46" s="696" t="s">
        <v>1018</v>
      </c>
      <c r="J46" s="697"/>
      <c r="K46" s="697"/>
      <c r="L46" s="697"/>
      <c r="M46" s="697"/>
      <c r="N46" s="697"/>
      <c r="O46" s="697"/>
      <c r="P46" s="696"/>
      <c r="Q46" s="696"/>
      <c r="R46" s="696"/>
      <c r="S46" s="697"/>
      <c r="T46" s="697"/>
      <c r="U46" s="697"/>
      <c r="V46" s="697"/>
      <c r="W46" s="697"/>
      <c r="X46" s="697"/>
      <c r="Y46" s="697"/>
      <c r="Z46" s="697"/>
      <c r="AA46" s="697"/>
      <c r="AB46" s="697"/>
      <c r="AC46" s="697"/>
      <c r="AD46" s="697"/>
      <c r="AE46" s="697"/>
      <c r="AF46" s="698"/>
      <c r="AG46" s="697"/>
      <c r="AH46" s="698"/>
      <c r="AI46" s="697"/>
      <c r="AJ46" s="697"/>
      <c r="AK46" s="696" t="s">
        <v>1018</v>
      </c>
      <c r="AL46" s="699"/>
      <c r="AM46" s="699"/>
      <c r="AN46" s="699"/>
      <c r="AO46" s="696" t="s">
        <v>1018</v>
      </c>
      <c r="AP46" s="699"/>
      <c r="AQ46" s="699"/>
      <c r="AR46" s="699"/>
      <c r="AS46" s="699"/>
      <c r="AT46" s="262"/>
      <c r="AU46" s="715"/>
      <c r="AV46" s="716"/>
      <c r="AW46" s="716"/>
      <c r="AX46" s="716"/>
      <c r="AY46" s="716"/>
      <c r="AZ46" s="716"/>
      <c r="BA46" s="716"/>
      <c r="BB46" s="715"/>
      <c r="BC46" s="715"/>
      <c r="BD46" s="715"/>
      <c r="BE46" s="716"/>
      <c r="BF46" s="716"/>
      <c r="BG46" s="716"/>
      <c r="BH46" s="716"/>
      <c r="BI46" s="716"/>
      <c r="BJ46" s="716"/>
      <c r="BK46" s="716"/>
      <c r="BL46" s="716"/>
      <c r="BM46" s="716"/>
      <c r="BN46" s="716"/>
      <c r="BO46" s="716"/>
      <c r="BP46" s="716"/>
      <c r="BQ46" s="716"/>
      <c r="BR46" s="717"/>
      <c r="BS46" s="716"/>
      <c r="BT46" s="717"/>
      <c r="BU46" s="716"/>
      <c r="BV46" s="716"/>
      <c r="BW46" s="715"/>
      <c r="BX46" s="718"/>
      <c r="BY46" s="718"/>
      <c r="BZ46" s="718"/>
      <c r="CA46" s="715"/>
      <c r="CB46" s="718"/>
      <c r="CC46" s="718"/>
      <c r="CD46" s="718"/>
      <c r="CE46" s="718"/>
      <c r="CF46" s="720"/>
    </row>
    <row r="47" spans="2:84" s="436" customFormat="1" ht="14.5" outlineLevel="1" x14ac:dyDescent="0.35">
      <c r="B47" s="433">
        <v>40</v>
      </c>
      <c r="C47" s="434" t="s">
        <v>864</v>
      </c>
      <c r="D47" s="340" t="s">
        <v>240</v>
      </c>
      <c r="E47" s="340" t="s">
        <v>243</v>
      </c>
      <c r="F47" s="340" t="s">
        <v>260</v>
      </c>
      <c r="G47" s="444">
        <v>969.4</v>
      </c>
      <c r="H47" s="444">
        <v>1144</v>
      </c>
      <c r="I47" s="696" t="s">
        <v>1018</v>
      </c>
      <c r="J47" s="697"/>
      <c r="K47" s="697"/>
      <c r="L47" s="697"/>
      <c r="M47" s="697"/>
      <c r="N47" s="697"/>
      <c r="O47" s="697"/>
      <c r="P47" s="696"/>
      <c r="Q47" s="696"/>
      <c r="R47" s="696"/>
      <c r="S47" s="697"/>
      <c r="T47" s="697"/>
      <c r="U47" s="697"/>
      <c r="V47" s="697"/>
      <c r="W47" s="697"/>
      <c r="X47" s="697"/>
      <c r="Y47" s="697"/>
      <c r="Z47" s="697"/>
      <c r="AA47" s="697"/>
      <c r="AB47" s="697"/>
      <c r="AC47" s="697"/>
      <c r="AD47" s="697"/>
      <c r="AE47" s="697"/>
      <c r="AF47" s="698"/>
      <c r="AG47" s="697"/>
      <c r="AH47" s="698"/>
      <c r="AI47" s="697"/>
      <c r="AJ47" s="697"/>
      <c r="AK47" s="696" t="s">
        <v>1018</v>
      </c>
      <c r="AL47" s="699"/>
      <c r="AM47" s="699"/>
      <c r="AN47" s="699"/>
      <c r="AO47" s="696" t="s">
        <v>1018</v>
      </c>
      <c r="AP47" s="699"/>
      <c r="AQ47" s="699"/>
      <c r="AR47" s="699"/>
      <c r="AS47" s="699"/>
      <c r="AT47" s="262"/>
      <c r="AU47" s="715"/>
      <c r="AV47" s="716"/>
      <c r="AW47" s="716"/>
      <c r="AX47" s="716"/>
      <c r="AY47" s="716"/>
      <c r="AZ47" s="716"/>
      <c r="BA47" s="716"/>
      <c r="BB47" s="715"/>
      <c r="BC47" s="715"/>
      <c r="BD47" s="715"/>
      <c r="BE47" s="716"/>
      <c r="BF47" s="716"/>
      <c r="BG47" s="716"/>
      <c r="BH47" s="716"/>
      <c r="BI47" s="716"/>
      <c r="BJ47" s="716"/>
      <c r="BK47" s="716"/>
      <c r="BL47" s="716"/>
      <c r="BM47" s="716"/>
      <c r="BN47" s="716"/>
      <c r="BO47" s="716"/>
      <c r="BP47" s="716"/>
      <c r="BQ47" s="716"/>
      <c r="BR47" s="717"/>
      <c r="BS47" s="716"/>
      <c r="BT47" s="717"/>
      <c r="BU47" s="716"/>
      <c r="BV47" s="716"/>
      <c r="BW47" s="715"/>
      <c r="BX47" s="718"/>
      <c r="BY47" s="718"/>
      <c r="BZ47" s="718"/>
      <c r="CA47" s="715"/>
      <c r="CB47" s="718"/>
      <c r="CC47" s="718"/>
      <c r="CD47" s="718"/>
      <c r="CE47" s="718"/>
      <c r="CF47" s="720"/>
    </row>
    <row r="48" spans="2:84" s="436" customFormat="1" ht="14.5" outlineLevel="1" x14ac:dyDescent="0.35">
      <c r="B48" s="433">
        <v>41</v>
      </c>
      <c r="C48" s="434" t="s">
        <v>865</v>
      </c>
      <c r="D48" s="340" t="s">
        <v>240</v>
      </c>
      <c r="E48" s="340" t="s">
        <v>241</v>
      </c>
      <c r="F48" s="340" t="s">
        <v>260</v>
      </c>
      <c r="G48" s="444">
        <v>404.31</v>
      </c>
      <c r="H48" s="444">
        <v>469</v>
      </c>
      <c r="I48" s="696" t="s">
        <v>1018</v>
      </c>
      <c r="J48" s="697"/>
      <c r="K48" s="697"/>
      <c r="L48" s="697"/>
      <c r="M48" s="697"/>
      <c r="N48" s="697"/>
      <c r="O48" s="697"/>
      <c r="P48" s="696"/>
      <c r="Q48" s="696"/>
      <c r="R48" s="696"/>
      <c r="S48" s="697"/>
      <c r="T48" s="697"/>
      <c r="U48" s="697"/>
      <c r="V48" s="697"/>
      <c r="W48" s="697"/>
      <c r="X48" s="697"/>
      <c r="Y48" s="697"/>
      <c r="Z48" s="697"/>
      <c r="AA48" s="697"/>
      <c r="AB48" s="697"/>
      <c r="AC48" s="697"/>
      <c r="AD48" s="697"/>
      <c r="AE48" s="697"/>
      <c r="AF48" s="698"/>
      <c r="AG48" s="697"/>
      <c r="AH48" s="698"/>
      <c r="AI48" s="697"/>
      <c r="AJ48" s="697"/>
      <c r="AK48" s="696" t="s">
        <v>1018</v>
      </c>
      <c r="AL48" s="699"/>
      <c r="AM48" s="699"/>
      <c r="AN48" s="699"/>
      <c r="AO48" s="696" t="s">
        <v>1018</v>
      </c>
      <c r="AP48" s="699"/>
      <c r="AQ48" s="699"/>
      <c r="AR48" s="699"/>
      <c r="AS48" s="699"/>
      <c r="AT48" s="262"/>
      <c r="AU48" s="715"/>
      <c r="AV48" s="716"/>
      <c r="AW48" s="716"/>
      <c r="AX48" s="716"/>
      <c r="AY48" s="716"/>
      <c r="AZ48" s="716"/>
      <c r="BA48" s="716"/>
      <c r="BB48" s="715"/>
      <c r="BC48" s="715"/>
      <c r="BD48" s="715"/>
      <c r="BE48" s="716"/>
      <c r="BF48" s="716"/>
      <c r="BG48" s="716"/>
      <c r="BH48" s="716"/>
      <c r="BI48" s="716"/>
      <c r="BJ48" s="716"/>
      <c r="BK48" s="716"/>
      <c r="BL48" s="716"/>
      <c r="BM48" s="716"/>
      <c r="BN48" s="716"/>
      <c r="BO48" s="716"/>
      <c r="BP48" s="716"/>
      <c r="BQ48" s="716"/>
      <c r="BR48" s="717"/>
      <c r="BS48" s="716"/>
      <c r="BT48" s="717"/>
      <c r="BU48" s="716"/>
      <c r="BV48" s="716"/>
      <c r="BW48" s="715"/>
      <c r="BX48" s="718"/>
      <c r="BY48" s="718"/>
      <c r="BZ48" s="718"/>
      <c r="CA48" s="715"/>
      <c r="CB48" s="718"/>
      <c r="CC48" s="718"/>
      <c r="CD48" s="718"/>
      <c r="CE48" s="718"/>
      <c r="CF48" s="720"/>
    </row>
    <row r="49" spans="1:143" s="436" customFormat="1" ht="14.5" outlineLevel="1" x14ac:dyDescent="0.35">
      <c r="B49" s="433">
        <v>42</v>
      </c>
      <c r="C49" s="434" t="s">
        <v>866</v>
      </c>
      <c r="D49" s="340" t="s">
        <v>240</v>
      </c>
      <c r="E49" s="340" t="s">
        <v>241</v>
      </c>
      <c r="F49" s="340" t="s">
        <v>260</v>
      </c>
      <c r="G49" s="444">
        <v>453.45</v>
      </c>
      <c r="H49" s="444">
        <v>526</v>
      </c>
      <c r="I49" s="696" t="s">
        <v>1018</v>
      </c>
      <c r="J49" s="697"/>
      <c r="K49" s="697"/>
      <c r="L49" s="697"/>
      <c r="M49" s="697"/>
      <c r="N49" s="697"/>
      <c r="O49" s="697"/>
      <c r="P49" s="696"/>
      <c r="Q49" s="696"/>
      <c r="R49" s="696"/>
      <c r="S49" s="697"/>
      <c r="T49" s="697"/>
      <c r="U49" s="697"/>
      <c r="V49" s="697"/>
      <c r="W49" s="697"/>
      <c r="X49" s="697"/>
      <c r="Y49" s="697"/>
      <c r="Z49" s="697"/>
      <c r="AA49" s="697"/>
      <c r="AB49" s="697"/>
      <c r="AC49" s="697"/>
      <c r="AD49" s="697"/>
      <c r="AE49" s="697"/>
      <c r="AF49" s="698"/>
      <c r="AG49" s="697"/>
      <c r="AH49" s="698"/>
      <c r="AI49" s="697"/>
      <c r="AJ49" s="697"/>
      <c r="AK49" s="696" t="s">
        <v>1018</v>
      </c>
      <c r="AL49" s="699"/>
      <c r="AM49" s="699"/>
      <c r="AN49" s="699"/>
      <c r="AO49" s="696" t="s">
        <v>1018</v>
      </c>
      <c r="AP49" s="699"/>
      <c r="AQ49" s="699"/>
      <c r="AR49" s="699"/>
      <c r="AS49" s="699"/>
      <c r="AT49" s="262"/>
      <c r="AU49" s="715"/>
      <c r="AV49" s="716"/>
      <c r="AW49" s="716"/>
      <c r="AX49" s="716"/>
      <c r="AY49" s="716"/>
      <c r="AZ49" s="716"/>
      <c r="BA49" s="716"/>
      <c r="BB49" s="715"/>
      <c r="BC49" s="715"/>
      <c r="BD49" s="715"/>
      <c r="BE49" s="716"/>
      <c r="BF49" s="716"/>
      <c r="BG49" s="716"/>
      <c r="BH49" s="716"/>
      <c r="BI49" s="716"/>
      <c r="BJ49" s="716"/>
      <c r="BK49" s="716"/>
      <c r="BL49" s="716"/>
      <c r="BM49" s="716"/>
      <c r="BN49" s="716"/>
      <c r="BO49" s="716"/>
      <c r="BP49" s="716"/>
      <c r="BQ49" s="716"/>
      <c r="BR49" s="717"/>
      <c r="BS49" s="716"/>
      <c r="BT49" s="717"/>
      <c r="BU49" s="716"/>
      <c r="BV49" s="716"/>
      <c r="BW49" s="715"/>
      <c r="BX49" s="718"/>
      <c r="BY49" s="718"/>
      <c r="BZ49" s="718"/>
      <c r="CA49" s="715"/>
      <c r="CB49" s="718"/>
      <c r="CC49" s="718"/>
      <c r="CD49" s="718"/>
      <c r="CE49" s="718"/>
      <c r="CF49" s="720"/>
    </row>
    <row r="50" spans="1:143" s="436" customFormat="1" ht="14.5" outlineLevel="1" x14ac:dyDescent="0.35">
      <c r="B50" s="433">
        <v>43</v>
      </c>
      <c r="C50" s="434" t="s">
        <v>867</v>
      </c>
      <c r="D50" s="340" t="s">
        <v>240</v>
      </c>
      <c r="E50" s="340" t="s">
        <v>241</v>
      </c>
      <c r="F50" s="340" t="s">
        <v>260</v>
      </c>
      <c r="G50" s="444">
        <v>513.79</v>
      </c>
      <c r="H50" s="444">
        <v>596</v>
      </c>
      <c r="I50" s="696" t="s">
        <v>1018</v>
      </c>
      <c r="J50" s="697"/>
      <c r="K50" s="697"/>
      <c r="L50" s="697"/>
      <c r="M50" s="697"/>
      <c r="N50" s="697"/>
      <c r="O50" s="697"/>
      <c r="P50" s="696"/>
      <c r="Q50" s="696"/>
      <c r="R50" s="696"/>
      <c r="S50" s="697"/>
      <c r="T50" s="697"/>
      <c r="U50" s="697"/>
      <c r="V50" s="697"/>
      <c r="W50" s="697"/>
      <c r="X50" s="697"/>
      <c r="Y50" s="697"/>
      <c r="Z50" s="697"/>
      <c r="AA50" s="697"/>
      <c r="AB50" s="697"/>
      <c r="AC50" s="697"/>
      <c r="AD50" s="697"/>
      <c r="AE50" s="697"/>
      <c r="AF50" s="698"/>
      <c r="AG50" s="697"/>
      <c r="AH50" s="698"/>
      <c r="AI50" s="697"/>
      <c r="AJ50" s="697"/>
      <c r="AK50" s="696" t="s">
        <v>1018</v>
      </c>
      <c r="AL50" s="699"/>
      <c r="AM50" s="699"/>
      <c r="AN50" s="699"/>
      <c r="AO50" s="696" t="s">
        <v>1018</v>
      </c>
      <c r="AP50" s="699"/>
      <c r="AQ50" s="699"/>
      <c r="AR50" s="699"/>
      <c r="AS50" s="699"/>
      <c r="AT50" s="262"/>
      <c r="AU50" s="715"/>
      <c r="AV50" s="716"/>
      <c r="AW50" s="716"/>
      <c r="AX50" s="716"/>
      <c r="AY50" s="716"/>
      <c r="AZ50" s="716"/>
      <c r="BA50" s="716"/>
      <c r="BB50" s="715"/>
      <c r="BC50" s="715"/>
      <c r="BD50" s="715"/>
      <c r="BE50" s="716"/>
      <c r="BF50" s="716"/>
      <c r="BG50" s="716"/>
      <c r="BH50" s="716"/>
      <c r="BI50" s="716"/>
      <c r="BJ50" s="716"/>
      <c r="BK50" s="716"/>
      <c r="BL50" s="716"/>
      <c r="BM50" s="716"/>
      <c r="BN50" s="716"/>
      <c r="BO50" s="716"/>
      <c r="BP50" s="716"/>
      <c r="BQ50" s="716"/>
      <c r="BR50" s="717"/>
      <c r="BS50" s="716"/>
      <c r="BT50" s="717"/>
      <c r="BU50" s="716"/>
      <c r="BV50" s="716"/>
      <c r="BW50" s="715"/>
      <c r="BX50" s="718"/>
      <c r="BY50" s="718"/>
      <c r="BZ50" s="718"/>
      <c r="CA50" s="715"/>
      <c r="CB50" s="718"/>
      <c r="CC50" s="718"/>
      <c r="CD50" s="718"/>
      <c r="CE50" s="718"/>
      <c r="CF50" s="720"/>
    </row>
    <row r="51" spans="1:143" s="436" customFormat="1" ht="14.5" outlineLevel="1" x14ac:dyDescent="0.35">
      <c r="B51" s="433">
        <v>44</v>
      </c>
      <c r="C51" s="434" t="s">
        <v>868</v>
      </c>
      <c r="D51" s="340" t="s">
        <v>240</v>
      </c>
      <c r="E51" s="340" t="s">
        <v>241</v>
      </c>
      <c r="F51" s="340" t="s">
        <v>260</v>
      </c>
      <c r="G51" s="444">
        <v>491.38</v>
      </c>
      <c r="H51" s="444">
        <v>570</v>
      </c>
      <c r="I51" s="696" t="s">
        <v>1018</v>
      </c>
      <c r="J51" s="697"/>
      <c r="K51" s="697"/>
      <c r="L51" s="697"/>
      <c r="M51" s="697"/>
      <c r="N51" s="697"/>
      <c r="O51" s="697"/>
      <c r="P51" s="696"/>
      <c r="Q51" s="696"/>
      <c r="R51" s="696"/>
      <c r="S51" s="697"/>
      <c r="T51" s="697"/>
      <c r="U51" s="697"/>
      <c r="V51" s="697"/>
      <c r="W51" s="697"/>
      <c r="X51" s="697"/>
      <c r="Y51" s="697"/>
      <c r="Z51" s="697"/>
      <c r="AA51" s="697"/>
      <c r="AB51" s="697"/>
      <c r="AC51" s="697"/>
      <c r="AD51" s="697"/>
      <c r="AE51" s="697"/>
      <c r="AF51" s="698"/>
      <c r="AG51" s="697"/>
      <c r="AH51" s="698"/>
      <c r="AI51" s="697"/>
      <c r="AJ51" s="697"/>
      <c r="AK51" s="696" t="s">
        <v>1018</v>
      </c>
      <c r="AL51" s="699"/>
      <c r="AM51" s="699"/>
      <c r="AN51" s="699"/>
      <c r="AO51" s="696" t="s">
        <v>1018</v>
      </c>
      <c r="AP51" s="699"/>
      <c r="AQ51" s="699"/>
      <c r="AR51" s="699"/>
      <c r="AS51" s="699"/>
      <c r="AT51" s="262"/>
      <c r="AU51" s="715"/>
      <c r="AV51" s="716"/>
      <c r="AW51" s="716"/>
      <c r="AX51" s="716"/>
      <c r="AY51" s="716"/>
      <c r="AZ51" s="716"/>
      <c r="BA51" s="716"/>
      <c r="BB51" s="715"/>
      <c r="BC51" s="715"/>
      <c r="BD51" s="715"/>
      <c r="BE51" s="716"/>
      <c r="BF51" s="716"/>
      <c r="BG51" s="716"/>
      <c r="BH51" s="716"/>
      <c r="BI51" s="716"/>
      <c r="BJ51" s="716"/>
      <c r="BK51" s="716"/>
      <c r="BL51" s="716"/>
      <c r="BM51" s="716"/>
      <c r="BN51" s="716"/>
      <c r="BO51" s="716"/>
      <c r="BP51" s="716"/>
      <c r="BQ51" s="716"/>
      <c r="BR51" s="717"/>
      <c r="BS51" s="716"/>
      <c r="BT51" s="717"/>
      <c r="BU51" s="716"/>
      <c r="BV51" s="716"/>
      <c r="BW51" s="715"/>
      <c r="BX51" s="718"/>
      <c r="BY51" s="718"/>
      <c r="BZ51" s="718"/>
      <c r="CA51" s="715"/>
      <c r="CB51" s="718"/>
      <c r="CC51" s="718"/>
      <c r="CD51" s="718"/>
      <c r="CE51" s="718"/>
      <c r="CF51" s="720"/>
    </row>
    <row r="52" spans="1:143" s="436" customFormat="1" ht="14.5" x14ac:dyDescent="0.35">
      <c r="B52" s="433">
        <v>45</v>
      </c>
      <c r="C52" s="434" t="s">
        <v>869</v>
      </c>
      <c r="D52" s="340" t="s">
        <v>240</v>
      </c>
      <c r="E52" s="340" t="s">
        <v>241</v>
      </c>
      <c r="F52" s="340" t="s">
        <v>260</v>
      </c>
      <c r="G52" s="444">
        <v>551.72</v>
      </c>
      <c r="H52" s="444">
        <v>640</v>
      </c>
      <c r="I52" s="696" t="s">
        <v>1018</v>
      </c>
      <c r="J52" s="697"/>
      <c r="K52" s="697"/>
      <c r="L52" s="697"/>
      <c r="M52" s="697"/>
      <c r="N52" s="697"/>
      <c r="O52" s="697"/>
      <c r="P52" s="696"/>
      <c r="Q52" s="696"/>
      <c r="R52" s="696"/>
      <c r="S52" s="697"/>
      <c r="T52" s="697"/>
      <c r="U52" s="697"/>
      <c r="V52" s="697"/>
      <c r="W52" s="697"/>
      <c r="X52" s="697"/>
      <c r="Y52" s="697"/>
      <c r="Z52" s="697"/>
      <c r="AA52" s="697"/>
      <c r="AB52" s="697"/>
      <c r="AC52" s="697"/>
      <c r="AD52" s="697"/>
      <c r="AE52" s="697"/>
      <c r="AF52" s="698"/>
      <c r="AG52" s="697"/>
      <c r="AH52" s="698"/>
      <c r="AI52" s="697"/>
      <c r="AJ52" s="697"/>
      <c r="AK52" s="696" t="s">
        <v>1018</v>
      </c>
      <c r="AL52" s="699"/>
      <c r="AM52" s="699"/>
      <c r="AN52" s="699"/>
      <c r="AO52" s="696" t="s">
        <v>1018</v>
      </c>
      <c r="AP52" s="699"/>
      <c r="AQ52" s="699"/>
      <c r="AR52" s="699"/>
      <c r="AS52" s="699"/>
      <c r="AT52" s="262"/>
      <c r="AU52" s="715"/>
      <c r="AV52" s="716"/>
      <c r="AW52" s="716"/>
      <c r="AX52" s="716"/>
      <c r="AY52" s="716"/>
      <c r="AZ52" s="716"/>
      <c r="BA52" s="716"/>
      <c r="BB52" s="715"/>
      <c r="BC52" s="715"/>
      <c r="BD52" s="715"/>
      <c r="BE52" s="716"/>
      <c r="BF52" s="716"/>
      <c r="BG52" s="716"/>
      <c r="BH52" s="716"/>
      <c r="BI52" s="716"/>
      <c r="BJ52" s="716"/>
      <c r="BK52" s="716"/>
      <c r="BL52" s="716"/>
      <c r="BM52" s="716"/>
      <c r="BN52" s="716"/>
      <c r="BO52" s="716"/>
      <c r="BP52" s="716"/>
      <c r="BQ52" s="716"/>
      <c r="BR52" s="717"/>
      <c r="BS52" s="716"/>
      <c r="BT52" s="717"/>
      <c r="BU52" s="716"/>
      <c r="BV52" s="716"/>
      <c r="BW52" s="715"/>
      <c r="BX52" s="718"/>
      <c r="BY52" s="718"/>
      <c r="BZ52" s="718"/>
      <c r="CA52" s="715"/>
      <c r="CB52" s="718"/>
      <c r="CC52" s="718"/>
      <c r="CD52" s="718"/>
      <c r="CE52" s="718"/>
      <c r="CF52" s="720"/>
    </row>
    <row r="53" spans="1:143" s="436" customFormat="1" ht="14.5" x14ac:dyDescent="0.35">
      <c r="B53" s="433">
        <v>46</v>
      </c>
      <c r="C53" s="434" t="s">
        <v>870</v>
      </c>
      <c r="D53" s="340" t="s">
        <v>240</v>
      </c>
      <c r="E53" s="340" t="s">
        <v>241</v>
      </c>
      <c r="F53" s="340" t="s">
        <v>260</v>
      </c>
      <c r="G53" s="444">
        <v>658.62</v>
      </c>
      <c r="H53" s="444">
        <v>764</v>
      </c>
      <c r="I53" s="696" t="s">
        <v>1018</v>
      </c>
      <c r="J53" s="697"/>
      <c r="K53" s="697"/>
      <c r="L53" s="697"/>
      <c r="M53" s="697"/>
      <c r="N53" s="697"/>
      <c r="O53" s="697"/>
      <c r="P53" s="696"/>
      <c r="Q53" s="696"/>
      <c r="R53" s="696"/>
      <c r="S53" s="697"/>
      <c r="T53" s="697"/>
      <c r="U53" s="697"/>
      <c r="V53" s="697"/>
      <c r="W53" s="697"/>
      <c r="X53" s="697"/>
      <c r="Y53" s="697"/>
      <c r="Z53" s="697"/>
      <c r="AA53" s="697"/>
      <c r="AB53" s="697"/>
      <c r="AC53" s="697"/>
      <c r="AD53" s="697"/>
      <c r="AE53" s="697"/>
      <c r="AF53" s="698"/>
      <c r="AG53" s="697"/>
      <c r="AH53" s="698"/>
      <c r="AI53" s="697"/>
      <c r="AJ53" s="697"/>
      <c r="AK53" s="696" t="s">
        <v>1018</v>
      </c>
      <c r="AL53" s="699"/>
      <c r="AM53" s="699"/>
      <c r="AN53" s="699"/>
      <c r="AO53" s="696" t="s">
        <v>1018</v>
      </c>
      <c r="AP53" s="699"/>
      <c r="AQ53" s="699"/>
      <c r="AR53" s="699"/>
      <c r="AS53" s="699"/>
      <c r="AT53" s="262"/>
      <c r="AU53" s="715"/>
      <c r="AV53" s="716"/>
      <c r="AW53" s="716"/>
      <c r="AX53" s="716"/>
      <c r="AY53" s="716"/>
      <c r="AZ53" s="716"/>
      <c r="BA53" s="716"/>
      <c r="BB53" s="715"/>
      <c r="BC53" s="715"/>
      <c r="BD53" s="715"/>
      <c r="BE53" s="716"/>
      <c r="BF53" s="716"/>
      <c r="BG53" s="716"/>
      <c r="BH53" s="716"/>
      <c r="BI53" s="716"/>
      <c r="BJ53" s="716"/>
      <c r="BK53" s="716"/>
      <c r="BL53" s="716"/>
      <c r="BM53" s="716"/>
      <c r="BN53" s="716"/>
      <c r="BO53" s="716"/>
      <c r="BP53" s="716"/>
      <c r="BQ53" s="716"/>
      <c r="BR53" s="717"/>
      <c r="BS53" s="716"/>
      <c r="BT53" s="717"/>
      <c r="BU53" s="716"/>
      <c r="BV53" s="716"/>
      <c r="BW53" s="715"/>
      <c r="BX53" s="718"/>
      <c r="BY53" s="718"/>
      <c r="BZ53" s="718"/>
      <c r="CA53" s="715"/>
      <c r="CB53" s="718"/>
      <c r="CC53" s="718"/>
      <c r="CD53" s="718"/>
      <c r="CE53" s="718"/>
      <c r="CF53" s="720"/>
    </row>
    <row r="54" spans="1:143" s="436" customFormat="1" ht="14.5" x14ac:dyDescent="0.35">
      <c r="B54" s="433">
        <v>47</v>
      </c>
      <c r="C54" s="434" t="s">
        <v>871</v>
      </c>
      <c r="D54" s="340" t="s">
        <v>240</v>
      </c>
      <c r="E54" s="340" t="s">
        <v>241</v>
      </c>
      <c r="F54" s="340" t="s">
        <v>260</v>
      </c>
      <c r="G54" s="444">
        <v>617.25</v>
      </c>
      <c r="H54" s="444">
        <v>716</v>
      </c>
      <c r="I54" s="696" t="s">
        <v>1018</v>
      </c>
      <c r="J54" s="697"/>
      <c r="K54" s="697"/>
      <c r="L54" s="697"/>
      <c r="M54" s="697"/>
      <c r="N54" s="697"/>
      <c r="O54" s="697"/>
      <c r="P54" s="696"/>
      <c r="Q54" s="696"/>
      <c r="R54" s="696"/>
      <c r="S54" s="697"/>
      <c r="T54" s="697"/>
      <c r="U54" s="697"/>
      <c r="V54" s="697"/>
      <c r="W54" s="697"/>
      <c r="X54" s="697"/>
      <c r="Y54" s="697"/>
      <c r="Z54" s="697"/>
      <c r="AA54" s="697"/>
      <c r="AB54" s="697"/>
      <c r="AC54" s="697"/>
      <c r="AD54" s="697"/>
      <c r="AE54" s="697"/>
      <c r="AF54" s="698"/>
      <c r="AG54" s="697"/>
      <c r="AH54" s="698"/>
      <c r="AI54" s="697"/>
      <c r="AJ54" s="697"/>
      <c r="AK54" s="696" t="s">
        <v>1018</v>
      </c>
      <c r="AL54" s="699"/>
      <c r="AM54" s="699"/>
      <c r="AN54" s="699"/>
      <c r="AO54" s="696" t="s">
        <v>1018</v>
      </c>
      <c r="AP54" s="699"/>
      <c r="AQ54" s="699"/>
      <c r="AR54" s="699"/>
      <c r="AS54" s="699"/>
      <c r="AT54" s="262"/>
      <c r="AU54" s="715"/>
      <c r="AV54" s="716"/>
      <c r="AW54" s="716"/>
      <c r="AX54" s="716"/>
      <c r="AY54" s="716"/>
      <c r="AZ54" s="716"/>
      <c r="BA54" s="716"/>
      <c r="BB54" s="715"/>
      <c r="BC54" s="715"/>
      <c r="BD54" s="715"/>
      <c r="BE54" s="716"/>
      <c r="BF54" s="716"/>
      <c r="BG54" s="716"/>
      <c r="BH54" s="716"/>
      <c r="BI54" s="716"/>
      <c r="BJ54" s="716"/>
      <c r="BK54" s="716"/>
      <c r="BL54" s="716"/>
      <c r="BM54" s="716"/>
      <c r="BN54" s="716"/>
      <c r="BO54" s="716"/>
      <c r="BP54" s="716"/>
      <c r="BQ54" s="716"/>
      <c r="BR54" s="717"/>
      <c r="BS54" s="716"/>
      <c r="BT54" s="717"/>
      <c r="BU54" s="716"/>
      <c r="BV54" s="716"/>
      <c r="BW54" s="715"/>
      <c r="BX54" s="718"/>
      <c r="BY54" s="718"/>
      <c r="BZ54" s="718"/>
      <c r="CA54" s="715"/>
      <c r="CB54" s="718"/>
      <c r="CC54" s="718"/>
      <c r="CD54" s="718"/>
      <c r="CE54" s="718"/>
      <c r="CF54" s="720"/>
    </row>
    <row r="55" spans="1:143" s="436" customFormat="1" ht="14.5" x14ac:dyDescent="0.35">
      <c r="B55" s="433">
        <v>48</v>
      </c>
      <c r="C55" s="434" t="s">
        <v>872</v>
      </c>
      <c r="D55" s="340" t="s">
        <v>240</v>
      </c>
      <c r="E55" s="340" t="s">
        <v>241</v>
      </c>
      <c r="F55" s="340" t="s">
        <v>260</v>
      </c>
      <c r="G55" s="444">
        <v>936.21</v>
      </c>
      <c r="H55" s="444">
        <v>1086</v>
      </c>
      <c r="I55" s="696" t="s">
        <v>1018</v>
      </c>
      <c r="J55" s="697"/>
      <c r="K55" s="697"/>
      <c r="L55" s="697"/>
      <c r="M55" s="697"/>
      <c r="N55" s="697"/>
      <c r="O55" s="697"/>
      <c r="P55" s="696"/>
      <c r="Q55" s="696"/>
      <c r="R55" s="696"/>
      <c r="S55" s="697"/>
      <c r="T55" s="697"/>
      <c r="U55" s="697"/>
      <c r="V55" s="697"/>
      <c r="W55" s="697"/>
      <c r="X55" s="697"/>
      <c r="Y55" s="697"/>
      <c r="Z55" s="697"/>
      <c r="AA55" s="697"/>
      <c r="AB55" s="697"/>
      <c r="AC55" s="697"/>
      <c r="AD55" s="697"/>
      <c r="AE55" s="697"/>
      <c r="AF55" s="698"/>
      <c r="AG55" s="697"/>
      <c r="AH55" s="698"/>
      <c r="AI55" s="697"/>
      <c r="AJ55" s="697"/>
      <c r="AK55" s="696" t="s">
        <v>1018</v>
      </c>
      <c r="AL55" s="699"/>
      <c r="AM55" s="699"/>
      <c r="AN55" s="699"/>
      <c r="AO55" s="696" t="s">
        <v>1018</v>
      </c>
      <c r="AP55" s="699"/>
      <c r="AQ55" s="699"/>
      <c r="AR55" s="699"/>
      <c r="AS55" s="699"/>
      <c r="AT55" s="262"/>
      <c r="AU55" s="715"/>
      <c r="AV55" s="716"/>
      <c r="AW55" s="716"/>
      <c r="AX55" s="716"/>
      <c r="AY55" s="716"/>
      <c r="AZ55" s="716"/>
      <c r="BA55" s="716"/>
      <c r="BB55" s="715"/>
      <c r="BC55" s="715"/>
      <c r="BD55" s="715"/>
      <c r="BE55" s="716"/>
      <c r="BF55" s="716"/>
      <c r="BG55" s="716"/>
      <c r="BH55" s="716"/>
      <c r="BI55" s="716"/>
      <c r="BJ55" s="716"/>
      <c r="BK55" s="716"/>
      <c r="BL55" s="716"/>
      <c r="BM55" s="716"/>
      <c r="BN55" s="716"/>
      <c r="BO55" s="716"/>
      <c r="BP55" s="716"/>
      <c r="BQ55" s="716"/>
      <c r="BR55" s="717"/>
      <c r="BS55" s="716"/>
      <c r="BT55" s="717"/>
      <c r="BU55" s="716"/>
      <c r="BV55" s="716"/>
      <c r="BW55" s="715"/>
      <c r="BX55" s="718"/>
      <c r="BY55" s="718"/>
      <c r="BZ55" s="718"/>
      <c r="CA55" s="715"/>
      <c r="CB55" s="718"/>
      <c r="CC55" s="718"/>
      <c r="CD55" s="718"/>
      <c r="CE55" s="718"/>
      <c r="CF55" s="720"/>
    </row>
    <row r="56" spans="1:143" s="436" customFormat="1" ht="14.5" x14ac:dyDescent="0.35">
      <c r="B56" s="433">
        <v>49</v>
      </c>
      <c r="C56" s="434" t="s">
        <v>873</v>
      </c>
      <c r="D56" s="340" t="s">
        <v>240</v>
      </c>
      <c r="E56" s="340" t="s">
        <v>241</v>
      </c>
      <c r="F56" s="340" t="s">
        <v>260</v>
      </c>
      <c r="G56" s="444">
        <v>900</v>
      </c>
      <c r="H56" s="444">
        <v>1044</v>
      </c>
      <c r="I56" s="696" t="s">
        <v>1018</v>
      </c>
      <c r="J56" s="697"/>
      <c r="K56" s="697"/>
      <c r="L56" s="697"/>
      <c r="M56" s="697"/>
      <c r="N56" s="697"/>
      <c r="O56" s="697"/>
      <c r="P56" s="696"/>
      <c r="Q56" s="696"/>
      <c r="R56" s="696"/>
      <c r="S56" s="697"/>
      <c r="T56" s="697"/>
      <c r="U56" s="697"/>
      <c r="V56" s="697"/>
      <c r="W56" s="697"/>
      <c r="X56" s="697"/>
      <c r="Y56" s="697"/>
      <c r="Z56" s="697"/>
      <c r="AA56" s="697"/>
      <c r="AB56" s="697"/>
      <c r="AC56" s="697"/>
      <c r="AD56" s="697"/>
      <c r="AE56" s="697"/>
      <c r="AF56" s="698"/>
      <c r="AG56" s="697"/>
      <c r="AH56" s="698"/>
      <c r="AI56" s="697"/>
      <c r="AJ56" s="697"/>
      <c r="AK56" s="696" t="s">
        <v>1018</v>
      </c>
      <c r="AL56" s="699"/>
      <c r="AM56" s="699"/>
      <c r="AN56" s="699"/>
      <c r="AO56" s="696" t="s">
        <v>1018</v>
      </c>
      <c r="AP56" s="699"/>
      <c r="AQ56" s="699"/>
      <c r="AR56" s="699"/>
      <c r="AS56" s="699"/>
      <c r="AT56" s="262"/>
      <c r="AU56" s="715"/>
      <c r="AV56" s="716"/>
      <c r="AW56" s="716"/>
      <c r="AX56" s="716"/>
      <c r="AY56" s="716"/>
      <c r="AZ56" s="716"/>
      <c r="BA56" s="716"/>
      <c r="BB56" s="715"/>
      <c r="BC56" s="715"/>
      <c r="BD56" s="715"/>
      <c r="BE56" s="716"/>
      <c r="BF56" s="716"/>
      <c r="BG56" s="716"/>
      <c r="BH56" s="716"/>
      <c r="BI56" s="716"/>
      <c r="BJ56" s="716"/>
      <c r="BK56" s="716"/>
      <c r="BL56" s="716"/>
      <c r="BM56" s="716"/>
      <c r="BN56" s="716"/>
      <c r="BO56" s="716"/>
      <c r="BP56" s="716"/>
      <c r="BQ56" s="716"/>
      <c r="BR56" s="717"/>
      <c r="BS56" s="716"/>
      <c r="BT56" s="717"/>
      <c r="BU56" s="716"/>
      <c r="BV56" s="716"/>
      <c r="BW56" s="715"/>
      <c r="BX56" s="718"/>
      <c r="BY56" s="718"/>
      <c r="BZ56" s="718"/>
      <c r="CA56" s="715"/>
      <c r="CB56" s="718"/>
      <c r="CC56" s="718"/>
      <c r="CD56" s="718"/>
      <c r="CE56" s="718"/>
      <c r="CF56" s="720"/>
    </row>
    <row r="57" spans="1:143" s="436" customFormat="1" ht="14.5" x14ac:dyDescent="0.35">
      <c r="B57" s="433">
        <v>50</v>
      </c>
      <c r="C57" s="434" t="s">
        <v>874</v>
      </c>
      <c r="D57" s="340" t="s">
        <v>242</v>
      </c>
      <c r="E57" s="340" t="s">
        <v>243</v>
      </c>
      <c r="F57" s="340" t="s">
        <v>260</v>
      </c>
      <c r="G57" s="444">
        <v>440.68</v>
      </c>
      <c r="H57" s="444">
        <v>519</v>
      </c>
      <c r="I57" s="696" t="s">
        <v>1018</v>
      </c>
      <c r="J57" s="697"/>
      <c r="K57" s="697"/>
      <c r="L57" s="697"/>
      <c r="M57" s="697"/>
      <c r="N57" s="697"/>
      <c r="O57" s="697"/>
      <c r="P57" s="696"/>
      <c r="Q57" s="696"/>
      <c r="R57" s="696"/>
      <c r="S57" s="697"/>
      <c r="T57" s="697"/>
      <c r="U57" s="697"/>
      <c r="V57" s="697"/>
      <c r="W57" s="697"/>
      <c r="X57" s="697"/>
      <c r="Y57" s="697"/>
      <c r="Z57" s="697"/>
      <c r="AA57" s="697"/>
      <c r="AB57" s="697"/>
      <c r="AC57" s="697"/>
      <c r="AD57" s="697"/>
      <c r="AE57" s="697"/>
      <c r="AF57" s="698"/>
      <c r="AG57" s="697"/>
      <c r="AH57" s="698"/>
      <c r="AI57" s="697"/>
      <c r="AJ57" s="697"/>
      <c r="AK57" s="696" t="s">
        <v>1018</v>
      </c>
      <c r="AL57" s="699"/>
      <c r="AM57" s="699"/>
      <c r="AN57" s="699"/>
      <c r="AO57" s="696" t="s">
        <v>1018</v>
      </c>
      <c r="AP57" s="699"/>
      <c r="AQ57" s="699"/>
      <c r="AR57" s="699"/>
      <c r="AS57" s="699"/>
      <c r="AT57" s="262"/>
      <c r="AU57" s="715"/>
      <c r="AV57" s="716"/>
      <c r="AW57" s="716"/>
      <c r="AX57" s="716"/>
      <c r="AY57" s="716"/>
      <c r="AZ57" s="716"/>
      <c r="BA57" s="716"/>
      <c r="BB57" s="715"/>
      <c r="BC57" s="715"/>
      <c r="BD57" s="715"/>
      <c r="BE57" s="716"/>
      <c r="BF57" s="716"/>
      <c r="BG57" s="716"/>
      <c r="BH57" s="716"/>
      <c r="BI57" s="716"/>
      <c r="BJ57" s="716"/>
      <c r="BK57" s="716"/>
      <c r="BL57" s="716"/>
      <c r="BM57" s="716"/>
      <c r="BN57" s="716"/>
      <c r="BO57" s="716"/>
      <c r="BP57" s="716"/>
      <c r="BQ57" s="716"/>
      <c r="BR57" s="717"/>
      <c r="BS57" s="716"/>
      <c r="BT57" s="717"/>
      <c r="BU57" s="716"/>
      <c r="BV57" s="716"/>
      <c r="BW57" s="715"/>
      <c r="BX57" s="718"/>
      <c r="BY57" s="718"/>
      <c r="BZ57" s="718"/>
      <c r="CA57" s="715"/>
      <c r="CB57" s="718"/>
      <c r="CC57" s="718"/>
      <c r="CD57" s="718"/>
      <c r="CE57" s="718"/>
      <c r="CF57" s="720"/>
    </row>
    <row r="58" spans="1:143" s="436" customFormat="1" ht="14.5" x14ac:dyDescent="0.35">
      <c r="B58" s="433">
        <v>51</v>
      </c>
      <c r="C58" s="434" t="s">
        <v>875</v>
      </c>
      <c r="D58" s="340" t="s">
        <v>242</v>
      </c>
      <c r="E58" s="340" t="s">
        <v>243</v>
      </c>
      <c r="F58" s="340" t="s">
        <v>260</v>
      </c>
      <c r="G58" s="444">
        <v>489.81</v>
      </c>
      <c r="H58" s="444">
        <v>576</v>
      </c>
      <c r="I58" s="696" t="s">
        <v>1018</v>
      </c>
      <c r="J58" s="697"/>
      <c r="K58" s="697"/>
      <c r="L58" s="697"/>
      <c r="M58" s="697"/>
      <c r="N58" s="697"/>
      <c r="O58" s="697"/>
      <c r="P58" s="696"/>
      <c r="Q58" s="696"/>
      <c r="R58" s="696"/>
      <c r="S58" s="697"/>
      <c r="T58" s="697"/>
      <c r="U58" s="697"/>
      <c r="V58" s="697"/>
      <c r="W58" s="697"/>
      <c r="X58" s="697"/>
      <c r="Y58" s="697"/>
      <c r="Z58" s="697"/>
      <c r="AA58" s="697"/>
      <c r="AB58" s="697"/>
      <c r="AC58" s="697"/>
      <c r="AD58" s="697"/>
      <c r="AE58" s="697"/>
      <c r="AF58" s="698"/>
      <c r="AG58" s="697"/>
      <c r="AH58" s="698"/>
      <c r="AI58" s="697"/>
      <c r="AJ58" s="697"/>
      <c r="AK58" s="696" t="s">
        <v>1018</v>
      </c>
      <c r="AL58" s="699"/>
      <c r="AM58" s="699"/>
      <c r="AN58" s="699"/>
      <c r="AO58" s="696" t="s">
        <v>1018</v>
      </c>
      <c r="AP58" s="699"/>
      <c r="AQ58" s="699"/>
      <c r="AR58" s="699"/>
      <c r="AS58" s="699"/>
      <c r="AT58" s="262"/>
      <c r="AU58" s="715"/>
      <c r="AV58" s="716"/>
      <c r="AW58" s="716"/>
      <c r="AX58" s="716"/>
      <c r="AY58" s="716"/>
      <c r="AZ58" s="716"/>
      <c r="BA58" s="716"/>
      <c r="BB58" s="715"/>
      <c r="BC58" s="715"/>
      <c r="BD58" s="715"/>
      <c r="BE58" s="716"/>
      <c r="BF58" s="716"/>
      <c r="BG58" s="716"/>
      <c r="BH58" s="716"/>
      <c r="BI58" s="716"/>
      <c r="BJ58" s="716"/>
      <c r="BK58" s="716"/>
      <c r="BL58" s="716"/>
      <c r="BM58" s="716"/>
      <c r="BN58" s="716"/>
      <c r="BO58" s="716"/>
      <c r="BP58" s="716"/>
      <c r="BQ58" s="716"/>
      <c r="BR58" s="717"/>
      <c r="BS58" s="716"/>
      <c r="BT58" s="717"/>
      <c r="BU58" s="716"/>
      <c r="BV58" s="716"/>
      <c r="BW58" s="715"/>
      <c r="BX58" s="718"/>
      <c r="BY58" s="718"/>
      <c r="BZ58" s="718"/>
      <c r="CA58" s="715"/>
      <c r="CB58" s="718"/>
      <c r="CC58" s="718"/>
      <c r="CD58" s="718"/>
      <c r="CE58" s="718"/>
      <c r="CF58" s="720"/>
    </row>
    <row r="59" spans="1:143" s="436" customFormat="1" ht="14.5" x14ac:dyDescent="0.35">
      <c r="B59" s="433">
        <v>52</v>
      </c>
      <c r="C59" s="434" t="s">
        <v>876</v>
      </c>
      <c r="D59" s="340" t="s">
        <v>242</v>
      </c>
      <c r="E59" s="340" t="s">
        <v>243</v>
      </c>
      <c r="F59" s="340" t="s">
        <v>260</v>
      </c>
      <c r="G59" s="444">
        <v>550.16</v>
      </c>
      <c r="H59" s="444">
        <v>646</v>
      </c>
      <c r="I59" s="696" t="s">
        <v>1018</v>
      </c>
      <c r="J59" s="697"/>
      <c r="K59" s="697"/>
      <c r="L59" s="697"/>
      <c r="M59" s="697"/>
      <c r="N59" s="697"/>
      <c r="O59" s="697"/>
      <c r="P59" s="696"/>
      <c r="Q59" s="696"/>
      <c r="R59" s="696"/>
      <c r="S59" s="697"/>
      <c r="T59" s="697"/>
      <c r="U59" s="697"/>
      <c r="V59" s="697"/>
      <c r="W59" s="697"/>
      <c r="X59" s="697"/>
      <c r="Y59" s="697"/>
      <c r="Z59" s="697"/>
      <c r="AA59" s="697"/>
      <c r="AB59" s="697"/>
      <c r="AC59" s="697"/>
      <c r="AD59" s="697"/>
      <c r="AE59" s="697"/>
      <c r="AF59" s="698"/>
      <c r="AG59" s="697"/>
      <c r="AH59" s="698"/>
      <c r="AI59" s="697"/>
      <c r="AJ59" s="697"/>
      <c r="AK59" s="696" t="s">
        <v>1018</v>
      </c>
      <c r="AL59" s="699"/>
      <c r="AM59" s="699"/>
      <c r="AN59" s="699"/>
      <c r="AO59" s="696" t="s">
        <v>1018</v>
      </c>
      <c r="AP59" s="699"/>
      <c r="AQ59" s="699"/>
      <c r="AR59" s="699"/>
      <c r="AS59" s="699"/>
      <c r="AT59" s="262"/>
      <c r="AU59" s="715"/>
      <c r="AV59" s="716"/>
      <c r="AW59" s="716"/>
      <c r="AX59" s="716"/>
      <c r="AY59" s="716"/>
      <c r="AZ59" s="716"/>
      <c r="BA59" s="716"/>
      <c r="BB59" s="715"/>
      <c r="BC59" s="715"/>
      <c r="BD59" s="715"/>
      <c r="BE59" s="716"/>
      <c r="BF59" s="716"/>
      <c r="BG59" s="716"/>
      <c r="BH59" s="716"/>
      <c r="BI59" s="716"/>
      <c r="BJ59" s="716"/>
      <c r="BK59" s="716"/>
      <c r="BL59" s="716"/>
      <c r="BM59" s="716"/>
      <c r="BN59" s="716"/>
      <c r="BO59" s="716"/>
      <c r="BP59" s="716"/>
      <c r="BQ59" s="716"/>
      <c r="BR59" s="717"/>
      <c r="BS59" s="716"/>
      <c r="BT59" s="717"/>
      <c r="BU59" s="716"/>
      <c r="BV59" s="716"/>
      <c r="BW59" s="715"/>
      <c r="BX59" s="718"/>
      <c r="BY59" s="718"/>
      <c r="BZ59" s="718"/>
      <c r="CA59" s="715"/>
      <c r="CB59" s="718"/>
      <c r="CC59" s="718"/>
      <c r="CD59" s="718"/>
      <c r="CE59" s="718"/>
      <c r="CF59" s="720"/>
    </row>
    <row r="60" spans="1:143" s="436" customFormat="1" ht="14.5" x14ac:dyDescent="0.35">
      <c r="B60" s="433">
        <v>53</v>
      </c>
      <c r="C60" s="434" t="s">
        <v>877</v>
      </c>
      <c r="D60" s="340" t="s">
        <v>242</v>
      </c>
      <c r="E60" s="340" t="s">
        <v>243</v>
      </c>
      <c r="F60" s="340" t="s">
        <v>260</v>
      </c>
      <c r="G60" s="444">
        <v>608.88</v>
      </c>
      <c r="H60" s="444">
        <v>716</v>
      </c>
      <c r="I60" s="696" t="s">
        <v>1018</v>
      </c>
      <c r="J60" s="697"/>
      <c r="K60" s="697"/>
      <c r="L60" s="697"/>
      <c r="M60" s="697"/>
      <c r="N60" s="697"/>
      <c r="O60" s="697"/>
      <c r="P60" s="696"/>
      <c r="Q60" s="696"/>
      <c r="R60" s="696"/>
      <c r="S60" s="697"/>
      <c r="T60" s="697"/>
      <c r="U60" s="697"/>
      <c r="V60" s="697"/>
      <c r="W60" s="697"/>
      <c r="X60" s="697"/>
      <c r="Y60" s="697"/>
      <c r="Z60" s="697"/>
      <c r="AA60" s="697"/>
      <c r="AB60" s="697"/>
      <c r="AC60" s="697"/>
      <c r="AD60" s="697"/>
      <c r="AE60" s="697"/>
      <c r="AF60" s="698"/>
      <c r="AG60" s="697"/>
      <c r="AH60" s="698"/>
      <c r="AI60" s="697"/>
      <c r="AJ60" s="697"/>
      <c r="AK60" s="696" t="s">
        <v>1018</v>
      </c>
      <c r="AL60" s="699"/>
      <c r="AM60" s="699"/>
      <c r="AN60" s="699"/>
      <c r="AO60" s="696" t="s">
        <v>1018</v>
      </c>
      <c r="AP60" s="699"/>
      <c r="AQ60" s="699"/>
      <c r="AR60" s="699"/>
      <c r="AS60" s="699"/>
      <c r="AT60" s="262"/>
      <c r="AU60" s="715"/>
      <c r="AV60" s="716"/>
      <c r="AW60" s="716"/>
      <c r="AX60" s="716"/>
      <c r="AY60" s="716"/>
      <c r="AZ60" s="716"/>
      <c r="BA60" s="716"/>
      <c r="BB60" s="715"/>
      <c r="BC60" s="715"/>
      <c r="BD60" s="715"/>
      <c r="BE60" s="716"/>
      <c r="BF60" s="716"/>
      <c r="BG60" s="716"/>
      <c r="BH60" s="716"/>
      <c r="BI60" s="716"/>
      <c r="BJ60" s="716"/>
      <c r="BK60" s="716"/>
      <c r="BL60" s="716"/>
      <c r="BM60" s="716"/>
      <c r="BN60" s="716"/>
      <c r="BO60" s="716"/>
      <c r="BP60" s="716"/>
      <c r="BQ60" s="716"/>
      <c r="BR60" s="717"/>
      <c r="BS60" s="716"/>
      <c r="BT60" s="717"/>
      <c r="BU60" s="716"/>
      <c r="BV60" s="716"/>
      <c r="BW60" s="715"/>
      <c r="BX60" s="718"/>
      <c r="BY60" s="718"/>
      <c r="BZ60" s="718"/>
      <c r="CA60" s="715"/>
      <c r="CB60" s="718"/>
      <c r="CC60" s="718"/>
      <c r="CD60" s="718"/>
      <c r="CE60" s="718"/>
      <c r="CF60" s="720"/>
    </row>
    <row r="61" spans="1:143" s="436" customFormat="1" ht="14.5" x14ac:dyDescent="0.35">
      <c r="B61" s="433">
        <v>54</v>
      </c>
      <c r="C61" s="434" t="s">
        <v>878</v>
      </c>
      <c r="D61" s="340" t="s">
        <v>242</v>
      </c>
      <c r="E61" s="340" t="s">
        <v>243</v>
      </c>
      <c r="F61" s="340" t="s">
        <v>260</v>
      </c>
      <c r="G61" s="444">
        <v>668.37</v>
      </c>
      <c r="H61" s="444">
        <v>786</v>
      </c>
      <c r="I61" s="696" t="s">
        <v>1018</v>
      </c>
      <c r="J61" s="697"/>
      <c r="K61" s="697"/>
      <c r="L61" s="697"/>
      <c r="M61" s="697"/>
      <c r="N61" s="697"/>
      <c r="O61" s="697"/>
      <c r="P61" s="696"/>
      <c r="Q61" s="696"/>
      <c r="R61" s="696"/>
      <c r="S61" s="697"/>
      <c r="T61" s="697"/>
      <c r="U61" s="697"/>
      <c r="V61" s="697"/>
      <c r="W61" s="697"/>
      <c r="X61" s="697"/>
      <c r="Y61" s="697"/>
      <c r="Z61" s="697"/>
      <c r="AA61" s="697"/>
      <c r="AB61" s="697"/>
      <c r="AC61" s="697"/>
      <c r="AD61" s="697"/>
      <c r="AE61" s="697"/>
      <c r="AF61" s="698"/>
      <c r="AG61" s="697"/>
      <c r="AH61" s="698"/>
      <c r="AI61" s="697"/>
      <c r="AJ61" s="697"/>
      <c r="AK61" s="696" t="s">
        <v>1018</v>
      </c>
      <c r="AL61" s="699"/>
      <c r="AM61" s="699"/>
      <c r="AN61" s="699"/>
      <c r="AO61" s="696" t="s">
        <v>1018</v>
      </c>
      <c r="AP61" s="699"/>
      <c r="AQ61" s="699"/>
      <c r="AR61" s="699"/>
      <c r="AS61" s="699"/>
      <c r="AT61" s="262"/>
      <c r="AU61" s="715"/>
      <c r="AV61" s="716"/>
      <c r="AW61" s="716"/>
      <c r="AX61" s="716"/>
      <c r="AY61" s="716"/>
      <c r="AZ61" s="716"/>
      <c r="BA61" s="716"/>
      <c r="BB61" s="715"/>
      <c r="BC61" s="715"/>
      <c r="BD61" s="715"/>
      <c r="BE61" s="716"/>
      <c r="BF61" s="716"/>
      <c r="BG61" s="716"/>
      <c r="BH61" s="716"/>
      <c r="BI61" s="716"/>
      <c r="BJ61" s="716"/>
      <c r="BK61" s="716"/>
      <c r="BL61" s="716"/>
      <c r="BM61" s="716"/>
      <c r="BN61" s="716"/>
      <c r="BO61" s="716"/>
      <c r="BP61" s="716"/>
      <c r="BQ61" s="716"/>
      <c r="BR61" s="717"/>
      <c r="BS61" s="716"/>
      <c r="BT61" s="717"/>
      <c r="BU61" s="716"/>
      <c r="BV61" s="716"/>
      <c r="BW61" s="715"/>
      <c r="BX61" s="718"/>
      <c r="BY61" s="718"/>
      <c r="BZ61" s="718"/>
      <c r="CA61" s="715"/>
      <c r="CB61" s="718"/>
      <c r="CC61" s="718"/>
      <c r="CD61" s="718"/>
      <c r="CE61" s="718"/>
      <c r="CF61" s="720"/>
    </row>
    <row r="62" spans="1:143" ht="14.5" x14ac:dyDescent="0.35">
      <c r="A62" s="436"/>
      <c r="B62" s="433">
        <v>55</v>
      </c>
      <c r="C62" s="434" t="s">
        <v>879</v>
      </c>
      <c r="D62" s="340" t="s">
        <v>242</v>
      </c>
      <c r="E62" s="340" t="s">
        <v>243</v>
      </c>
      <c r="F62" s="340" t="s">
        <v>260</v>
      </c>
      <c r="G62" s="444">
        <v>819.11</v>
      </c>
      <c r="H62" s="444">
        <v>966</v>
      </c>
      <c r="I62" s="696" t="s">
        <v>1018</v>
      </c>
      <c r="J62" s="697"/>
      <c r="K62" s="697"/>
      <c r="L62" s="697"/>
      <c r="M62" s="697"/>
      <c r="N62" s="697"/>
      <c r="O62" s="697"/>
      <c r="P62" s="696"/>
      <c r="Q62" s="696"/>
      <c r="R62" s="696"/>
      <c r="S62" s="697"/>
      <c r="T62" s="697"/>
      <c r="U62" s="697"/>
      <c r="V62" s="697"/>
      <c r="W62" s="697"/>
      <c r="X62" s="697"/>
      <c r="Y62" s="697"/>
      <c r="Z62" s="697"/>
      <c r="AA62" s="697"/>
      <c r="AB62" s="697"/>
      <c r="AC62" s="697"/>
      <c r="AD62" s="697"/>
      <c r="AE62" s="697"/>
      <c r="AF62" s="698"/>
      <c r="AG62" s="697"/>
      <c r="AH62" s="698"/>
      <c r="AI62" s="697"/>
      <c r="AJ62" s="697"/>
      <c r="AK62" s="696" t="s">
        <v>1018</v>
      </c>
      <c r="AL62" s="699"/>
      <c r="AM62" s="699"/>
      <c r="AN62" s="699"/>
      <c r="AO62" s="696" t="s">
        <v>1018</v>
      </c>
      <c r="AP62" s="699"/>
      <c r="AQ62" s="699"/>
      <c r="AR62" s="699"/>
      <c r="AS62" s="699"/>
      <c r="AU62" s="715"/>
      <c r="AV62" s="716"/>
      <c r="AW62" s="716"/>
      <c r="AX62" s="716"/>
      <c r="AY62" s="716"/>
      <c r="AZ62" s="716"/>
      <c r="BA62" s="716"/>
      <c r="BB62" s="715"/>
      <c r="BC62" s="715"/>
      <c r="BD62" s="715"/>
      <c r="BE62" s="716"/>
      <c r="BF62" s="716"/>
      <c r="BG62" s="716"/>
      <c r="BH62" s="716"/>
      <c r="BI62" s="716"/>
      <c r="BJ62" s="716"/>
      <c r="BK62" s="716"/>
      <c r="BL62" s="716"/>
      <c r="BM62" s="716"/>
      <c r="BN62" s="716"/>
      <c r="BO62" s="716"/>
      <c r="BP62" s="716"/>
      <c r="BQ62" s="716"/>
      <c r="BR62" s="717"/>
      <c r="BS62" s="716"/>
      <c r="BT62" s="717"/>
      <c r="BU62" s="716"/>
      <c r="BV62" s="716"/>
      <c r="BW62" s="715"/>
      <c r="BX62" s="718"/>
      <c r="BY62" s="718"/>
      <c r="BZ62" s="718"/>
      <c r="CA62" s="715"/>
      <c r="CB62" s="718"/>
      <c r="CC62" s="718"/>
      <c r="CD62" s="718"/>
      <c r="CE62" s="718"/>
      <c r="CF62" s="720"/>
      <c r="CG62" s="436"/>
      <c r="CH62" s="436"/>
      <c r="CI62" s="436"/>
      <c r="CJ62" s="436"/>
      <c r="CK62" s="436"/>
      <c r="CL62" s="436"/>
      <c r="CM62" s="436"/>
      <c r="CN62" s="436"/>
      <c r="CO62" s="436"/>
      <c r="CP62" s="436"/>
      <c r="CQ62" s="436"/>
      <c r="CR62" s="436"/>
      <c r="CS62" s="436"/>
      <c r="CT62" s="436"/>
      <c r="CU62" s="436"/>
      <c r="CV62" s="436"/>
      <c r="CW62" s="436"/>
      <c r="CX62" s="436"/>
      <c r="CY62" s="436"/>
      <c r="CZ62" s="436"/>
      <c r="DA62" s="436"/>
      <c r="DB62" s="436"/>
      <c r="DC62" s="436"/>
      <c r="DD62" s="436"/>
      <c r="DE62" s="436"/>
      <c r="DF62" s="436"/>
      <c r="DG62" s="436"/>
      <c r="DH62" s="436"/>
      <c r="DI62" s="436"/>
      <c r="DJ62" s="436"/>
      <c r="DK62" s="436"/>
      <c r="DL62" s="436"/>
      <c r="DM62" s="436"/>
      <c r="DN62" s="436"/>
      <c r="DO62" s="436"/>
      <c r="DP62" s="436"/>
      <c r="DQ62" s="436"/>
      <c r="DR62" s="436"/>
      <c r="DS62" s="436"/>
      <c r="DT62" s="436"/>
      <c r="DU62" s="436"/>
      <c r="DV62" s="436"/>
      <c r="DW62" s="436"/>
      <c r="DX62" s="436"/>
      <c r="DY62" s="436"/>
      <c r="DZ62" s="436"/>
      <c r="EA62" s="436"/>
      <c r="EB62" s="436"/>
      <c r="EC62" s="436"/>
      <c r="ED62" s="436"/>
      <c r="EE62" s="436"/>
      <c r="EF62" s="436"/>
      <c r="EG62" s="436"/>
      <c r="EH62" s="436"/>
      <c r="EI62" s="436"/>
      <c r="EJ62" s="436"/>
      <c r="EK62" s="436"/>
      <c r="EL62" s="436"/>
      <c r="EM62" s="436"/>
    </row>
    <row r="63" spans="1:143" ht="14.5" x14ac:dyDescent="0.35">
      <c r="A63" s="436"/>
      <c r="B63" s="433">
        <v>56</v>
      </c>
      <c r="C63" s="434" t="s">
        <v>880</v>
      </c>
      <c r="D63" s="340" t="s">
        <v>242</v>
      </c>
      <c r="E63" s="340" t="s">
        <v>243</v>
      </c>
      <c r="F63" s="340" t="s">
        <v>260</v>
      </c>
      <c r="G63" s="444">
        <v>860.88</v>
      </c>
      <c r="H63" s="444">
        <v>1014</v>
      </c>
      <c r="I63" s="696" t="s">
        <v>1018</v>
      </c>
      <c r="J63" s="697"/>
      <c r="K63" s="697"/>
      <c r="L63" s="697"/>
      <c r="M63" s="697"/>
      <c r="N63" s="697"/>
      <c r="O63" s="697"/>
      <c r="P63" s="696"/>
      <c r="Q63" s="696"/>
      <c r="R63" s="696"/>
      <c r="S63" s="697"/>
      <c r="T63" s="697"/>
      <c r="U63" s="697"/>
      <c r="V63" s="697"/>
      <c r="W63" s="697"/>
      <c r="X63" s="697"/>
      <c r="Y63" s="697"/>
      <c r="Z63" s="697"/>
      <c r="AA63" s="697"/>
      <c r="AB63" s="697"/>
      <c r="AC63" s="697"/>
      <c r="AD63" s="697"/>
      <c r="AE63" s="697"/>
      <c r="AF63" s="698"/>
      <c r="AG63" s="697"/>
      <c r="AH63" s="698"/>
      <c r="AI63" s="697"/>
      <c r="AJ63" s="697"/>
      <c r="AK63" s="696" t="s">
        <v>1018</v>
      </c>
      <c r="AL63" s="699"/>
      <c r="AM63" s="699"/>
      <c r="AN63" s="699"/>
      <c r="AO63" s="696" t="s">
        <v>1018</v>
      </c>
      <c r="AP63" s="699"/>
      <c r="AQ63" s="699"/>
      <c r="AR63" s="699"/>
      <c r="AS63" s="699"/>
      <c r="AU63" s="715"/>
      <c r="AV63" s="716"/>
      <c r="AW63" s="716"/>
      <c r="AX63" s="716"/>
      <c r="AY63" s="716"/>
      <c r="AZ63" s="716"/>
      <c r="BA63" s="716"/>
      <c r="BB63" s="715"/>
      <c r="BC63" s="715"/>
      <c r="BD63" s="715"/>
      <c r="BE63" s="716"/>
      <c r="BF63" s="716"/>
      <c r="BG63" s="716"/>
      <c r="BH63" s="716"/>
      <c r="BI63" s="716"/>
      <c r="BJ63" s="716"/>
      <c r="BK63" s="716"/>
      <c r="BL63" s="716"/>
      <c r="BM63" s="716"/>
      <c r="BN63" s="716"/>
      <c r="BO63" s="716"/>
      <c r="BP63" s="716"/>
      <c r="BQ63" s="716"/>
      <c r="BR63" s="717"/>
      <c r="BS63" s="716"/>
      <c r="BT63" s="717"/>
      <c r="BU63" s="716"/>
      <c r="BV63" s="716"/>
      <c r="BW63" s="715"/>
      <c r="BX63" s="718"/>
      <c r="BY63" s="718"/>
      <c r="BZ63" s="718"/>
      <c r="CA63" s="715"/>
      <c r="CB63" s="718"/>
      <c r="CC63" s="718"/>
      <c r="CD63" s="718"/>
      <c r="CE63" s="718"/>
      <c r="CF63" s="720"/>
      <c r="CG63" s="436"/>
      <c r="CH63" s="436"/>
      <c r="CI63" s="436"/>
      <c r="CJ63" s="436"/>
      <c r="CK63" s="436"/>
      <c r="CL63" s="436"/>
      <c r="CM63" s="436"/>
      <c r="CN63" s="436"/>
      <c r="CO63" s="436"/>
      <c r="CP63" s="436"/>
      <c r="CQ63" s="436"/>
      <c r="CR63" s="436"/>
      <c r="CS63" s="436"/>
      <c r="CT63" s="436"/>
      <c r="CU63" s="436"/>
      <c r="CV63" s="436"/>
      <c r="CW63" s="436"/>
      <c r="CX63" s="436"/>
      <c r="CY63" s="436"/>
      <c r="CZ63" s="436"/>
      <c r="DA63" s="436"/>
      <c r="DB63" s="436"/>
      <c r="DC63" s="436"/>
      <c r="DD63" s="436"/>
      <c r="DE63" s="436"/>
      <c r="DF63" s="436"/>
      <c r="DG63" s="436"/>
      <c r="DH63" s="436"/>
      <c r="DI63" s="436"/>
      <c r="DJ63" s="436"/>
      <c r="DK63" s="436"/>
      <c r="DL63" s="436"/>
      <c r="DM63" s="436"/>
      <c r="DN63" s="436"/>
      <c r="DO63" s="436"/>
      <c r="DP63" s="436"/>
      <c r="DQ63" s="436"/>
      <c r="DR63" s="436"/>
      <c r="DS63" s="436"/>
      <c r="DT63" s="436"/>
      <c r="DU63" s="436"/>
      <c r="DV63" s="436"/>
      <c r="DW63" s="436"/>
      <c r="DX63" s="436"/>
      <c r="DY63" s="436"/>
      <c r="DZ63" s="436"/>
      <c r="EA63" s="436"/>
      <c r="EB63" s="436"/>
      <c r="EC63" s="436"/>
      <c r="ED63" s="436"/>
      <c r="EE63" s="436"/>
      <c r="EF63" s="436"/>
      <c r="EG63" s="436"/>
      <c r="EH63" s="436"/>
      <c r="EI63" s="436"/>
      <c r="EJ63" s="436"/>
      <c r="EK63" s="436"/>
      <c r="EL63" s="436"/>
      <c r="EM63" s="436"/>
    </row>
    <row r="64" spans="1:143" ht="14.5" x14ac:dyDescent="0.35">
      <c r="A64" s="436"/>
      <c r="B64" s="433">
        <v>57</v>
      </c>
      <c r="C64" s="434" t="s">
        <v>881</v>
      </c>
      <c r="D64" s="340" t="s">
        <v>242</v>
      </c>
      <c r="E64" s="340" t="s">
        <v>241</v>
      </c>
      <c r="F64" s="340" t="s">
        <v>260</v>
      </c>
      <c r="G64" s="444">
        <v>404.31</v>
      </c>
      <c r="H64" s="444">
        <v>469</v>
      </c>
      <c r="I64" s="696" t="s">
        <v>1018</v>
      </c>
      <c r="J64" s="697"/>
      <c r="K64" s="697"/>
      <c r="L64" s="697"/>
      <c r="M64" s="697"/>
      <c r="N64" s="697"/>
      <c r="O64" s="697"/>
      <c r="P64" s="696"/>
      <c r="Q64" s="696"/>
      <c r="R64" s="696"/>
      <c r="S64" s="697"/>
      <c r="T64" s="697"/>
      <c r="U64" s="697"/>
      <c r="V64" s="697"/>
      <c r="W64" s="697"/>
      <c r="X64" s="697"/>
      <c r="Y64" s="697"/>
      <c r="Z64" s="697"/>
      <c r="AA64" s="697"/>
      <c r="AB64" s="697"/>
      <c r="AC64" s="697"/>
      <c r="AD64" s="697"/>
      <c r="AE64" s="697"/>
      <c r="AF64" s="698"/>
      <c r="AG64" s="697"/>
      <c r="AH64" s="698"/>
      <c r="AI64" s="697"/>
      <c r="AJ64" s="697"/>
      <c r="AK64" s="696" t="s">
        <v>1018</v>
      </c>
      <c r="AL64" s="699"/>
      <c r="AM64" s="699"/>
      <c r="AN64" s="699"/>
      <c r="AO64" s="696" t="s">
        <v>1018</v>
      </c>
      <c r="AP64" s="699"/>
      <c r="AQ64" s="699"/>
      <c r="AR64" s="699"/>
      <c r="AS64" s="699"/>
      <c r="AU64" s="715"/>
      <c r="AV64" s="716"/>
      <c r="AW64" s="716"/>
      <c r="AX64" s="716"/>
      <c r="AY64" s="716"/>
      <c r="AZ64" s="716"/>
      <c r="BA64" s="716"/>
      <c r="BB64" s="715"/>
      <c r="BC64" s="715"/>
      <c r="BD64" s="715"/>
      <c r="BE64" s="716"/>
      <c r="BF64" s="716"/>
      <c r="BG64" s="716"/>
      <c r="BH64" s="716"/>
      <c r="BI64" s="716"/>
      <c r="BJ64" s="716"/>
      <c r="BK64" s="716"/>
      <c r="BL64" s="716"/>
      <c r="BM64" s="716"/>
      <c r="BN64" s="716"/>
      <c r="BO64" s="716"/>
      <c r="BP64" s="716"/>
      <c r="BQ64" s="716"/>
      <c r="BR64" s="717"/>
      <c r="BS64" s="716"/>
      <c r="BT64" s="717"/>
      <c r="BU64" s="716"/>
      <c r="BV64" s="716"/>
      <c r="BW64" s="715"/>
      <c r="BX64" s="718"/>
      <c r="BY64" s="718"/>
      <c r="BZ64" s="718"/>
      <c r="CA64" s="715"/>
      <c r="CB64" s="718"/>
      <c r="CC64" s="718"/>
      <c r="CD64" s="718"/>
      <c r="CE64" s="718"/>
      <c r="CF64" s="720"/>
      <c r="CG64" s="436"/>
      <c r="CH64" s="436"/>
      <c r="CI64" s="436"/>
      <c r="CJ64" s="436"/>
      <c r="CK64" s="436"/>
      <c r="CL64" s="436"/>
      <c r="CM64" s="436"/>
      <c r="CN64" s="436"/>
      <c r="CO64" s="436"/>
      <c r="CP64" s="436"/>
      <c r="CQ64" s="436"/>
      <c r="CR64" s="436"/>
      <c r="CS64" s="436"/>
      <c r="CT64" s="436"/>
      <c r="CU64" s="436"/>
      <c r="CV64" s="436"/>
      <c r="CW64" s="436"/>
      <c r="CX64" s="436"/>
      <c r="CY64" s="436"/>
      <c r="CZ64" s="436"/>
      <c r="DA64" s="436"/>
      <c r="DB64" s="436"/>
      <c r="DC64" s="436"/>
      <c r="DD64" s="436"/>
      <c r="DE64" s="436"/>
      <c r="DF64" s="436"/>
      <c r="DG64" s="436"/>
      <c r="DH64" s="436"/>
      <c r="DI64" s="436"/>
      <c r="DJ64" s="436"/>
      <c r="DK64" s="436"/>
      <c r="DL64" s="436"/>
      <c r="DM64" s="436"/>
      <c r="DN64" s="436"/>
      <c r="DO64" s="436"/>
      <c r="DP64" s="436"/>
      <c r="DQ64" s="436"/>
      <c r="DR64" s="436"/>
      <c r="DS64" s="436"/>
      <c r="DT64" s="436"/>
      <c r="DU64" s="436"/>
      <c r="DV64" s="436"/>
      <c r="DW64" s="436"/>
      <c r="DX64" s="436"/>
      <c r="DY64" s="436"/>
      <c r="DZ64" s="436"/>
      <c r="EA64" s="436"/>
      <c r="EB64" s="436"/>
      <c r="EC64" s="436"/>
      <c r="ED64" s="436"/>
      <c r="EE64" s="436"/>
      <c r="EF64" s="436"/>
      <c r="EG64" s="436"/>
      <c r="EH64" s="436"/>
      <c r="EI64" s="436"/>
      <c r="EJ64" s="436"/>
      <c r="EK64" s="436"/>
      <c r="EL64" s="436"/>
      <c r="EM64" s="436"/>
    </row>
    <row r="65" spans="1:143" ht="14.5" x14ac:dyDescent="0.35">
      <c r="A65" s="436"/>
      <c r="B65" s="433">
        <v>58</v>
      </c>
      <c r="C65" s="434" t="s">
        <v>882</v>
      </c>
      <c r="D65" s="340" t="s">
        <v>242</v>
      </c>
      <c r="E65" s="340" t="s">
        <v>241</v>
      </c>
      <c r="F65" s="340" t="s">
        <v>260</v>
      </c>
      <c r="G65" s="444">
        <v>453.45</v>
      </c>
      <c r="H65" s="444">
        <v>526</v>
      </c>
      <c r="I65" s="696" t="s">
        <v>1018</v>
      </c>
      <c r="J65" s="697"/>
      <c r="K65" s="697"/>
      <c r="L65" s="697"/>
      <c r="M65" s="697"/>
      <c r="N65" s="697"/>
      <c r="O65" s="697"/>
      <c r="P65" s="696"/>
      <c r="Q65" s="696"/>
      <c r="R65" s="696"/>
      <c r="S65" s="697"/>
      <c r="T65" s="697"/>
      <c r="U65" s="697"/>
      <c r="V65" s="697"/>
      <c r="W65" s="697"/>
      <c r="X65" s="697"/>
      <c r="Y65" s="697"/>
      <c r="Z65" s="697"/>
      <c r="AA65" s="697"/>
      <c r="AB65" s="697"/>
      <c r="AC65" s="697"/>
      <c r="AD65" s="697"/>
      <c r="AE65" s="697"/>
      <c r="AF65" s="698"/>
      <c r="AG65" s="697"/>
      <c r="AH65" s="698"/>
      <c r="AI65" s="697"/>
      <c r="AJ65" s="697"/>
      <c r="AK65" s="696" t="s">
        <v>1018</v>
      </c>
      <c r="AL65" s="699"/>
      <c r="AM65" s="699"/>
      <c r="AN65" s="699"/>
      <c r="AO65" s="696" t="s">
        <v>1018</v>
      </c>
      <c r="AP65" s="699"/>
      <c r="AQ65" s="699"/>
      <c r="AR65" s="699"/>
      <c r="AS65" s="699"/>
      <c r="AU65" s="715"/>
      <c r="AV65" s="716"/>
      <c r="AW65" s="716"/>
      <c r="AX65" s="716"/>
      <c r="AY65" s="716"/>
      <c r="AZ65" s="716"/>
      <c r="BA65" s="716"/>
      <c r="BB65" s="715"/>
      <c r="BC65" s="715"/>
      <c r="BD65" s="715"/>
      <c r="BE65" s="716"/>
      <c r="BF65" s="716"/>
      <c r="BG65" s="716"/>
      <c r="BH65" s="716"/>
      <c r="BI65" s="716"/>
      <c r="BJ65" s="716"/>
      <c r="BK65" s="716"/>
      <c r="BL65" s="716"/>
      <c r="BM65" s="716"/>
      <c r="BN65" s="716"/>
      <c r="BO65" s="716"/>
      <c r="BP65" s="716"/>
      <c r="BQ65" s="716"/>
      <c r="BR65" s="717"/>
      <c r="BS65" s="716"/>
      <c r="BT65" s="717"/>
      <c r="BU65" s="716"/>
      <c r="BV65" s="716"/>
      <c r="BW65" s="715"/>
      <c r="BX65" s="718"/>
      <c r="BY65" s="718"/>
      <c r="BZ65" s="718"/>
      <c r="CA65" s="715"/>
      <c r="CB65" s="718"/>
      <c r="CC65" s="718"/>
      <c r="CD65" s="718"/>
      <c r="CE65" s="718"/>
      <c r="CF65" s="720"/>
      <c r="CG65" s="436"/>
      <c r="CH65" s="436"/>
      <c r="CI65" s="436"/>
      <c r="CJ65" s="436"/>
      <c r="CK65" s="436"/>
      <c r="CL65" s="436"/>
      <c r="CM65" s="436"/>
      <c r="CN65" s="436"/>
      <c r="CO65" s="436"/>
      <c r="CP65" s="436"/>
      <c r="CQ65" s="436"/>
      <c r="CR65" s="436"/>
      <c r="CS65" s="436"/>
      <c r="CT65" s="436"/>
      <c r="CU65" s="436"/>
      <c r="CV65" s="436"/>
      <c r="CW65" s="436"/>
      <c r="CX65" s="436"/>
      <c r="CY65" s="436"/>
      <c r="CZ65" s="436"/>
      <c r="DA65" s="436"/>
      <c r="DB65" s="436"/>
      <c r="DC65" s="436"/>
      <c r="DD65" s="436"/>
      <c r="DE65" s="436"/>
      <c r="DF65" s="436"/>
      <c r="DG65" s="436"/>
      <c r="DH65" s="436"/>
      <c r="DI65" s="436"/>
      <c r="DJ65" s="436"/>
      <c r="DK65" s="436"/>
      <c r="DL65" s="436"/>
      <c r="DM65" s="436"/>
      <c r="DN65" s="436"/>
      <c r="DO65" s="436"/>
      <c r="DP65" s="436"/>
      <c r="DQ65" s="436"/>
      <c r="DR65" s="436"/>
      <c r="DS65" s="436"/>
      <c r="DT65" s="436"/>
      <c r="DU65" s="436"/>
      <c r="DV65" s="436"/>
      <c r="DW65" s="436"/>
      <c r="DX65" s="436"/>
      <c r="DY65" s="436"/>
      <c r="DZ65" s="436"/>
      <c r="EA65" s="436"/>
      <c r="EB65" s="436"/>
      <c r="EC65" s="436"/>
      <c r="ED65" s="436"/>
      <c r="EE65" s="436"/>
      <c r="EF65" s="436"/>
      <c r="EG65" s="436"/>
      <c r="EH65" s="436"/>
      <c r="EI65" s="436"/>
      <c r="EJ65" s="436"/>
      <c r="EK65" s="436"/>
      <c r="EL65" s="436"/>
      <c r="EM65" s="436"/>
    </row>
    <row r="66" spans="1:143" ht="14.5" x14ac:dyDescent="0.35">
      <c r="A66" s="436"/>
      <c r="B66" s="433">
        <v>59</v>
      </c>
      <c r="C66" s="434" t="s">
        <v>883</v>
      </c>
      <c r="D66" s="340" t="s">
        <v>242</v>
      </c>
      <c r="E66" s="340" t="s">
        <v>241</v>
      </c>
      <c r="F66" s="340" t="s">
        <v>260</v>
      </c>
      <c r="G66" s="444">
        <v>513.79</v>
      </c>
      <c r="H66" s="444">
        <v>596</v>
      </c>
      <c r="I66" s="696" t="s">
        <v>1018</v>
      </c>
      <c r="J66" s="697"/>
      <c r="K66" s="697"/>
      <c r="L66" s="697"/>
      <c r="M66" s="697"/>
      <c r="N66" s="697"/>
      <c r="O66" s="697"/>
      <c r="P66" s="696"/>
      <c r="Q66" s="696"/>
      <c r="R66" s="696"/>
      <c r="S66" s="697"/>
      <c r="T66" s="697"/>
      <c r="U66" s="697"/>
      <c r="V66" s="697"/>
      <c r="W66" s="697"/>
      <c r="X66" s="697"/>
      <c r="Y66" s="697"/>
      <c r="Z66" s="697"/>
      <c r="AA66" s="697"/>
      <c r="AB66" s="697"/>
      <c r="AC66" s="697"/>
      <c r="AD66" s="697"/>
      <c r="AE66" s="697"/>
      <c r="AF66" s="698"/>
      <c r="AG66" s="697"/>
      <c r="AH66" s="698"/>
      <c r="AI66" s="697"/>
      <c r="AJ66" s="697"/>
      <c r="AK66" s="696" t="s">
        <v>1018</v>
      </c>
      <c r="AL66" s="699"/>
      <c r="AM66" s="699"/>
      <c r="AN66" s="699"/>
      <c r="AO66" s="696" t="s">
        <v>1018</v>
      </c>
      <c r="AP66" s="699"/>
      <c r="AQ66" s="699"/>
      <c r="AR66" s="699"/>
      <c r="AS66" s="699"/>
      <c r="AU66" s="715"/>
      <c r="AV66" s="716"/>
      <c r="AW66" s="716"/>
      <c r="AX66" s="716"/>
      <c r="AY66" s="716"/>
      <c r="AZ66" s="716"/>
      <c r="BA66" s="716"/>
      <c r="BB66" s="715"/>
      <c r="BC66" s="715"/>
      <c r="BD66" s="715"/>
      <c r="BE66" s="716"/>
      <c r="BF66" s="716"/>
      <c r="BG66" s="716"/>
      <c r="BH66" s="716"/>
      <c r="BI66" s="716"/>
      <c r="BJ66" s="716"/>
      <c r="BK66" s="716"/>
      <c r="BL66" s="716"/>
      <c r="BM66" s="716"/>
      <c r="BN66" s="716"/>
      <c r="BO66" s="716"/>
      <c r="BP66" s="716"/>
      <c r="BQ66" s="716"/>
      <c r="BR66" s="717"/>
      <c r="BS66" s="716"/>
      <c r="BT66" s="717"/>
      <c r="BU66" s="716"/>
      <c r="BV66" s="716"/>
      <c r="BW66" s="715"/>
      <c r="BX66" s="718"/>
      <c r="BY66" s="718"/>
      <c r="BZ66" s="718"/>
      <c r="CA66" s="715"/>
      <c r="CB66" s="718"/>
      <c r="CC66" s="718"/>
      <c r="CD66" s="718"/>
      <c r="CE66" s="718"/>
      <c r="CF66" s="720"/>
      <c r="CG66" s="436"/>
      <c r="CH66" s="436"/>
      <c r="CI66" s="436"/>
      <c r="CJ66" s="436"/>
      <c r="CK66" s="436"/>
      <c r="CL66" s="436"/>
      <c r="CM66" s="436"/>
      <c r="CN66" s="436"/>
      <c r="CO66" s="436"/>
      <c r="CP66" s="436"/>
      <c r="CQ66" s="436"/>
      <c r="CR66" s="436"/>
      <c r="CS66" s="436"/>
      <c r="CT66" s="436"/>
      <c r="CU66" s="436"/>
      <c r="CV66" s="436"/>
      <c r="CW66" s="436"/>
      <c r="CX66" s="436"/>
      <c r="CY66" s="436"/>
      <c r="CZ66" s="436"/>
      <c r="DA66" s="436"/>
      <c r="DB66" s="436"/>
      <c r="DC66" s="436"/>
      <c r="DD66" s="436"/>
      <c r="DE66" s="436"/>
      <c r="DF66" s="436"/>
      <c r="DG66" s="436"/>
      <c r="DH66" s="436"/>
      <c r="DI66" s="436"/>
      <c r="DJ66" s="436"/>
      <c r="DK66" s="436"/>
      <c r="DL66" s="436"/>
      <c r="DM66" s="436"/>
      <c r="DN66" s="436"/>
      <c r="DO66" s="436"/>
      <c r="DP66" s="436"/>
      <c r="DQ66" s="436"/>
      <c r="DR66" s="436"/>
      <c r="DS66" s="436"/>
      <c r="DT66" s="436"/>
      <c r="DU66" s="436"/>
      <c r="DV66" s="436"/>
      <c r="DW66" s="436"/>
      <c r="DX66" s="436"/>
      <c r="DY66" s="436"/>
      <c r="DZ66" s="436"/>
      <c r="EA66" s="436"/>
      <c r="EB66" s="436"/>
      <c r="EC66" s="436"/>
      <c r="ED66" s="436"/>
      <c r="EE66" s="436"/>
      <c r="EF66" s="436"/>
      <c r="EG66" s="436"/>
      <c r="EH66" s="436"/>
      <c r="EI66" s="436"/>
      <c r="EJ66" s="436"/>
      <c r="EK66" s="436"/>
      <c r="EL66" s="436"/>
      <c r="EM66" s="436"/>
    </row>
    <row r="67" spans="1:143" ht="14.5" x14ac:dyDescent="0.35">
      <c r="A67" s="436"/>
      <c r="B67" s="433">
        <v>60</v>
      </c>
      <c r="C67" s="434" t="s">
        <v>884</v>
      </c>
      <c r="D67" s="340" t="s">
        <v>242</v>
      </c>
      <c r="E67" s="340" t="s">
        <v>241</v>
      </c>
      <c r="F67" s="340" t="s">
        <v>260</v>
      </c>
      <c r="G67" s="444">
        <v>491.38</v>
      </c>
      <c r="H67" s="444">
        <v>570</v>
      </c>
      <c r="I67" s="696" t="s">
        <v>1018</v>
      </c>
      <c r="J67" s="697"/>
      <c r="K67" s="697"/>
      <c r="L67" s="697"/>
      <c r="M67" s="697"/>
      <c r="N67" s="697"/>
      <c r="O67" s="697"/>
      <c r="P67" s="696"/>
      <c r="Q67" s="696"/>
      <c r="R67" s="696"/>
      <c r="S67" s="697"/>
      <c r="T67" s="697"/>
      <c r="U67" s="697"/>
      <c r="V67" s="697"/>
      <c r="W67" s="697"/>
      <c r="X67" s="697"/>
      <c r="Y67" s="697"/>
      <c r="Z67" s="697"/>
      <c r="AA67" s="697"/>
      <c r="AB67" s="697"/>
      <c r="AC67" s="697"/>
      <c r="AD67" s="697"/>
      <c r="AE67" s="697"/>
      <c r="AF67" s="698"/>
      <c r="AG67" s="697"/>
      <c r="AH67" s="698"/>
      <c r="AI67" s="697"/>
      <c r="AJ67" s="697"/>
      <c r="AK67" s="696" t="s">
        <v>1018</v>
      </c>
      <c r="AL67" s="699"/>
      <c r="AM67" s="699"/>
      <c r="AN67" s="699"/>
      <c r="AO67" s="696" t="s">
        <v>1018</v>
      </c>
      <c r="AP67" s="699"/>
      <c r="AQ67" s="699"/>
      <c r="AR67" s="699"/>
      <c r="AS67" s="699"/>
      <c r="AU67" s="715"/>
      <c r="AV67" s="716"/>
      <c r="AW67" s="716"/>
      <c r="AX67" s="716"/>
      <c r="AY67" s="716"/>
      <c r="AZ67" s="716"/>
      <c r="BA67" s="716"/>
      <c r="BB67" s="715"/>
      <c r="BC67" s="715"/>
      <c r="BD67" s="715"/>
      <c r="BE67" s="716"/>
      <c r="BF67" s="716"/>
      <c r="BG67" s="716"/>
      <c r="BH67" s="716"/>
      <c r="BI67" s="716"/>
      <c r="BJ67" s="716"/>
      <c r="BK67" s="716"/>
      <c r="BL67" s="716"/>
      <c r="BM67" s="716"/>
      <c r="BN67" s="716"/>
      <c r="BO67" s="716"/>
      <c r="BP67" s="716"/>
      <c r="BQ67" s="716"/>
      <c r="BR67" s="717"/>
      <c r="BS67" s="716"/>
      <c r="BT67" s="717"/>
      <c r="BU67" s="716"/>
      <c r="BV67" s="716"/>
      <c r="BW67" s="715"/>
      <c r="BX67" s="718"/>
      <c r="BY67" s="718"/>
      <c r="BZ67" s="718"/>
      <c r="CA67" s="715"/>
      <c r="CB67" s="718"/>
      <c r="CC67" s="718"/>
      <c r="CD67" s="718"/>
      <c r="CE67" s="718"/>
      <c r="CF67" s="720"/>
      <c r="CG67" s="436"/>
      <c r="CH67" s="436"/>
      <c r="CI67" s="436"/>
      <c r="CJ67" s="436"/>
      <c r="CK67" s="436"/>
      <c r="CL67" s="436"/>
      <c r="CM67" s="436"/>
      <c r="CN67" s="436"/>
      <c r="CO67" s="436"/>
      <c r="CP67" s="436"/>
      <c r="CQ67" s="436"/>
      <c r="CR67" s="436"/>
      <c r="CS67" s="436"/>
      <c r="CT67" s="436"/>
      <c r="CU67" s="436"/>
      <c r="CV67" s="436"/>
      <c r="CW67" s="436"/>
      <c r="CX67" s="436"/>
      <c r="CY67" s="436"/>
      <c r="CZ67" s="436"/>
      <c r="DA67" s="436"/>
      <c r="DB67" s="436"/>
      <c r="DC67" s="436"/>
      <c r="DD67" s="436"/>
      <c r="DE67" s="436"/>
      <c r="DF67" s="436"/>
      <c r="DG67" s="436"/>
      <c r="DH67" s="436"/>
      <c r="DI67" s="436"/>
      <c r="DJ67" s="436"/>
      <c r="DK67" s="436"/>
      <c r="DL67" s="436"/>
      <c r="DM67" s="436"/>
      <c r="DN67" s="436"/>
      <c r="DO67" s="436"/>
      <c r="DP67" s="436"/>
      <c r="DQ67" s="436"/>
      <c r="DR67" s="436"/>
      <c r="DS67" s="436"/>
      <c r="DT67" s="436"/>
      <c r="DU67" s="436"/>
      <c r="DV67" s="436"/>
      <c r="DW67" s="436"/>
      <c r="DX67" s="436"/>
      <c r="DY67" s="436"/>
      <c r="DZ67" s="436"/>
      <c r="EA67" s="436"/>
      <c r="EB67" s="436"/>
      <c r="EC67" s="436"/>
      <c r="ED67" s="436"/>
      <c r="EE67" s="436"/>
      <c r="EF67" s="436"/>
      <c r="EG67" s="436"/>
      <c r="EH67" s="436"/>
      <c r="EI67" s="436"/>
      <c r="EJ67" s="436"/>
      <c r="EK67" s="436"/>
      <c r="EL67" s="436"/>
      <c r="EM67" s="436"/>
    </row>
    <row r="68" spans="1:143" ht="14.5" x14ac:dyDescent="0.35">
      <c r="A68" s="436"/>
      <c r="B68" s="433">
        <v>61</v>
      </c>
      <c r="C68" s="434" t="s">
        <v>885</v>
      </c>
      <c r="D68" s="340" t="s">
        <v>242</v>
      </c>
      <c r="E68" s="340" t="s">
        <v>241</v>
      </c>
      <c r="F68" s="340" t="s">
        <v>260</v>
      </c>
      <c r="G68" s="444">
        <v>551.72</v>
      </c>
      <c r="H68" s="444">
        <v>640</v>
      </c>
      <c r="I68" s="696" t="s">
        <v>1018</v>
      </c>
      <c r="J68" s="697"/>
      <c r="K68" s="697"/>
      <c r="L68" s="697"/>
      <c r="M68" s="697"/>
      <c r="N68" s="697"/>
      <c r="O68" s="697"/>
      <c r="P68" s="696"/>
      <c r="Q68" s="696"/>
      <c r="R68" s="696"/>
      <c r="S68" s="697"/>
      <c r="T68" s="697"/>
      <c r="U68" s="697"/>
      <c r="V68" s="697"/>
      <c r="W68" s="697"/>
      <c r="X68" s="697"/>
      <c r="Y68" s="697"/>
      <c r="Z68" s="697"/>
      <c r="AA68" s="697"/>
      <c r="AB68" s="697"/>
      <c r="AC68" s="697"/>
      <c r="AD68" s="697"/>
      <c r="AE68" s="697"/>
      <c r="AF68" s="698"/>
      <c r="AG68" s="697"/>
      <c r="AH68" s="698"/>
      <c r="AI68" s="697"/>
      <c r="AJ68" s="697"/>
      <c r="AK68" s="696" t="s">
        <v>1018</v>
      </c>
      <c r="AL68" s="699"/>
      <c r="AM68" s="699"/>
      <c r="AN68" s="699"/>
      <c r="AO68" s="696" t="s">
        <v>1018</v>
      </c>
      <c r="AP68" s="699"/>
      <c r="AQ68" s="699"/>
      <c r="AR68" s="699"/>
      <c r="AS68" s="699"/>
      <c r="AU68" s="715"/>
      <c r="AV68" s="716"/>
      <c r="AW68" s="716"/>
      <c r="AX68" s="716"/>
      <c r="AY68" s="716"/>
      <c r="AZ68" s="716"/>
      <c r="BA68" s="716"/>
      <c r="BB68" s="715"/>
      <c r="BC68" s="715"/>
      <c r="BD68" s="715"/>
      <c r="BE68" s="716"/>
      <c r="BF68" s="716"/>
      <c r="BG68" s="716"/>
      <c r="BH68" s="716"/>
      <c r="BI68" s="716"/>
      <c r="BJ68" s="716"/>
      <c r="BK68" s="716"/>
      <c r="BL68" s="716"/>
      <c r="BM68" s="716"/>
      <c r="BN68" s="716"/>
      <c r="BO68" s="716"/>
      <c r="BP68" s="716"/>
      <c r="BQ68" s="716"/>
      <c r="BR68" s="717"/>
      <c r="BS68" s="716"/>
      <c r="BT68" s="717"/>
      <c r="BU68" s="716"/>
      <c r="BV68" s="716"/>
      <c r="BW68" s="715"/>
      <c r="BX68" s="718"/>
      <c r="BY68" s="718"/>
      <c r="BZ68" s="718"/>
      <c r="CA68" s="715"/>
      <c r="CB68" s="718"/>
      <c r="CC68" s="718"/>
      <c r="CD68" s="718"/>
      <c r="CE68" s="718"/>
      <c r="CF68" s="720"/>
      <c r="CG68" s="436"/>
      <c r="CH68" s="436"/>
      <c r="CI68" s="436"/>
      <c r="CJ68" s="436"/>
      <c r="CK68" s="436"/>
      <c r="CL68" s="436"/>
      <c r="CM68" s="436"/>
      <c r="CN68" s="436"/>
      <c r="CO68" s="436"/>
      <c r="CP68" s="436"/>
      <c r="CQ68" s="436"/>
      <c r="CR68" s="436"/>
      <c r="CS68" s="436"/>
      <c r="CT68" s="436"/>
      <c r="CU68" s="436"/>
      <c r="CV68" s="436"/>
      <c r="CW68" s="436"/>
      <c r="CX68" s="436"/>
      <c r="CY68" s="436"/>
      <c r="CZ68" s="436"/>
      <c r="DA68" s="436"/>
      <c r="DB68" s="436"/>
      <c r="DC68" s="436"/>
      <c r="DD68" s="436"/>
      <c r="DE68" s="436"/>
      <c r="DF68" s="436"/>
      <c r="DG68" s="436"/>
      <c r="DH68" s="436"/>
      <c r="DI68" s="436"/>
      <c r="DJ68" s="436"/>
      <c r="DK68" s="436"/>
      <c r="DL68" s="436"/>
      <c r="DM68" s="436"/>
      <c r="DN68" s="436"/>
      <c r="DO68" s="436"/>
      <c r="DP68" s="436"/>
      <c r="DQ68" s="436"/>
      <c r="DR68" s="436"/>
      <c r="DS68" s="436"/>
      <c r="DT68" s="436"/>
      <c r="DU68" s="436"/>
      <c r="DV68" s="436"/>
      <c r="DW68" s="436"/>
      <c r="DX68" s="436"/>
      <c r="DY68" s="436"/>
      <c r="DZ68" s="436"/>
      <c r="EA68" s="436"/>
      <c r="EB68" s="436"/>
      <c r="EC68" s="436"/>
      <c r="ED68" s="436"/>
      <c r="EE68" s="436"/>
      <c r="EF68" s="436"/>
      <c r="EG68" s="436"/>
      <c r="EH68" s="436"/>
      <c r="EI68" s="436"/>
      <c r="EJ68" s="436"/>
      <c r="EK68" s="436"/>
      <c r="EL68" s="436"/>
      <c r="EM68" s="436"/>
    </row>
    <row r="69" spans="1:143" ht="14.5" x14ac:dyDescent="0.35">
      <c r="A69" s="436"/>
      <c r="B69" s="433">
        <v>62</v>
      </c>
      <c r="C69" s="434" t="s">
        <v>886</v>
      </c>
      <c r="D69" s="340" t="s">
        <v>242</v>
      </c>
      <c r="E69" s="340" t="s">
        <v>241</v>
      </c>
      <c r="F69" s="340" t="s">
        <v>260</v>
      </c>
      <c r="G69" s="444">
        <v>658.62</v>
      </c>
      <c r="H69" s="444">
        <v>764</v>
      </c>
      <c r="I69" s="696" t="s">
        <v>1018</v>
      </c>
      <c r="J69" s="697"/>
      <c r="K69" s="697"/>
      <c r="L69" s="697"/>
      <c r="M69" s="697"/>
      <c r="N69" s="697"/>
      <c r="O69" s="697"/>
      <c r="P69" s="696"/>
      <c r="Q69" s="696"/>
      <c r="R69" s="696"/>
      <c r="S69" s="697"/>
      <c r="T69" s="697"/>
      <c r="U69" s="697"/>
      <c r="V69" s="697"/>
      <c r="W69" s="697"/>
      <c r="X69" s="697"/>
      <c r="Y69" s="697"/>
      <c r="Z69" s="697"/>
      <c r="AA69" s="697"/>
      <c r="AB69" s="697"/>
      <c r="AC69" s="697"/>
      <c r="AD69" s="697"/>
      <c r="AE69" s="697"/>
      <c r="AF69" s="698"/>
      <c r="AG69" s="697"/>
      <c r="AH69" s="698"/>
      <c r="AI69" s="697"/>
      <c r="AJ69" s="697"/>
      <c r="AK69" s="696" t="s">
        <v>1018</v>
      </c>
      <c r="AL69" s="699"/>
      <c r="AM69" s="699"/>
      <c r="AN69" s="699"/>
      <c r="AO69" s="696" t="s">
        <v>1018</v>
      </c>
      <c r="AP69" s="699"/>
      <c r="AQ69" s="699"/>
      <c r="AR69" s="699"/>
      <c r="AS69" s="699"/>
      <c r="AU69" s="715"/>
      <c r="AV69" s="716"/>
      <c r="AW69" s="716"/>
      <c r="AX69" s="716"/>
      <c r="AY69" s="716"/>
      <c r="AZ69" s="716"/>
      <c r="BA69" s="716"/>
      <c r="BB69" s="715"/>
      <c r="BC69" s="715"/>
      <c r="BD69" s="715"/>
      <c r="BE69" s="716"/>
      <c r="BF69" s="716"/>
      <c r="BG69" s="716"/>
      <c r="BH69" s="716"/>
      <c r="BI69" s="716"/>
      <c r="BJ69" s="716"/>
      <c r="BK69" s="716"/>
      <c r="BL69" s="716"/>
      <c r="BM69" s="716"/>
      <c r="BN69" s="716"/>
      <c r="BO69" s="716"/>
      <c r="BP69" s="716"/>
      <c r="BQ69" s="716"/>
      <c r="BR69" s="717"/>
      <c r="BS69" s="716"/>
      <c r="BT69" s="717"/>
      <c r="BU69" s="716"/>
      <c r="BV69" s="716"/>
      <c r="BW69" s="715"/>
      <c r="BX69" s="718"/>
      <c r="BY69" s="718"/>
      <c r="BZ69" s="718"/>
      <c r="CA69" s="715"/>
      <c r="CB69" s="718"/>
      <c r="CC69" s="718"/>
      <c r="CD69" s="718"/>
      <c r="CE69" s="718"/>
      <c r="CF69" s="720"/>
      <c r="CG69" s="436"/>
      <c r="CH69" s="436"/>
      <c r="CI69" s="436"/>
      <c r="CJ69" s="436"/>
      <c r="CK69" s="436"/>
      <c r="CL69" s="436"/>
      <c r="CM69" s="436"/>
      <c r="CN69" s="436"/>
      <c r="CO69" s="436"/>
      <c r="CP69" s="436"/>
      <c r="CQ69" s="436"/>
      <c r="CR69" s="436"/>
      <c r="CS69" s="436"/>
      <c r="CT69" s="436"/>
      <c r="CU69" s="436"/>
      <c r="CV69" s="436"/>
      <c r="CW69" s="436"/>
      <c r="CX69" s="436"/>
      <c r="CY69" s="436"/>
      <c r="CZ69" s="436"/>
      <c r="DA69" s="436"/>
      <c r="DB69" s="436"/>
      <c r="DC69" s="436"/>
      <c r="DD69" s="436"/>
      <c r="DE69" s="436"/>
      <c r="DF69" s="436"/>
      <c r="DG69" s="436"/>
      <c r="DH69" s="436"/>
      <c r="DI69" s="436"/>
      <c r="DJ69" s="436"/>
      <c r="DK69" s="436"/>
      <c r="DL69" s="436"/>
      <c r="DM69" s="436"/>
      <c r="DN69" s="436"/>
      <c r="DO69" s="436"/>
      <c r="DP69" s="436"/>
      <c r="DQ69" s="436"/>
      <c r="DR69" s="436"/>
      <c r="DS69" s="436"/>
      <c r="DT69" s="436"/>
      <c r="DU69" s="436"/>
      <c r="DV69" s="436"/>
      <c r="DW69" s="436"/>
      <c r="DX69" s="436"/>
      <c r="DY69" s="436"/>
      <c r="DZ69" s="436"/>
      <c r="EA69" s="436"/>
      <c r="EB69" s="436"/>
      <c r="EC69" s="436"/>
      <c r="ED69" s="436"/>
      <c r="EE69" s="436"/>
      <c r="EF69" s="436"/>
      <c r="EG69" s="436"/>
      <c r="EH69" s="436"/>
      <c r="EI69" s="436"/>
      <c r="EJ69" s="436"/>
      <c r="EK69" s="436"/>
      <c r="EL69" s="436"/>
      <c r="EM69" s="436"/>
    </row>
    <row r="70" spans="1:143" ht="14.5" x14ac:dyDescent="0.35">
      <c r="A70" s="436"/>
      <c r="B70" s="433">
        <v>63</v>
      </c>
      <c r="C70" s="434" t="s">
        <v>887</v>
      </c>
      <c r="D70" s="340" t="s">
        <v>242</v>
      </c>
      <c r="E70" s="340" t="s">
        <v>241</v>
      </c>
      <c r="F70" s="340" t="s">
        <v>260</v>
      </c>
      <c r="G70" s="444">
        <v>617.25</v>
      </c>
      <c r="H70" s="444">
        <v>716</v>
      </c>
      <c r="I70" s="696" t="s">
        <v>1018</v>
      </c>
      <c r="J70" s="697"/>
      <c r="K70" s="697"/>
      <c r="L70" s="697"/>
      <c r="M70" s="697"/>
      <c r="N70" s="697"/>
      <c r="O70" s="697"/>
      <c r="P70" s="696"/>
      <c r="Q70" s="696"/>
      <c r="R70" s="696"/>
      <c r="S70" s="697"/>
      <c r="T70" s="697"/>
      <c r="U70" s="697"/>
      <c r="V70" s="697"/>
      <c r="W70" s="697"/>
      <c r="X70" s="697"/>
      <c r="Y70" s="697"/>
      <c r="Z70" s="697"/>
      <c r="AA70" s="697"/>
      <c r="AB70" s="697"/>
      <c r="AC70" s="697"/>
      <c r="AD70" s="697"/>
      <c r="AE70" s="697"/>
      <c r="AF70" s="698"/>
      <c r="AG70" s="697"/>
      <c r="AH70" s="698"/>
      <c r="AI70" s="697"/>
      <c r="AJ70" s="697"/>
      <c r="AK70" s="696" t="s">
        <v>1018</v>
      </c>
      <c r="AL70" s="699"/>
      <c r="AM70" s="699"/>
      <c r="AN70" s="699"/>
      <c r="AO70" s="696" t="s">
        <v>1018</v>
      </c>
      <c r="AP70" s="699"/>
      <c r="AQ70" s="699"/>
      <c r="AR70" s="699"/>
      <c r="AS70" s="699"/>
      <c r="AU70" s="715"/>
      <c r="AV70" s="716"/>
      <c r="AW70" s="716"/>
      <c r="AX70" s="716"/>
      <c r="AY70" s="716"/>
      <c r="AZ70" s="716"/>
      <c r="BA70" s="716"/>
      <c r="BB70" s="715"/>
      <c r="BC70" s="715"/>
      <c r="BD70" s="715"/>
      <c r="BE70" s="716"/>
      <c r="BF70" s="716"/>
      <c r="BG70" s="716"/>
      <c r="BH70" s="716"/>
      <c r="BI70" s="716"/>
      <c r="BJ70" s="716"/>
      <c r="BK70" s="716"/>
      <c r="BL70" s="716"/>
      <c r="BM70" s="716"/>
      <c r="BN70" s="716"/>
      <c r="BO70" s="716"/>
      <c r="BP70" s="716"/>
      <c r="BQ70" s="716"/>
      <c r="BR70" s="717"/>
      <c r="BS70" s="716"/>
      <c r="BT70" s="717"/>
      <c r="BU70" s="716"/>
      <c r="BV70" s="716"/>
      <c r="BW70" s="715"/>
      <c r="BX70" s="718"/>
      <c r="BY70" s="718"/>
      <c r="BZ70" s="718"/>
      <c r="CA70" s="715"/>
      <c r="CB70" s="718"/>
      <c r="CC70" s="718"/>
      <c r="CD70" s="718"/>
      <c r="CE70" s="718"/>
      <c r="CF70" s="720"/>
      <c r="CG70" s="436"/>
      <c r="CH70" s="436"/>
      <c r="CI70" s="436"/>
      <c r="CJ70" s="436"/>
      <c r="CK70" s="436"/>
      <c r="CL70" s="436"/>
      <c r="CM70" s="436"/>
      <c r="CN70" s="436"/>
      <c r="CO70" s="436"/>
      <c r="CP70" s="436"/>
      <c r="CQ70" s="436"/>
      <c r="CR70" s="436"/>
      <c r="CS70" s="436"/>
      <c r="CT70" s="436"/>
      <c r="CU70" s="436"/>
      <c r="CV70" s="436"/>
      <c r="CW70" s="436"/>
      <c r="CX70" s="436"/>
      <c r="CY70" s="436"/>
      <c r="CZ70" s="436"/>
      <c r="DA70" s="436"/>
      <c r="DB70" s="436"/>
      <c r="DC70" s="436"/>
      <c r="DD70" s="436"/>
      <c r="DE70" s="436"/>
      <c r="DF70" s="436"/>
      <c r="DG70" s="436"/>
      <c r="DH70" s="436"/>
      <c r="DI70" s="436"/>
      <c r="DJ70" s="436"/>
      <c r="DK70" s="436"/>
      <c r="DL70" s="436"/>
      <c r="DM70" s="436"/>
      <c r="DN70" s="436"/>
      <c r="DO70" s="436"/>
      <c r="DP70" s="436"/>
      <c r="DQ70" s="436"/>
      <c r="DR70" s="436"/>
      <c r="DS70" s="436"/>
      <c r="DT70" s="436"/>
      <c r="DU70" s="436"/>
      <c r="DV70" s="436"/>
      <c r="DW70" s="436"/>
      <c r="DX70" s="436"/>
      <c r="DY70" s="436"/>
      <c r="DZ70" s="436"/>
      <c r="EA70" s="436"/>
      <c r="EB70" s="436"/>
      <c r="EC70" s="436"/>
      <c r="ED70" s="436"/>
      <c r="EE70" s="436"/>
      <c r="EF70" s="436"/>
      <c r="EG70" s="436"/>
      <c r="EH70" s="436"/>
      <c r="EI70" s="436"/>
      <c r="EJ70" s="436"/>
      <c r="EK70" s="436"/>
      <c r="EL70" s="436"/>
      <c r="EM70" s="436"/>
    </row>
    <row r="71" spans="1:143" ht="14.5" outlineLevel="1" x14ac:dyDescent="0.35">
      <c r="A71" s="436"/>
      <c r="B71" s="433">
        <v>64</v>
      </c>
      <c r="C71" s="434" t="s">
        <v>888</v>
      </c>
      <c r="D71" s="340" t="s">
        <v>242</v>
      </c>
      <c r="E71" s="340" t="s">
        <v>241</v>
      </c>
      <c r="F71" s="340" t="s">
        <v>260</v>
      </c>
      <c r="G71" s="444">
        <v>936.21</v>
      </c>
      <c r="H71" s="444">
        <v>1086</v>
      </c>
      <c r="I71" s="696" t="s">
        <v>1018</v>
      </c>
      <c r="J71" s="697"/>
      <c r="K71" s="697"/>
      <c r="L71" s="697"/>
      <c r="M71" s="697"/>
      <c r="N71" s="697"/>
      <c r="O71" s="697"/>
      <c r="P71" s="696"/>
      <c r="Q71" s="696"/>
      <c r="R71" s="696"/>
      <c r="S71" s="697"/>
      <c r="T71" s="697"/>
      <c r="U71" s="697"/>
      <c r="V71" s="697"/>
      <c r="W71" s="697"/>
      <c r="X71" s="697"/>
      <c r="Y71" s="697"/>
      <c r="Z71" s="697"/>
      <c r="AA71" s="697"/>
      <c r="AB71" s="697"/>
      <c r="AC71" s="697"/>
      <c r="AD71" s="697"/>
      <c r="AE71" s="697"/>
      <c r="AF71" s="698"/>
      <c r="AG71" s="697"/>
      <c r="AH71" s="698"/>
      <c r="AI71" s="697"/>
      <c r="AJ71" s="697"/>
      <c r="AK71" s="696" t="s">
        <v>1018</v>
      </c>
      <c r="AL71" s="699"/>
      <c r="AM71" s="699"/>
      <c r="AN71" s="699"/>
      <c r="AO71" s="696" t="s">
        <v>1018</v>
      </c>
      <c r="AP71" s="699"/>
      <c r="AQ71" s="699"/>
      <c r="AR71" s="699"/>
      <c r="AS71" s="699"/>
      <c r="AU71" s="715"/>
      <c r="AV71" s="716"/>
      <c r="AW71" s="716"/>
      <c r="AX71" s="716"/>
      <c r="AY71" s="716"/>
      <c r="AZ71" s="716"/>
      <c r="BA71" s="716"/>
      <c r="BB71" s="715"/>
      <c r="BC71" s="715"/>
      <c r="BD71" s="715"/>
      <c r="BE71" s="716"/>
      <c r="BF71" s="716"/>
      <c r="BG71" s="716"/>
      <c r="BH71" s="716"/>
      <c r="BI71" s="716"/>
      <c r="BJ71" s="716"/>
      <c r="BK71" s="716"/>
      <c r="BL71" s="716"/>
      <c r="BM71" s="716"/>
      <c r="BN71" s="716"/>
      <c r="BO71" s="716"/>
      <c r="BP71" s="716"/>
      <c r="BQ71" s="716"/>
      <c r="BR71" s="717"/>
      <c r="BS71" s="716"/>
      <c r="BT71" s="717"/>
      <c r="BU71" s="716"/>
      <c r="BV71" s="716"/>
      <c r="BW71" s="715"/>
      <c r="BX71" s="718"/>
      <c r="BY71" s="718"/>
      <c r="BZ71" s="718"/>
      <c r="CA71" s="715"/>
      <c r="CB71" s="718"/>
      <c r="CC71" s="718"/>
      <c r="CD71" s="718"/>
      <c r="CE71" s="718"/>
      <c r="CF71" s="720"/>
      <c r="CG71" s="436"/>
      <c r="CH71" s="436"/>
      <c r="CI71" s="436"/>
      <c r="CJ71" s="436"/>
      <c r="CK71" s="436"/>
      <c r="CL71" s="436"/>
      <c r="CM71" s="436"/>
      <c r="CN71" s="436"/>
      <c r="CO71" s="436"/>
      <c r="CP71" s="436"/>
      <c r="CQ71" s="436"/>
      <c r="CR71" s="436"/>
      <c r="CS71" s="436"/>
      <c r="CT71" s="436"/>
      <c r="CU71" s="436"/>
      <c r="CV71" s="436"/>
      <c r="CW71" s="436"/>
      <c r="CX71" s="436"/>
      <c r="CY71" s="436"/>
      <c r="CZ71" s="436"/>
      <c r="DA71" s="436"/>
      <c r="DB71" s="436"/>
      <c r="DC71" s="436"/>
      <c r="DD71" s="436"/>
      <c r="DE71" s="436"/>
      <c r="DF71" s="436"/>
      <c r="DG71" s="436"/>
      <c r="DH71" s="436"/>
      <c r="DI71" s="436"/>
      <c r="DJ71" s="436"/>
      <c r="DK71" s="436"/>
      <c r="DL71" s="436"/>
      <c r="DM71" s="436"/>
      <c r="DN71" s="436"/>
      <c r="DO71" s="436"/>
      <c r="DP71" s="436"/>
      <c r="DQ71" s="436"/>
      <c r="DR71" s="436"/>
      <c r="DS71" s="436"/>
      <c r="DT71" s="436"/>
      <c r="DU71" s="436"/>
      <c r="DV71" s="436"/>
      <c r="DW71" s="436"/>
      <c r="DX71" s="436"/>
      <c r="DY71" s="436"/>
      <c r="DZ71" s="436"/>
      <c r="EA71" s="436"/>
      <c r="EB71" s="436"/>
      <c r="EC71" s="436"/>
      <c r="ED71" s="436"/>
      <c r="EE71" s="436"/>
      <c r="EF71" s="436"/>
      <c r="EG71" s="436"/>
      <c r="EH71" s="436"/>
      <c r="EI71" s="436"/>
      <c r="EJ71" s="436"/>
      <c r="EK71" s="436"/>
      <c r="EL71" s="436"/>
      <c r="EM71" s="436"/>
    </row>
    <row r="72" spans="1:143" ht="14.5" outlineLevel="1" x14ac:dyDescent="0.35">
      <c r="A72" s="436"/>
      <c r="B72" s="433">
        <v>65</v>
      </c>
      <c r="C72" s="434" t="s">
        <v>889</v>
      </c>
      <c r="D72" s="340" t="s">
        <v>242</v>
      </c>
      <c r="E72" s="340" t="s">
        <v>241</v>
      </c>
      <c r="F72" s="340" t="s">
        <v>260</v>
      </c>
      <c r="G72" s="444">
        <v>900</v>
      </c>
      <c r="H72" s="444">
        <v>1044</v>
      </c>
      <c r="I72" s="696" t="s">
        <v>1018</v>
      </c>
      <c r="J72" s="697"/>
      <c r="K72" s="697"/>
      <c r="L72" s="697"/>
      <c r="M72" s="697"/>
      <c r="N72" s="697"/>
      <c r="O72" s="697"/>
      <c r="P72" s="696"/>
      <c r="Q72" s="696"/>
      <c r="R72" s="696"/>
      <c r="S72" s="697"/>
      <c r="T72" s="697"/>
      <c r="U72" s="697"/>
      <c r="V72" s="697"/>
      <c r="W72" s="697"/>
      <c r="X72" s="697"/>
      <c r="Y72" s="697"/>
      <c r="Z72" s="697"/>
      <c r="AA72" s="697"/>
      <c r="AB72" s="697"/>
      <c r="AC72" s="697"/>
      <c r="AD72" s="697"/>
      <c r="AE72" s="697"/>
      <c r="AF72" s="698"/>
      <c r="AG72" s="697"/>
      <c r="AH72" s="698"/>
      <c r="AI72" s="697"/>
      <c r="AJ72" s="697"/>
      <c r="AK72" s="696" t="s">
        <v>1018</v>
      </c>
      <c r="AL72" s="699"/>
      <c r="AM72" s="699"/>
      <c r="AN72" s="699"/>
      <c r="AO72" s="696" t="s">
        <v>1018</v>
      </c>
      <c r="AP72" s="699"/>
      <c r="AQ72" s="699"/>
      <c r="AR72" s="699"/>
      <c r="AS72" s="699"/>
      <c r="AU72" s="715"/>
      <c r="AV72" s="716"/>
      <c r="AW72" s="716"/>
      <c r="AX72" s="716"/>
      <c r="AY72" s="716"/>
      <c r="AZ72" s="716"/>
      <c r="BA72" s="716"/>
      <c r="BB72" s="715"/>
      <c r="BC72" s="715"/>
      <c r="BD72" s="715"/>
      <c r="BE72" s="716"/>
      <c r="BF72" s="716"/>
      <c r="BG72" s="716"/>
      <c r="BH72" s="716"/>
      <c r="BI72" s="716"/>
      <c r="BJ72" s="716"/>
      <c r="BK72" s="716"/>
      <c r="BL72" s="716"/>
      <c r="BM72" s="716"/>
      <c r="BN72" s="716"/>
      <c r="BO72" s="716"/>
      <c r="BP72" s="716"/>
      <c r="BQ72" s="716"/>
      <c r="BR72" s="717"/>
      <c r="BS72" s="716"/>
      <c r="BT72" s="717"/>
      <c r="BU72" s="716"/>
      <c r="BV72" s="716"/>
      <c r="BW72" s="715"/>
      <c r="BX72" s="718"/>
      <c r="BY72" s="718"/>
      <c r="BZ72" s="718"/>
      <c r="CA72" s="715"/>
      <c r="CB72" s="718"/>
      <c r="CC72" s="718"/>
      <c r="CD72" s="718"/>
      <c r="CE72" s="718"/>
      <c r="CF72" s="720"/>
      <c r="CG72" s="436"/>
      <c r="CH72" s="436"/>
      <c r="CI72" s="436"/>
      <c r="CJ72" s="436"/>
      <c r="CK72" s="436"/>
      <c r="CL72" s="436"/>
      <c r="CM72" s="436"/>
      <c r="CN72" s="436"/>
      <c r="CO72" s="436"/>
      <c r="CP72" s="436"/>
      <c r="CQ72" s="436"/>
      <c r="CR72" s="436"/>
      <c r="CS72" s="436"/>
      <c r="CT72" s="436"/>
      <c r="CU72" s="436"/>
      <c r="CV72" s="436"/>
      <c r="CW72" s="436"/>
      <c r="CX72" s="436"/>
      <c r="CY72" s="436"/>
      <c r="CZ72" s="436"/>
      <c r="DA72" s="436"/>
      <c r="DB72" s="436"/>
      <c r="DC72" s="436"/>
      <c r="DD72" s="436"/>
      <c r="DE72" s="436"/>
      <c r="DF72" s="436"/>
      <c r="DG72" s="436"/>
      <c r="DH72" s="436"/>
      <c r="DI72" s="436"/>
      <c r="DJ72" s="436"/>
      <c r="DK72" s="436"/>
      <c r="DL72" s="436"/>
      <c r="DM72" s="436"/>
      <c r="DN72" s="436"/>
      <c r="DO72" s="436"/>
      <c r="DP72" s="436"/>
      <c r="DQ72" s="436"/>
      <c r="DR72" s="436"/>
      <c r="DS72" s="436"/>
      <c r="DT72" s="436"/>
      <c r="DU72" s="436"/>
      <c r="DV72" s="436"/>
      <c r="DW72" s="436"/>
      <c r="DX72" s="436"/>
      <c r="DY72" s="436"/>
      <c r="DZ72" s="436"/>
      <c r="EA72" s="436"/>
      <c r="EB72" s="436"/>
      <c r="EC72" s="436"/>
      <c r="ED72" s="436"/>
      <c r="EE72" s="436"/>
      <c r="EF72" s="436"/>
      <c r="EG72" s="436"/>
      <c r="EH72" s="436"/>
      <c r="EI72" s="436"/>
      <c r="EJ72" s="436"/>
      <c r="EK72" s="436"/>
      <c r="EL72" s="436"/>
      <c r="EM72" s="436"/>
    </row>
    <row r="73" spans="1:143" ht="14.5" outlineLevel="1" x14ac:dyDescent="0.35">
      <c r="A73" s="436"/>
      <c r="B73" s="433">
        <v>66</v>
      </c>
      <c r="C73" s="434" t="s">
        <v>955</v>
      </c>
      <c r="D73" s="340" t="s">
        <v>240</v>
      </c>
      <c r="E73" s="340" t="s">
        <v>243</v>
      </c>
      <c r="F73" s="340" t="s">
        <v>260</v>
      </c>
      <c r="G73" s="444">
        <v>367.29</v>
      </c>
      <c r="H73" s="444">
        <v>435</v>
      </c>
      <c r="I73" s="696" t="s">
        <v>1019</v>
      </c>
      <c r="J73" s="697"/>
      <c r="K73" s="697"/>
      <c r="L73" s="697"/>
      <c r="M73" s="697"/>
      <c r="N73" s="697"/>
      <c r="O73" s="697"/>
      <c r="P73" s="696"/>
      <c r="Q73" s="696"/>
      <c r="R73" s="696"/>
      <c r="S73" s="697"/>
      <c r="T73" s="697"/>
      <c r="U73" s="697"/>
      <c r="V73" s="703"/>
      <c r="W73" s="704"/>
      <c r="X73" s="697"/>
      <c r="Y73" s="703"/>
      <c r="Z73" s="704"/>
      <c r="AA73" s="697"/>
      <c r="AB73" s="703"/>
      <c r="AC73" s="704"/>
      <c r="AD73" s="697"/>
      <c r="AE73" s="697"/>
      <c r="AF73" s="698"/>
      <c r="AG73" s="697"/>
      <c r="AH73" s="698"/>
      <c r="AI73" s="697"/>
      <c r="AJ73" s="697"/>
      <c r="AK73" s="696" t="s">
        <v>1018</v>
      </c>
      <c r="AL73" s="699"/>
      <c r="AM73" s="699"/>
      <c r="AN73" s="699"/>
      <c r="AO73" s="696" t="s">
        <v>1018</v>
      </c>
      <c r="AP73" s="699"/>
      <c r="AQ73" s="699"/>
      <c r="AR73" s="699"/>
      <c r="AS73" s="699"/>
      <c r="AU73" s="715"/>
      <c r="AV73" s="716"/>
      <c r="AW73" s="716"/>
      <c r="AX73" s="716"/>
      <c r="AY73" s="716"/>
      <c r="AZ73" s="716"/>
      <c r="BA73" s="716"/>
      <c r="BB73" s="715"/>
      <c r="BC73" s="715"/>
      <c r="BD73" s="715"/>
      <c r="BE73" s="716"/>
      <c r="BF73" s="716"/>
      <c r="BG73" s="716"/>
      <c r="BH73" s="723"/>
      <c r="BI73" s="724"/>
      <c r="BJ73" s="716"/>
      <c r="BK73" s="723"/>
      <c r="BL73" s="724"/>
      <c r="BM73" s="716"/>
      <c r="BN73" s="723"/>
      <c r="BO73" s="724"/>
      <c r="BP73" s="716"/>
      <c r="BQ73" s="716"/>
      <c r="BR73" s="717"/>
      <c r="BS73" s="716"/>
      <c r="BT73" s="717"/>
      <c r="BU73" s="716"/>
      <c r="BV73" s="716"/>
      <c r="BW73" s="715"/>
      <c r="BX73" s="718"/>
      <c r="BY73" s="718"/>
      <c r="BZ73" s="718"/>
      <c r="CA73" s="715"/>
      <c r="CB73" s="718"/>
      <c r="CC73" s="718"/>
      <c r="CD73" s="718"/>
      <c r="CE73" s="718"/>
      <c r="CF73" s="720"/>
      <c r="CG73" s="436"/>
      <c r="CH73" s="436"/>
      <c r="CI73" s="436"/>
      <c r="CJ73" s="436"/>
      <c r="CK73" s="436"/>
      <c r="CL73" s="436"/>
      <c r="CM73" s="436"/>
      <c r="CN73" s="436"/>
      <c r="CO73" s="436"/>
      <c r="CP73" s="436"/>
      <c r="CQ73" s="436"/>
      <c r="CR73" s="436"/>
      <c r="CS73" s="436"/>
      <c r="CT73" s="436"/>
      <c r="CU73" s="436"/>
      <c r="CV73" s="436"/>
      <c r="CW73" s="436"/>
      <c r="CX73" s="436"/>
      <c r="CY73" s="436"/>
      <c r="CZ73" s="436"/>
      <c r="DA73" s="436"/>
      <c r="DB73" s="436"/>
      <c r="DC73" s="436"/>
      <c r="DD73" s="436"/>
      <c r="DE73" s="436"/>
      <c r="DF73" s="436"/>
      <c r="DG73" s="436"/>
      <c r="DH73" s="436"/>
      <c r="DI73" s="436"/>
      <c r="DJ73" s="436"/>
      <c r="DK73" s="436"/>
      <c r="DL73" s="436"/>
      <c r="DM73" s="436"/>
      <c r="DN73" s="436"/>
      <c r="DO73" s="436"/>
      <c r="DP73" s="436"/>
      <c r="DQ73" s="436"/>
      <c r="DR73" s="436"/>
      <c r="DS73" s="436"/>
      <c r="DT73" s="436"/>
      <c r="DU73" s="436"/>
      <c r="DV73" s="436"/>
      <c r="DW73" s="436"/>
      <c r="DX73" s="436"/>
      <c r="DY73" s="436"/>
      <c r="DZ73" s="436"/>
      <c r="EA73" s="436"/>
      <c r="EB73" s="436"/>
      <c r="EC73" s="436"/>
      <c r="ED73" s="436"/>
      <c r="EE73" s="436"/>
      <c r="EF73" s="436"/>
      <c r="EG73" s="436"/>
      <c r="EH73" s="436"/>
      <c r="EI73" s="436"/>
      <c r="EJ73" s="436"/>
      <c r="EK73" s="436"/>
      <c r="EL73" s="436"/>
      <c r="EM73" s="436"/>
    </row>
    <row r="74" spans="1:143" ht="14.5" outlineLevel="1" x14ac:dyDescent="0.35">
      <c r="A74" s="436"/>
      <c r="B74" s="433">
        <v>67</v>
      </c>
      <c r="C74" s="434" t="s">
        <v>956</v>
      </c>
      <c r="D74" s="340" t="s">
        <v>240</v>
      </c>
      <c r="E74" s="340" t="s">
        <v>243</v>
      </c>
      <c r="F74" s="340" t="s">
        <v>260</v>
      </c>
      <c r="G74" s="444">
        <v>388.4</v>
      </c>
      <c r="H74" s="444">
        <v>460</v>
      </c>
      <c r="I74" s="696" t="s">
        <v>1019</v>
      </c>
      <c r="J74" s="697"/>
      <c r="K74" s="697"/>
      <c r="L74" s="697"/>
      <c r="M74" s="697"/>
      <c r="N74" s="697"/>
      <c r="O74" s="697"/>
      <c r="P74" s="696"/>
      <c r="Q74" s="696"/>
      <c r="R74" s="696"/>
      <c r="S74" s="697"/>
      <c r="T74" s="697"/>
      <c r="U74" s="697"/>
      <c r="V74" s="703"/>
      <c r="W74" s="704"/>
      <c r="X74" s="697"/>
      <c r="Y74" s="703"/>
      <c r="Z74" s="704"/>
      <c r="AA74" s="697"/>
      <c r="AB74" s="703"/>
      <c r="AC74" s="704"/>
      <c r="AD74" s="697"/>
      <c r="AE74" s="697"/>
      <c r="AF74" s="698"/>
      <c r="AG74" s="697"/>
      <c r="AH74" s="698"/>
      <c r="AI74" s="697"/>
      <c r="AJ74" s="697"/>
      <c r="AK74" s="696" t="s">
        <v>1018</v>
      </c>
      <c r="AL74" s="699"/>
      <c r="AM74" s="699"/>
      <c r="AN74" s="699"/>
      <c r="AO74" s="696" t="s">
        <v>1018</v>
      </c>
      <c r="AP74" s="699"/>
      <c r="AQ74" s="699"/>
      <c r="AR74" s="699"/>
      <c r="AS74" s="699"/>
      <c r="AU74" s="715"/>
      <c r="AV74" s="716"/>
      <c r="AW74" s="716"/>
      <c r="AX74" s="716"/>
      <c r="AY74" s="716"/>
      <c r="AZ74" s="716"/>
      <c r="BA74" s="716"/>
      <c r="BB74" s="715"/>
      <c r="BC74" s="715"/>
      <c r="BD74" s="715"/>
      <c r="BE74" s="716"/>
      <c r="BF74" s="716"/>
      <c r="BG74" s="716"/>
      <c r="BH74" s="723"/>
      <c r="BI74" s="724"/>
      <c r="BJ74" s="716"/>
      <c r="BK74" s="723"/>
      <c r="BL74" s="724"/>
      <c r="BM74" s="716"/>
      <c r="BN74" s="723"/>
      <c r="BO74" s="724"/>
      <c r="BP74" s="716"/>
      <c r="BQ74" s="716"/>
      <c r="BR74" s="717"/>
      <c r="BS74" s="716"/>
      <c r="BT74" s="717"/>
      <c r="BU74" s="716"/>
      <c r="BV74" s="716"/>
      <c r="BW74" s="715"/>
      <c r="BX74" s="718"/>
      <c r="BY74" s="718"/>
      <c r="BZ74" s="718"/>
      <c r="CA74" s="715"/>
      <c r="CB74" s="718"/>
      <c r="CC74" s="718"/>
      <c r="CD74" s="718"/>
      <c r="CE74" s="718"/>
      <c r="CF74" s="327"/>
      <c r="CH74" s="436"/>
      <c r="CI74" s="436"/>
      <c r="CJ74" s="436"/>
      <c r="CK74" s="436"/>
      <c r="CL74" s="436"/>
      <c r="CM74" s="436"/>
      <c r="CN74" s="436"/>
      <c r="CO74" s="436"/>
      <c r="CP74" s="436"/>
      <c r="CQ74" s="436"/>
      <c r="CR74" s="436"/>
      <c r="CS74" s="436"/>
      <c r="CT74" s="436"/>
      <c r="CU74" s="436"/>
      <c r="CV74" s="436"/>
      <c r="CW74" s="436"/>
      <c r="CX74" s="436"/>
      <c r="CY74" s="436"/>
      <c r="CZ74" s="436"/>
      <c r="DA74" s="436"/>
      <c r="DB74" s="436"/>
      <c r="DC74" s="436"/>
      <c r="DD74" s="436"/>
      <c r="DE74" s="436"/>
      <c r="DF74" s="436"/>
      <c r="DG74" s="436"/>
      <c r="DH74" s="436"/>
      <c r="DI74" s="436"/>
      <c r="DJ74" s="436"/>
      <c r="DK74" s="436"/>
      <c r="DL74" s="436"/>
      <c r="DM74" s="436"/>
      <c r="DN74" s="436"/>
      <c r="DO74" s="436"/>
      <c r="DP74" s="436"/>
      <c r="DQ74" s="436"/>
      <c r="DR74" s="436"/>
      <c r="DS74" s="436"/>
      <c r="DT74" s="436"/>
      <c r="DU74" s="436"/>
      <c r="DV74" s="436"/>
      <c r="DW74" s="436"/>
      <c r="DX74" s="436"/>
      <c r="DY74" s="436"/>
      <c r="DZ74" s="436"/>
      <c r="EA74" s="436"/>
      <c r="EB74" s="436"/>
      <c r="EC74" s="436"/>
      <c r="ED74" s="436"/>
      <c r="EE74" s="436"/>
      <c r="EF74" s="436"/>
      <c r="EG74" s="436"/>
      <c r="EH74" s="436"/>
      <c r="EI74" s="436"/>
      <c r="EJ74" s="436"/>
      <c r="EK74" s="436"/>
      <c r="EL74" s="436"/>
      <c r="EM74" s="436"/>
    </row>
    <row r="75" spans="1:143" ht="14.5" outlineLevel="1" x14ac:dyDescent="0.35">
      <c r="A75" s="436"/>
      <c r="B75" s="433">
        <v>68</v>
      </c>
      <c r="C75" s="434" t="s">
        <v>957</v>
      </c>
      <c r="D75" s="340" t="s">
        <v>240</v>
      </c>
      <c r="E75" s="340" t="s">
        <v>243</v>
      </c>
      <c r="F75" s="340" t="s">
        <v>260</v>
      </c>
      <c r="G75" s="444">
        <v>463.54</v>
      </c>
      <c r="H75" s="444">
        <v>549</v>
      </c>
      <c r="I75" s="696" t="s">
        <v>1019</v>
      </c>
      <c r="J75" s="697"/>
      <c r="K75" s="697"/>
      <c r="L75" s="697"/>
      <c r="M75" s="697"/>
      <c r="N75" s="697"/>
      <c r="O75" s="697"/>
      <c r="P75" s="696"/>
      <c r="Q75" s="696"/>
      <c r="R75" s="696"/>
      <c r="S75" s="697"/>
      <c r="T75" s="697"/>
      <c r="U75" s="697"/>
      <c r="V75" s="703"/>
      <c r="W75" s="704"/>
      <c r="X75" s="697"/>
      <c r="Y75" s="703"/>
      <c r="Z75" s="704"/>
      <c r="AA75" s="697"/>
      <c r="AB75" s="703"/>
      <c r="AC75" s="704"/>
      <c r="AD75" s="697"/>
      <c r="AE75" s="697"/>
      <c r="AF75" s="698"/>
      <c r="AG75" s="697"/>
      <c r="AH75" s="698"/>
      <c r="AI75" s="697"/>
      <c r="AJ75" s="697"/>
      <c r="AK75" s="696" t="s">
        <v>1018</v>
      </c>
      <c r="AL75" s="699"/>
      <c r="AM75" s="699"/>
      <c r="AN75" s="699"/>
      <c r="AO75" s="696" t="s">
        <v>1018</v>
      </c>
      <c r="AP75" s="699"/>
      <c r="AQ75" s="699"/>
      <c r="AR75" s="699"/>
      <c r="AS75" s="699"/>
      <c r="AU75" s="715"/>
      <c r="AV75" s="716"/>
      <c r="AW75" s="716"/>
      <c r="AX75" s="716"/>
      <c r="AY75" s="716"/>
      <c r="AZ75" s="716"/>
      <c r="BA75" s="716"/>
      <c r="BB75" s="715"/>
      <c r="BC75" s="715"/>
      <c r="BD75" s="715"/>
      <c r="BE75" s="716"/>
      <c r="BF75" s="716"/>
      <c r="BG75" s="716"/>
      <c r="BH75" s="723"/>
      <c r="BI75" s="724"/>
      <c r="BJ75" s="716"/>
      <c r="BK75" s="723"/>
      <c r="BL75" s="724"/>
      <c r="BM75" s="716"/>
      <c r="BN75" s="723"/>
      <c r="BO75" s="724"/>
      <c r="BP75" s="716"/>
      <c r="BQ75" s="716"/>
      <c r="BR75" s="717"/>
      <c r="BS75" s="716"/>
      <c r="BT75" s="717"/>
      <c r="BU75" s="716"/>
      <c r="BV75" s="716"/>
      <c r="BW75" s="715"/>
      <c r="BX75" s="718"/>
      <c r="BY75" s="718"/>
      <c r="BZ75" s="718"/>
      <c r="CA75" s="715"/>
      <c r="CB75" s="718"/>
      <c r="CC75" s="718"/>
      <c r="CD75" s="718"/>
      <c r="CE75" s="718"/>
      <c r="CF75" s="327"/>
      <c r="CH75" s="436"/>
      <c r="CI75" s="436"/>
      <c r="CJ75" s="436"/>
      <c r="CK75" s="436"/>
      <c r="CL75" s="436"/>
      <c r="CM75" s="436"/>
      <c r="CN75" s="436"/>
      <c r="CO75" s="436"/>
      <c r="CP75" s="436"/>
      <c r="CQ75" s="436"/>
      <c r="CR75" s="436"/>
      <c r="CS75" s="436"/>
      <c r="CT75" s="436"/>
      <c r="CU75" s="436"/>
      <c r="CV75" s="436"/>
      <c r="CW75" s="436"/>
      <c r="CX75" s="436"/>
      <c r="CY75" s="436"/>
      <c r="CZ75" s="436"/>
      <c r="DA75" s="436"/>
      <c r="DB75" s="436"/>
      <c r="DC75" s="436"/>
      <c r="DD75" s="436"/>
      <c r="DE75" s="436"/>
      <c r="DF75" s="436"/>
      <c r="DG75" s="436"/>
      <c r="DH75" s="436"/>
      <c r="DI75" s="436"/>
      <c r="DJ75" s="436"/>
      <c r="DK75" s="436"/>
      <c r="DL75" s="436"/>
      <c r="DM75" s="436"/>
      <c r="DN75" s="436"/>
      <c r="DO75" s="436"/>
      <c r="DP75" s="436"/>
      <c r="DQ75" s="436"/>
      <c r="DR75" s="436"/>
      <c r="DS75" s="436"/>
      <c r="DT75" s="436"/>
      <c r="DU75" s="436"/>
      <c r="DV75" s="436"/>
      <c r="DW75" s="436"/>
      <c r="DX75" s="436"/>
      <c r="DY75" s="436"/>
      <c r="DZ75" s="436"/>
      <c r="EA75" s="436"/>
      <c r="EB75" s="436"/>
      <c r="EC75" s="436"/>
      <c r="ED75" s="436"/>
      <c r="EE75" s="436"/>
      <c r="EF75" s="436"/>
      <c r="EG75" s="436"/>
      <c r="EH75" s="436"/>
      <c r="EI75" s="436"/>
      <c r="EJ75" s="436"/>
      <c r="EK75" s="436"/>
      <c r="EL75" s="436"/>
      <c r="EM75" s="436"/>
    </row>
    <row r="76" spans="1:143" ht="14.5" outlineLevel="1" x14ac:dyDescent="0.35">
      <c r="A76" s="436"/>
      <c r="B76" s="433">
        <v>69</v>
      </c>
      <c r="C76" s="434" t="s">
        <v>958</v>
      </c>
      <c r="D76" s="340" t="s">
        <v>240</v>
      </c>
      <c r="E76" s="340" t="s">
        <v>243</v>
      </c>
      <c r="F76" s="340" t="s">
        <v>260</v>
      </c>
      <c r="G76" s="444">
        <v>607.08000000000004</v>
      </c>
      <c r="H76" s="444">
        <v>719</v>
      </c>
      <c r="I76" s="696" t="s">
        <v>1019</v>
      </c>
      <c r="J76" s="697"/>
      <c r="K76" s="697"/>
      <c r="L76" s="697"/>
      <c r="M76" s="697"/>
      <c r="N76" s="697"/>
      <c r="O76" s="697"/>
      <c r="P76" s="696"/>
      <c r="Q76" s="696"/>
      <c r="R76" s="696"/>
      <c r="S76" s="697"/>
      <c r="T76" s="697"/>
      <c r="U76" s="697"/>
      <c r="V76" s="703"/>
      <c r="W76" s="704"/>
      <c r="X76" s="697"/>
      <c r="Y76" s="703"/>
      <c r="Z76" s="704"/>
      <c r="AA76" s="697"/>
      <c r="AB76" s="703"/>
      <c r="AC76" s="704"/>
      <c r="AD76" s="697"/>
      <c r="AE76" s="697"/>
      <c r="AF76" s="698"/>
      <c r="AG76" s="697"/>
      <c r="AH76" s="698"/>
      <c r="AI76" s="697"/>
      <c r="AJ76" s="697"/>
      <c r="AK76" s="696" t="s">
        <v>1018</v>
      </c>
      <c r="AL76" s="699"/>
      <c r="AM76" s="699"/>
      <c r="AN76" s="699"/>
      <c r="AO76" s="696" t="s">
        <v>1018</v>
      </c>
      <c r="AP76" s="699"/>
      <c r="AQ76" s="699"/>
      <c r="AR76" s="699"/>
      <c r="AS76" s="699"/>
      <c r="AU76" s="715"/>
      <c r="AV76" s="716"/>
      <c r="AW76" s="716"/>
      <c r="AX76" s="716"/>
      <c r="AY76" s="716"/>
      <c r="AZ76" s="716"/>
      <c r="BA76" s="716"/>
      <c r="BB76" s="715"/>
      <c r="BC76" s="715"/>
      <c r="BD76" s="715"/>
      <c r="BE76" s="716"/>
      <c r="BF76" s="716"/>
      <c r="BG76" s="716"/>
      <c r="BH76" s="723"/>
      <c r="BI76" s="724"/>
      <c r="BJ76" s="716"/>
      <c r="BK76" s="723"/>
      <c r="BL76" s="724"/>
      <c r="BM76" s="716"/>
      <c r="BN76" s="723"/>
      <c r="BO76" s="724"/>
      <c r="BP76" s="716"/>
      <c r="BQ76" s="716"/>
      <c r="BR76" s="717"/>
      <c r="BS76" s="716"/>
      <c r="BT76" s="717"/>
      <c r="BU76" s="716"/>
      <c r="BV76" s="716"/>
      <c r="BW76" s="715"/>
      <c r="BX76" s="718"/>
      <c r="BY76" s="718"/>
      <c r="BZ76" s="718"/>
      <c r="CA76" s="715"/>
      <c r="CB76" s="718"/>
      <c r="CC76" s="718"/>
      <c r="CD76" s="718"/>
      <c r="CE76" s="718"/>
      <c r="CF76" s="327"/>
    </row>
    <row r="77" spans="1:143" ht="14.5" outlineLevel="1" x14ac:dyDescent="0.35">
      <c r="A77" s="436"/>
      <c r="B77" s="433">
        <v>70</v>
      </c>
      <c r="C77" s="434" t="s">
        <v>959</v>
      </c>
      <c r="D77" s="340" t="s">
        <v>240</v>
      </c>
      <c r="E77" s="340" t="s">
        <v>243</v>
      </c>
      <c r="F77" s="340" t="s">
        <v>260</v>
      </c>
      <c r="G77" s="444">
        <v>1037.69</v>
      </c>
      <c r="H77" s="444">
        <v>1229</v>
      </c>
      <c r="I77" s="696" t="s">
        <v>1019</v>
      </c>
      <c r="J77" s="697"/>
      <c r="K77" s="697"/>
      <c r="L77" s="697"/>
      <c r="M77" s="697"/>
      <c r="N77" s="697"/>
      <c r="O77" s="697"/>
      <c r="P77" s="696"/>
      <c r="Q77" s="696"/>
      <c r="R77" s="696"/>
      <c r="S77" s="697"/>
      <c r="T77" s="697"/>
      <c r="U77" s="697"/>
      <c r="V77" s="703"/>
      <c r="W77" s="704"/>
      <c r="X77" s="697"/>
      <c r="Y77" s="703"/>
      <c r="Z77" s="704"/>
      <c r="AA77" s="697"/>
      <c r="AB77" s="703"/>
      <c r="AC77" s="704"/>
      <c r="AD77" s="697"/>
      <c r="AE77" s="697"/>
      <c r="AF77" s="698"/>
      <c r="AG77" s="697"/>
      <c r="AH77" s="698"/>
      <c r="AI77" s="697"/>
      <c r="AJ77" s="697"/>
      <c r="AK77" s="696" t="s">
        <v>1018</v>
      </c>
      <c r="AL77" s="699"/>
      <c r="AM77" s="699"/>
      <c r="AN77" s="699"/>
      <c r="AO77" s="696" t="s">
        <v>1018</v>
      </c>
      <c r="AP77" s="699"/>
      <c r="AQ77" s="699"/>
      <c r="AR77" s="699"/>
      <c r="AS77" s="699"/>
      <c r="AU77" s="715"/>
      <c r="AV77" s="716"/>
      <c r="AW77" s="716"/>
      <c r="AX77" s="716"/>
      <c r="AY77" s="716"/>
      <c r="AZ77" s="716"/>
      <c r="BA77" s="716"/>
      <c r="BB77" s="715"/>
      <c r="BC77" s="715"/>
      <c r="BD77" s="715"/>
      <c r="BE77" s="716"/>
      <c r="BF77" s="716"/>
      <c r="BG77" s="716"/>
      <c r="BH77" s="723"/>
      <c r="BI77" s="724"/>
      <c r="BJ77" s="716"/>
      <c r="BK77" s="723"/>
      <c r="BL77" s="724"/>
      <c r="BM77" s="716"/>
      <c r="BN77" s="723"/>
      <c r="BO77" s="724"/>
      <c r="BP77" s="716"/>
      <c r="BQ77" s="716"/>
      <c r="BR77" s="717"/>
      <c r="BS77" s="716"/>
      <c r="BT77" s="717"/>
      <c r="BU77" s="716"/>
      <c r="BV77" s="716"/>
      <c r="BW77" s="715"/>
      <c r="BX77" s="718"/>
      <c r="BY77" s="718"/>
      <c r="BZ77" s="718"/>
      <c r="CA77" s="715"/>
      <c r="CB77" s="718"/>
      <c r="CC77" s="718"/>
      <c r="CD77" s="718"/>
      <c r="CE77" s="718"/>
      <c r="CF77" s="327"/>
    </row>
    <row r="78" spans="1:143" ht="14.5" outlineLevel="1" x14ac:dyDescent="0.35">
      <c r="A78" s="436"/>
      <c r="B78" s="433">
        <v>71</v>
      </c>
      <c r="C78" s="434" t="s">
        <v>960</v>
      </c>
      <c r="D78" s="340" t="s">
        <v>240</v>
      </c>
      <c r="E78" s="340" t="s">
        <v>241</v>
      </c>
      <c r="F78" s="340" t="s">
        <v>260</v>
      </c>
      <c r="G78" s="444">
        <v>322.41000000000003</v>
      </c>
      <c r="H78" s="444">
        <v>374</v>
      </c>
      <c r="I78" s="696" t="s">
        <v>1019</v>
      </c>
      <c r="J78" s="697"/>
      <c r="K78" s="697"/>
      <c r="L78" s="697"/>
      <c r="M78" s="697"/>
      <c r="N78" s="697"/>
      <c r="O78" s="697"/>
      <c r="P78" s="696"/>
      <c r="Q78" s="696"/>
      <c r="R78" s="696"/>
      <c r="S78" s="697"/>
      <c r="T78" s="697"/>
      <c r="U78" s="697"/>
      <c r="V78" s="703"/>
      <c r="W78" s="704"/>
      <c r="X78" s="697"/>
      <c r="Y78" s="703"/>
      <c r="Z78" s="704"/>
      <c r="AA78" s="697"/>
      <c r="AB78" s="703"/>
      <c r="AC78" s="704"/>
      <c r="AD78" s="697"/>
      <c r="AE78" s="697"/>
      <c r="AF78" s="698"/>
      <c r="AG78" s="697"/>
      <c r="AH78" s="698"/>
      <c r="AI78" s="697"/>
      <c r="AJ78" s="697"/>
      <c r="AK78" s="696" t="s">
        <v>1018</v>
      </c>
      <c r="AL78" s="699"/>
      <c r="AM78" s="699"/>
      <c r="AN78" s="699"/>
      <c r="AO78" s="696" t="s">
        <v>1018</v>
      </c>
      <c r="AP78" s="699"/>
      <c r="AQ78" s="699"/>
      <c r="AR78" s="699"/>
      <c r="AS78" s="699"/>
      <c r="AU78" s="715"/>
      <c r="AV78" s="716"/>
      <c r="AW78" s="716"/>
      <c r="AX78" s="716"/>
      <c r="AY78" s="716"/>
      <c r="AZ78" s="716"/>
      <c r="BA78" s="716"/>
      <c r="BB78" s="715"/>
      <c r="BC78" s="715"/>
      <c r="BD78" s="715"/>
      <c r="BE78" s="716"/>
      <c r="BF78" s="716"/>
      <c r="BG78" s="716"/>
      <c r="BH78" s="723"/>
      <c r="BI78" s="724"/>
      <c r="BJ78" s="716"/>
      <c r="BK78" s="723"/>
      <c r="BL78" s="724"/>
      <c r="BM78" s="716"/>
      <c r="BN78" s="723"/>
      <c r="BO78" s="724"/>
      <c r="BP78" s="716"/>
      <c r="BQ78" s="716"/>
      <c r="BR78" s="717"/>
      <c r="BS78" s="716"/>
      <c r="BT78" s="717"/>
      <c r="BU78" s="716"/>
      <c r="BV78" s="716"/>
      <c r="BW78" s="715"/>
      <c r="BX78" s="718"/>
      <c r="BY78" s="718"/>
      <c r="BZ78" s="718"/>
      <c r="CA78" s="715"/>
      <c r="CB78" s="718"/>
      <c r="CC78" s="718"/>
      <c r="CD78" s="718"/>
      <c r="CE78" s="718"/>
      <c r="CF78" s="327"/>
    </row>
    <row r="79" spans="1:143" ht="14.5" outlineLevel="1" x14ac:dyDescent="0.35">
      <c r="A79" s="436"/>
      <c r="B79" s="433">
        <v>72</v>
      </c>
      <c r="C79" s="434" t="s">
        <v>961</v>
      </c>
      <c r="D79" s="340" t="s">
        <v>240</v>
      </c>
      <c r="E79" s="340" t="s">
        <v>241</v>
      </c>
      <c r="F79" s="340" t="s">
        <v>260</v>
      </c>
      <c r="G79" s="444">
        <v>365.52</v>
      </c>
      <c r="H79" s="444">
        <v>424</v>
      </c>
      <c r="I79" s="696" t="s">
        <v>1019</v>
      </c>
      <c r="J79" s="697"/>
      <c r="K79" s="697"/>
      <c r="L79" s="697"/>
      <c r="M79" s="697"/>
      <c r="N79" s="697"/>
      <c r="O79" s="697"/>
      <c r="P79" s="696"/>
      <c r="Q79" s="696"/>
      <c r="R79" s="696"/>
      <c r="S79" s="697"/>
      <c r="T79" s="697"/>
      <c r="U79" s="697"/>
      <c r="V79" s="703"/>
      <c r="W79" s="704"/>
      <c r="X79" s="697"/>
      <c r="Y79" s="703"/>
      <c r="Z79" s="704"/>
      <c r="AA79" s="697"/>
      <c r="AB79" s="703"/>
      <c r="AC79" s="704"/>
      <c r="AD79" s="697"/>
      <c r="AE79" s="697"/>
      <c r="AF79" s="698"/>
      <c r="AG79" s="697"/>
      <c r="AH79" s="698"/>
      <c r="AI79" s="697"/>
      <c r="AJ79" s="697"/>
      <c r="AK79" s="696" t="s">
        <v>1018</v>
      </c>
      <c r="AL79" s="699"/>
      <c r="AM79" s="699"/>
      <c r="AN79" s="699"/>
      <c r="AO79" s="696" t="s">
        <v>1018</v>
      </c>
      <c r="AP79" s="699"/>
      <c r="AQ79" s="699"/>
      <c r="AR79" s="699"/>
      <c r="AS79" s="699"/>
      <c r="AU79" s="715"/>
      <c r="AV79" s="716"/>
      <c r="AW79" s="716"/>
      <c r="AX79" s="716"/>
      <c r="AY79" s="716"/>
      <c r="AZ79" s="716"/>
      <c r="BA79" s="716"/>
      <c r="BB79" s="715"/>
      <c r="BC79" s="715"/>
      <c r="BD79" s="715"/>
      <c r="BE79" s="716"/>
      <c r="BF79" s="716"/>
      <c r="BG79" s="716"/>
      <c r="BH79" s="723"/>
      <c r="BI79" s="724"/>
      <c r="BJ79" s="716"/>
      <c r="BK79" s="723"/>
      <c r="BL79" s="724"/>
      <c r="BM79" s="716"/>
      <c r="BN79" s="723"/>
      <c r="BO79" s="724"/>
      <c r="BP79" s="716"/>
      <c r="BQ79" s="716"/>
      <c r="BR79" s="717"/>
      <c r="BS79" s="716"/>
      <c r="BT79" s="717"/>
      <c r="BU79" s="716"/>
      <c r="BV79" s="716"/>
      <c r="BW79" s="715"/>
      <c r="BX79" s="718"/>
      <c r="BY79" s="718"/>
      <c r="BZ79" s="718"/>
      <c r="CA79" s="715"/>
      <c r="CB79" s="718"/>
      <c r="CC79" s="718"/>
      <c r="CD79" s="718"/>
      <c r="CE79" s="718"/>
      <c r="CF79" s="327"/>
    </row>
    <row r="80" spans="1:143" ht="14.5" outlineLevel="1" x14ac:dyDescent="0.35">
      <c r="A80" s="436"/>
      <c r="B80" s="433">
        <v>73</v>
      </c>
      <c r="C80" s="434" t="s">
        <v>962</v>
      </c>
      <c r="D80" s="340" t="s">
        <v>240</v>
      </c>
      <c r="E80" s="340" t="s">
        <v>241</v>
      </c>
      <c r="F80" s="340" t="s">
        <v>260</v>
      </c>
      <c r="G80" s="444">
        <v>585.34</v>
      </c>
      <c r="H80" s="444">
        <v>679</v>
      </c>
      <c r="I80" s="696" t="s">
        <v>1019</v>
      </c>
      <c r="J80" s="697"/>
      <c r="K80" s="697"/>
      <c r="L80" s="697"/>
      <c r="M80" s="697"/>
      <c r="N80" s="697"/>
      <c r="O80" s="697"/>
      <c r="P80" s="696"/>
      <c r="Q80" s="696"/>
      <c r="R80" s="696"/>
      <c r="S80" s="697"/>
      <c r="T80" s="697"/>
      <c r="U80" s="697"/>
      <c r="V80" s="703"/>
      <c r="W80" s="704"/>
      <c r="X80" s="697"/>
      <c r="Y80" s="703"/>
      <c r="Z80" s="704"/>
      <c r="AA80" s="697"/>
      <c r="AB80" s="703"/>
      <c r="AC80" s="704"/>
      <c r="AD80" s="697"/>
      <c r="AE80" s="697"/>
      <c r="AF80" s="698"/>
      <c r="AG80" s="697"/>
      <c r="AH80" s="698"/>
      <c r="AI80" s="697"/>
      <c r="AJ80" s="697"/>
      <c r="AK80" s="696" t="s">
        <v>1018</v>
      </c>
      <c r="AL80" s="699"/>
      <c r="AM80" s="699"/>
      <c r="AN80" s="699"/>
      <c r="AO80" s="696" t="s">
        <v>1018</v>
      </c>
      <c r="AP80" s="699"/>
      <c r="AQ80" s="699"/>
      <c r="AR80" s="699"/>
      <c r="AS80" s="699"/>
      <c r="AU80" s="715"/>
      <c r="AV80" s="716"/>
      <c r="AW80" s="716"/>
      <c r="AX80" s="716"/>
      <c r="AY80" s="716"/>
      <c r="AZ80" s="716"/>
      <c r="BA80" s="716"/>
      <c r="BB80" s="715"/>
      <c r="BC80" s="715"/>
      <c r="BD80" s="715"/>
      <c r="BE80" s="716"/>
      <c r="BF80" s="716"/>
      <c r="BG80" s="716"/>
      <c r="BH80" s="723"/>
      <c r="BI80" s="724"/>
      <c r="BJ80" s="716"/>
      <c r="BK80" s="723"/>
      <c r="BL80" s="724"/>
      <c r="BM80" s="716"/>
      <c r="BN80" s="723"/>
      <c r="BO80" s="724"/>
      <c r="BP80" s="716"/>
      <c r="BQ80" s="716"/>
      <c r="BR80" s="717"/>
      <c r="BS80" s="716"/>
      <c r="BT80" s="717"/>
      <c r="BU80" s="716"/>
      <c r="BV80" s="716"/>
      <c r="BW80" s="715"/>
      <c r="BX80" s="718"/>
      <c r="BY80" s="718"/>
      <c r="BZ80" s="718"/>
      <c r="CA80" s="715"/>
      <c r="CB80" s="718"/>
      <c r="CC80" s="718"/>
      <c r="CD80" s="718"/>
      <c r="CE80" s="718"/>
      <c r="CF80" s="327"/>
    </row>
    <row r="81" spans="1:84" ht="14.5" outlineLevel="1" x14ac:dyDescent="0.35">
      <c r="A81" s="436"/>
      <c r="B81" s="433">
        <v>74</v>
      </c>
      <c r="C81" s="434" t="s">
        <v>963</v>
      </c>
      <c r="D81" s="340" t="s">
        <v>240</v>
      </c>
      <c r="E81" s="340" t="s">
        <v>241</v>
      </c>
      <c r="F81" s="340" t="s">
        <v>260</v>
      </c>
      <c r="G81" s="444">
        <v>973.28</v>
      </c>
      <c r="H81" s="444">
        <v>1129</v>
      </c>
      <c r="I81" s="696" t="s">
        <v>1019</v>
      </c>
      <c r="J81" s="697"/>
      <c r="K81" s="697"/>
      <c r="L81" s="697"/>
      <c r="M81" s="697"/>
      <c r="N81" s="697"/>
      <c r="O81" s="697"/>
      <c r="P81" s="696"/>
      <c r="Q81" s="696"/>
      <c r="R81" s="696"/>
      <c r="S81" s="697"/>
      <c r="T81" s="697"/>
      <c r="U81" s="697"/>
      <c r="V81" s="703"/>
      <c r="W81" s="704"/>
      <c r="X81" s="697"/>
      <c r="Y81" s="703"/>
      <c r="Z81" s="704"/>
      <c r="AA81" s="697"/>
      <c r="AB81" s="703"/>
      <c r="AC81" s="704"/>
      <c r="AD81" s="697"/>
      <c r="AE81" s="697"/>
      <c r="AF81" s="698"/>
      <c r="AG81" s="697"/>
      <c r="AH81" s="698"/>
      <c r="AI81" s="697"/>
      <c r="AJ81" s="697"/>
      <c r="AK81" s="696" t="s">
        <v>1018</v>
      </c>
      <c r="AL81" s="699"/>
      <c r="AM81" s="699"/>
      <c r="AN81" s="699"/>
      <c r="AO81" s="696" t="s">
        <v>1018</v>
      </c>
      <c r="AP81" s="699"/>
      <c r="AQ81" s="699"/>
      <c r="AR81" s="699"/>
      <c r="AS81" s="699"/>
      <c r="AU81" s="715"/>
      <c r="AV81" s="716"/>
      <c r="AW81" s="716"/>
      <c r="AX81" s="716"/>
      <c r="AY81" s="716"/>
      <c r="AZ81" s="716"/>
      <c r="BA81" s="716"/>
      <c r="BB81" s="715"/>
      <c r="BC81" s="715"/>
      <c r="BD81" s="715"/>
      <c r="BE81" s="716"/>
      <c r="BF81" s="716"/>
      <c r="BG81" s="716"/>
      <c r="BH81" s="723"/>
      <c r="BI81" s="724"/>
      <c r="BJ81" s="716"/>
      <c r="BK81" s="723"/>
      <c r="BL81" s="724"/>
      <c r="BM81" s="716"/>
      <c r="BN81" s="723"/>
      <c r="BO81" s="724"/>
      <c r="BP81" s="716"/>
      <c r="BQ81" s="716"/>
      <c r="BR81" s="717"/>
      <c r="BS81" s="716"/>
      <c r="BT81" s="717"/>
      <c r="BU81" s="716"/>
      <c r="BV81" s="716"/>
      <c r="BW81" s="715"/>
      <c r="BX81" s="718"/>
      <c r="BY81" s="718"/>
      <c r="BZ81" s="718"/>
      <c r="CA81" s="715"/>
      <c r="CB81" s="718"/>
      <c r="CC81" s="718"/>
      <c r="CD81" s="718"/>
      <c r="CE81" s="718"/>
      <c r="CF81" s="327"/>
    </row>
    <row r="82" spans="1:84" ht="14.5" outlineLevel="1" x14ac:dyDescent="0.35">
      <c r="A82" s="436"/>
      <c r="B82" s="433">
        <v>75</v>
      </c>
      <c r="C82" s="277" t="s">
        <v>1020</v>
      </c>
      <c r="D82" s="340" t="s">
        <v>240</v>
      </c>
      <c r="E82" s="340" t="s">
        <v>243</v>
      </c>
      <c r="F82" s="340" t="s">
        <v>260</v>
      </c>
      <c r="G82" s="444">
        <v>453.34</v>
      </c>
      <c r="H82" s="444">
        <v>534</v>
      </c>
      <c r="I82" s="696" t="s">
        <v>1019</v>
      </c>
      <c r="J82" s="690"/>
      <c r="K82" s="690"/>
      <c r="L82" s="705"/>
      <c r="M82" s="697"/>
      <c r="N82" s="697"/>
      <c r="O82" s="697"/>
      <c r="P82" s="696"/>
      <c r="Q82" s="696"/>
      <c r="R82" s="696"/>
      <c r="S82" s="697"/>
      <c r="T82" s="697"/>
      <c r="U82" s="697"/>
      <c r="V82" s="703"/>
      <c r="W82" s="699"/>
      <c r="X82" s="697"/>
      <c r="Y82" s="703"/>
      <c r="Z82" s="699"/>
      <c r="AA82" s="697"/>
      <c r="AB82" s="703"/>
      <c r="AC82" s="699"/>
      <c r="AD82" s="697"/>
      <c r="AE82" s="697"/>
      <c r="AF82" s="698"/>
      <c r="AG82" s="697"/>
      <c r="AH82" s="698"/>
      <c r="AI82" s="697"/>
      <c r="AJ82" s="697"/>
      <c r="AK82" s="696" t="s">
        <v>1018</v>
      </c>
      <c r="AL82" s="699"/>
      <c r="AM82" s="699"/>
      <c r="AN82" s="699"/>
      <c r="AO82" s="696" t="s">
        <v>1018</v>
      </c>
      <c r="AP82" s="699"/>
      <c r="AQ82" s="699"/>
      <c r="AR82" s="699"/>
      <c r="AS82" s="699"/>
      <c r="AU82" s="715"/>
      <c r="AV82" s="725"/>
      <c r="AW82" s="725"/>
      <c r="AX82" s="726"/>
      <c r="AY82" s="716"/>
      <c r="AZ82" s="716"/>
      <c r="BA82" s="716"/>
      <c r="BB82" s="715"/>
      <c r="BC82" s="715"/>
      <c r="BD82" s="715"/>
      <c r="BE82" s="716"/>
      <c r="BF82" s="716"/>
      <c r="BG82" s="716"/>
      <c r="BH82" s="723"/>
      <c r="BI82" s="718"/>
      <c r="BJ82" s="716"/>
      <c r="BK82" s="723"/>
      <c r="BL82" s="718"/>
      <c r="BM82" s="716"/>
      <c r="BN82" s="723"/>
      <c r="BO82" s="718"/>
      <c r="BP82" s="716"/>
      <c r="BQ82" s="716"/>
      <c r="BR82" s="717"/>
      <c r="BS82" s="716"/>
      <c r="BT82" s="717"/>
      <c r="BU82" s="716"/>
      <c r="BV82" s="716"/>
      <c r="BW82" s="715"/>
      <c r="BX82" s="718"/>
      <c r="BY82" s="718"/>
      <c r="BZ82" s="718"/>
      <c r="CA82" s="715"/>
      <c r="CB82" s="718"/>
      <c r="CC82" s="718"/>
      <c r="CD82" s="718"/>
      <c r="CE82" s="718"/>
      <c r="CF82" s="327"/>
    </row>
    <row r="83" spans="1:84" ht="14.5" outlineLevel="1" x14ac:dyDescent="0.35">
      <c r="A83" s="436"/>
      <c r="B83" s="433">
        <v>76</v>
      </c>
      <c r="C83" s="277" t="s">
        <v>1021</v>
      </c>
      <c r="D83" s="340" t="s">
        <v>240</v>
      </c>
      <c r="E83" s="340" t="s">
        <v>243</v>
      </c>
      <c r="F83" s="340" t="s">
        <v>260</v>
      </c>
      <c r="G83" s="444">
        <v>500.79</v>
      </c>
      <c r="H83" s="444">
        <v>589</v>
      </c>
      <c r="I83" s="696" t="s">
        <v>1019</v>
      </c>
      <c r="J83" s="697"/>
      <c r="K83" s="697"/>
      <c r="L83" s="697"/>
      <c r="M83" s="690"/>
      <c r="N83" s="706"/>
      <c r="O83" s="697"/>
      <c r="P83" s="696"/>
      <c r="Q83" s="696"/>
      <c r="R83" s="696"/>
      <c r="S83" s="697"/>
      <c r="T83" s="697"/>
      <c r="U83" s="697"/>
      <c r="V83" s="703"/>
      <c r="W83" s="699"/>
      <c r="X83" s="697"/>
      <c r="Y83" s="703"/>
      <c r="Z83" s="699"/>
      <c r="AA83" s="697"/>
      <c r="AB83" s="703"/>
      <c r="AC83" s="699"/>
      <c r="AD83" s="697"/>
      <c r="AE83" s="697"/>
      <c r="AF83" s="698"/>
      <c r="AG83" s="697"/>
      <c r="AH83" s="698"/>
      <c r="AI83" s="697"/>
      <c r="AJ83" s="697"/>
      <c r="AK83" s="696" t="s">
        <v>1018</v>
      </c>
      <c r="AL83" s="699"/>
      <c r="AM83" s="699"/>
      <c r="AN83" s="699"/>
      <c r="AO83" s="696" t="s">
        <v>1018</v>
      </c>
      <c r="AP83" s="699"/>
      <c r="AQ83" s="699"/>
      <c r="AR83" s="699"/>
      <c r="AS83" s="699"/>
      <c r="AU83" s="715"/>
      <c r="AV83" s="716"/>
      <c r="AW83" s="716"/>
      <c r="AX83" s="716"/>
      <c r="AY83" s="725"/>
      <c r="AZ83" s="727"/>
      <c r="BA83" s="716"/>
      <c r="BB83" s="715"/>
      <c r="BC83" s="715"/>
      <c r="BD83" s="715"/>
      <c r="BE83" s="716"/>
      <c r="BF83" s="716"/>
      <c r="BG83" s="716"/>
      <c r="BH83" s="723"/>
      <c r="BI83" s="718"/>
      <c r="BJ83" s="716"/>
      <c r="BK83" s="723"/>
      <c r="BL83" s="718"/>
      <c r="BM83" s="716"/>
      <c r="BN83" s="723"/>
      <c r="BO83" s="718"/>
      <c r="BP83" s="716"/>
      <c r="BQ83" s="716"/>
      <c r="BR83" s="717"/>
      <c r="BS83" s="716"/>
      <c r="BT83" s="717"/>
      <c r="BU83" s="716"/>
      <c r="BV83" s="716"/>
      <c r="BW83" s="715"/>
      <c r="BX83" s="718"/>
      <c r="BY83" s="718"/>
      <c r="BZ83" s="718"/>
      <c r="CA83" s="715"/>
      <c r="CB83" s="718"/>
      <c r="CC83" s="718"/>
      <c r="CD83" s="718"/>
      <c r="CE83" s="718"/>
      <c r="CF83" s="327"/>
    </row>
    <row r="84" spans="1:84" ht="14.5" outlineLevel="1" x14ac:dyDescent="0.35">
      <c r="A84" s="436"/>
      <c r="B84" s="433">
        <v>77</v>
      </c>
      <c r="C84" s="277" t="s">
        <v>1022</v>
      </c>
      <c r="D84" s="340" t="s">
        <v>240</v>
      </c>
      <c r="E84" s="340" t="s">
        <v>243</v>
      </c>
      <c r="F84" s="340" t="s">
        <v>260</v>
      </c>
      <c r="G84" s="444">
        <v>561.14</v>
      </c>
      <c r="H84" s="444">
        <v>659</v>
      </c>
      <c r="I84" s="696" t="s">
        <v>1019</v>
      </c>
      <c r="J84" s="697"/>
      <c r="K84" s="697"/>
      <c r="L84" s="697"/>
      <c r="M84" s="697"/>
      <c r="N84" s="704"/>
      <c r="O84" s="697"/>
      <c r="P84" s="690"/>
      <c r="Q84" s="706"/>
      <c r="R84" s="697"/>
      <c r="S84" s="697"/>
      <c r="T84" s="697"/>
      <c r="U84" s="697"/>
      <c r="V84" s="703"/>
      <c r="W84" s="699"/>
      <c r="X84" s="697"/>
      <c r="Y84" s="703"/>
      <c r="Z84" s="699"/>
      <c r="AA84" s="697"/>
      <c r="AB84" s="703"/>
      <c r="AC84" s="699"/>
      <c r="AD84" s="697"/>
      <c r="AE84" s="697"/>
      <c r="AF84" s="698"/>
      <c r="AG84" s="697"/>
      <c r="AH84" s="698"/>
      <c r="AI84" s="697"/>
      <c r="AJ84" s="697"/>
      <c r="AK84" s="696" t="s">
        <v>1018</v>
      </c>
      <c r="AL84" s="699"/>
      <c r="AM84" s="699"/>
      <c r="AN84" s="699"/>
      <c r="AO84" s="696" t="s">
        <v>1018</v>
      </c>
      <c r="AP84" s="699"/>
      <c r="AQ84" s="699"/>
      <c r="AR84" s="699"/>
      <c r="AS84" s="699"/>
      <c r="AU84" s="715"/>
      <c r="AV84" s="716"/>
      <c r="AW84" s="716"/>
      <c r="AX84" s="716"/>
      <c r="AY84" s="716"/>
      <c r="AZ84" s="724"/>
      <c r="BA84" s="716"/>
      <c r="BB84" s="725"/>
      <c r="BC84" s="727"/>
      <c r="BD84" s="716"/>
      <c r="BE84" s="716"/>
      <c r="BF84" s="716"/>
      <c r="BG84" s="716"/>
      <c r="BH84" s="723"/>
      <c r="BI84" s="718"/>
      <c r="BJ84" s="716"/>
      <c r="BK84" s="723"/>
      <c r="BL84" s="718"/>
      <c r="BM84" s="716"/>
      <c r="BN84" s="723"/>
      <c r="BO84" s="718"/>
      <c r="BP84" s="716"/>
      <c r="BQ84" s="716"/>
      <c r="BR84" s="717"/>
      <c r="BS84" s="716"/>
      <c r="BT84" s="717"/>
      <c r="BU84" s="716"/>
      <c r="BV84" s="716"/>
      <c r="BW84" s="715"/>
      <c r="BX84" s="718"/>
      <c r="BY84" s="718"/>
      <c r="BZ84" s="718"/>
      <c r="CA84" s="715"/>
      <c r="CB84" s="718"/>
      <c r="CC84" s="718"/>
      <c r="CD84" s="718"/>
      <c r="CE84" s="718"/>
      <c r="CF84" s="327"/>
    </row>
    <row r="85" spans="1:84" ht="14.5" outlineLevel="1" x14ac:dyDescent="0.35">
      <c r="A85" s="436"/>
      <c r="B85" s="433">
        <v>78</v>
      </c>
      <c r="C85" s="277" t="s">
        <v>1023</v>
      </c>
      <c r="D85" s="340" t="s">
        <v>240</v>
      </c>
      <c r="E85" s="340" t="s">
        <v>243</v>
      </c>
      <c r="F85" s="340" t="s">
        <v>260</v>
      </c>
      <c r="G85" s="444">
        <v>534.55999999999995</v>
      </c>
      <c r="H85" s="444">
        <v>629</v>
      </c>
      <c r="I85" s="696" t="s">
        <v>1019</v>
      </c>
      <c r="J85" s="697"/>
      <c r="K85" s="697"/>
      <c r="L85" s="697"/>
      <c r="M85" s="690"/>
      <c r="N85" s="706"/>
      <c r="O85" s="697"/>
      <c r="P85" s="696"/>
      <c r="Q85" s="696"/>
      <c r="R85" s="696"/>
      <c r="S85" s="697"/>
      <c r="T85" s="697"/>
      <c r="U85" s="697"/>
      <c r="V85" s="703"/>
      <c r="W85" s="707"/>
      <c r="X85" s="697"/>
      <c r="Y85" s="703"/>
      <c r="Z85" s="707"/>
      <c r="AA85" s="697"/>
      <c r="AB85" s="703"/>
      <c r="AC85" s="707"/>
      <c r="AD85" s="697"/>
      <c r="AE85" s="697"/>
      <c r="AF85" s="698"/>
      <c r="AG85" s="697"/>
      <c r="AH85" s="698"/>
      <c r="AI85" s="697"/>
      <c r="AJ85" s="697"/>
      <c r="AK85" s="696" t="s">
        <v>1018</v>
      </c>
      <c r="AL85" s="699"/>
      <c r="AM85" s="699"/>
      <c r="AN85" s="699"/>
      <c r="AO85" s="696" t="s">
        <v>1018</v>
      </c>
      <c r="AP85" s="699"/>
      <c r="AQ85" s="699"/>
      <c r="AR85" s="699"/>
      <c r="AS85" s="699"/>
      <c r="AU85" s="715"/>
      <c r="AV85" s="716"/>
      <c r="AW85" s="716"/>
      <c r="AX85" s="716"/>
      <c r="AY85" s="725"/>
      <c r="AZ85" s="727"/>
      <c r="BA85" s="716"/>
      <c r="BB85" s="715"/>
      <c r="BC85" s="715"/>
      <c r="BD85" s="715"/>
      <c r="BE85" s="716"/>
      <c r="BF85" s="716"/>
      <c r="BG85" s="716"/>
      <c r="BH85" s="723"/>
      <c r="BI85" s="728"/>
      <c r="BJ85" s="716"/>
      <c r="BK85" s="723"/>
      <c r="BL85" s="728"/>
      <c r="BM85" s="716"/>
      <c r="BN85" s="723"/>
      <c r="BO85" s="728"/>
      <c r="BP85" s="716"/>
      <c r="BQ85" s="716"/>
      <c r="BR85" s="717"/>
      <c r="BS85" s="716"/>
      <c r="BT85" s="717"/>
      <c r="BU85" s="716"/>
      <c r="BV85" s="716"/>
      <c r="BW85" s="715"/>
      <c r="BX85" s="718"/>
      <c r="BY85" s="718"/>
      <c r="BZ85" s="718"/>
      <c r="CA85" s="715"/>
      <c r="CB85" s="718"/>
      <c r="CC85" s="718"/>
      <c r="CD85" s="718"/>
      <c r="CE85" s="718"/>
      <c r="CF85" s="327"/>
    </row>
    <row r="86" spans="1:84" ht="14.5" outlineLevel="1" x14ac:dyDescent="0.35">
      <c r="A86" s="436"/>
      <c r="B86" s="433">
        <v>79</v>
      </c>
      <c r="C86" s="277" t="s">
        <v>1024</v>
      </c>
      <c r="D86" s="340" t="s">
        <v>240</v>
      </c>
      <c r="E86" s="340" t="s">
        <v>243</v>
      </c>
      <c r="F86" s="340" t="s">
        <v>260</v>
      </c>
      <c r="G86" s="444">
        <v>594.91</v>
      </c>
      <c r="H86" s="444">
        <v>699</v>
      </c>
      <c r="I86" s="696" t="s">
        <v>1019</v>
      </c>
      <c r="J86" s="697"/>
      <c r="K86" s="697"/>
      <c r="L86" s="697"/>
      <c r="M86" s="697"/>
      <c r="N86" s="704"/>
      <c r="O86" s="697"/>
      <c r="P86" s="690"/>
      <c r="Q86" s="706"/>
      <c r="R86" s="697"/>
      <c r="S86" s="697"/>
      <c r="T86" s="697"/>
      <c r="U86" s="697"/>
      <c r="V86" s="703"/>
      <c r="W86" s="699"/>
      <c r="X86" s="697"/>
      <c r="Y86" s="703"/>
      <c r="Z86" s="699"/>
      <c r="AA86" s="697"/>
      <c r="AB86" s="703"/>
      <c r="AC86" s="699"/>
      <c r="AD86" s="697"/>
      <c r="AE86" s="697"/>
      <c r="AF86" s="698"/>
      <c r="AG86" s="697"/>
      <c r="AH86" s="698"/>
      <c r="AI86" s="697"/>
      <c r="AJ86" s="697"/>
      <c r="AK86" s="696" t="s">
        <v>1018</v>
      </c>
      <c r="AL86" s="699"/>
      <c r="AM86" s="699"/>
      <c r="AN86" s="699"/>
      <c r="AO86" s="696" t="s">
        <v>1018</v>
      </c>
      <c r="AP86" s="699"/>
      <c r="AQ86" s="699"/>
      <c r="AR86" s="699"/>
      <c r="AS86" s="699"/>
      <c r="AU86" s="715"/>
      <c r="AV86" s="716"/>
      <c r="AW86" s="716"/>
      <c r="AX86" s="716"/>
      <c r="AY86" s="716"/>
      <c r="AZ86" s="724"/>
      <c r="BA86" s="716"/>
      <c r="BB86" s="725"/>
      <c r="BC86" s="727"/>
      <c r="BD86" s="716"/>
      <c r="BE86" s="716"/>
      <c r="BF86" s="716"/>
      <c r="BG86" s="716"/>
      <c r="BH86" s="723"/>
      <c r="BI86" s="718"/>
      <c r="BJ86" s="716"/>
      <c r="BK86" s="723"/>
      <c r="BL86" s="718"/>
      <c r="BM86" s="716"/>
      <c r="BN86" s="723"/>
      <c r="BO86" s="718"/>
      <c r="BP86" s="716"/>
      <c r="BQ86" s="716"/>
      <c r="BR86" s="717"/>
      <c r="BS86" s="716"/>
      <c r="BT86" s="717"/>
      <c r="BU86" s="716"/>
      <c r="BV86" s="716"/>
      <c r="BW86" s="715"/>
      <c r="BX86" s="718"/>
      <c r="BY86" s="718"/>
      <c r="BZ86" s="718"/>
      <c r="CA86" s="715"/>
      <c r="CB86" s="718"/>
      <c r="CC86" s="718"/>
      <c r="CD86" s="718"/>
      <c r="CE86" s="718"/>
      <c r="CF86" s="327"/>
    </row>
    <row r="87" spans="1:84" ht="14.5" outlineLevel="1" x14ac:dyDescent="0.35">
      <c r="A87" s="436"/>
      <c r="B87" s="433">
        <v>80</v>
      </c>
      <c r="C87" s="277" t="s">
        <v>1025</v>
      </c>
      <c r="D87" s="340" t="s">
        <v>240</v>
      </c>
      <c r="E87" s="340" t="s">
        <v>243</v>
      </c>
      <c r="F87" s="340" t="s">
        <v>260</v>
      </c>
      <c r="G87" s="444">
        <v>607.17999999999995</v>
      </c>
      <c r="H87" s="444">
        <v>715</v>
      </c>
      <c r="I87" s="696" t="s">
        <v>1019</v>
      </c>
      <c r="J87" s="697"/>
      <c r="K87" s="697"/>
      <c r="L87" s="697"/>
      <c r="M87" s="690"/>
      <c r="N87" s="706"/>
      <c r="O87" s="697"/>
      <c r="P87" s="696"/>
      <c r="Q87" s="696"/>
      <c r="R87" s="696"/>
      <c r="S87" s="697"/>
      <c r="T87" s="697"/>
      <c r="U87" s="697"/>
      <c r="V87" s="703"/>
      <c r="W87" s="707"/>
      <c r="X87" s="697"/>
      <c r="Y87" s="703"/>
      <c r="Z87" s="707"/>
      <c r="AA87" s="697"/>
      <c r="AB87" s="703"/>
      <c r="AC87" s="707"/>
      <c r="AD87" s="697"/>
      <c r="AE87" s="697"/>
      <c r="AF87" s="698"/>
      <c r="AG87" s="697"/>
      <c r="AH87" s="698"/>
      <c r="AI87" s="697"/>
      <c r="AJ87" s="697"/>
      <c r="AK87" s="696" t="s">
        <v>1018</v>
      </c>
      <c r="AL87" s="699"/>
      <c r="AM87" s="699"/>
      <c r="AN87" s="699"/>
      <c r="AO87" s="696" t="s">
        <v>1018</v>
      </c>
      <c r="AP87" s="699"/>
      <c r="AQ87" s="699"/>
      <c r="AR87" s="699"/>
      <c r="AS87" s="699"/>
      <c r="AU87" s="715"/>
      <c r="AV87" s="716"/>
      <c r="AW87" s="716"/>
      <c r="AX87" s="716"/>
      <c r="AY87" s="725"/>
      <c r="AZ87" s="727"/>
      <c r="BA87" s="716"/>
      <c r="BB87" s="715"/>
      <c r="BC87" s="715"/>
      <c r="BD87" s="715"/>
      <c r="BE87" s="716"/>
      <c r="BF87" s="716"/>
      <c r="BG87" s="716"/>
      <c r="BH87" s="723"/>
      <c r="BI87" s="728"/>
      <c r="BJ87" s="716"/>
      <c r="BK87" s="723"/>
      <c r="BL87" s="728"/>
      <c r="BM87" s="716"/>
      <c r="BN87" s="723"/>
      <c r="BO87" s="728"/>
      <c r="BP87" s="716"/>
      <c r="BQ87" s="716"/>
      <c r="BR87" s="717"/>
      <c r="BS87" s="716"/>
      <c r="BT87" s="717"/>
      <c r="BU87" s="716"/>
      <c r="BV87" s="716"/>
      <c r="BW87" s="715"/>
      <c r="BX87" s="718"/>
      <c r="BY87" s="718"/>
      <c r="BZ87" s="718"/>
      <c r="CA87" s="715"/>
      <c r="CB87" s="718"/>
      <c r="CC87" s="718"/>
      <c r="CD87" s="718"/>
      <c r="CE87" s="718"/>
      <c r="CF87" s="327"/>
    </row>
    <row r="88" spans="1:84" ht="14.5" outlineLevel="1" x14ac:dyDescent="0.35">
      <c r="A88" s="436"/>
      <c r="B88" s="433">
        <v>81</v>
      </c>
      <c r="C88" s="277" t="s">
        <v>1026</v>
      </c>
      <c r="D88" s="340" t="s">
        <v>240</v>
      </c>
      <c r="E88" s="340" t="s">
        <v>243</v>
      </c>
      <c r="F88" s="340" t="s">
        <v>260</v>
      </c>
      <c r="G88" s="444">
        <v>666.68</v>
      </c>
      <c r="H88" s="444">
        <v>784</v>
      </c>
      <c r="I88" s="696" t="s">
        <v>1019</v>
      </c>
      <c r="J88" s="697"/>
      <c r="K88" s="697"/>
      <c r="L88" s="697"/>
      <c r="M88" s="697"/>
      <c r="N88" s="704"/>
      <c r="O88" s="697"/>
      <c r="P88" s="690"/>
      <c r="Q88" s="706"/>
      <c r="R88" s="697"/>
      <c r="S88" s="697"/>
      <c r="T88" s="697"/>
      <c r="U88" s="697"/>
      <c r="V88" s="703"/>
      <c r="W88" s="699"/>
      <c r="X88" s="697"/>
      <c r="Y88" s="703"/>
      <c r="Z88" s="699"/>
      <c r="AA88" s="697"/>
      <c r="AB88" s="703"/>
      <c r="AC88" s="699"/>
      <c r="AD88" s="697"/>
      <c r="AE88" s="697"/>
      <c r="AF88" s="698"/>
      <c r="AG88" s="697"/>
      <c r="AH88" s="698"/>
      <c r="AI88" s="697"/>
      <c r="AJ88" s="697"/>
      <c r="AK88" s="696" t="s">
        <v>1018</v>
      </c>
      <c r="AL88" s="699"/>
      <c r="AM88" s="699"/>
      <c r="AN88" s="699"/>
      <c r="AO88" s="696" t="s">
        <v>1018</v>
      </c>
      <c r="AP88" s="699"/>
      <c r="AQ88" s="699"/>
      <c r="AR88" s="699"/>
      <c r="AS88" s="699"/>
      <c r="AU88" s="715"/>
      <c r="AV88" s="716"/>
      <c r="AW88" s="716"/>
      <c r="AX88" s="716"/>
      <c r="AY88" s="716"/>
      <c r="AZ88" s="724"/>
      <c r="BA88" s="716"/>
      <c r="BB88" s="725"/>
      <c r="BC88" s="727"/>
      <c r="BD88" s="716"/>
      <c r="BE88" s="716"/>
      <c r="BF88" s="716"/>
      <c r="BG88" s="716"/>
      <c r="BH88" s="723"/>
      <c r="BI88" s="718"/>
      <c r="BJ88" s="716"/>
      <c r="BK88" s="723"/>
      <c r="BL88" s="718"/>
      <c r="BM88" s="716"/>
      <c r="BN88" s="723"/>
      <c r="BO88" s="718"/>
      <c r="BP88" s="716"/>
      <c r="BQ88" s="716"/>
      <c r="BR88" s="717"/>
      <c r="BS88" s="716"/>
      <c r="BT88" s="717"/>
      <c r="BU88" s="716"/>
      <c r="BV88" s="716"/>
      <c r="BW88" s="715"/>
      <c r="BX88" s="718"/>
      <c r="BY88" s="718"/>
      <c r="BZ88" s="718"/>
      <c r="CA88" s="715"/>
      <c r="CB88" s="718"/>
      <c r="CC88" s="718"/>
      <c r="CD88" s="718"/>
      <c r="CE88" s="718"/>
      <c r="CF88" s="327"/>
    </row>
    <row r="89" spans="1:84" ht="14.5" outlineLevel="1" x14ac:dyDescent="0.35">
      <c r="A89" s="436"/>
      <c r="B89" s="433">
        <v>82</v>
      </c>
      <c r="C89" s="277" t="s">
        <v>1027</v>
      </c>
      <c r="D89" s="340" t="s">
        <v>240</v>
      </c>
      <c r="E89" s="340" t="s">
        <v>243</v>
      </c>
      <c r="F89" s="340" t="s">
        <v>260</v>
      </c>
      <c r="G89" s="444">
        <v>789.11</v>
      </c>
      <c r="H89" s="444">
        <v>929</v>
      </c>
      <c r="I89" s="696" t="s">
        <v>1019</v>
      </c>
      <c r="J89" s="697"/>
      <c r="K89" s="697"/>
      <c r="L89" s="697"/>
      <c r="M89" s="697"/>
      <c r="N89" s="704"/>
      <c r="O89" s="697"/>
      <c r="P89" s="690"/>
      <c r="Q89" s="706"/>
      <c r="R89" s="697"/>
      <c r="S89" s="697"/>
      <c r="T89" s="697"/>
      <c r="U89" s="697"/>
      <c r="V89" s="703"/>
      <c r="W89" s="699"/>
      <c r="X89" s="697"/>
      <c r="Y89" s="703"/>
      <c r="Z89" s="699"/>
      <c r="AA89" s="697"/>
      <c r="AB89" s="703"/>
      <c r="AC89" s="699"/>
      <c r="AD89" s="697"/>
      <c r="AE89" s="697"/>
      <c r="AF89" s="698"/>
      <c r="AG89" s="697"/>
      <c r="AH89" s="698"/>
      <c r="AI89" s="697"/>
      <c r="AJ89" s="697"/>
      <c r="AK89" s="696" t="s">
        <v>1018</v>
      </c>
      <c r="AL89" s="699"/>
      <c r="AM89" s="699"/>
      <c r="AN89" s="699"/>
      <c r="AO89" s="696" t="s">
        <v>1018</v>
      </c>
      <c r="AP89" s="699"/>
      <c r="AQ89" s="699"/>
      <c r="AR89" s="699"/>
      <c r="AS89" s="699"/>
      <c r="AU89" s="715"/>
      <c r="AV89" s="716"/>
      <c r="AW89" s="716"/>
      <c r="AX89" s="716"/>
      <c r="AY89" s="716"/>
      <c r="AZ89" s="724"/>
      <c r="BA89" s="716"/>
      <c r="BB89" s="725"/>
      <c r="BC89" s="727"/>
      <c r="BD89" s="716"/>
      <c r="BE89" s="716"/>
      <c r="BF89" s="716"/>
      <c r="BG89" s="716"/>
      <c r="BH89" s="723"/>
      <c r="BI89" s="718"/>
      <c r="BJ89" s="716"/>
      <c r="BK89" s="723"/>
      <c r="BL89" s="718"/>
      <c r="BM89" s="716"/>
      <c r="BN89" s="723"/>
      <c r="BO89" s="718"/>
      <c r="BP89" s="716"/>
      <c r="BQ89" s="716"/>
      <c r="BR89" s="717"/>
      <c r="BS89" s="716"/>
      <c r="BT89" s="717"/>
      <c r="BU89" s="716"/>
      <c r="BV89" s="716"/>
      <c r="BW89" s="715"/>
      <c r="BX89" s="718"/>
      <c r="BY89" s="718"/>
      <c r="BZ89" s="718"/>
      <c r="CA89" s="715"/>
      <c r="CB89" s="718"/>
      <c r="CC89" s="718"/>
      <c r="CD89" s="718"/>
      <c r="CE89" s="718"/>
      <c r="CF89" s="327"/>
    </row>
    <row r="90" spans="1:84" ht="14.5" outlineLevel="1" x14ac:dyDescent="0.35">
      <c r="A90" s="436"/>
      <c r="B90" s="433">
        <v>83</v>
      </c>
      <c r="C90" s="277" t="s">
        <v>1028</v>
      </c>
      <c r="D90" s="340" t="s">
        <v>240</v>
      </c>
      <c r="E90" s="340" t="s">
        <v>243</v>
      </c>
      <c r="F90" s="340" t="s">
        <v>260</v>
      </c>
      <c r="G90" s="444">
        <v>746.49</v>
      </c>
      <c r="H90" s="444">
        <v>880</v>
      </c>
      <c r="I90" s="696" t="s">
        <v>1019</v>
      </c>
      <c r="J90" s="697"/>
      <c r="K90" s="697"/>
      <c r="L90" s="697"/>
      <c r="M90" s="690"/>
      <c r="N90" s="706"/>
      <c r="O90" s="697"/>
      <c r="P90" s="696"/>
      <c r="Q90" s="696"/>
      <c r="R90" s="696"/>
      <c r="S90" s="697"/>
      <c r="T90" s="697"/>
      <c r="U90" s="697"/>
      <c r="V90" s="703"/>
      <c r="W90" s="699"/>
      <c r="X90" s="697"/>
      <c r="Y90" s="703"/>
      <c r="Z90" s="699"/>
      <c r="AA90" s="697"/>
      <c r="AB90" s="703"/>
      <c r="AC90" s="699"/>
      <c r="AD90" s="697"/>
      <c r="AE90" s="697"/>
      <c r="AF90" s="698"/>
      <c r="AG90" s="697"/>
      <c r="AH90" s="698"/>
      <c r="AI90" s="697"/>
      <c r="AJ90" s="697"/>
      <c r="AK90" s="696" t="s">
        <v>1018</v>
      </c>
      <c r="AL90" s="699"/>
      <c r="AM90" s="699"/>
      <c r="AN90" s="699"/>
      <c r="AO90" s="696" t="s">
        <v>1018</v>
      </c>
      <c r="AP90" s="699"/>
      <c r="AQ90" s="699"/>
      <c r="AR90" s="699"/>
      <c r="AS90" s="699"/>
      <c r="AU90" s="715"/>
      <c r="AV90" s="716"/>
      <c r="AW90" s="716"/>
      <c r="AX90" s="716"/>
      <c r="AY90" s="725"/>
      <c r="AZ90" s="727"/>
      <c r="BA90" s="716"/>
      <c r="BB90" s="715"/>
      <c r="BC90" s="715"/>
      <c r="BD90" s="715"/>
      <c r="BE90" s="716"/>
      <c r="BF90" s="716"/>
      <c r="BG90" s="716"/>
      <c r="BH90" s="723"/>
      <c r="BI90" s="718"/>
      <c r="BJ90" s="716"/>
      <c r="BK90" s="723"/>
      <c r="BL90" s="718"/>
      <c r="BM90" s="716"/>
      <c r="BN90" s="723"/>
      <c r="BO90" s="718"/>
      <c r="BP90" s="716"/>
      <c r="BQ90" s="716"/>
      <c r="BR90" s="717"/>
      <c r="BS90" s="716"/>
      <c r="BT90" s="717"/>
      <c r="BU90" s="716"/>
      <c r="BV90" s="716"/>
      <c r="BW90" s="715"/>
      <c r="BX90" s="718"/>
      <c r="BY90" s="718"/>
      <c r="BZ90" s="718"/>
      <c r="CA90" s="715"/>
      <c r="CB90" s="718"/>
      <c r="CC90" s="718"/>
      <c r="CD90" s="718"/>
      <c r="CE90" s="718"/>
      <c r="CF90" s="327"/>
    </row>
    <row r="91" spans="1:84" ht="14.5" outlineLevel="1" x14ac:dyDescent="0.35">
      <c r="A91" s="436"/>
      <c r="B91" s="433">
        <v>84</v>
      </c>
      <c r="C91" s="277" t="s">
        <v>1029</v>
      </c>
      <c r="D91" s="340" t="s">
        <v>240</v>
      </c>
      <c r="E91" s="340" t="s">
        <v>243</v>
      </c>
      <c r="F91" s="340" t="s">
        <v>260</v>
      </c>
      <c r="G91" s="444">
        <v>1202.83</v>
      </c>
      <c r="H91" s="444">
        <v>1419</v>
      </c>
      <c r="I91" s="696" t="s">
        <v>1019</v>
      </c>
      <c r="J91" s="697"/>
      <c r="K91" s="697"/>
      <c r="L91" s="697"/>
      <c r="M91" s="697"/>
      <c r="N91" s="704"/>
      <c r="O91" s="697"/>
      <c r="P91" s="690"/>
      <c r="Q91" s="706"/>
      <c r="R91" s="697"/>
      <c r="S91" s="697"/>
      <c r="T91" s="697"/>
      <c r="U91" s="697"/>
      <c r="V91" s="703"/>
      <c r="W91" s="699"/>
      <c r="X91" s="697"/>
      <c r="Y91" s="703"/>
      <c r="Z91" s="699"/>
      <c r="AA91" s="697"/>
      <c r="AB91" s="703"/>
      <c r="AC91" s="699"/>
      <c r="AD91" s="697"/>
      <c r="AE91" s="697"/>
      <c r="AF91" s="698"/>
      <c r="AG91" s="697"/>
      <c r="AH91" s="698"/>
      <c r="AI91" s="697"/>
      <c r="AJ91" s="697"/>
      <c r="AK91" s="696" t="s">
        <v>1018</v>
      </c>
      <c r="AL91" s="699"/>
      <c r="AM91" s="699"/>
      <c r="AN91" s="699"/>
      <c r="AO91" s="696" t="s">
        <v>1018</v>
      </c>
      <c r="AP91" s="699"/>
      <c r="AQ91" s="699"/>
      <c r="AR91" s="699"/>
      <c r="AS91" s="699"/>
      <c r="AU91" s="715"/>
      <c r="AV91" s="716"/>
      <c r="AW91" s="716"/>
      <c r="AX91" s="716"/>
      <c r="AY91" s="716"/>
      <c r="AZ91" s="724"/>
      <c r="BA91" s="716"/>
      <c r="BB91" s="725"/>
      <c r="BC91" s="727"/>
      <c r="BD91" s="716"/>
      <c r="BE91" s="716"/>
      <c r="BF91" s="716"/>
      <c r="BG91" s="716"/>
      <c r="BH91" s="723"/>
      <c r="BI91" s="718"/>
      <c r="BJ91" s="716"/>
      <c r="BK91" s="723"/>
      <c r="BL91" s="718"/>
      <c r="BM91" s="716"/>
      <c r="BN91" s="723"/>
      <c r="BO91" s="718"/>
      <c r="BP91" s="716"/>
      <c r="BQ91" s="716"/>
      <c r="BR91" s="717"/>
      <c r="BS91" s="716"/>
      <c r="BT91" s="717"/>
      <c r="BU91" s="716"/>
      <c r="BV91" s="716"/>
      <c r="BW91" s="715"/>
      <c r="BX91" s="718"/>
      <c r="BY91" s="718"/>
      <c r="BZ91" s="718"/>
      <c r="CA91" s="715"/>
      <c r="CB91" s="718"/>
      <c r="CC91" s="718"/>
      <c r="CD91" s="718"/>
      <c r="CE91" s="718"/>
      <c r="CF91" s="327"/>
    </row>
    <row r="92" spans="1:84" ht="14.5" outlineLevel="1" x14ac:dyDescent="0.35">
      <c r="A92" s="436"/>
      <c r="B92" s="433">
        <v>85</v>
      </c>
      <c r="C92" s="277" t="s">
        <v>1030</v>
      </c>
      <c r="D92" s="340" t="s">
        <v>240</v>
      </c>
      <c r="E92" s="340" t="s">
        <v>243</v>
      </c>
      <c r="F92" s="340" t="s">
        <v>260</v>
      </c>
      <c r="G92" s="444">
        <v>1163.5999999999999</v>
      </c>
      <c r="H92" s="444">
        <v>1374</v>
      </c>
      <c r="I92" s="696" t="s">
        <v>1019</v>
      </c>
      <c r="J92" s="697"/>
      <c r="K92" s="697"/>
      <c r="L92" s="697"/>
      <c r="M92" s="690"/>
      <c r="N92" s="706"/>
      <c r="O92" s="697"/>
      <c r="P92" s="696"/>
      <c r="Q92" s="696"/>
      <c r="R92" s="696"/>
      <c r="S92" s="697"/>
      <c r="T92" s="697"/>
      <c r="U92" s="697"/>
      <c r="V92" s="703"/>
      <c r="W92" s="699"/>
      <c r="X92" s="697"/>
      <c r="Y92" s="703"/>
      <c r="Z92" s="699"/>
      <c r="AA92" s="697"/>
      <c r="AB92" s="703"/>
      <c r="AC92" s="699"/>
      <c r="AD92" s="697"/>
      <c r="AE92" s="697"/>
      <c r="AF92" s="698"/>
      <c r="AG92" s="697"/>
      <c r="AH92" s="698"/>
      <c r="AI92" s="697"/>
      <c r="AJ92" s="697"/>
      <c r="AK92" s="696" t="s">
        <v>1018</v>
      </c>
      <c r="AL92" s="699"/>
      <c r="AM92" s="699"/>
      <c r="AN92" s="699"/>
      <c r="AO92" s="696" t="s">
        <v>1018</v>
      </c>
      <c r="AP92" s="699"/>
      <c r="AQ92" s="699"/>
      <c r="AR92" s="699"/>
      <c r="AS92" s="699"/>
      <c r="AU92" s="715"/>
      <c r="AV92" s="716"/>
      <c r="AW92" s="716"/>
      <c r="AX92" s="716"/>
      <c r="AY92" s="725"/>
      <c r="AZ92" s="727"/>
      <c r="BA92" s="716"/>
      <c r="BB92" s="715"/>
      <c r="BC92" s="715"/>
      <c r="BD92" s="715"/>
      <c r="BE92" s="716"/>
      <c r="BF92" s="716"/>
      <c r="BG92" s="716"/>
      <c r="BH92" s="723"/>
      <c r="BI92" s="718"/>
      <c r="BJ92" s="716"/>
      <c r="BK92" s="723"/>
      <c r="BL92" s="718"/>
      <c r="BM92" s="716"/>
      <c r="BN92" s="723"/>
      <c r="BO92" s="718"/>
      <c r="BP92" s="716"/>
      <c r="BQ92" s="716"/>
      <c r="BR92" s="717"/>
      <c r="BS92" s="716"/>
      <c r="BT92" s="717"/>
      <c r="BU92" s="716"/>
      <c r="BV92" s="716"/>
      <c r="BW92" s="715"/>
      <c r="BX92" s="718"/>
      <c r="BY92" s="718"/>
      <c r="BZ92" s="718"/>
      <c r="CA92" s="715"/>
      <c r="CB92" s="718"/>
      <c r="CC92" s="718"/>
      <c r="CD92" s="718"/>
      <c r="CE92" s="718"/>
      <c r="CF92" s="327"/>
    </row>
    <row r="93" spans="1:84" ht="14.5" outlineLevel="1" x14ac:dyDescent="0.35">
      <c r="A93" s="436"/>
      <c r="B93" s="433">
        <v>86</v>
      </c>
      <c r="C93" s="277" t="s">
        <v>1031</v>
      </c>
      <c r="D93" s="340" t="s">
        <v>240</v>
      </c>
      <c r="E93" s="340" t="s">
        <v>241</v>
      </c>
      <c r="F93" s="340" t="s">
        <v>260</v>
      </c>
      <c r="G93" s="444">
        <v>425.86</v>
      </c>
      <c r="H93" s="444">
        <v>494</v>
      </c>
      <c r="I93" s="696" t="s">
        <v>1019</v>
      </c>
      <c r="J93" s="690"/>
      <c r="K93" s="690"/>
      <c r="L93" s="699"/>
      <c r="M93" s="697"/>
      <c r="N93" s="704"/>
      <c r="O93" s="697"/>
      <c r="P93" s="696"/>
      <c r="Q93" s="696"/>
      <c r="R93" s="696"/>
      <c r="S93" s="697"/>
      <c r="T93" s="697"/>
      <c r="U93" s="697"/>
      <c r="V93" s="703"/>
      <c r="W93" s="699"/>
      <c r="X93" s="697"/>
      <c r="Y93" s="703"/>
      <c r="Z93" s="699"/>
      <c r="AA93" s="697"/>
      <c r="AB93" s="703"/>
      <c r="AC93" s="699"/>
      <c r="AD93" s="697"/>
      <c r="AE93" s="697"/>
      <c r="AF93" s="698"/>
      <c r="AG93" s="697"/>
      <c r="AH93" s="698"/>
      <c r="AI93" s="697"/>
      <c r="AJ93" s="697"/>
      <c r="AK93" s="696" t="s">
        <v>1018</v>
      </c>
      <c r="AL93" s="699"/>
      <c r="AM93" s="699"/>
      <c r="AN93" s="699"/>
      <c r="AO93" s="696" t="s">
        <v>1018</v>
      </c>
      <c r="AP93" s="699"/>
      <c r="AQ93" s="699"/>
      <c r="AR93" s="699"/>
      <c r="AS93" s="699"/>
      <c r="AU93" s="715"/>
      <c r="AV93" s="725"/>
      <c r="AW93" s="725"/>
      <c r="AX93" s="718"/>
      <c r="AY93" s="716"/>
      <c r="AZ93" s="724"/>
      <c r="BA93" s="716"/>
      <c r="BB93" s="715"/>
      <c r="BC93" s="715"/>
      <c r="BD93" s="715"/>
      <c r="BE93" s="716"/>
      <c r="BF93" s="716"/>
      <c r="BG93" s="716"/>
      <c r="BH93" s="723"/>
      <c r="BI93" s="718"/>
      <c r="BJ93" s="716"/>
      <c r="BK93" s="723"/>
      <c r="BL93" s="718"/>
      <c r="BM93" s="716"/>
      <c r="BN93" s="723"/>
      <c r="BO93" s="718"/>
      <c r="BP93" s="716"/>
      <c r="BQ93" s="716"/>
      <c r="BR93" s="717"/>
      <c r="BS93" s="716"/>
      <c r="BT93" s="717"/>
      <c r="BU93" s="716"/>
      <c r="BV93" s="716"/>
      <c r="BW93" s="715"/>
      <c r="BX93" s="718"/>
      <c r="BY93" s="718"/>
      <c r="BZ93" s="718"/>
      <c r="CA93" s="715"/>
      <c r="CB93" s="718"/>
      <c r="CC93" s="718"/>
      <c r="CD93" s="718"/>
      <c r="CE93" s="718"/>
      <c r="CF93" s="327"/>
    </row>
    <row r="94" spans="1:84" ht="14.5" outlineLevel="1" x14ac:dyDescent="0.35">
      <c r="A94" s="436"/>
      <c r="B94" s="433">
        <v>87</v>
      </c>
      <c r="C94" s="277" t="s">
        <v>1032</v>
      </c>
      <c r="D94" s="340" t="s">
        <v>240</v>
      </c>
      <c r="E94" s="340" t="s">
        <v>241</v>
      </c>
      <c r="F94" s="340" t="s">
        <v>260</v>
      </c>
      <c r="G94" s="444">
        <v>473.28</v>
      </c>
      <c r="H94" s="444">
        <v>549</v>
      </c>
      <c r="I94" s="696" t="s">
        <v>1019</v>
      </c>
      <c r="J94" s="697"/>
      <c r="K94" s="697"/>
      <c r="L94" s="697"/>
      <c r="M94" s="690"/>
      <c r="N94" s="706"/>
      <c r="O94" s="697"/>
      <c r="P94" s="696"/>
      <c r="Q94" s="696"/>
      <c r="R94" s="696"/>
      <c r="S94" s="697"/>
      <c r="T94" s="697"/>
      <c r="U94" s="697"/>
      <c r="V94" s="703"/>
      <c r="W94" s="699"/>
      <c r="X94" s="697"/>
      <c r="Y94" s="703"/>
      <c r="Z94" s="699"/>
      <c r="AA94" s="697"/>
      <c r="AB94" s="703"/>
      <c r="AC94" s="699"/>
      <c r="AD94" s="697"/>
      <c r="AE94" s="697"/>
      <c r="AF94" s="698"/>
      <c r="AG94" s="697"/>
      <c r="AH94" s="698"/>
      <c r="AI94" s="697"/>
      <c r="AJ94" s="697"/>
      <c r="AK94" s="696" t="s">
        <v>1018</v>
      </c>
      <c r="AL94" s="699"/>
      <c r="AM94" s="699"/>
      <c r="AN94" s="699"/>
      <c r="AO94" s="696" t="s">
        <v>1018</v>
      </c>
      <c r="AP94" s="699"/>
      <c r="AQ94" s="699"/>
      <c r="AR94" s="699"/>
      <c r="AS94" s="699"/>
      <c r="AU94" s="715"/>
      <c r="AV94" s="716"/>
      <c r="AW94" s="716"/>
      <c r="AX94" s="716"/>
      <c r="AY94" s="725"/>
      <c r="AZ94" s="727"/>
      <c r="BA94" s="716"/>
      <c r="BB94" s="715"/>
      <c r="BC94" s="715"/>
      <c r="BD94" s="715"/>
      <c r="BE94" s="716"/>
      <c r="BF94" s="716"/>
      <c r="BG94" s="716"/>
      <c r="BH94" s="723"/>
      <c r="BI94" s="718"/>
      <c r="BJ94" s="716"/>
      <c r="BK94" s="723"/>
      <c r="BL94" s="718"/>
      <c r="BM94" s="716"/>
      <c r="BN94" s="723"/>
      <c r="BO94" s="718"/>
      <c r="BP94" s="716"/>
      <c r="BQ94" s="716"/>
      <c r="BR94" s="717"/>
      <c r="BS94" s="716"/>
      <c r="BT94" s="717"/>
      <c r="BU94" s="716"/>
      <c r="BV94" s="716"/>
      <c r="BW94" s="715"/>
      <c r="BX94" s="718"/>
      <c r="BY94" s="718"/>
      <c r="BZ94" s="718"/>
      <c r="CA94" s="715"/>
      <c r="CB94" s="718"/>
      <c r="CC94" s="718"/>
      <c r="CD94" s="718"/>
      <c r="CE94" s="718"/>
      <c r="CF94" s="327"/>
    </row>
    <row r="95" spans="1:84" ht="14.5" outlineLevel="1" x14ac:dyDescent="0.35">
      <c r="A95" s="436"/>
      <c r="B95" s="433">
        <v>88</v>
      </c>
      <c r="C95" s="277" t="s">
        <v>1033</v>
      </c>
      <c r="D95" s="340" t="s">
        <v>240</v>
      </c>
      <c r="E95" s="340" t="s">
        <v>241</v>
      </c>
      <c r="F95" s="340" t="s">
        <v>260</v>
      </c>
      <c r="G95" s="444">
        <v>533.62</v>
      </c>
      <c r="H95" s="444">
        <v>619</v>
      </c>
      <c r="I95" s="696" t="s">
        <v>1019</v>
      </c>
      <c r="J95" s="697"/>
      <c r="K95" s="697"/>
      <c r="L95" s="697"/>
      <c r="M95" s="697"/>
      <c r="N95" s="704"/>
      <c r="O95" s="697"/>
      <c r="P95" s="690"/>
      <c r="Q95" s="706"/>
      <c r="R95" s="697"/>
      <c r="S95" s="697"/>
      <c r="T95" s="697"/>
      <c r="U95" s="697"/>
      <c r="V95" s="703"/>
      <c r="W95" s="699"/>
      <c r="X95" s="697"/>
      <c r="Y95" s="703"/>
      <c r="Z95" s="699"/>
      <c r="AA95" s="697"/>
      <c r="AB95" s="703"/>
      <c r="AC95" s="699"/>
      <c r="AD95" s="697"/>
      <c r="AE95" s="697"/>
      <c r="AF95" s="698"/>
      <c r="AG95" s="697"/>
      <c r="AH95" s="698"/>
      <c r="AI95" s="697"/>
      <c r="AJ95" s="697"/>
      <c r="AK95" s="696" t="s">
        <v>1018</v>
      </c>
      <c r="AL95" s="699"/>
      <c r="AM95" s="699"/>
      <c r="AN95" s="699"/>
      <c r="AO95" s="696" t="s">
        <v>1018</v>
      </c>
      <c r="AP95" s="699"/>
      <c r="AQ95" s="699"/>
      <c r="AR95" s="699"/>
      <c r="AS95" s="699"/>
      <c r="AU95" s="715"/>
      <c r="AV95" s="716"/>
      <c r="AW95" s="716"/>
      <c r="AX95" s="716"/>
      <c r="AY95" s="716"/>
      <c r="AZ95" s="724"/>
      <c r="BA95" s="716"/>
      <c r="BB95" s="725"/>
      <c r="BC95" s="727"/>
      <c r="BD95" s="716"/>
      <c r="BE95" s="716"/>
      <c r="BF95" s="716"/>
      <c r="BG95" s="716"/>
      <c r="BH95" s="723"/>
      <c r="BI95" s="718"/>
      <c r="BJ95" s="716"/>
      <c r="BK95" s="723"/>
      <c r="BL95" s="718"/>
      <c r="BM95" s="716"/>
      <c r="BN95" s="723"/>
      <c r="BO95" s="718"/>
      <c r="BP95" s="716"/>
      <c r="BQ95" s="716"/>
      <c r="BR95" s="717"/>
      <c r="BS95" s="716"/>
      <c r="BT95" s="717"/>
      <c r="BU95" s="716"/>
      <c r="BV95" s="716"/>
      <c r="BW95" s="715"/>
      <c r="BX95" s="718"/>
      <c r="BY95" s="718"/>
      <c r="BZ95" s="718"/>
      <c r="CA95" s="715"/>
      <c r="CB95" s="718"/>
      <c r="CC95" s="718"/>
      <c r="CD95" s="718"/>
      <c r="CE95" s="718"/>
      <c r="CF95" s="327"/>
    </row>
    <row r="96" spans="1:84" ht="14.5" outlineLevel="1" x14ac:dyDescent="0.35">
      <c r="A96" s="436"/>
      <c r="B96" s="433">
        <v>89</v>
      </c>
      <c r="C96" s="277" t="s">
        <v>1034</v>
      </c>
      <c r="D96" s="340" t="s">
        <v>240</v>
      </c>
      <c r="E96" s="340" t="s">
        <v>241</v>
      </c>
      <c r="F96" s="340" t="s">
        <v>260</v>
      </c>
      <c r="G96" s="444">
        <v>512.07000000000005</v>
      </c>
      <c r="H96" s="444">
        <v>594</v>
      </c>
      <c r="I96" s="696" t="s">
        <v>1019</v>
      </c>
      <c r="J96" s="697"/>
      <c r="K96" s="697"/>
      <c r="L96" s="697"/>
      <c r="M96" s="690"/>
      <c r="N96" s="706"/>
      <c r="O96" s="697"/>
      <c r="P96" s="696"/>
      <c r="Q96" s="696"/>
      <c r="R96" s="696"/>
      <c r="S96" s="697"/>
      <c r="T96" s="697"/>
      <c r="U96" s="697"/>
      <c r="V96" s="703"/>
      <c r="W96" s="699"/>
      <c r="X96" s="697"/>
      <c r="Y96" s="703"/>
      <c r="Z96" s="699"/>
      <c r="AA96" s="697"/>
      <c r="AB96" s="703"/>
      <c r="AC96" s="699"/>
      <c r="AD96" s="697"/>
      <c r="AE96" s="697"/>
      <c r="AF96" s="698"/>
      <c r="AG96" s="697"/>
      <c r="AH96" s="698"/>
      <c r="AI96" s="697"/>
      <c r="AJ96" s="697"/>
      <c r="AK96" s="696" t="s">
        <v>1018</v>
      </c>
      <c r="AL96" s="699"/>
      <c r="AM96" s="699"/>
      <c r="AN96" s="699"/>
      <c r="AO96" s="696" t="s">
        <v>1018</v>
      </c>
      <c r="AP96" s="699"/>
      <c r="AQ96" s="699"/>
      <c r="AR96" s="699"/>
      <c r="AS96" s="699"/>
      <c r="AU96" s="715"/>
      <c r="AV96" s="716"/>
      <c r="AW96" s="716"/>
      <c r="AX96" s="716"/>
      <c r="AY96" s="725"/>
      <c r="AZ96" s="727"/>
      <c r="BA96" s="716"/>
      <c r="BB96" s="715"/>
      <c r="BC96" s="715"/>
      <c r="BD96" s="715"/>
      <c r="BE96" s="716"/>
      <c r="BF96" s="716"/>
      <c r="BG96" s="716"/>
      <c r="BH96" s="723"/>
      <c r="BI96" s="718"/>
      <c r="BJ96" s="716"/>
      <c r="BK96" s="723"/>
      <c r="BL96" s="718"/>
      <c r="BM96" s="716"/>
      <c r="BN96" s="723"/>
      <c r="BO96" s="718"/>
      <c r="BP96" s="716"/>
      <c r="BQ96" s="716"/>
      <c r="BR96" s="717"/>
      <c r="BS96" s="716"/>
      <c r="BT96" s="717"/>
      <c r="BU96" s="716"/>
      <c r="BV96" s="716"/>
      <c r="BW96" s="715"/>
      <c r="BX96" s="718"/>
      <c r="BY96" s="718"/>
      <c r="BZ96" s="718"/>
      <c r="CA96" s="715"/>
      <c r="CB96" s="718"/>
      <c r="CC96" s="718"/>
      <c r="CD96" s="718"/>
      <c r="CE96" s="718"/>
      <c r="CF96" s="327"/>
    </row>
    <row r="97" spans="1:84" ht="14.5" outlineLevel="1" x14ac:dyDescent="0.35">
      <c r="A97" s="436"/>
      <c r="B97" s="433">
        <v>90</v>
      </c>
      <c r="C97" s="277" t="s">
        <v>1035</v>
      </c>
      <c r="D97" s="340" t="s">
        <v>240</v>
      </c>
      <c r="E97" s="340" t="s">
        <v>241</v>
      </c>
      <c r="F97" s="340" t="s">
        <v>260</v>
      </c>
      <c r="G97" s="444">
        <v>572.41</v>
      </c>
      <c r="H97" s="444">
        <v>664</v>
      </c>
      <c r="I97" s="696" t="s">
        <v>1019</v>
      </c>
      <c r="J97" s="697"/>
      <c r="K97" s="697"/>
      <c r="L97" s="697"/>
      <c r="M97" s="697"/>
      <c r="N97" s="704"/>
      <c r="O97" s="697"/>
      <c r="P97" s="690"/>
      <c r="Q97" s="706"/>
      <c r="R97" s="697"/>
      <c r="S97" s="697"/>
      <c r="T97" s="697"/>
      <c r="U97" s="697"/>
      <c r="V97" s="703"/>
      <c r="W97" s="699"/>
      <c r="X97" s="697"/>
      <c r="Y97" s="703"/>
      <c r="Z97" s="699"/>
      <c r="AA97" s="697"/>
      <c r="AB97" s="703"/>
      <c r="AC97" s="699"/>
      <c r="AD97" s="697"/>
      <c r="AE97" s="697"/>
      <c r="AF97" s="698"/>
      <c r="AG97" s="697"/>
      <c r="AH97" s="698"/>
      <c r="AI97" s="697"/>
      <c r="AJ97" s="697"/>
      <c r="AK97" s="696" t="s">
        <v>1018</v>
      </c>
      <c r="AL97" s="699"/>
      <c r="AM97" s="699"/>
      <c r="AN97" s="699"/>
      <c r="AO97" s="696" t="s">
        <v>1018</v>
      </c>
      <c r="AP97" s="699"/>
      <c r="AQ97" s="699"/>
      <c r="AR97" s="699"/>
      <c r="AS97" s="699"/>
      <c r="AU97" s="715"/>
      <c r="AV97" s="716"/>
      <c r="AW97" s="716"/>
      <c r="AX97" s="716"/>
      <c r="AY97" s="716"/>
      <c r="AZ97" s="724"/>
      <c r="BA97" s="716"/>
      <c r="BB97" s="725"/>
      <c r="BC97" s="727"/>
      <c r="BD97" s="716"/>
      <c r="BE97" s="716"/>
      <c r="BF97" s="716"/>
      <c r="BG97" s="716"/>
      <c r="BH97" s="723"/>
      <c r="BI97" s="718"/>
      <c r="BJ97" s="716"/>
      <c r="BK97" s="723"/>
      <c r="BL97" s="718"/>
      <c r="BM97" s="716"/>
      <c r="BN97" s="723"/>
      <c r="BO97" s="718"/>
      <c r="BP97" s="716"/>
      <c r="BQ97" s="716"/>
      <c r="BR97" s="717"/>
      <c r="BS97" s="716"/>
      <c r="BT97" s="717"/>
      <c r="BU97" s="716"/>
      <c r="BV97" s="716"/>
      <c r="BW97" s="715"/>
      <c r="BX97" s="718"/>
      <c r="BY97" s="718"/>
      <c r="BZ97" s="718"/>
      <c r="CA97" s="715"/>
      <c r="CB97" s="718"/>
      <c r="CC97" s="718"/>
      <c r="CD97" s="718"/>
      <c r="CE97" s="718"/>
      <c r="CF97" s="327"/>
    </row>
    <row r="98" spans="1:84" ht="14.5" outlineLevel="1" x14ac:dyDescent="0.35">
      <c r="A98" s="436"/>
      <c r="B98" s="433">
        <v>91</v>
      </c>
      <c r="C98" s="277" t="s">
        <v>1036</v>
      </c>
      <c r="D98" s="340" t="s">
        <v>240</v>
      </c>
      <c r="E98" s="340" t="s">
        <v>241</v>
      </c>
      <c r="F98" s="340" t="s">
        <v>260</v>
      </c>
      <c r="G98" s="444">
        <v>757.76</v>
      </c>
      <c r="H98" s="444">
        <v>879</v>
      </c>
      <c r="I98" s="696" t="s">
        <v>1019</v>
      </c>
      <c r="J98" s="697"/>
      <c r="K98" s="697"/>
      <c r="L98" s="697"/>
      <c r="M98" s="690"/>
      <c r="N98" s="706"/>
      <c r="O98" s="697"/>
      <c r="P98" s="696"/>
      <c r="Q98" s="696"/>
      <c r="R98" s="696"/>
      <c r="S98" s="697"/>
      <c r="T98" s="697"/>
      <c r="U98" s="697"/>
      <c r="V98" s="703"/>
      <c r="W98" s="699"/>
      <c r="X98" s="697"/>
      <c r="Y98" s="703"/>
      <c r="Z98" s="699"/>
      <c r="AA98" s="697"/>
      <c r="AB98" s="703"/>
      <c r="AC98" s="699"/>
      <c r="AD98" s="697"/>
      <c r="AE98" s="697"/>
      <c r="AF98" s="698"/>
      <c r="AG98" s="697"/>
      <c r="AH98" s="698"/>
      <c r="AI98" s="697"/>
      <c r="AJ98" s="697"/>
      <c r="AK98" s="696" t="s">
        <v>1018</v>
      </c>
      <c r="AL98" s="699"/>
      <c r="AM98" s="699"/>
      <c r="AN98" s="699"/>
      <c r="AO98" s="696" t="s">
        <v>1018</v>
      </c>
      <c r="AP98" s="699"/>
      <c r="AQ98" s="699"/>
      <c r="AR98" s="699"/>
      <c r="AS98" s="699"/>
      <c r="AU98" s="715"/>
      <c r="AV98" s="716"/>
      <c r="AW98" s="716"/>
      <c r="AX98" s="716"/>
      <c r="AY98" s="725"/>
      <c r="AZ98" s="727"/>
      <c r="BA98" s="716"/>
      <c r="BB98" s="715"/>
      <c r="BC98" s="715"/>
      <c r="BD98" s="715"/>
      <c r="BE98" s="716"/>
      <c r="BF98" s="716"/>
      <c r="BG98" s="716"/>
      <c r="BH98" s="723"/>
      <c r="BI98" s="718"/>
      <c r="BJ98" s="716"/>
      <c r="BK98" s="723"/>
      <c r="BL98" s="718"/>
      <c r="BM98" s="716"/>
      <c r="BN98" s="723"/>
      <c r="BO98" s="718"/>
      <c r="BP98" s="716"/>
      <c r="BQ98" s="716"/>
      <c r="BR98" s="717"/>
      <c r="BS98" s="716"/>
      <c r="BT98" s="717"/>
      <c r="BU98" s="716"/>
      <c r="BV98" s="716"/>
      <c r="BW98" s="715"/>
      <c r="BX98" s="718"/>
      <c r="BY98" s="718"/>
      <c r="BZ98" s="718"/>
      <c r="CA98" s="715"/>
      <c r="CB98" s="718"/>
      <c r="CC98" s="718"/>
      <c r="CD98" s="718"/>
      <c r="CE98" s="718"/>
      <c r="CF98" s="327"/>
    </row>
    <row r="99" spans="1:84" ht="14.5" outlineLevel="1" x14ac:dyDescent="0.35">
      <c r="A99" s="436"/>
      <c r="B99" s="433">
        <v>92</v>
      </c>
      <c r="C99" s="277" t="s">
        <v>1037</v>
      </c>
      <c r="D99" s="340" t="s">
        <v>240</v>
      </c>
      <c r="E99" s="340" t="s">
        <v>241</v>
      </c>
      <c r="F99" s="340" t="s">
        <v>260</v>
      </c>
      <c r="G99" s="444">
        <v>715.52</v>
      </c>
      <c r="H99" s="444">
        <v>830</v>
      </c>
      <c r="I99" s="696" t="s">
        <v>1019</v>
      </c>
      <c r="J99" s="697"/>
      <c r="K99" s="697"/>
      <c r="L99" s="697"/>
      <c r="M99" s="697"/>
      <c r="N99" s="704"/>
      <c r="O99" s="697"/>
      <c r="P99" s="690"/>
      <c r="Q99" s="706"/>
      <c r="R99" s="697"/>
      <c r="S99" s="697"/>
      <c r="T99" s="697"/>
      <c r="U99" s="697"/>
      <c r="V99" s="703"/>
      <c r="W99" s="699"/>
      <c r="X99" s="697"/>
      <c r="Y99" s="703"/>
      <c r="Z99" s="699"/>
      <c r="AA99" s="697"/>
      <c r="AB99" s="703"/>
      <c r="AC99" s="699"/>
      <c r="AD99" s="697"/>
      <c r="AE99" s="697"/>
      <c r="AF99" s="698"/>
      <c r="AG99" s="697"/>
      <c r="AH99" s="698"/>
      <c r="AI99" s="697"/>
      <c r="AJ99" s="697"/>
      <c r="AK99" s="696" t="s">
        <v>1018</v>
      </c>
      <c r="AL99" s="699"/>
      <c r="AM99" s="699"/>
      <c r="AN99" s="699"/>
      <c r="AO99" s="696" t="s">
        <v>1018</v>
      </c>
      <c r="AP99" s="699"/>
      <c r="AQ99" s="699"/>
      <c r="AR99" s="699"/>
      <c r="AS99" s="699"/>
      <c r="AU99" s="715"/>
      <c r="AV99" s="716"/>
      <c r="AW99" s="716"/>
      <c r="AX99" s="716"/>
      <c r="AY99" s="716"/>
      <c r="AZ99" s="724"/>
      <c r="BA99" s="716"/>
      <c r="BB99" s="725"/>
      <c r="BC99" s="727"/>
      <c r="BD99" s="716"/>
      <c r="BE99" s="716"/>
      <c r="BF99" s="716"/>
      <c r="BG99" s="716"/>
      <c r="BH99" s="723"/>
      <c r="BI99" s="718"/>
      <c r="BJ99" s="716"/>
      <c r="BK99" s="723"/>
      <c r="BL99" s="718"/>
      <c r="BM99" s="716"/>
      <c r="BN99" s="723"/>
      <c r="BO99" s="718"/>
      <c r="BP99" s="716"/>
      <c r="BQ99" s="716"/>
      <c r="BR99" s="717"/>
      <c r="BS99" s="716"/>
      <c r="BT99" s="717"/>
      <c r="BU99" s="716"/>
      <c r="BV99" s="716"/>
      <c r="BW99" s="715"/>
      <c r="BX99" s="718"/>
      <c r="BY99" s="718"/>
      <c r="BZ99" s="718"/>
      <c r="CA99" s="715"/>
      <c r="CB99" s="718"/>
      <c r="CC99" s="718"/>
      <c r="CD99" s="718"/>
      <c r="CE99" s="718"/>
      <c r="CF99" s="327"/>
    </row>
    <row r="100" spans="1:84" ht="14.5" outlineLevel="1" x14ac:dyDescent="0.35">
      <c r="A100" s="436"/>
      <c r="B100" s="433">
        <v>93</v>
      </c>
      <c r="C100" s="277" t="s">
        <v>1038</v>
      </c>
      <c r="D100" s="340" t="s">
        <v>240</v>
      </c>
      <c r="E100" s="340" t="s">
        <v>241</v>
      </c>
      <c r="F100" s="340" t="s">
        <v>260</v>
      </c>
      <c r="G100" s="444">
        <v>1137.07</v>
      </c>
      <c r="H100" s="444">
        <v>1319</v>
      </c>
      <c r="I100" s="696" t="s">
        <v>1019</v>
      </c>
      <c r="J100" s="697"/>
      <c r="K100" s="697"/>
      <c r="L100" s="697"/>
      <c r="M100" s="697"/>
      <c r="N100" s="704"/>
      <c r="O100" s="697"/>
      <c r="P100" s="690"/>
      <c r="Q100" s="706"/>
      <c r="R100" s="697"/>
      <c r="S100" s="697"/>
      <c r="T100" s="697"/>
      <c r="U100" s="697"/>
      <c r="V100" s="703"/>
      <c r="W100" s="699"/>
      <c r="X100" s="697"/>
      <c r="Y100" s="703"/>
      <c r="Z100" s="699"/>
      <c r="AA100" s="697"/>
      <c r="AB100" s="703"/>
      <c r="AC100" s="699"/>
      <c r="AD100" s="697"/>
      <c r="AE100" s="697"/>
      <c r="AF100" s="698"/>
      <c r="AG100" s="697"/>
      <c r="AH100" s="698"/>
      <c r="AI100" s="697"/>
      <c r="AJ100" s="697"/>
      <c r="AK100" s="696" t="s">
        <v>1018</v>
      </c>
      <c r="AL100" s="699"/>
      <c r="AM100" s="699"/>
      <c r="AN100" s="699"/>
      <c r="AO100" s="696" t="s">
        <v>1018</v>
      </c>
      <c r="AP100" s="699"/>
      <c r="AQ100" s="699"/>
      <c r="AR100" s="699"/>
      <c r="AS100" s="699"/>
      <c r="AU100" s="715"/>
      <c r="AV100" s="716"/>
      <c r="AW100" s="716"/>
      <c r="AX100" s="716"/>
      <c r="AY100" s="716"/>
      <c r="AZ100" s="724"/>
      <c r="BA100" s="716"/>
      <c r="BB100" s="725"/>
      <c r="BC100" s="727"/>
      <c r="BD100" s="716"/>
      <c r="BE100" s="716"/>
      <c r="BF100" s="716"/>
      <c r="BG100" s="716"/>
      <c r="BH100" s="723"/>
      <c r="BI100" s="718"/>
      <c r="BJ100" s="716"/>
      <c r="BK100" s="723"/>
      <c r="BL100" s="718"/>
      <c r="BM100" s="716"/>
      <c r="BN100" s="723"/>
      <c r="BO100" s="718"/>
      <c r="BP100" s="716"/>
      <c r="BQ100" s="716"/>
      <c r="BR100" s="717"/>
      <c r="BS100" s="716"/>
      <c r="BT100" s="717"/>
      <c r="BU100" s="716"/>
      <c r="BV100" s="716"/>
      <c r="BW100" s="715"/>
      <c r="BX100" s="718"/>
      <c r="BY100" s="718"/>
      <c r="BZ100" s="718"/>
      <c r="CA100" s="715"/>
      <c r="CB100" s="718"/>
      <c r="CC100" s="718"/>
      <c r="CD100" s="718"/>
      <c r="CE100" s="718"/>
      <c r="CF100" s="327"/>
    </row>
    <row r="101" spans="1:84" ht="14.5" outlineLevel="1" x14ac:dyDescent="0.35">
      <c r="A101" s="436"/>
      <c r="B101" s="433">
        <v>94</v>
      </c>
      <c r="C101" s="277" t="s">
        <v>1039</v>
      </c>
      <c r="D101" s="340" t="s">
        <v>240</v>
      </c>
      <c r="E101" s="340" t="s">
        <v>241</v>
      </c>
      <c r="F101" s="340" t="s">
        <v>260</v>
      </c>
      <c r="G101" s="444">
        <v>1098.28</v>
      </c>
      <c r="H101" s="444">
        <v>1274</v>
      </c>
      <c r="I101" s="696" t="s">
        <v>1019</v>
      </c>
      <c r="J101" s="697"/>
      <c r="K101" s="697"/>
      <c r="L101" s="697"/>
      <c r="M101" s="690"/>
      <c r="N101" s="706"/>
      <c r="O101" s="697"/>
      <c r="P101" s="696"/>
      <c r="Q101" s="696"/>
      <c r="R101" s="696"/>
      <c r="S101" s="697"/>
      <c r="T101" s="697"/>
      <c r="U101" s="697"/>
      <c r="V101" s="703"/>
      <c r="W101" s="707"/>
      <c r="X101" s="697"/>
      <c r="Y101" s="703"/>
      <c r="Z101" s="707"/>
      <c r="AA101" s="697"/>
      <c r="AB101" s="703"/>
      <c r="AC101" s="707"/>
      <c r="AD101" s="697"/>
      <c r="AE101" s="697"/>
      <c r="AF101" s="698"/>
      <c r="AG101" s="697"/>
      <c r="AH101" s="698"/>
      <c r="AI101" s="697"/>
      <c r="AJ101" s="697"/>
      <c r="AK101" s="696" t="s">
        <v>1018</v>
      </c>
      <c r="AL101" s="699"/>
      <c r="AM101" s="699"/>
      <c r="AN101" s="699"/>
      <c r="AO101" s="696" t="s">
        <v>1018</v>
      </c>
      <c r="AP101" s="699"/>
      <c r="AQ101" s="699"/>
      <c r="AR101" s="699"/>
      <c r="AS101" s="699"/>
      <c r="AU101" s="715"/>
      <c r="AV101" s="716"/>
      <c r="AW101" s="716"/>
      <c r="AX101" s="716"/>
      <c r="AY101" s="725"/>
      <c r="AZ101" s="727"/>
      <c r="BA101" s="716"/>
      <c r="BB101" s="715"/>
      <c r="BC101" s="715"/>
      <c r="BD101" s="715"/>
      <c r="BE101" s="716"/>
      <c r="BF101" s="716"/>
      <c r="BG101" s="716"/>
      <c r="BH101" s="723"/>
      <c r="BI101" s="728"/>
      <c r="BJ101" s="716"/>
      <c r="BK101" s="723"/>
      <c r="BL101" s="728"/>
      <c r="BM101" s="716"/>
      <c r="BN101" s="723"/>
      <c r="BO101" s="728"/>
      <c r="BP101" s="716"/>
      <c r="BQ101" s="716"/>
      <c r="BR101" s="717"/>
      <c r="BS101" s="716"/>
      <c r="BT101" s="717"/>
      <c r="BU101" s="716"/>
      <c r="BV101" s="716"/>
      <c r="BW101" s="715"/>
      <c r="BX101" s="718"/>
      <c r="BY101" s="718"/>
      <c r="BZ101" s="718"/>
      <c r="CA101" s="715"/>
      <c r="CB101" s="718"/>
      <c r="CC101" s="718"/>
      <c r="CD101" s="718"/>
      <c r="CE101" s="718"/>
      <c r="CF101" s="327"/>
    </row>
    <row r="102" spans="1:84" ht="14.5" outlineLevel="1" x14ac:dyDescent="0.35">
      <c r="A102" s="436"/>
      <c r="B102" s="433">
        <v>95</v>
      </c>
      <c r="C102" s="277" t="s">
        <v>817</v>
      </c>
      <c r="D102" s="340" t="s">
        <v>242</v>
      </c>
      <c r="E102" s="340" t="s">
        <v>243</v>
      </c>
      <c r="F102" s="340" t="s">
        <v>260</v>
      </c>
      <c r="G102" s="444">
        <v>423.10999999999996</v>
      </c>
      <c r="H102" s="444">
        <v>499</v>
      </c>
      <c r="I102" s="696" t="s">
        <v>1018</v>
      </c>
      <c r="J102" s="697"/>
      <c r="K102" s="697"/>
      <c r="L102" s="697"/>
      <c r="M102" s="697"/>
      <c r="N102" s="697"/>
      <c r="O102" s="697"/>
      <c r="P102" s="696"/>
      <c r="Q102" s="696"/>
      <c r="R102" s="696"/>
      <c r="S102" s="697"/>
      <c r="T102" s="697"/>
      <c r="U102" s="697"/>
      <c r="V102" s="697"/>
      <c r="W102" s="697"/>
      <c r="X102" s="697"/>
      <c r="Y102" s="697"/>
      <c r="Z102" s="697"/>
      <c r="AA102" s="697"/>
      <c r="AB102" s="697"/>
      <c r="AC102" s="697"/>
      <c r="AD102" s="697"/>
      <c r="AE102" s="697"/>
      <c r="AF102" s="698"/>
      <c r="AG102" s="697"/>
      <c r="AH102" s="698"/>
      <c r="AI102" s="697"/>
      <c r="AJ102" s="697"/>
      <c r="AK102" s="696" t="s">
        <v>1018</v>
      </c>
      <c r="AL102" s="699"/>
      <c r="AM102" s="699"/>
      <c r="AN102" s="699"/>
      <c r="AO102" s="708" t="s">
        <v>1040</v>
      </c>
      <c r="AP102" s="699"/>
      <c r="AQ102" s="699"/>
      <c r="AR102" s="699"/>
      <c r="AS102" s="709"/>
      <c r="AU102" s="715"/>
      <c r="AV102" s="716"/>
      <c r="AW102" s="716"/>
      <c r="AX102" s="716"/>
      <c r="AY102" s="716"/>
      <c r="AZ102" s="716"/>
      <c r="BA102" s="716"/>
      <c r="BB102" s="715"/>
      <c r="BC102" s="715"/>
      <c r="BD102" s="715"/>
      <c r="BE102" s="716"/>
      <c r="BF102" s="716"/>
      <c r="BG102" s="716"/>
      <c r="BH102" s="716"/>
      <c r="BI102" s="716"/>
      <c r="BJ102" s="716"/>
      <c r="BK102" s="716"/>
      <c r="BL102" s="716"/>
      <c r="BM102" s="716"/>
      <c r="BN102" s="716"/>
      <c r="BO102" s="716"/>
      <c r="BP102" s="716"/>
      <c r="BQ102" s="716"/>
      <c r="BR102" s="717"/>
      <c r="BS102" s="716"/>
      <c r="BT102" s="717"/>
      <c r="BU102" s="716"/>
      <c r="BV102" s="716"/>
      <c r="BW102" s="715"/>
      <c r="BX102" s="718"/>
      <c r="BY102" s="718"/>
      <c r="BZ102" s="718"/>
      <c r="CA102" s="729"/>
      <c r="CB102" s="718"/>
      <c r="CC102" s="718"/>
      <c r="CD102" s="718"/>
      <c r="CE102" s="730"/>
      <c r="CF102" s="327"/>
    </row>
    <row r="103" spans="1:84" ht="14.5" outlineLevel="1" x14ac:dyDescent="0.35">
      <c r="A103" s="436"/>
      <c r="B103" s="433">
        <v>96</v>
      </c>
      <c r="C103" s="277" t="s">
        <v>818</v>
      </c>
      <c r="D103" s="340" t="s">
        <v>242</v>
      </c>
      <c r="E103" s="340" t="s">
        <v>243</v>
      </c>
      <c r="F103" s="340" t="s">
        <v>260</v>
      </c>
      <c r="G103" s="444">
        <v>635.96</v>
      </c>
      <c r="H103" s="444">
        <v>749</v>
      </c>
      <c r="I103" s="696" t="s">
        <v>1018</v>
      </c>
      <c r="J103" s="697"/>
      <c r="K103" s="697"/>
      <c r="L103" s="697"/>
      <c r="M103" s="697"/>
      <c r="N103" s="697"/>
      <c r="O103" s="697"/>
      <c r="P103" s="696"/>
      <c r="Q103" s="696"/>
      <c r="R103" s="696"/>
      <c r="S103" s="697"/>
      <c r="T103" s="697"/>
      <c r="U103" s="697"/>
      <c r="V103" s="697"/>
      <c r="W103" s="697"/>
      <c r="X103" s="697"/>
      <c r="Y103" s="697"/>
      <c r="Z103" s="697"/>
      <c r="AA103" s="697"/>
      <c r="AB103" s="697"/>
      <c r="AC103" s="697"/>
      <c r="AD103" s="697"/>
      <c r="AE103" s="697"/>
      <c r="AF103" s="698"/>
      <c r="AG103" s="697"/>
      <c r="AH103" s="698"/>
      <c r="AI103" s="697"/>
      <c r="AJ103" s="697"/>
      <c r="AK103" s="696" t="s">
        <v>1018</v>
      </c>
      <c r="AL103" s="699"/>
      <c r="AM103" s="699"/>
      <c r="AN103" s="699"/>
      <c r="AO103" s="708" t="s">
        <v>1040</v>
      </c>
      <c r="AP103" s="699"/>
      <c r="AQ103" s="699"/>
      <c r="AR103" s="699"/>
      <c r="AS103" s="709"/>
      <c r="AU103" s="715"/>
      <c r="AV103" s="716"/>
      <c r="AW103" s="716"/>
      <c r="AX103" s="716"/>
      <c r="AY103" s="716"/>
      <c r="AZ103" s="716"/>
      <c r="BA103" s="716"/>
      <c r="BB103" s="715"/>
      <c r="BC103" s="715"/>
      <c r="BD103" s="715"/>
      <c r="BE103" s="716"/>
      <c r="BF103" s="716"/>
      <c r="BG103" s="716"/>
      <c r="BH103" s="716"/>
      <c r="BI103" s="716"/>
      <c r="BJ103" s="716"/>
      <c r="BK103" s="716"/>
      <c r="BL103" s="716"/>
      <c r="BM103" s="716"/>
      <c r="BN103" s="716"/>
      <c r="BO103" s="716"/>
      <c r="BP103" s="716"/>
      <c r="BQ103" s="716"/>
      <c r="BR103" s="717"/>
      <c r="BS103" s="716"/>
      <c r="BT103" s="717"/>
      <c r="BU103" s="716"/>
      <c r="BV103" s="716"/>
      <c r="BW103" s="715"/>
      <c r="BX103" s="718"/>
      <c r="BY103" s="718"/>
      <c r="BZ103" s="718"/>
      <c r="CA103" s="729"/>
      <c r="CB103" s="718"/>
      <c r="CC103" s="718"/>
      <c r="CD103" s="718"/>
      <c r="CE103" s="730"/>
      <c r="CF103" s="327"/>
    </row>
    <row r="104" spans="1:84" ht="14.5" outlineLevel="1" x14ac:dyDescent="0.35">
      <c r="A104" s="436"/>
      <c r="B104" s="433">
        <v>97</v>
      </c>
      <c r="C104" s="277" t="s">
        <v>1043</v>
      </c>
      <c r="D104" s="340" t="s">
        <v>242</v>
      </c>
      <c r="E104" s="340" t="s">
        <v>243</v>
      </c>
      <c r="F104" s="340" t="s">
        <v>260</v>
      </c>
      <c r="G104" s="444">
        <v>933.26</v>
      </c>
      <c r="H104" s="444">
        <v>1099</v>
      </c>
      <c r="I104" s="696" t="s">
        <v>1018</v>
      </c>
      <c r="J104" s="697"/>
      <c r="K104" s="697"/>
      <c r="L104" s="697"/>
      <c r="M104" s="697"/>
      <c r="N104" s="697"/>
      <c r="O104" s="697"/>
      <c r="P104" s="696"/>
      <c r="Q104" s="696"/>
      <c r="R104" s="696"/>
      <c r="S104" s="697"/>
      <c r="T104" s="697"/>
      <c r="U104" s="697"/>
      <c r="V104" s="697"/>
      <c r="W104" s="697"/>
      <c r="X104" s="697"/>
      <c r="Y104" s="697"/>
      <c r="Z104" s="697"/>
      <c r="AA104" s="697"/>
      <c r="AB104" s="697"/>
      <c r="AC104" s="697"/>
      <c r="AD104" s="697"/>
      <c r="AE104" s="697"/>
      <c r="AF104" s="698"/>
      <c r="AG104" s="697"/>
      <c r="AH104" s="698"/>
      <c r="AI104" s="697"/>
      <c r="AJ104" s="697"/>
      <c r="AK104" s="696" t="s">
        <v>1018</v>
      </c>
      <c r="AL104" s="699"/>
      <c r="AM104" s="699"/>
      <c r="AN104" s="699"/>
      <c r="AO104" s="708" t="s">
        <v>1040</v>
      </c>
      <c r="AP104" s="699"/>
      <c r="AQ104" s="699"/>
      <c r="AR104" s="699"/>
      <c r="AS104" s="709"/>
      <c r="AU104" s="715"/>
      <c r="AV104" s="716"/>
      <c r="AW104" s="716"/>
      <c r="AX104" s="716"/>
      <c r="AY104" s="716"/>
      <c r="AZ104" s="716"/>
      <c r="BA104" s="716"/>
      <c r="BB104" s="715"/>
      <c r="BC104" s="715"/>
      <c r="BD104" s="715"/>
      <c r="BE104" s="716"/>
      <c r="BF104" s="716"/>
      <c r="BG104" s="716"/>
      <c r="BH104" s="716"/>
      <c r="BI104" s="716"/>
      <c r="BJ104" s="716"/>
      <c r="BK104" s="716"/>
      <c r="BL104" s="716"/>
      <c r="BM104" s="716"/>
      <c r="BN104" s="716"/>
      <c r="BO104" s="716"/>
      <c r="BP104" s="716"/>
      <c r="BQ104" s="716"/>
      <c r="BR104" s="717"/>
      <c r="BS104" s="716"/>
      <c r="BT104" s="717"/>
      <c r="BU104" s="716"/>
      <c r="BV104" s="716"/>
      <c r="BW104" s="715"/>
      <c r="BX104" s="718"/>
      <c r="BY104" s="718"/>
      <c r="BZ104" s="718"/>
      <c r="CA104" s="729"/>
      <c r="CB104" s="718"/>
      <c r="CC104" s="718"/>
      <c r="CD104" s="718"/>
      <c r="CE104" s="730"/>
      <c r="CF104" s="327"/>
    </row>
    <row r="105" spans="1:84" ht="14.5" outlineLevel="1" x14ac:dyDescent="0.35">
      <c r="A105" s="436"/>
      <c r="B105" s="433">
        <v>98</v>
      </c>
      <c r="C105" s="277" t="s">
        <v>844</v>
      </c>
      <c r="D105" s="340" t="s">
        <v>242</v>
      </c>
      <c r="E105" s="340" t="s">
        <v>243</v>
      </c>
      <c r="F105" s="340" t="s">
        <v>260</v>
      </c>
      <c r="G105" s="444">
        <v>1646.4499999999998</v>
      </c>
      <c r="H105" s="444">
        <v>1936</v>
      </c>
      <c r="I105" s="696" t="s">
        <v>1018</v>
      </c>
      <c r="J105" s="697"/>
      <c r="K105" s="697"/>
      <c r="L105" s="697"/>
      <c r="M105" s="697"/>
      <c r="N105" s="697"/>
      <c r="O105" s="697"/>
      <c r="P105" s="696"/>
      <c r="Q105" s="696"/>
      <c r="R105" s="696"/>
      <c r="S105" s="697"/>
      <c r="T105" s="697"/>
      <c r="U105" s="697"/>
      <c r="V105" s="697"/>
      <c r="W105" s="697"/>
      <c r="X105" s="697"/>
      <c r="Y105" s="697"/>
      <c r="Z105" s="697"/>
      <c r="AA105" s="697"/>
      <c r="AB105" s="697"/>
      <c r="AC105" s="697"/>
      <c r="AD105" s="697"/>
      <c r="AE105" s="697"/>
      <c r="AF105" s="698"/>
      <c r="AG105" s="697"/>
      <c r="AH105" s="698"/>
      <c r="AI105" s="697"/>
      <c r="AJ105" s="697"/>
      <c r="AK105" s="696" t="s">
        <v>1018</v>
      </c>
      <c r="AL105" s="699"/>
      <c r="AM105" s="699"/>
      <c r="AN105" s="699"/>
      <c r="AO105" s="708" t="s">
        <v>1040</v>
      </c>
      <c r="AP105" s="699"/>
      <c r="AQ105" s="699"/>
      <c r="AR105" s="699"/>
      <c r="AS105" s="709"/>
      <c r="AU105" s="715"/>
      <c r="AV105" s="716"/>
      <c r="AW105" s="716"/>
      <c r="AX105" s="716"/>
      <c r="AY105" s="716"/>
      <c r="AZ105" s="716"/>
      <c r="BA105" s="716"/>
      <c r="BB105" s="715"/>
      <c r="BC105" s="715"/>
      <c r="BD105" s="715"/>
      <c r="BE105" s="716"/>
      <c r="BF105" s="716"/>
      <c r="BG105" s="716"/>
      <c r="BH105" s="716"/>
      <c r="BI105" s="716"/>
      <c r="BJ105" s="716"/>
      <c r="BK105" s="716"/>
      <c r="BL105" s="716"/>
      <c r="BM105" s="716"/>
      <c r="BN105" s="716"/>
      <c r="BO105" s="716"/>
      <c r="BP105" s="716"/>
      <c r="BQ105" s="716"/>
      <c r="BR105" s="717"/>
      <c r="BS105" s="716"/>
      <c r="BT105" s="717"/>
      <c r="BU105" s="716"/>
      <c r="BV105" s="716"/>
      <c r="BW105" s="715"/>
      <c r="BX105" s="718"/>
      <c r="BY105" s="718"/>
      <c r="BZ105" s="718"/>
      <c r="CA105" s="729"/>
      <c r="CB105" s="718"/>
      <c r="CC105" s="718"/>
      <c r="CD105" s="718"/>
      <c r="CE105" s="730"/>
      <c r="CF105" s="327"/>
    </row>
    <row r="106" spans="1:84" ht="14.5" outlineLevel="1" x14ac:dyDescent="0.35">
      <c r="A106" s="436"/>
      <c r="B106" s="433">
        <v>99</v>
      </c>
      <c r="C106" s="277" t="s">
        <v>845</v>
      </c>
      <c r="D106" s="340" t="s">
        <v>242</v>
      </c>
      <c r="E106" s="340" t="s">
        <v>243</v>
      </c>
      <c r="F106" s="340" t="s">
        <v>260</v>
      </c>
      <c r="G106" s="444">
        <v>1934.41</v>
      </c>
      <c r="H106" s="444">
        <v>2276</v>
      </c>
      <c r="I106" s="696" t="s">
        <v>1018</v>
      </c>
      <c r="J106" s="697"/>
      <c r="K106" s="697"/>
      <c r="L106" s="697"/>
      <c r="M106" s="697"/>
      <c r="N106" s="697"/>
      <c r="O106" s="697"/>
      <c r="P106" s="696"/>
      <c r="Q106" s="696"/>
      <c r="R106" s="696"/>
      <c r="S106" s="697"/>
      <c r="T106" s="697"/>
      <c r="U106" s="697"/>
      <c r="V106" s="697"/>
      <c r="W106" s="697"/>
      <c r="X106" s="697"/>
      <c r="Y106" s="697"/>
      <c r="Z106" s="697"/>
      <c r="AA106" s="697"/>
      <c r="AB106" s="697"/>
      <c r="AC106" s="697"/>
      <c r="AD106" s="697"/>
      <c r="AE106" s="697"/>
      <c r="AF106" s="698"/>
      <c r="AG106" s="697"/>
      <c r="AH106" s="698"/>
      <c r="AI106" s="697"/>
      <c r="AJ106" s="697"/>
      <c r="AK106" s="696" t="s">
        <v>1018</v>
      </c>
      <c r="AL106" s="699"/>
      <c r="AM106" s="699"/>
      <c r="AN106" s="699"/>
      <c r="AO106" s="708" t="s">
        <v>1040</v>
      </c>
      <c r="AP106" s="699"/>
      <c r="AQ106" s="699"/>
      <c r="AR106" s="699"/>
      <c r="AS106" s="709"/>
      <c r="AU106" s="715"/>
      <c r="AV106" s="716"/>
      <c r="AW106" s="716"/>
      <c r="AX106" s="716"/>
      <c r="AY106" s="716"/>
      <c r="AZ106" s="716"/>
      <c r="BA106" s="716"/>
      <c r="BB106" s="715"/>
      <c r="BC106" s="715"/>
      <c r="BD106" s="715"/>
      <c r="BE106" s="716"/>
      <c r="BF106" s="716"/>
      <c r="BG106" s="716"/>
      <c r="BH106" s="716"/>
      <c r="BI106" s="716"/>
      <c r="BJ106" s="716"/>
      <c r="BK106" s="716"/>
      <c r="BL106" s="716"/>
      <c r="BM106" s="716"/>
      <c r="BN106" s="716"/>
      <c r="BO106" s="716"/>
      <c r="BP106" s="716"/>
      <c r="BQ106" s="716"/>
      <c r="BR106" s="717"/>
      <c r="BS106" s="716"/>
      <c r="BT106" s="717"/>
      <c r="BU106" s="716"/>
      <c r="BV106" s="716"/>
      <c r="BW106" s="715"/>
      <c r="BX106" s="718"/>
      <c r="BY106" s="718"/>
      <c r="BZ106" s="718"/>
      <c r="CA106" s="729"/>
      <c r="CB106" s="718"/>
      <c r="CC106" s="718"/>
      <c r="CD106" s="718"/>
      <c r="CE106" s="730"/>
      <c r="CF106" s="327"/>
    </row>
    <row r="107" spans="1:84" ht="14.5" outlineLevel="1" x14ac:dyDescent="0.35">
      <c r="A107" s="436"/>
      <c r="B107" s="433">
        <v>100</v>
      </c>
      <c r="C107" s="277" t="s">
        <v>846</v>
      </c>
      <c r="D107" s="340" t="s">
        <v>242</v>
      </c>
      <c r="E107" s="340" t="s">
        <v>243</v>
      </c>
      <c r="F107" s="340" t="s">
        <v>260</v>
      </c>
      <c r="G107" s="444">
        <v>2399.6800000000003</v>
      </c>
      <c r="H107" s="444">
        <v>2826</v>
      </c>
      <c r="I107" s="696" t="s">
        <v>1018</v>
      </c>
      <c r="J107" s="697"/>
      <c r="K107" s="697"/>
      <c r="L107" s="697"/>
      <c r="M107" s="697"/>
      <c r="N107" s="697"/>
      <c r="O107" s="697"/>
      <c r="P107" s="696"/>
      <c r="Q107" s="696"/>
      <c r="R107" s="696"/>
      <c r="S107" s="697"/>
      <c r="T107" s="697"/>
      <c r="U107" s="697"/>
      <c r="V107" s="697"/>
      <c r="W107" s="697"/>
      <c r="X107" s="697"/>
      <c r="Y107" s="697"/>
      <c r="Z107" s="697"/>
      <c r="AA107" s="697"/>
      <c r="AB107" s="697"/>
      <c r="AC107" s="697"/>
      <c r="AD107" s="697"/>
      <c r="AE107" s="697"/>
      <c r="AF107" s="698"/>
      <c r="AG107" s="697"/>
      <c r="AH107" s="698"/>
      <c r="AI107" s="697"/>
      <c r="AJ107" s="697"/>
      <c r="AK107" s="696" t="s">
        <v>1018</v>
      </c>
      <c r="AL107" s="699"/>
      <c r="AM107" s="699"/>
      <c r="AN107" s="699"/>
      <c r="AO107" s="708" t="s">
        <v>1040</v>
      </c>
      <c r="AP107" s="699"/>
      <c r="AQ107" s="699"/>
      <c r="AR107" s="699"/>
      <c r="AS107" s="709"/>
      <c r="AU107" s="715"/>
      <c r="AV107" s="716"/>
      <c r="AW107" s="716"/>
      <c r="AX107" s="716"/>
      <c r="AY107" s="716"/>
      <c r="AZ107" s="716"/>
      <c r="BA107" s="716"/>
      <c r="BB107" s="715"/>
      <c r="BC107" s="715"/>
      <c r="BD107" s="715"/>
      <c r="BE107" s="716"/>
      <c r="BF107" s="716"/>
      <c r="BG107" s="716"/>
      <c r="BH107" s="716"/>
      <c r="BI107" s="716"/>
      <c r="BJ107" s="716"/>
      <c r="BK107" s="716"/>
      <c r="BL107" s="716"/>
      <c r="BM107" s="716"/>
      <c r="BN107" s="716"/>
      <c r="BO107" s="716"/>
      <c r="BP107" s="716"/>
      <c r="BQ107" s="716"/>
      <c r="BR107" s="717"/>
      <c r="BS107" s="716"/>
      <c r="BT107" s="717"/>
      <c r="BU107" s="716"/>
      <c r="BV107" s="716"/>
      <c r="BW107" s="715"/>
      <c r="BX107" s="718"/>
      <c r="BY107" s="718"/>
      <c r="BZ107" s="718"/>
      <c r="CA107" s="729"/>
      <c r="CB107" s="718"/>
      <c r="CC107" s="718"/>
      <c r="CD107" s="718"/>
      <c r="CE107" s="730"/>
      <c r="CF107" s="327"/>
    </row>
    <row r="108" spans="1:84" ht="14.5" outlineLevel="1" x14ac:dyDescent="0.35">
      <c r="A108" s="436"/>
      <c r="B108" s="433">
        <v>101</v>
      </c>
      <c r="C108" s="277" t="s">
        <v>1044</v>
      </c>
      <c r="D108" s="340" t="s">
        <v>242</v>
      </c>
      <c r="E108" s="340" t="s">
        <v>243</v>
      </c>
      <c r="F108" s="340" t="s">
        <v>260</v>
      </c>
      <c r="G108" s="444">
        <v>526.89</v>
      </c>
      <c r="H108" s="444">
        <v>619</v>
      </c>
      <c r="I108" s="696" t="s">
        <v>1018</v>
      </c>
      <c r="J108" s="697"/>
      <c r="K108" s="697"/>
      <c r="L108" s="697"/>
      <c r="M108" s="697"/>
      <c r="N108" s="697"/>
      <c r="O108" s="697"/>
      <c r="P108" s="696"/>
      <c r="Q108" s="696"/>
      <c r="R108" s="696"/>
      <c r="S108" s="697"/>
      <c r="T108" s="697"/>
      <c r="U108" s="697"/>
      <c r="V108" s="697"/>
      <c r="W108" s="697"/>
      <c r="X108" s="697"/>
      <c r="Y108" s="697"/>
      <c r="Z108" s="697"/>
      <c r="AA108" s="697"/>
      <c r="AB108" s="697"/>
      <c r="AC108" s="697"/>
      <c r="AD108" s="697"/>
      <c r="AE108" s="697"/>
      <c r="AF108" s="698"/>
      <c r="AG108" s="697"/>
      <c r="AH108" s="698"/>
      <c r="AI108" s="697"/>
      <c r="AJ108" s="697"/>
      <c r="AK108" s="696" t="s">
        <v>1018</v>
      </c>
      <c r="AL108" s="699"/>
      <c r="AM108" s="699"/>
      <c r="AN108" s="699"/>
      <c r="AO108" s="708" t="s">
        <v>1040</v>
      </c>
      <c r="AP108" s="699"/>
      <c r="AQ108" s="699"/>
      <c r="AR108" s="699"/>
      <c r="AS108" s="709"/>
      <c r="AU108" s="715"/>
      <c r="AV108" s="716"/>
      <c r="AW108" s="716"/>
      <c r="AX108" s="716"/>
      <c r="AY108" s="716"/>
      <c r="AZ108" s="716"/>
      <c r="BA108" s="716"/>
      <c r="BB108" s="715"/>
      <c r="BC108" s="715"/>
      <c r="BD108" s="715"/>
      <c r="BE108" s="716"/>
      <c r="BF108" s="716"/>
      <c r="BG108" s="716"/>
      <c r="BH108" s="716"/>
      <c r="BI108" s="716"/>
      <c r="BJ108" s="716"/>
      <c r="BK108" s="716"/>
      <c r="BL108" s="716"/>
      <c r="BM108" s="716"/>
      <c r="BN108" s="716"/>
      <c r="BO108" s="716"/>
      <c r="BP108" s="716"/>
      <c r="BQ108" s="716"/>
      <c r="BR108" s="717"/>
      <c r="BS108" s="716"/>
      <c r="BT108" s="717"/>
      <c r="BU108" s="716"/>
      <c r="BV108" s="716"/>
      <c r="BW108" s="715"/>
      <c r="BX108" s="718"/>
      <c r="BY108" s="718"/>
      <c r="BZ108" s="718"/>
      <c r="CA108" s="729"/>
      <c r="CB108" s="718"/>
      <c r="CC108" s="718"/>
      <c r="CD108" s="718"/>
      <c r="CE108" s="730"/>
      <c r="CF108" s="327"/>
    </row>
    <row r="109" spans="1:84" ht="14.5" outlineLevel="1" x14ac:dyDescent="0.35">
      <c r="A109" s="436"/>
      <c r="B109" s="433">
        <v>102</v>
      </c>
      <c r="C109" s="277" t="s">
        <v>1045</v>
      </c>
      <c r="D109" s="340" t="s">
        <v>242</v>
      </c>
      <c r="E109" s="340" t="s">
        <v>243</v>
      </c>
      <c r="F109" s="340" t="s">
        <v>260</v>
      </c>
      <c r="G109" s="444">
        <v>576.02</v>
      </c>
      <c r="H109" s="444">
        <v>676</v>
      </c>
      <c r="I109" s="696" t="s">
        <v>1018</v>
      </c>
      <c r="J109" s="697"/>
      <c r="K109" s="697"/>
      <c r="L109" s="697"/>
      <c r="M109" s="697"/>
      <c r="N109" s="697"/>
      <c r="O109" s="697"/>
      <c r="P109" s="696"/>
      <c r="Q109" s="696"/>
      <c r="R109" s="696"/>
      <c r="S109" s="697"/>
      <c r="T109" s="697"/>
      <c r="U109" s="697"/>
      <c r="V109" s="697"/>
      <c r="W109" s="697"/>
      <c r="X109" s="697"/>
      <c r="Y109" s="697"/>
      <c r="Z109" s="697"/>
      <c r="AA109" s="697"/>
      <c r="AB109" s="697"/>
      <c r="AC109" s="697"/>
      <c r="AD109" s="697"/>
      <c r="AE109" s="697"/>
      <c r="AF109" s="698"/>
      <c r="AG109" s="697"/>
      <c r="AH109" s="698"/>
      <c r="AI109" s="697"/>
      <c r="AJ109" s="697"/>
      <c r="AK109" s="696" t="s">
        <v>1018</v>
      </c>
      <c r="AL109" s="699"/>
      <c r="AM109" s="699"/>
      <c r="AN109" s="699"/>
      <c r="AO109" s="708" t="s">
        <v>1040</v>
      </c>
      <c r="AP109" s="699"/>
      <c r="AQ109" s="699"/>
      <c r="AR109" s="699"/>
      <c r="AS109" s="709"/>
      <c r="AU109" s="715"/>
      <c r="AV109" s="716"/>
      <c r="AW109" s="716"/>
      <c r="AX109" s="716"/>
      <c r="AY109" s="716"/>
      <c r="AZ109" s="716"/>
      <c r="BA109" s="716"/>
      <c r="BB109" s="715"/>
      <c r="BC109" s="715"/>
      <c r="BD109" s="715"/>
      <c r="BE109" s="716"/>
      <c r="BF109" s="716"/>
      <c r="BG109" s="716"/>
      <c r="BH109" s="716"/>
      <c r="BI109" s="716"/>
      <c r="BJ109" s="716"/>
      <c r="BK109" s="716"/>
      <c r="BL109" s="716"/>
      <c r="BM109" s="716"/>
      <c r="BN109" s="716"/>
      <c r="BO109" s="716"/>
      <c r="BP109" s="716"/>
      <c r="BQ109" s="716"/>
      <c r="BR109" s="717"/>
      <c r="BS109" s="716"/>
      <c r="BT109" s="717"/>
      <c r="BU109" s="716"/>
      <c r="BV109" s="716"/>
      <c r="BW109" s="715"/>
      <c r="BX109" s="718"/>
      <c r="BY109" s="718"/>
      <c r="BZ109" s="718"/>
      <c r="CA109" s="729"/>
      <c r="CB109" s="718"/>
      <c r="CC109" s="718"/>
      <c r="CD109" s="718"/>
      <c r="CE109" s="730"/>
      <c r="CF109" s="327"/>
    </row>
    <row r="110" spans="1:84" ht="14.5" outlineLevel="1" x14ac:dyDescent="0.35">
      <c r="A110" s="436"/>
      <c r="B110" s="433">
        <v>103</v>
      </c>
      <c r="C110" s="277" t="s">
        <v>1046</v>
      </c>
      <c r="D110" s="340" t="s">
        <v>242</v>
      </c>
      <c r="E110" s="340" t="s">
        <v>243</v>
      </c>
      <c r="F110" s="340" t="s">
        <v>260</v>
      </c>
      <c r="G110" s="444">
        <v>636.37</v>
      </c>
      <c r="H110" s="444">
        <v>746</v>
      </c>
      <c r="I110" s="696" t="s">
        <v>1018</v>
      </c>
      <c r="J110" s="697"/>
      <c r="K110" s="697"/>
      <c r="L110" s="697"/>
      <c r="M110" s="697"/>
      <c r="N110" s="697"/>
      <c r="O110" s="697"/>
      <c r="P110" s="696"/>
      <c r="Q110" s="696"/>
      <c r="R110" s="696"/>
      <c r="S110" s="697"/>
      <c r="T110" s="697"/>
      <c r="U110" s="697"/>
      <c r="V110" s="697"/>
      <c r="W110" s="697"/>
      <c r="X110" s="697"/>
      <c r="Y110" s="697"/>
      <c r="Z110" s="697"/>
      <c r="AA110" s="697"/>
      <c r="AB110" s="697"/>
      <c r="AC110" s="697"/>
      <c r="AD110" s="697"/>
      <c r="AE110" s="697"/>
      <c r="AF110" s="698"/>
      <c r="AG110" s="697"/>
      <c r="AH110" s="698"/>
      <c r="AI110" s="697"/>
      <c r="AJ110" s="697"/>
      <c r="AK110" s="696" t="s">
        <v>1018</v>
      </c>
      <c r="AL110" s="699"/>
      <c r="AM110" s="699"/>
      <c r="AN110" s="699"/>
      <c r="AO110" s="696" t="s">
        <v>1040</v>
      </c>
      <c r="AP110" s="699"/>
      <c r="AQ110" s="699"/>
      <c r="AR110" s="699"/>
      <c r="AS110" s="709"/>
      <c r="AU110" s="715"/>
      <c r="AV110" s="716"/>
      <c r="AW110" s="716"/>
      <c r="AX110" s="716"/>
      <c r="AY110" s="716"/>
      <c r="AZ110" s="716"/>
      <c r="BA110" s="716"/>
      <c r="BB110" s="715"/>
      <c r="BC110" s="715"/>
      <c r="BD110" s="715"/>
      <c r="BE110" s="716"/>
      <c r="BF110" s="716"/>
      <c r="BG110" s="716"/>
      <c r="BH110" s="716"/>
      <c r="BI110" s="716"/>
      <c r="BJ110" s="716"/>
      <c r="BK110" s="716"/>
      <c r="BL110" s="716"/>
      <c r="BM110" s="716"/>
      <c r="BN110" s="716"/>
      <c r="BO110" s="716"/>
      <c r="BP110" s="716"/>
      <c r="BQ110" s="716"/>
      <c r="BR110" s="717"/>
      <c r="BS110" s="716"/>
      <c r="BT110" s="717"/>
      <c r="BU110" s="716"/>
      <c r="BV110" s="716"/>
      <c r="BW110" s="715"/>
      <c r="BX110" s="718"/>
      <c r="BY110" s="718"/>
      <c r="BZ110" s="718"/>
      <c r="CA110" s="715"/>
      <c r="CB110" s="718"/>
      <c r="CC110" s="718"/>
      <c r="CD110" s="718"/>
      <c r="CE110" s="730"/>
      <c r="CF110" s="327"/>
    </row>
    <row r="111" spans="1:84" ht="14.5" outlineLevel="1" x14ac:dyDescent="0.35">
      <c r="A111" s="436"/>
      <c r="B111" s="433">
        <v>104</v>
      </c>
      <c r="C111" s="277" t="s">
        <v>1047</v>
      </c>
      <c r="D111" s="340" t="s">
        <v>242</v>
      </c>
      <c r="E111" s="340" t="s">
        <v>243</v>
      </c>
      <c r="F111" s="340" t="s">
        <v>260</v>
      </c>
      <c r="G111" s="444">
        <v>781.29</v>
      </c>
      <c r="H111" s="444">
        <v>916</v>
      </c>
      <c r="I111" s="696" t="s">
        <v>1018</v>
      </c>
      <c r="J111" s="697"/>
      <c r="K111" s="697"/>
      <c r="L111" s="697"/>
      <c r="M111" s="697"/>
      <c r="N111" s="697"/>
      <c r="O111" s="697"/>
      <c r="P111" s="696"/>
      <c r="Q111" s="696"/>
      <c r="R111" s="696"/>
      <c r="S111" s="697"/>
      <c r="T111" s="697"/>
      <c r="U111" s="697"/>
      <c r="V111" s="697"/>
      <c r="W111" s="697"/>
      <c r="X111" s="697"/>
      <c r="Y111" s="697"/>
      <c r="Z111" s="697"/>
      <c r="AA111" s="697"/>
      <c r="AB111" s="697"/>
      <c r="AC111" s="697"/>
      <c r="AD111" s="697"/>
      <c r="AE111" s="697"/>
      <c r="AF111" s="698"/>
      <c r="AG111" s="697"/>
      <c r="AH111" s="698"/>
      <c r="AI111" s="697"/>
      <c r="AJ111" s="697"/>
      <c r="AK111" s="696" t="s">
        <v>1018</v>
      </c>
      <c r="AL111" s="699"/>
      <c r="AM111" s="699"/>
      <c r="AN111" s="699"/>
      <c r="AO111" s="696" t="s">
        <v>1040</v>
      </c>
      <c r="AP111" s="699"/>
      <c r="AQ111" s="699"/>
      <c r="AR111" s="699"/>
      <c r="AS111" s="709"/>
      <c r="AU111" s="715"/>
      <c r="AV111" s="716"/>
      <c r="AW111" s="716"/>
      <c r="AX111" s="716"/>
      <c r="AY111" s="716"/>
      <c r="AZ111" s="716"/>
      <c r="BA111" s="716"/>
      <c r="BB111" s="715"/>
      <c r="BC111" s="715"/>
      <c r="BD111" s="715"/>
      <c r="BE111" s="716"/>
      <c r="BF111" s="716"/>
      <c r="BG111" s="716"/>
      <c r="BH111" s="716"/>
      <c r="BI111" s="716"/>
      <c r="BJ111" s="716"/>
      <c r="BK111" s="716"/>
      <c r="BL111" s="716"/>
      <c r="BM111" s="716"/>
      <c r="BN111" s="716"/>
      <c r="BO111" s="716"/>
      <c r="BP111" s="716"/>
      <c r="BQ111" s="716"/>
      <c r="BR111" s="717"/>
      <c r="BS111" s="716"/>
      <c r="BT111" s="717"/>
      <c r="BU111" s="716"/>
      <c r="BV111" s="716"/>
      <c r="BW111" s="715"/>
      <c r="BX111" s="718"/>
      <c r="BY111" s="718"/>
      <c r="BZ111" s="718"/>
      <c r="CA111" s="715"/>
      <c r="CB111" s="718"/>
      <c r="CC111" s="718"/>
      <c r="CD111" s="718"/>
      <c r="CE111" s="730"/>
      <c r="CF111" s="327"/>
    </row>
    <row r="112" spans="1:84" ht="14.5" outlineLevel="1" x14ac:dyDescent="0.35">
      <c r="A112" s="436"/>
      <c r="B112" s="433">
        <v>105</v>
      </c>
      <c r="C112" s="277" t="s">
        <v>1048</v>
      </c>
      <c r="D112" s="340" t="s">
        <v>242</v>
      </c>
      <c r="E112" s="340" t="s">
        <v>243</v>
      </c>
      <c r="F112" s="340" t="s">
        <v>260</v>
      </c>
      <c r="G112" s="444">
        <v>840.78</v>
      </c>
      <c r="H112" s="444">
        <v>986</v>
      </c>
      <c r="I112" s="696" t="s">
        <v>1018</v>
      </c>
      <c r="J112" s="697"/>
      <c r="K112" s="697"/>
      <c r="L112" s="697"/>
      <c r="M112" s="697"/>
      <c r="N112" s="697"/>
      <c r="O112" s="697"/>
      <c r="P112" s="696"/>
      <c r="Q112" s="696"/>
      <c r="R112" s="696"/>
      <c r="S112" s="697"/>
      <c r="T112" s="697"/>
      <c r="U112" s="697"/>
      <c r="V112" s="697"/>
      <c r="W112" s="697"/>
      <c r="X112" s="697"/>
      <c r="Y112" s="697"/>
      <c r="Z112" s="697"/>
      <c r="AA112" s="697"/>
      <c r="AB112" s="697"/>
      <c r="AC112" s="697"/>
      <c r="AD112" s="697"/>
      <c r="AE112" s="697"/>
      <c r="AF112" s="698"/>
      <c r="AG112" s="697"/>
      <c r="AH112" s="698"/>
      <c r="AI112" s="697"/>
      <c r="AJ112" s="697"/>
      <c r="AK112" s="696" t="s">
        <v>1018</v>
      </c>
      <c r="AL112" s="699"/>
      <c r="AM112" s="699"/>
      <c r="AN112" s="699"/>
      <c r="AO112" s="696" t="s">
        <v>1040</v>
      </c>
      <c r="AP112" s="699"/>
      <c r="AQ112" s="699"/>
      <c r="AR112" s="699"/>
      <c r="AS112" s="709"/>
      <c r="AU112" s="715"/>
      <c r="AV112" s="716"/>
      <c r="AW112" s="716"/>
      <c r="AX112" s="716"/>
      <c r="AY112" s="716"/>
      <c r="AZ112" s="716"/>
      <c r="BA112" s="716"/>
      <c r="BB112" s="715"/>
      <c r="BC112" s="715"/>
      <c r="BD112" s="715"/>
      <c r="BE112" s="716"/>
      <c r="BF112" s="716"/>
      <c r="BG112" s="716"/>
      <c r="BH112" s="716"/>
      <c r="BI112" s="716"/>
      <c r="BJ112" s="716"/>
      <c r="BK112" s="716"/>
      <c r="BL112" s="716"/>
      <c r="BM112" s="716"/>
      <c r="BN112" s="716"/>
      <c r="BO112" s="716"/>
      <c r="BP112" s="716"/>
      <c r="BQ112" s="716"/>
      <c r="BR112" s="717"/>
      <c r="BS112" s="716"/>
      <c r="BT112" s="717"/>
      <c r="BU112" s="716"/>
      <c r="BV112" s="716"/>
      <c r="BW112" s="715"/>
      <c r="BX112" s="718"/>
      <c r="BY112" s="718"/>
      <c r="BZ112" s="718"/>
      <c r="CA112" s="715"/>
      <c r="CB112" s="718"/>
      <c r="CC112" s="718"/>
      <c r="CD112" s="718"/>
      <c r="CE112" s="730"/>
      <c r="CF112" s="327"/>
    </row>
    <row r="113" spans="1:143" ht="14.5" outlineLevel="1" x14ac:dyDescent="0.35">
      <c r="A113" s="436"/>
      <c r="B113" s="433">
        <v>106</v>
      </c>
      <c r="C113" s="277" t="s">
        <v>1049</v>
      </c>
      <c r="D113" s="340" t="s">
        <v>242</v>
      </c>
      <c r="E113" s="340" t="s">
        <v>243</v>
      </c>
      <c r="F113" s="340" t="s">
        <v>260</v>
      </c>
      <c r="G113" s="444">
        <v>1077.73</v>
      </c>
      <c r="H113" s="444">
        <v>1266</v>
      </c>
      <c r="I113" s="696" t="s">
        <v>1018</v>
      </c>
      <c r="J113" s="697"/>
      <c r="K113" s="697"/>
      <c r="L113" s="697"/>
      <c r="M113" s="697"/>
      <c r="N113" s="697"/>
      <c r="O113" s="697"/>
      <c r="P113" s="696"/>
      <c r="Q113" s="696"/>
      <c r="R113" s="696"/>
      <c r="S113" s="697"/>
      <c r="T113" s="697"/>
      <c r="U113" s="697"/>
      <c r="V113" s="697"/>
      <c r="W113" s="697"/>
      <c r="X113" s="697"/>
      <c r="Y113" s="697"/>
      <c r="Z113" s="697"/>
      <c r="AA113" s="697"/>
      <c r="AB113" s="697"/>
      <c r="AC113" s="697"/>
      <c r="AD113" s="697"/>
      <c r="AE113" s="697"/>
      <c r="AF113" s="698"/>
      <c r="AG113" s="697"/>
      <c r="AH113" s="698"/>
      <c r="AI113" s="697"/>
      <c r="AJ113" s="697"/>
      <c r="AK113" s="696" t="s">
        <v>1018</v>
      </c>
      <c r="AL113" s="699"/>
      <c r="AM113" s="699"/>
      <c r="AN113" s="699"/>
      <c r="AO113" s="696" t="s">
        <v>1040</v>
      </c>
      <c r="AP113" s="699"/>
      <c r="AQ113" s="699"/>
      <c r="AR113" s="699"/>
      <c r="AS113" s="709"/>
      <c r="AU113" s="715"/>
      <c r="AV113" s="716"/>
      <c r="AW113" s="716"/>
      <c r="AX113" s="716"/>
      <c r="AY113" s="716"/>
      <c r="AZ113" s="716"/>
      <c r="BA113" s="716"/>
      <c r="BB113" s="715"/>
      <c r="BC113" s="715"/>
      <c r="BD113" s="715"/>
      <c r="BE113" s="716"/>
      <c r="BF113" s="716"/>
      <c r="BG113" s="716"/>
      <c r="BH113" s="716"/>
      <c r="BI113" s="716"/>
      <c r="BJ113" s="716"/>
      <c r="BK113" s="716"/>
      <c r="BL113" s="716"/>
      <c r="BM113" s="716"/>
      <c r="BN113" s="716"/>
      <c r="BO113" s="716"/>
      <c r="BP113" s="716"/>
      <c r="BQ113" s="716"/>
      <c r="BR113" s="717"/>
      <c r="BS113" s="716"/>
      <c r="BT113" s="717"/>
      <c r="BU113" s="716"/>
      <c r="BV113" s="716"/>
      <c r="BW113" s="715"/>
      <c r="BX113" s="718"/>
      <c r="BY113" s="718"/>
      <c r="BZ113" s="718"/>
      <c r="CA113" s="715"/>
      <c r="CB113" s="718"/>
      <c r="CC113" s="718"/>
      <c r="CD113" s="718"/>
      <c r="CE113" s="730"/>
      <c r="CF113" s="327"/>
    </row>
    <row r="114" spans="1:143" ht="14.5" outlineLevel="1" x14ac:dyDescent="0.35">
      <c r="A114" s="436"/>
      <c r="B114" s="433">
        <v>107</v>
      </c>
      <c r="C114" s="277" t="s">
        <v>1050</v>
      </c>
      <c r="D114" s="340" t="s">
        <v>242</v>
      </c>
      <c r="E114" s="340" t="s">
        <v>243</v>
      </c>
      <c r="F114" s="340" t="s">
        <v>260</v>
      </c>
      <c r="G114" s="444">
        <v>1119.5</v>
      </c>
      <c r="H114" s="444">
        <v>1314</v>
      </c>
      <c r="I114" s="696" t="s">
        <v>1018</v>
      </c>
      <c r="J114" s="697"/>
      <c r="K114" s="697"/>
      <c r="L114" s="697"/>
      <c r="M114" s="697"/>
      <c r="N114" s="697"/>
      <c r="O114" s="697"/>
      <c r="P114" s="696"/>
      <c r="Q114" s="696"/>
      <c r="R114" s="696"/>
      <c r="S114" s="697"/>
      <c r="T114" s="697"/>
      <c r="U114" s="697"/>
      <c r="V114" s="697"/>
      <c r="W114" s="697"/>
      <c r="X114" s="697"/>
      <c r="Y114" s="697"/>
      <c r="Z114" s="697"/>
      <c r="AA114" s="697"/>
      <c r="AB114" s="697"/>
      <c r="AC114" s="697"/>
      <c r="AD114" s="697"/>
      <c r="AE114" s="697"/>
      <c r="AF114" s="698"/>
      <c r="AG114" s="697"/>
      <c r="AH114" s="698"/>
      <c r="AI114" s="697"/>
      <c r="AJ114" s="697"/>
      <c r="AK114" s="696" t="s">
        <v>1018</v>
      </c>
      <c r="AL114" s="699"/>
      <c r="AM114" s="699"/>
      <c r="AN114" s="699"/>
      <c r="AO114" s="696" t="s">
        <v>1040</v>
      </c>
      <c r="AP114" s="699"/>
      <c r="AQ114" s="699"/>
      <c r="AR114" s="699"/>
      <c r="AS114" s="709"/>
      <c r="AU114" s="715"/>
      <c r="AV114" s="716"/>
      <c r="AW114" s="716"/>
      <c r="AX114" s="716"/>
      <c r="AY114" s="716"/>
      <c r="AZ114" s="716"/>
      <c r="BA114" s="716"/>
      <c r="BB114" s="715"/>
      <c r="BC114" s="715"/>
      <c r="BD114" s="715"/>
      <c r="BE114" s="716"/>
      <c r="BF114" s="716"/>
      <c r="BG114" s="716"/>
      <c r="BH114" s="716"/>
      <c r="BI114" s="716"/>
      <c r="BJ114" s="716"/>
      <c r="BK114" s="716"/>
      <c r="BL114" s="716"/>
      <c r="BM114" s="716"/>
      <c r="BN114" s="716"/>
      <c r="BO114" s="716"/>
      <c r="BP114" s="716"/>
      <c r="BQ114" s="716"/>
      <c r="BR114" s="717"/>
      <c r="BS114" s="716"/>
      <c r="BT114" s="717"/>
      <c r="BU114" s="716"/>
      <c r="BV114" s="716"/>
      <c r="BW114" s="715"/>
      <c r="BX114" s="718"/>
      <c r="BY114" s="718"/>
      <c r="BZ114" s="718"/>
      <c r="CA114" s="715"/>
      <c r="CB114" s="718"/>
      <c r="CC114" s="718"/>
      <c r="CD114" s="718"/>
      <c r="CE114" s="730"/>
      <c r="CF114" s="327"/>
    </row>
    <row r="115" spans="1:143" s="436" customFormat="1" ht="14.5" x14ac:dyDescent="0.35">
      <c r="B115" s="433">
        <v>108</v>
      </c>
      <c r="C115" s="277" t="s">
        <v>252</v>
      </c>
      <c r="D115" s="339" t="s">
        <v>374</v>
      </c>
      <c r="E115" s="339" t="s">
        <v>375</v>
      </c>
      <c r="F115" s="339" t="s">
        <v>1051</v>
      </c>
      <c r="G115" s="345"/>
      <c r="H115" s="345"/>
      <c r="I115" s="690"/>
      <c r="J115" s="699"/>
      <c r="K115" s="699"/>
      <c r="L115" s="699"/>
      <c r="M115" s="699"/>
      <c r="N115" s="699"/>
      <c r="O115" s="699"/>
      <c r="P115" s="699"/>
      <c r="Q115" s="699"/>
      <c r="R115" s="699"/>
      <c r="S115" s="699"/>
      <c r="T115" s="699"/>
      <c r="U115" s="699"/>
      <c r="V115" s="699"/>
      <c r="W115" s="699"/>
      <c r="X115" s="699"/>
      <c r="Y115" s="699"/>
      <c r="Z115" s="699"/>
      <c r="AA115" s="699"/>
      <c r="AB115" s="699"/>
      <c r="AC115" s="699"/>
      <c r="AD115" s="699"/>
      <c r="AE115" s="697"/>
      <c r="AF115" s="698"/>
      <c r="AG115" s="697"/>
      <c r="AH115" s="698"/>
      <c r="AI115" s="697"/>
      <c r="AJ115" s="697"/>
      <c r="AK115" s="690"/>
      <c r="AL115" s="699"/>
      <c r="AM115" s="699"/>
      <c r="AN115" s="699"/>
      <c r="AO115" s="696"/>
      <c r="AP115" s="699"/>
      <c r="AQ115" s="699"/>
      <c r="AR115" s="699"/>
      <c r="AS115" s="710"/>
      <c r="AT115" s="262"/>
      <c r="AU115" s="725"/>
      <c r="AV115" s="718"/>
      <c r="AW115" s="718"/>
      <c r="AX115" s="718"/>
      <c r="AY115" s="718"/>
      <c r="AZ115" s="718"/>
      <c r="BA115" s="718"/>
      <c r="BB115" s="718"/>
      <c r="BC115" s="718"/>
      <c r="BD115" s="718"/>
      <c r="BE115" s="718"/>
      <c r="BF115" s="718"/>
      <c r="BG115" s="718"/>
      <c r="BH115" s="718"/>
      <c r="BI115" s="718"/>
      <c r="BJ115" s="718"/>
      <c r="BK115" s="718"/>
      <c r="BL115" s="718"/>
      <c r="BM115" s="718"/>
      <c r="BN115" s="718"/>
      <c r="BO115" s="718"/>
      <c r="BP115" s="718"/>
      <c r="BQ115" s="716"/>
      <c r="BR115" s="717"/>
      <c r="BS115" s="716"/>
      <c r="BT115" s="717"/>
      <c r="BU115" s="716"/>
      <c r="BV115" s="716"/>
      <c r="BW115" s="725"/>
      <c r="BX115" s="718"/>
      <c r="BY115" s="718"/>
      <c r="BZ115" s="718"/>
      <c r="CA115" s="715"/>
      <c r="CB115" s="718"/>
      <c r="CC115" s="718"/>
      <c r="CD115" s="718"/>
      <c r="CE115" s="718"/>
      <c r="CF115" s="327"/>
      <c r="CG115" s="262"/>
      <c r="CH115" s="262"/>
      <c r="CI115" s="262"/>
      <c r="CJ115" s="262"/>
      <c r="CK115" s="262"/>
      <c r="CL115" s="262"/>
      <c r="CM115" s="262"/>
      <c r="CN115" s="262"/>
      <c r="CO115" s="262"/>
      <c r="CP115" s="262"/>
      <c r="CQ115" s="262"/>
      <c r="CR115" s="262"/>
      <c r="CS115" s="262"/>
      <c r="CT115" s="262"/>
      <c r="CU115" s="262"/>
      <c r="CV115" s="262"/>
      <c r="CW115" s="262"/>
      <c r="CX115" s="262"/>
      <c r="CY115" s="262"/>
      <c r="CZ115" s="262"/>
      <c r="DA115" s="262"/>
      <c r="DB115" s="262"/>
      <c r="DC115" s="262"/>
      <c r="DD115" s="262"/>
      <c r="DE115" s="262"/>
      <c r="DF115" s="262"/>
      <c r="DG115" s="262"/>
      <c r="DH115" s="262"/>
      <c r="DI115" s="262"/>
      <c r="DJ115" s="262"/>
      <c r="DK115" s="262"/>
      <c r="DL115" s="262"/>
      <c r="DM115" s="262"/>
      <c r="DN115" s="262"/>
      <c r="DO115" s="262"/>
      <c r="DP115" s="262"/>
      <c r="DQ115" s="262"/>
      <c r="DR115" s="262"/>
      <c r="DS115" s="262"/>
      <c r="DT115" s="262"/>
      <c r="DU115" s="262"/>
      <c r="DV115" s="262"/>
      <c r="DW115" s="262"/>
      <c r="DX115" s="262"/>
      <c r="DY115" s="262"/>
      <c r="DZ115" s="262"/>
      <c r="EA115" s="262"/>
      <c r="EB115" s="262"/>
      <c r="EC115" s="262"/>
      <c r="ED115" s="262"/>
      <c r="EE115" s="262"/>
      <c r="EF115" s="262"/>
      <c r="EG115" s="262"/>
      <c r="EH115" s="262"/>
      <c r="EI115" s="262"/>
      <c r="EJ115" s="262"/>
      <c r="EK115" s="262"/>
      <c r="EL115" s="262"/>
      <c r="EM115" s="262"/>
    </row>
    <row r="116" spans="1:143" s="436" customFormat="1" ht="14.25" customHeight="1" x14ac:dyDescent="0.25">
      <c r="B116" s="262"/>
      <c r="C116" s="290" t="s">
        <v>1052</v>
      </c>
      <c r="D116" s="289"/>
      <c r="E116" s="289"/>
      <c r="F116" s="289"/>
      <c r="G116" s="262"/>
      <c r="H116" s="262"/>
      <c r="I116" s="262"/>
      <c r="J116" s="262"/>
      <c r="K116" s="262"/>
      <c r="L116" s="262"/>
      <c r="M116" s="262"/>
      <c r="N116" s="262"/>
      <c r="O116" s="262"/>
      <c r="P116" s="262"/>
      <c r="Q116" s="262"/>
      <c r="R116" s="262"/>
      <c r="S116" s="262"/>
      <c r="T116" s="262"/>
      <c r="U116" s="262"/>
      <c r="V116" s="262"/>
      <c r="W116" s="262"/>
      <c r="X116" s="262"/>
      <c r="Y116" s="262"/>
      <c r="Z116" s="262"/>
      <c r="AA116" s="262"/>
      <c r="AB116" s="262"/>
      <c r="AC116" s="262"/>
      <c r="AD116" s="262"/>
      <c r="AE116" s="262"/>
      <c r="AF116" s="262"/>
      <c r="AG116" s="262"/>
      <c r="AH116" s="262"/>
      <c r="AI116" s="262"/>
      <c r="AJ116" s="262"/>
      <c r="AK116" s="262"/>
      <c r="AL116" s="289"/>
      <c r="AM116" s="289"/>
      <c r="AN116" s="289"/>
      <c r="AO116" s="262"/>
      <c r="AP116" s="289"/>
      <c r="AQ116" s="289"/>
      <c r="AR116" s="289"/>
      <c r="AS116" s="289"/>
      <c r="AT116" s="262"/>
      <c r="AU116" s="327"/>
      <c r="AV116" s="327"/>
      <c r="AW116" s="327"/>
      <c r="AX116" s="327"/>
      <c r="AY116" s="327"/>
      <c r="AZ116" s="327"/>
      <c r="BA116" s="327"/>
      <c r="BB116" s="327"/>
      <c r="BC116" s="327"/>
      <c r="BD116" s="327"/>
      <c r="BE116" s="327"/>
      <c r="BF116" s="327"/>
      <c r="BG116" s="327"/>
      <c r="BH116" s="327"/>
      <c r="BI116" s="327"/>
      <c r="BJ116" s="327"/>
      <c r="BK116" s="327"/>
      <c r="BL116" s="327"/>
      <c r="BM116" s="327"/>
      <c r="BN116" s="327"/>
      <c r="BO116" s="327"/>
      <c r="BP116" s="327"/>
      <c r="BQ116" s="327"/>
      <c r="BR116" s="327"/>
      <c r="BS116" s="327"/>
      <c r="BT116" s="327"/>
      <c r="BU116" s="327"/>
      <c r="BV116" s="327"/>
      <c r="BW116" s="327"/>
      <c r="BX116" s="327"/>
      <c r="BY116" s="327"/>
      <c r="BZ116" s="327"/>
      <c r="CA116" s="327"/>
      <c r="CB116" s="327"/>
      <c r="CC116" s="327"/>
      <c r="CD116" s="327"/>
      <c r="CE116" s="327"/>
      <c r="CF116" s="327"/>
      <c r="CG116" s="262"/>
      <c r="CH116" s="262"/>
      <c r="CI116" s="262"/>
      <c r="CJ116" s="262"/>
      <c r="CK116" s="262"/>
      <c r="CL116" s="262"/>
      <c r="CM116" s="262"/>
      <c r="CN116" s="262"/>
      <c r="CO116" s="262"/>
      <c r="CP116" s="262"/>
      <c r="CQ116" s="262"/>
      <c r="CR116" s="262"/>
      <c r="CS116" s="262"/>
      <c r="CT116" s="262"/>
      <c r="CU116" s="262"/>
      <c r="CV116" s="262"/>
      <c r="CW116" s="262"/>
      <c r="CX116" s="262"/>
      <c r="CY116" s="262"/>
      <c r="CZ116" s="262"/>
      <c r="DA116" s="262"/>
      <c r="DB116" s="262"/>
      <c r="DC116" s="262"/>
      <c r="DD116" s="262"/>
      <c r="DE116" s="262"/>
      <c r="DF116" s="262"/>
      <c r="DG116" s="262"/>
      <c r="DH116" s="262"/>
      <c r="DI116" s="262"/>
      <c r="DJ116" s="262"/>
      <c r="DK116" s="262"/>
      <c r="DL116" s="262"/>
      <c r="DM116" s="262"/>
      <c r="DN116" s="262"/>
      <c r="DO116" s="262"/>
      <c r="DP116" s="262"/>
      <c r="DQ116" s="262"/>
      <c r="DR116" s="262"/>
      <c r="DS116" s="262"/>
      <c r="DT116" s="262"/>
      <c r="DU116" s="262"/>
      <c r="DV116" s="262"/>
      <c r="DW116" s="262"/>
      <c r="DX116" s="262"/>
      <c r="DY116" s="262"/>
      <c r="DZ116" s="262"/>
      <c r="EA116" s="262"/>
      <c r="EB116" s="262"/>
      <c r="EC116" s="262"/>
      <c r="ED116" s="262"/>
      <c r="EE116" s="262"/>
      <c r="EF116" s="262"/>
      <c r="EG116" s="262"/>
      <c r="EH116" s="262"/>
      <c r="EI116" s="262"/>
      <c r="EJ116" s="262"/>
      <c r="EK116" s="262"/>
      <c r="EL116" s="262"/>
      <c r="EM116" s="262"/>
    </row>
    <row r="117" spans="1:143" s="436" customFormat="1" ht="14.25" customHeight="1" x14ac:dyDescent="0.25">
      <c r="B117" s="262"/>
      <c r="C117" s="262" t="s">
        <v>290</v>
      </c>
      <c r="D117" s="262"/>
      <c r="E117" s="262"/>
      <c r="F117" s="262"/>
      <c r="G117" s="262"/>
      <c r="H117" s="262"/>
      <c r="I117" s="262"/>
      <c r="J117" s="262"/>
      <c r="K117" s="262"/>
      <c r="L117" s="262"/>
      <c r="M117" s="262"/>
      <c r="N117" s="262"/>
      <c r="O117" s="262"/>
      <c r="P117" s="262"/>
      <c r="Q117" s="262"/>
      <c r="R117" s="262"/>
      <c r="S117" s="262"/>
      <c r="T117" s="262"/>
      <c r="U117" s="262"/>
      <c r="V117" s="262"/>
      <c r="W117" s="262"/>
      <c r="X117" s="262"/>
      <c r="Y117" s="262"/>
      <c r="Z117" s="262"/>
      <c r="AA117" s="262"/>
      <c r="AB117" s="262"/>
      <c r="AC117" s="262"/>
      <c r="AD117" s="262"/>
      <c r="AE117" s="262"/>
      <c r="AF117" s="262"/>
      <c r="AG117" s="262"/>
      <c r="AH117" s="262"/>
      <c r="AI117" s="262"/>
      <c r="AJ117" s="262"/>
      <c r="AK117" s="262"/>
      <c r="AL117" s="289"/>
      <c r="AM117" s="289"/>
      <c r="AN117" s="289"/>
      <c r="AO117" s="262"/>
      <c r="AP117" s="289"/>
      <c r="AQ117" s="289"/>
      <c r="AR117" s="289"/>
      <c r="AS117" s="289"/>
      <c r="AT117" s="262"/>
      <c r="AU117" s="327"/>
      <c r="AV117" s="720"/>
      <c r="AW117" s="720"/>
      <c r="AX117" s="720"/>
      <c r="AY117" s="327"/>
      <c r="AZ117" s="327"/>
      <c r="BA117" s="327"/>
      <c r="BB117" s="327"/>
      <c r="BC117" s="327"/>
      <c r="BD117" s="327"/>
      <c r="BE117" s="327"/>
      <c r="BF117" s="327"/>
      <c r="BG117" s="327"/>
      <c r="BH117" s="327"/>
      <c r="BI117" s="327"/>
      <c r="BJ117" s="327"/>
      <c r="BK117" s="327"/>
      <c r="BL117" s="327"/>
      <c r="BM117" s="327"/>
      <c r="BN117" s="327"/>
      <c r="BO117" s="327"/>
      <c r="BP117" s="327"/>
      <c r="BQ117" s="327"/>
      <c r="BR117" s="327"/>
      <c r="BS117" s="327"/>
      <c r="BT117" s="327"/>
      <c r="BU117" s="327"/>
      <c r="BV117" s="327"/>
      <c r="BW117" s="720"/>
      <c r="BX117" s="720"/>
      <c r="BY117" s="720"/>
      <c r="BZ117" s="720"/>
      <c r="CA117" s="720"/>
      <c r="CB117" s="720"/>
      <c r="CC117" s="720"/>
      <c r="CD117" s="720"/>
      <c r="CE117" s="720"/>
      <c r="CF117" s="720"/>
      <c r="CH117" s="262"/>
      <c r="CI117" s="262"/>
      <c r="CJ117" s="262"/>
      <c r="CK117" s="262"/>
      <c r="CL117" s="262"/>
      <c r="CM117" s="262"/>
      <c r="CN117" s="262"/>
      <c r="CO117" s="262"/>
      <c r="CP117" s="262"/>
      <c r="CQ117" s="262"/>
      <c r="CR117" s="262"/>
      <c r="CS117" s="262"/>
      <c r="CT117" s="262"/>
      <c r="CU117" s="262"/>
      <c r="CV117" s="262"/>
      <c r="CW117" s="262"/>
      <c r="CX117" s="262"/>
      <c r="CY117" s="262"/>
      <c r="CZ117" s="262"/>
      <c r="DA117" s="262"/>
      <c r="DB117" s="262"/>
      <c r="DC117" s="262"/>
      <c r="DD117" s="262"/>
      <c r="DE117" s="262"/>
      <c r="DF117" s="262"/>
      <c r="DG117" s="262"/>
      <c r="DH117" s="262"/>
      <c r="DI117" s="262"/>
      <c r="DJ117" s="262"/>
      <c r="DK117" s="262"/>
      <c r="DL117" s="262"/>
      <c r="DM117" s="262"/>
      <c r="DN117" s="262"/>
      <c r="DO117" s="262"/>
      <c r="DP117" s="262"/>
      <c r="DQ117" s="262"/>
      <c r="DR117" s="262"/>
      <c r="DS117" s="262"/>
      <c r="DT117" s="262"/>
      <c r="DU117" s="262"/>
      <c r="DV117" s="262"/>
      <c r="DW117" s="262"/>
      <c r="DX117" s="262"/>
      <c r="DY117" s="262"/>
      <c r="DZ117" s="262"/>
      <c r="EA117" s="262"/>
      <c r="EB117" s="262"/>
      <c r="EC117" s="262"/>
      <c r="ED117" s="262"/>
      <c r="EE117" s="262"/>
      <c r="EF117" s="262"/>
      <c r="EG117" s="262"/>
      <c r="EH117" s="262"/>
      <c r="EI117" s="262"/>
      <c r="EJ117" s="262"/>
      <c r="EK117" s="262"/>
      <c r="EL117" s="262"/>
      <c r="EM117" s="262"/>
    </row>
    <row r="118" spans="1:143" s="436" customFormat="1" ht="12" x14ac:dyDescent="0.25">
      <c r="B118" s="262"/>
      <c r="C118" s="120" t="s">
        <v>291</v>
      </c>
      <c r="D118" s="262"/>
      <c r="E118" s="262"/>
      <c r="F118" s="262"/>
      <c r="G118" s="262"/>
      <c r="H118" s="262"/>
      <c r="I118" s="262"/>
      <c r="J118" s="262"/>
      <c r="K118" s="262"/>
      <c r="L118" s="262"/>
      <c r="M118" s="262"/>
      <c r="N118" s="262"/>
      <c r="O118" s="262"/>
      <c r="P118" s="262"/>
      <c r="Q118" s="262"/>
      <c r="R118" s="262"/>
      <c r="S118" s="262"/>
      <c r="T118" s="262"/>
      <c r="U118" s="262"/>
      <c r="V118" s="262"/>
      <c r="W118" s="262"/>
      <c r="X118" s="262"/>
      <c r="Y118" s="262"/>
      <c r="Z118" s="262"/>
      <c r="AA118" s="262"/>
      <c r="AB118" s="262"/>
      <c r="AC118" s="262"/>
      <c r="AD118" s="262"/>
      <c r="AE118" s="262"/>
      <c r="AF118" s="262"/>
      <c r="AG118" s="262"/>
      <c r="AH118" s="262"/>
      <c r="AI118" s="262"/>
      <c r="AJ118" s="262"/>
      <c r="AK118" s="262"/>
      <c r="AL118" s="262"/>
      <c r="AM118" s="262"/>
      <c r="AN118" s="262"/>
      <c r="AO118" s="262"/>
      <c r="AP118" s="262"/>
      <c r="AQ118" s="262"/>
      <c r="AR118" s="262"/>
      <c r="AS118" s="262"/>
      <c r="AT118" s="262"/>
      <c r="AU118" s="327"/>
      <c r="AV118" s="327"/>
      <c r="AW118" s="327"/>
      <c r="AX118" s="327"/>
      <c r="AY118" s="327"/>
      <c r="AZ118" s="327"/>
      <c r="BA118" s="327"/>
      <c r="BB118" s="327"/>
      <c r="BC118" s="327"/>
      <c r="BD118" s="327"/>
      <c r="BE118" s="327"/>
      <c r="BF118" s="327"/>
      <c r="BG118" s="327"/>
      <c r="BH118" s="327"/>
      <c r="BI118" s="327"/>
      <c r="BJ118" s="327"/>
      <c r="BK118" s="327"/>
      <c r="BL118" s="327"/>
      <c r="BM118" s="327"/>
      <c r="BN118" s="327"/>
      <c r="BO118" s="327"/>
      <c r="BP118" s="327"/>
      <c r="BQ118" s="327"/>
      <c r="BR118" s="327"/>
      <c r="BS118" s="327"/>
      <c r="BT118" s="327"/>
      <c r="BU118" s="327"/>
      <c r="BV118" s="327"/>
      <c r="BW118" s="720"/>
      <c r="BX118" s="720"/>
      <c r="BY118" s="720"/>
      <c r="BZ118" s="720"/>
      <c r="CA118" s="720"/>
      <c r="CB118" s="720"/>
      <c r="CC118" s="720"/>
      <c r="CD118" s="720"/>
      <c r="CE118" s="720"/>
      <c r="CF118" s="720"/>
      <c r="CH118" s="262"/>
      <c r="CI118" s="262"/>
      <c r="CJ118" s="262"/>
      <c r="CK118" s="262"/>
      <c r="CL118" s="262"/>
      <c r="CM118" s="262"/>
      <c r="CN118" s="262"/>
      <c r="CO118" s="262"/>
      <c r="CP118" s="262"/>
      <c r="CQ118" s="262"/>
      <c r="CR118" s="262"/>
      <c r="CS118" s="262"/>
      <c r="CT118" s="262"/>
      <c r="CU118" s="262"/>
      <c r="CV118" s="262"/>
      <c r="CW118" s="262"/>
      <c r="CX118" s="262"/>
      <c r="CY118" s="262"/>
      <c r="CZ118" s="262"/>
      <c r="DA118" s="262"/>
      <c r="DB118" s="262"/>
      <c r="DC118" s="262"/>
      <c r="DD118" s="262"/>
      <c r="DE118" s="262"/>
      <c r="DF118" s="262"/>
      <c r="DG118" s="262"/>
      <c r="DH118" s="262"/>
      <c r="DI118" s="262"/>
      <c r="DJ118" s="262"/>
      <c r="DK118" s="262"/>
      <c r="DL118" s="262"/>
      <c r="DM118" s="262"/>
      <c r="DN118" s="262"/>
      <c r="DO118" s="262"/>
      <c r="DP118" s="262"/>
      <c r="DQ118" s="262"/>
      <c r="DR118" s="262"/>
      <c r="DS118" s="262"/>
      <c r="DT118" s="262"/>
      <c r="DU118" s="262"/>
      <c r="DV118" s="262"/>
      <c r="DW118" s="262"/>
      <c r="DX118" s="262"/>
      <c r="DY118" s="262"/>
      <c r="DZ118" s="262"/>
      <c r="EA118" s="262"/>
      <c r="EB118" s="262"/>
      <c r="EC118" s="262"/>
      <c r="ED118" s="262"/>
      <c r="EE118" s="262"/>
      <c r="EF118" s="262"/>
      <c r="EG118" s="262"/>
      <c r="EH118" s="262"/>
      <c r="EI118" s="262"/>
      <c r="EJ118" s="262"/>
      <c r="EK118" s="262"/>
      <c r="EL118" s="262"/>
      <c r="EM118" s="262"/>
    </row>
    <row r="119" spans="1:143" s="436" customFormat="1" ht="12" outlineLevel="1" x14ac:dyDescent="0.25">
      <c r="B119" s="262"/>
      <c r="C119" s="445" t="s">
        <v>1053</v>
      </c>
      <c r="D119" s="262"/>
      <c r="E119" s="262"/>
      <c r="F119" s="262"/>
      <c r="G119" s="262"/>
      <c r="H119" s="262"/>
      <c r="I119" s="262"/>
      <c r="J119" s="262"/>
      <c r="K119" s="262"/>
      <c r="L119" s="262"/>
      <c r="M119" s="262"/>
      <c r="N119" s="262"/>
      <c r="O119" s="262"/>
      <c r="P119" s="262"/>
      <c r="Q119" s="262"/>
      <c r="R119" s="262"/>
      <c r="S119" s="262"/>
      <c r="T119" s="262"/>
      <c r="U119" s="262"/>
      <c r="V119" s="262"/>
      <c r="W119" s="262"/>
      <c r="X119" s="262"/>
      <c r="Y119" s="262"/>
      <c r="Z119" s="262"/>
      <c r="AA119" s="262"/>
      <c r="AB119" s="262"/>
      <c r="AC119" s="262"/>
      <c r="AD119" s="262"/>
      <c r="AE119" s="262"/>
      <c r="AF119" s="262"/>
      <c r="AG119" s="262"/>
      <c r="AH119" s="262"/>
      <c r="AI119" s="262"/>
      <c r="AJ119" s="262"/>
      <c r="AK119" s="262"/>
      <c r="AL119" s="262"/>
      <c r="AM119" s="262"/>
      <c r="AN119" s="262"/>
      <c r="AO119" s="262"/>
      <c r="AP119" s="262"/>
      <c r="AQ119" s="262"/>
      <c r="AR119" s="262"/>
      <c r="AS119" s="262"/>
      <c r="AT119" s="262"/>
      <c r="AU119" s="327"/>
      <c r="AV119" s="720"/>
      <c r="AW119" s="720"/>
      <c r="AX119" s="720"/>
      <c r="AY119" s="327"/>
      <c r="AZ119" s="327"/>
      <c r="BA119" s="327"/>
      <c r="BB119" s="327"/>
      <c r="BC119" s="327"/>
      <c r="BD119" s="327"/>
      <c r="BE119" s="327"/>
      <c r="BF119" s="327"/>
      <c r="BG119" s="327"/>
      <c r="BH119" s="327"/>
      <c r="BI119" s="327"/>
      <c r="BJ119" s="327"/>
      <c r="BK119" s="327"/>
      <c r="BL119" s="327"/>
      <c r="BM119" s="327"/>
      <c r="BN119" s="327"/>
      <c r="BO119" s="327"/>
      <c r="BP119" s="327"/>
      <c r="BQ119" s="327"/>
      <c r="BR119" s="327"/>
      <c r="BS119" s="327"/>
      <c r="BT119" s="327"/>
      <c r="BU119" s="327"/>
      <c r="BV119" s="327"/>
      <c r="BW119" s="720"/>
      <c r="BX119" s="720"/>
      <c r="BY119" s="720"/>
      <c r="BZ119" s="720"/>
      <c r="CA119" s="720"/>
      <c r="CB119" s="720"/>
      <c r="CC119" s="720"/>
      <c r="CD119" s="720"/>
      <c r="CE119" s="720"/>
      <c r="CF119" s="720"/>
    </row>
    <row r="120" spans="1:143" s="436" customFormat="1" ht="12" outlineLevel="1" x14ac:dyDescent="0.25">
      <c r="B120" s="262"/>
      <c r="C120" s="120"/>
      <c r="D120" s="262"/>
      <c r="E120" s="262"/>
      <c r="F120" s="262"/>
      <c r="G120" s="262"/>
      <c r="H120" s="262"/>
      <c r="I120" s="262"/>
      <c r="J120" s="262"/>
      <c r="K120" s="262"/>
      <c r="L120" s="262"/>
      <c r="M120" s="262"/>
      <c r="N120" s="262"/>
      <c r="O120" s="262"/>
      <c r="P120" s="262"/>
      <c r="Q120" s="262"/>
      <c r="R120" s="262"/>
      <c r="S120" s="262"/>
      <c r="T120" s="262"/>
      <c r="U120" s="262"/>
      <c r="V120" s="262"/>
      <c r="W120" s="262"/>
      <c r="X120" s="262"/>
      <c r="Y120" s="262"/>
      <c r="Z120" s="262"/>
      <c r="AA120" s="262"/>
      <c r="AB120" s="262"/>
      <c r="AC120" s="262"/>
      <c r="AD120" s="262"/>
      <c r="AE120" s="262"/>
      <c r="AF120" s="262"/>
      <c r="AG120" s="262"/>
      <c r="AH120" s="262"/>
      <c r="AI120" s="262"/>
      <c r="AJ120" s="262"/>
      <c r="AK120" s="262"/>
      <c r="AL120" s="262"/>
      <c r="AM120" s="262"/>
      <c r="AN120" s="262"/>
      <c r="AO120" s="262"/>
      <c r="AP120" s="262"/>
      <c r="AQ120" s="262"/>
      <c r="AR120" s="262"/>
      <c r="AS120" s="262"/>
      <c r="AT120" s="262"/>
      <c r="AU120" s="327"/>
      <c r="AV120" s="327"/>
      <c r="AW120" s="327"/>
      <c r="AX120" s="327"/>
      <c r="AY120" s="327"/>
      <c r="AZ120" s="327"/>
      <c r="BA120" s="327"/>
      <c r="BB120" s="327"/>
      <c r="BC120" s="327"/>
      <c r="BD120" s="327"/>
      <c r="BE120" s="327"/>
      <c r="BF120" s="327"/>
      <c r="BG120" s="327"/>
      <c r="BH120" s="327"/>
      <c r="BI120" s="327"/>
      <c r="BJ120" s="327"/>
      <c r="BK120" s="327"/>
      <c r="BL120" s="327"/>
      <c r="BM120" s="327"/>
      <c r="BN120" s="327"/>
      <c r="BO120" s="327"/>
      <c r="BP120" s="327"/>
      <c r="BQ120" s="327"/>
      <c r="BR120" s="327"/>
      <c r="BS120" s="327"/>
      <c r="BT120" s="327"/>
      <c r="BU120" s="327"/>
      <c r="BV120" s="327"/>
      <c r="BW120" s="720"/>
      <c r="BX120" s="720"/>
      <c r="BY120" s="720"/>
      <c r="BZ120" s="720"/>
      <c r="CA120" s="720"/>
      <c r="CB120" s="720"/>
      <c r="CC120" s="720"/>
      <c r="CD120" s="720"/>
      <c r="CE120" s="720"/>
      <c r="CF120" s="720"/>
    </row>
    <row r="121" spans="1:143" s="436" customFormat="1" ht="15.5" outlineLevel="1" x14ac:dyDescent="0.25">
      <c r="B121" s="262"/>
      <c r="C121" s="37" t="s">
        <v>989</v>
      </c>
      <c r="D121" s="120"/>
      <c r="E121" s="446">
        <v>2022</v>
      </c>
      <c r="F121" s="262"/>
      <c r="G121" s="262"/>
      <c r="H121" s="262"/>
      <c r="I121" s="262"/>
      <c r="J121" s="262"/>
      <c r="K121" s="262"/>
      <c r="L121" s="262"/>
      <c r="M121" s="262"/>
      <c r="N121" s="262"/>
      <c r="O121" s="262"/>
      <c r="P121" s="262"/>
      <c r="Q121" s="262"/>
      <c r="R121" s="262"/>
      <c r="S121" s="262"/>
      <c r="T121" s="262"/>
      <c r="U121" s="262"/>
      <c r="V121" s="262"/>
      <c r="W121" s="262"/>
      <c r="X121" s="262"/>
      <c r="Y121" s="262"/>
      <c r="Z121" s="262"/>
      <c r="AA121" s="262"/>
      <c r="AB121" s="262"/>
      <c r="AC121" s="262"/>
      <c r="AD121" s="262"/>
      <c r="AE121" s="262"/>
      <c r="AF121" s="262"/>
      <c r="AG121" s="262"/>
      <c r="AH121" s="262"/>
      <c r="AI121" s="262"/>
      <c r="AJ121" s="262"/>
      <c r="AK121" s="262"/>
      <c r="AL121" s="262"/>
      <c r="AM121" s="262"/>
      <c r="AN121" s="262"/>
      <c r="AO121" s="262"/>
      <c r="AP121" s="262"/>
      <c r="AQ121" s="262"/>
      <c r="AR121" s="262"/>
      <c r="AS121" s="262"/>
      <c r="AT121" s="262"/>
      <c r="AU121" s="327"/>
      <c r="AV121" s="720"/>
      <c r="AW121" s="720"/>
      <c r="AX121" s="720"/>
      <c r="AY121" s="327"/>
      <c r="AZ121" s="327"/>
      <c r="BA121" s="327"/>
      <c r="BB121" s="327"/>
      <c r="BC121" s="327"/>
      <c r="BD121" s="327"/>
      <c r="BE121" s="327"/>
      <c r="BF121" s="327"/>
      <c r="BG121" s="327"/>
      <c r="BH121" s="327"/>
      <c r="BI121" s="327"/>
      <c r="BJ121" s="327"/>
      <c r="BK121" s="327"/>
      <c r="BL121" s="327"/>
      <c r="BM121" s="327"/>
      <c r="BN121" s="327"/>
      <c r="BO121" s="327"/>
      <c r="BP121" s="327"/>
      <c r="BQ121" s="327"/>
      <c r="BR121" s="327"/>
      <c r="BS121" s="327"/>
      <c r="BT121" s="327"/>
      <c r="BU121" s="327"/>
      <c r="BV121" s="327"/>
      <c r="BW121" s="720"/>
      <c r="BX121" s="720"/>
      <c r="BY121" s="720"/>
      <c r="BZ121" s="720"/>
      <c r="CA121" s="720"/>
      <c r="CB121" s="720"/>
      <c r="CC121" s="720"/>
      <c r="CD121" s="720"/>
      <c r="CE121" s="720"/>
      <c r="CF121" s="720"/>
    </row>
    <row r="122" spans="1:143" s="436" customFormat="1" ht="12" outlineLevel="1" x14ac:dyDescent="0.25">
      <c r="B122" s="262"/>
      <c r="C122" s="126" t="s">
        <v>947</v>
      </c>
      <c r="D122" s="262"/>
      <c r="E122" s="262"/>
      <c r="F122" s="262"/>
      <c r="G122" s="262"/>
      <c r="H122" s="262"/>
      <c r="I122" s="262"/>
      <c r="J122" s="262"/>
      <c r="K122" s="262"/>
      <c r="L122" s="262"/>
      <c r="M122" s="262"/>
      <c r="N122" s="262"/>
      <c r="O122" s="262"/>
      <c r="P122" s="262"/>
      <c r="Q122" s="262"/>
      <c r="R122" s="262"/>
      <c r="S122" s="262"/>
      <c r="T122" s="262"/>
      <c r="U122" s="262"/>
      <c r="V122" s="262"/>
      <c r="W122" s="262"/>
      <c r="X122" s="262"/>
      <c r="Y122" s="262"/>
      <c r="Z122" s="262"/>
      <c r="AA122" s="262"/>
      <c r="AB122" s="262"/>
      <c r="AC122" s="262"/>
      <c r="AD122" s="262"/>
      <c r="AE122" s="262"/>
      <c r="AF122" s="262"/>
      <c r="AG122" s="262"/>
      <c r="AH122" s="262"/>
      <c r="AI122" s="262"/>
      <c r="AJ122" s="262"/>
      <c r="AK122" s="262"/>
      <c r="AL122" s="262"/>
      <c r="AM122" s="262"/>
      <c r="AN122" s="262"/>
      <c r="AO122" s="262"/>
      <c r="AP122" s="262"/>
      <c r="AQ122" s="262"/>
      <c r="AR122" s="262"/>
      <c r="AS122" s="262"/>
      <c r="AT122" s="262"/>
      <c r="AU122" s="327"/>
      <c r="AV122" s="327"/>
      <c r="AW122" s="327"/>
      <c r="AX122" s="327"/>
      <c r="AY122" s="327"/>
      <c r="AZ122" s="327"/>
      <c r="BA122" s="327"/>
      <c r="BB122" s="327"/>
      <c r="BC122" s="327"/>
      <c r="BD122" s="327"/>
      <c r="BE122" s="327"/>
      <c r="BF122" s="327"/>
      <c r="BG122" s="327"/>
      <c r="BH122" s="327"/>
      <c r="BI122" s="327"/>
      <c r="BJ122" s="327"/>
      <c r="BK122" s="327"/>
      <c r="BL122" s="327"/>
      <c r="BM122" s="327"/>
      <c r="BN122" s="327"/>
      <c r="BO122" s="327"/>
      <c r="BP122" s="327"/>
      <c r="BQ122" s="327"/>
      <c r="BR122" s="327"/>
      <c r="BS122" s="327"/>
      <c r="BT122" s="327"/>
      <c r="BU122" s="327"/>
      <c r="BV122" s="327"/>
      <c r="BW122" s="720"/>
      <c r="BX122" s="720"/>
      <c r="BY122" s="720"/>
      <c r="BZ122" s="720"/>
      <c r="CA122" s="720"/>
      <c r="CB122" s="720"/>
      <c r="CC122" s="720"/>
      <c r="CD122" s="720"/>
      <c r="CE122" s="720"/>
      <c r="CF122" s="720"/>
    </row>
    <row r="123" spans="1:143" s="436" customFormat="1" ht="12" outlineLevel="1" x14ac:dyDescent="0.25">
      <c r="B123" s="262"/>
      <c r="C123" s="755" t="s">
        <v>990</v>
      </c>
      <c r="D123" s="755"/>
      <c r="E123" s="755"/>
      <c r="F123" s="756"/>
      <c r="G123" s="492">
        <v>2022</v>
      </c>
      <c r="H123" s="493"/>
      <c r="I123" s="493"/>
      <c r="J123" s="493"/>
      <c r="K123" s="493"/>
      <c r="L123" s="493"/>
      <c r="M123" s="493"/>
      <c r="N123" s="493"/>
      <c r="O123" s="493"/>
      <c r="P123" s="493"/>
      <c r="Q123" s="493"/>
      <c r="R123" s="493"/>
      <c r="S123" s="493"/>
      <c r="T123" s="493"/>
      <c r="U123" s="493"/>
      <c r="V123" s="493"/>
      <c r="W123" s="493"/>
      <c r="X123" s="493"/>
      <c r="Y123" s="493"/>
      <c r="Z123" s="493"/>
      <c r="AA123" s="493"/>
      <c r="AB123" s="493"/>
      <c r="AC123" s="493"/>
      <c r="AD123" s="493"/>
      <c r="AE123" s="493"/>
      <c r="AF123" s="493"/>
      <c r="AG123" s="493"/>
      <c r="AH123" s="493"/>
      <c r="AI123" s="493"/>
      <c r="AJ123" s="493"/>
      <c r="AK123" s="493"/>
      <c r="AL123" s="493"/>
      <c r="AM123" s="493"/>
      <c r="AN123" s="493"/>
      <c r="AO123" s="493"/>
      <c r="AP123" s="493"/>
      <c r="AQ123" s="493"/>
      <c r="AR123" s="493"/>
      <c r="AS123" s="493"/>
      <c r="AT123" s="262"/>
      <c r="AU123" s="327"/>
      <c r="AV123" s="720"/>
      <c r="AW123" s="720"/>
      <c r="AX123" s="720"/>
      <c r="AY123" s="327"/>
      <c r="AZ123" s="327"/>
      <c r="BA123" s="327"/>
      <c r="BB123" s="327"/>
      <c r="BC123" s="327"/>
      <c r="BD123" s="327"/>
      <c r="BE123" s="327"/>
      <c r="BF123" s="327"/>
      <c r="BG123" s="327"/>
      <c r="BH123" s="327"/>
      <c r="BI123" s="327"/>
      <c r="BJ123" s="327"/>
      <c r="BK123" s="327"/>
      <c r="BL123" s="327"/>
      <c r="BM123" s="327"/>
      <c r="BN123" s="327"/>
      <c r="BO123" s="327"/>
      <c r="BP123" s="327"/>
      <c r="BQ123" s="327"/>
      <c r="BR123" s="327"/>
      <c r="BS123" s="327"/>
      <c r="BT123" s="327"/>
      <c r="BU123" s="327"/>
      <c r="BV123" s="327"/>
      <c r="BW123" s="720"/>
      <c r="BX123" s="720"/>
      <c r="BY123" s="720"/>
      <c r="BZ123" s="720"/>
      <c r="CA123" s="720"/>
      <c r="CB123" s="720"/>
      <c r="CC123" s="720"/>
      <c r="CD123" s="720"/>
      <c r="CE123" s="720"/>
      <c r="CF123" s="720"/>
    </row>
    <row r="124" spans="1:143" s="436" customFormat="1" ht="46" outlineLevel="1" x14ac:dyDescent="0.25">
      <c r="B124" s="262"/>
      <c r="C124" s="431" t="s">
        <v>252</v>
      </c>
      <c r="D124" s="431" t="s">
        <v>253</v>
      </c>
      <c r="E124" s="432" t="s">
        <v>254</v>
      </c>
      <c r="F124" s="503" t="s">
        <v>255</v>
      </c>
      <c r="G124" s="504" t="s">
        <v>334</v>
      </c>
      <c r="H124" s="505" t="s">
        <v>335</v>
      </c>
      <c r="I124" s="495" t="s">
        <v>991</v>
      </c>
      <c r="J124" s="496" t="s">
        <v>992</v>
      </c>
      <c r="K124" s="497" t="s">
        <v>993</v>
      </c>
      <c r="L124" s="498" t="s">
        <v>994</v>
      </c>
      <c r="M124" s="496" t="s">
        <v>995</v>
      </c>
      <c r="N124" s="497" t="s">
        <v>996</v>
      </c>
      <c r="O124" s="498" t="s">
        <v>994</v>
      </c>
      <c r="P124" s="496" t="s">
        <v>997</v>
      </c>
      <c r="Q124" s="497" t="s">
        <v>998</v>
      </c>
      <c r="R124" s="498" t="s">
        <v>994</v>
      </c>
      <c r="S124" s="496" t="s">
        <v>999</v>
      </c>
      <c r="T124" s="497" t="s">
        <v>1000</v>
      </c>
      <c r="U124" s="498" t="s">
        <v>994</v>
      </c>
      <c r="V124" s="496" t="s">
        <v>1001</v>
      </c>
      <c r="W124" s="497" t="s">
        <v>1002</v>
      </c>
      <c r="X124" s="498" t="s">
        <v>994</v>
      </c>
      <c r="Y124" s="496" t="s">
        <v>1003</v>
      </c>
      <c r="Z124" s="497" t="s">
        <v>1004</v>
      </c>
      <c r="AA124" s="498" t="s">
        <v>994</v>
      </c>
      <c r="AB124" s="496" t="s">
        <v>1005</v>
      </c>
      <c r="AC124" s="497" t="s">
        <v>1006</v>
      </c>
      <c r="AD124" s="498" t="s">
        <v>994</v>
      </c>
      <c r="AE124" s="496" t="s">
        <v>1007</v>
      </c>
      <c r="AF124" s="497" t="s">
        <v>1008</v>
      </c>
      <c r="AG124" s="498" t="s">
        <v>994</v>
      </c>
      <c r="AH124" s="496" t="s">
        <v>1009</v>
      </c>
      <c r="AI124" s="497" t="s">
        <v>1010</v>
      </c>
      <c r="AJ124" s="498" t="s">
        <v>994</v>
      </c>
      <c r="AK124" s="496" t="s">
        <v>1011</v>
      </c>
      <c r="AL124" s="497" t="s">
        <v>1012</v>
      </c>
      <c r="AM124" s="497" t="s">
        <v>1013</v>
      </c>
      <c r="AN124" s="498" t="s">
        <v>994</v>
      </c>
      <c r="AO124" s="496" t="s">
        <v>1014</v>
      </c>
      <c r="AP124" s="497"/>
      <c r="AQ124" s="497"/>
      <c r="AR124" s="497"/>
      <c r="AS124" s="498"/>
      <c r="AT124" s="262"/>
      <c r="AU124" s="327"/>
      <c r="AV124" s="327"/>
      <c r="AW124" s="327"/>
      <c r="AX124" s="327"/>
      <c r="AY124" s="327"/>
      <c r="AZ124" s="327"/>
      <c r="BA124" s="327"/>
      <c r="BB124" s="327"/>
      <c r="BC124" s="327"/>
      <c r="BD124" s="327"/>
      <c r="BE124" s="327"/>
      <c r="BF124" s="327"/>
      <c r="BG124" s="327"/>
      <c r="BH124" s="327"/>
      <c r="BI124" s="327"/>
      <c r="BJ124" s="327"/>
      <c r="BK124" s="327"/>
      <c r="BL124" s="327"/>
      <c r="BM124" s="327"/>
      <c r="BN124" s="327"/>
      <c r="BO124" s="327"/>
      <c r="BP124" s="327"/>
      <c r="BQ124" s="327"/>
      <c r="BR124" s="327"/>
      <c r="BS124" s="327"/>
      <c r="BT124" s="327"/>
      <c r="BU124" s="327"/>
      <c r="BV124" s="327"/>
      <c r="BW124" s="720"/>
      <c r="BX124" s="720"/>
      <c r="BY124" s="720"/>
      <c r="BZ124" s="720"/>
      <c r="CA124" s="720"/>
      <c r="CB124" s="720"/>
      <c r="CC124" s="720"/>
      <c r="CD124" s="720"/>
      <c r="CE124" s="720"/>
      <c r="CF124" s="720"/>
    </row>
    <row r="125" spans="1:143" s="436" customFormat="1" ht="14.5" outlineLevel="1" x14ac:dyDescent="0.35">
      <c r="B125" s="433">
        <v>1</v>
      </c>
      <c r="C125" s="434" t="s">
        <v>1054</v>
      </c>
      <c r="D125" s="340" t="s">
        <v>240</v>
      </c>
      <c r="E125" s="340" t="s">
        <v>241</v>
      </c>
      <c r="F125" s="340" t="s">
        <v>260</v>
      </c>
      <c r="G125" s="288">
        <v>300.86</v>
      </c>
      <c r="H125" s="435">
        <v>348.99759999999998</v>
      </c>
      <c r="I125" s="696" t="s">
        <v>1018</v>
      </c>
      <c r="J125" s="697"/>
      <c r="K125" s="697"/>
      <c r="L125" s="697"/>
      <c r="M125" s="697"/>
      <c r="N125" s="697"/>
      <c r="O125" s="697"/>
      <c r="P125" s="697"/>
      <c r="Q125" s="697"/>
      <c r="R125" s="697"/>
      <c r="S125" s="696"/>
      <c r="T125" s="696"/>
      <c r="U125" s="698"/>
      <c r="V125" s="698"/>
      <c r="W125" s="698"/>
      <c r="X125" s="698"/>
      <c r="Y125" s="698"/>
      <c r="Z125" s="698"/>
      <c r="AA125" s="698"/>
      <c r="AB125" s="698"/>
      <c r="AC125" s="698"/>
      <c r="AD125" s="698"/>
      <c r="AE125" s="698"/>
      <c r="AF125" s="698"/>
      <c r="AG125" s="698"/>
      <c r="AH125" s="698"/>
      <c r="AI125" s="698"/>
      <c r="AJ125" s="698"/>
      <c r="AK125" s="696" t="s">
        <v>1018</v>
      </c>
      <c r="AL125" s="699"/>
      <c r="AM125" s="699"/>
      <c r="AN125" s="699"/>
      <c r="AO125" s="696" t="s">
        <v>1018</v>
      </c>
      <c r="AP125" s="699"/>
      <c r="AQ125" s="699"/>
      <c r="AR125" s="699"/>
      <c r="AS125" s="699"/>
      <c r="AT125" s="711"/>
      <c r="AU125" s="715"/>
      <c r="AV125" s="716"/>
      <c r="AW125" s="716"/>
      <c r="AX125" s="716"/>
      <c r="AY125" s="716"/>
      <c r="AZ125" s="716"/>
      <c r="BA125" s="716"/>
      <c r="BB125" s="716"/>
      <c r="BC125" s="716"/>
      <c r="BD125" s="716"/>
      <c r="BE125" s="715"/>
      <c r="BF125" s="715"/>
      <c r="BG125" s="717"/>
      <c r="BH125" s="717"/>
      <c r="BI125" s="717"/>
      <c r="BJ125" s="717"/>
      <c r="BK125" s="717"/>
      <c r="BL125" s="717"/>
      <c r="BM125" s="717"/>
      <c r="BN125" s="717"/>
      <c r="BO125" s="717"/>
      <c r="BP125" s="717"/>
      <c r="BQ125" s="717"/>
      <c r="BR125" s="717"/>
      <c r="BS125" s="717"/>
      <c r="BT125" s="717"/>
      <c r="BU125" s="717"/>
      <c r="BV125" s="717"/>
      <c r="BW125" s="715"/>
      <c r="BX125" s="718"/>
      <c r="BY125" s="718"/>
      <c r="BZ125" s="718"/>
      <c r="CA125" s="715"/>
      <c r="CB125" s="718"/>
      <c r="CC125" s="718"/>
      <c r="CD125" s="718"/>
      <c r="CE125" s="718"/>
      <c r="CF125" s="720"/>
    </row>
    <row r="126" spans="1:143" s="436" customFormat="1" ht="14.5" outlineLevel="1" x14ac:dyDescent="0.35">
      <c r="B126" s="433">
        <v>2</v>
      </c>
      <c r="C126" s="434" t="s">
        <v>1055</v>
      </c>
      <c r="D126" s="340" t="s">
        <v>240</v>
      </c>
      <c r="E126" s="340" t="s">
        <v>241</v>
      </c>
      <c r="F126" s="340" t="s">
        <v>260</v>
      </c>
      <c r="G126" s="435">
        <v>775</v>
      </c>
      <c r="H126" s="435">
        <v>898.99999999999989</v>
      </c>
      <c r="I126" s="696" t="s">
        <v>1018</v>
      </c>
      <c r="J126" s="697"/>
      <c r="K126" s="697"/>
      <c r="L126" s="697"/>
      <c r="M126" s="697"/>
      <c r="N126" s="697"/>
      <c r="O126" s="697"/>
      <c r="P126" s="697"/>
      <c r="Q126" s="697"/>
      <c r="R126" s="697"/>
      <c r="S126" s="696"/>
      <c r="T126" s="696"/>
      <c r="U126" s="698"/>
      <c r="V126" s="698"/>
      <c r="W126" s="698"/>
      <c r="X126" s="698"/>
      <c r="Y126" s="698"/>
      <c r="Z126" s="698"/>
      <c r="AA126" s="698"/>
      <c r="AB126" s="698"/>
      <c r="AC126" s="698"/>
      <c r="AD126" s="698"/>
      <c r="AE126" s="698"/>
      <c r="AF126" s="698"/>
      <c r="AG126" s="698"/>
      <c r="AH126" s="698"/>
      <c r="AI126" s="698"/>
      <c r="AJ126" s="698"/>
      <c r="AK126" s="696" t="s">
        <v>1018</v>
      </c>
      <c r="AL126" s="699"/>
      <c r="AM126" s="699"/>
      <c r="AN126" s="699"/>
      <c r="AO126" s="696" t="s">
        <v>1018</v>
      </c>
      <c r="AP126" s="699"/>
      <c r="AQ126" s="699"/>
      <c r="AR126" s="699"/>
      <c r="AS126" s="699"/>
      <c r="AT126" s="712"/>
      <c r="AU126" s="715"/>
      <c r="AV126" s="716"/>
      <c r="AW126" s="716"/>
      <c r="AX126" s="716"/>
      <c r="AY126" s="716"/>
      <c r="AZ126" s="716"/>
      <c r="BA126" s="716"/>
      <c r="BB126" s="716"/>
      <c r="BC126" s="716"/>
      <c r="BD126" s="716"/>
      <c r="BE126" s="715"/>
      <c r="BF126" s="715"/>
      <c r="BG126" s="717"/>
      <c r="BH126" s="717"/>
      <c r="BI126" s="717"/>
      <c r="BJ126" s="717"/>
      <c r="BK126" s="717"/>
      <c r="BL126" s="717"/>
      <c r="BM126" s="717"/>
      <c r="BN126" s="717"/>
      <c r="BO126" s="717"/>
      <c r="BP126" s="717"/>
      <c r="BQ126" s="717"/>
      <c r="BR126" s="717"/>
      <c r="BS126" s="717"/>
      <c r="BT126" s="717"/>
      <c r="BU126" s="717"/>
      <c r="BV126" s="717"/>
      <c r="BW126" s="715"/>
      <c r="BX126" s="718"/>
      <c r="BY126" s="718"/>
      <c r="BZ126" s="718"/>
      <c r="CA126" s="715"/>
      <c r="CB126" s="718"/>
      <c r="CC126" s="718"/>
      <c r="CD126" s="718"/>
      <c r="CE126" s="718"/>
      <c r="CF126" s="720"/>
    </row>
    <row r="127" spans="1:143" s="436" customFormat="1" ht="14.5" outlineLevel="1" x14ac:dyDescent="0.35">
      <c r="B127" s="433">
        <v>3</v>
      </c>
      <c r="C127" s="434" t="s">
        <v>1056</v>
      </c>
      <c r="D127" s="340" t="s">
        <v>240</v>
      </c>
      <c r="E127" s="340" t="s">
        <v>241</v>
      </c>
      <c r="F127" s="340" t="s">
        <v>260</v>
      </c>
      <c r="G127" s="288">
        <v>343.97</v>
      </c>
      <c r="H127" s="435">
        <v>398.99520000000001</v>
      </c>
      <c r="I127" s="696" t="s">
        <v>1018</v>
      </c>
      <c r="J127" s="697"/>
      <c r="K127" s="697"/>
      <c r="L127" s="697"/>
      <c r="M127" s="697"/>
      <c r="N127" s="697"/>
      <c r="O127" s="697"/>
      <c r="P127" s="697"/>
      <c r="Q127" s="697"/>
      <c r="R127" s="697"/>
      <c r="S127" s="696"/>
      <c r="T127" s="696"/>
      <c r="U127" s="698"/>
      <c r="V127" s="698"/>
      <c r="W127" s="698"/>
      <c r="X127" s="698"/>
      <c r="Y127" s="698"/>
      <c r="Z127" s="698"/>
      <c r="AA127" s="698"/>
      <c r="AB127" s="698"/>
      <c r="AC127" s="698"/>
      <c r="AD127" s="698"/>
      <c r="AE127" s="698"/>
      <c r="AF127" s="698"/>
      <c r="AG127" s="698"/>
      <c r="AH127" s="698"/>
      <c r="AI127" s="698"/>
      <c r="AJ127" s="698"/>
      <c r="AK127" s="696" t="s">
        <v>1018</v>
      </c>
      <c r="AL127" s="699"/>
      <c r="AM127" s="699"/>
      <c r="AN127" s="699"/>
      <c r="AO127" s="696" t="s">
        <v>1018</v>
      </c>
      <c r="AP127" s="699"/>
      <c r="AQ127" s="699"/>
      <c r="AR127" s="699"/>
      <c r="AS127" s="699"/>
      <c r="AT127" s="712"/>
      <c r="AU127" s="715"/>
      <c r="AV127" s="716"/>
      <c r="AW127" s="716"/>
      <c r="AX127" s="716"/>
      <c r="AY127" s="716"/>
      <c r="AZ127" s="716"/>
      <c r="BA127" s="716"/>
      <c r="BB127" s="716"/>
      <c r="BC127" s="716"/>
      <c r="BD127" s="716"/>
      <c r="BE127" s="715"/>
      <c r="BF127" s="715"/>
      <c r="BG127" s="717"/>
      <c r="BH127" s="717"/>
      <c r="BI127" s="717"/>
      <c r="BJ127" s="717"/>
      <c r="BK127" s="717"/>
      <c r="BL127" s="717"/>
      <c r="BM127" s="717"/>
      <c r="BN127" s="717"/>
      <c r="BO127" s="717"/>
      <c r="BP127" s="717"/>
      <c r="BQ127" s="717"/>
      <c r="BR127" s="717"/>
      <c r="BS127" s="717"/>
      <c r="BT127" s="717"/>
      <c r="BU127" s="717"/>
      <c r="BV127" s="717"/>
      <c r="BW127" s="715"/>
      <c r="BX127" s="718"/>
      <c r="BY127" s="718"/>
      <c r="BZ127" s="718"/>
      <c r="CA127" s="715"/>
      <c r="CB127" s="718"/>
      <c r="CC127" s="718"/>
      <c r="CD127" s="718"/>
      <c r="CE127" s="718"/>
      <c r="CF127" s="720"/>
    </row>
    <row r="128" spans="1:143" s="436" customFormat="1" ht="14.5" outlineLevel="1" x14ac:dyDescent="0.35">
      <c r="B128" s="433">
        <v>4</v>
      </c>
      <c r="C128" s="434" t="s">
        <v>1057</v>
      </c>
      <c r="D128" s="340" t="s">
        <v>240</v>
      </c>
      <c r="E128" s="340" t="s">
        <v>241</v>
      </c>
      <c r="F128" s="340" t="s">
        <v>260</v>
      </c>
      <c r="G128" s="288">
        <v>387.07</v>
      </c>
      <c r="H128" s="435">
        <v>449</v>
      </c>
      <c r="I128" s="696" t="s">
        <v>1018</v>
      </c>
      <c r="J128" s="697"/>
      <c r="K128" s="697"/>
      <c r="L128" s="697"/>
      <c r="M128" s="697"/>
      <c r="N128" s="697"/>
      <c r="O128" s="697"/>
      <c r="P128" s="697"/>
      <c r="Q128" s="697"/>
      <c r="R128" s="697"/>
      <c r="S128" s="696"/>
      <c r="T128" s="696"/>
      <c r="U128" s="698"/>
      <c r="V128" s="698"/>
      <c r="W128" s="698"/>
      <c r="X128" s="698"/>
      <c r="Y128" s="698"/>
      <c r="Z128" s="698"/>
      <c r="AA128" s="698"/>
      <c r="AB128" s="698"/>
      <c r="AC128" s="698"/>
      <c r="AD128" s="698"/>
      <c r="AE128" s="698"/>
      <c r="AF128" s="698"/>
      <c r="AG128" s="698"/>
      <c r="AH128" s="698"/>
      <c r="AI128" s="698"/>
      <c r="AJ128" s="698"/>
      <c r="AK128" s="696" t="s">
        <v>1018</v>
      </c>
      <c r="AL128" s="699"/>
      <c r="AM128" s="699"/>
      <c r="AN128" s="699"/>
      <c r="AO128" s="696" t="s">
        <v>1018</v>
      </c>
      <c r="AP128" s="699"/>
      <c r="AQ128" s="699"/>
      <c r="AR128" s="699"/>
      <c r="AS128" s="699"/>
      <c r="AT128" s="712"/>
      <c r="AU128" s="715"/>
      <c r="AV128" s="716"/>
      <c r="AW128" s="716"/>
      <c r="AX128" s="716"/>
      <c r="AY128" s="716"/>
      <c r="AZ128" s="716"/>
      <c r="BA128" s="716"/>
      <c r="BB128" s="716"/>
      <c r="BC128" s="716"/>
      <c r="BD128" s="716"/>
      <c r="BE128" s="715"/>
      <c r="BF128" s="715"/>
      <c r="BG128" s="717"/>
      <c r="BH128" s="717"/>
      <c r="BI128" s="717"/>
      <c r="BJ128" s="717"/>
      <c r="BK128" s="717"/>
      <c r="BL128" s="717"/>
      <c r="BM128" s="717"/>
      <c r="BN128" s="717"/>
      <c r="BO128" s="717"/>
      <c r="BP128" s="717"/>
      <c r="BQ128" s="717"/>
      <c r="BR128" s="717"/>
      <c r="BS128" s="717"/>
      <c r="BT128" s="717"/>
      <c r="BU128" s="717"/>
      <c r="BV128" s="717"/>
      <c r="BW128" s="715"/>
      <c r="BX128" s="718"/>
      <c r="BY128" s="718"/>
      <c r="BZ128" s="718"/>
      <c r="CA128" s="715"/>
      <c r="CB128" s="718"/>
      <c r="CC128" s="718"/>
      <c r="CD128" s="718"/>
      <c r="CE128" s="718"/>
      <c r="CF128" s="720"/>
    </row>
    <row r="129" spans="2:84" s="436" customFormat="1" ht="14.5" outlineLevel="1" x14ac:dyDescent="0.35">
      <c r="B129" s="433">
        <v>5</v>
      </c>
      <c r="C129" s="434" t="s">
        <v>1058</v>
      </c>
      <c r="D129" s="340" t="s">
        <v>240</v>
      </c>
      <c r="E129" s="340" t="s">
        <v>241</v>
      </c>
      <c r="F129" s="340" t="s">
        <v>260</v>
      </c>
      <c r="G129" s="288">
        <v>473.28</v>
      </c>
      <c r="H129" s="435">
        <v>549</v>
      </c>
      <c r="I129" s="696" t="s">
        <v>1018</v>
      </c>
      <c r="J129" s="697"/>
      <c r="K129" s="697"/>
      <c r="L129" s="697"/>
      <c r="M129" s="697"/>
      <c r="N129" s="697"/>
      <c r="O129" s="697"/>
      <c r="P129" s="697"/>
      <c r="Q129" s="697"/>
      <c r="R129" s="697"/>
      <c r="S129" s="696"/>
      <c r="T129" s="696"/>
      <c r="U129" s="698"/>
      <c r="V129" s="698"/>
      <c r="W129" s="698"/>
      <c r="X129" s="698"/>
      <c r="Y129" s="698"/>
      <c r="Z129" s="698"/>
      <c r="AA129" s="698"/>
      <c r="AB129" s="698"/>
      <c r="AC129" s="698"/>
      <c r="AD129" s="698"/>
      <c r="AE129" s="698"/>
      <c r="AF129" s="698"/>
      <c r="AG129" s="698"/>
      <c r="AH129" s="698"/>
      <c r="AI129" s="698"/>
      <c r="AJ129" s="698"/>
      <c r="AK129" s="696" t="s">
        <v>1018</v>
      </c>
      <c r="AL129" s="699"/>
      <c r="AM129" s="699"/>
      <c r="AN129" s="699"/>
      <c r="AO129" s="696" t="s">
        <v>1018</v>
      </c>
      <c r="AP129" s="699"/>
      <c r="AQ129" s="699"/>
      <c r="AR129" s="699"/>
      <c r="AS129" s="699"/>
      <c r="AT129" s="712"/>
      <c r="AU129" s="715"/>
      <c r="AV129" s="716"/>
      <c r="AW129" s="716"/>
      <c r="AX129" s="716"/>
      <c r="AY129" s="716"/>
      <c r="AZ129" s="716"/>
      <c r="BA129" s="716"/>
      <c r="BB129" s="716"/>
      <c r="BC129" s="716"/>
      <c r="BD129" s="716"/>
      <c r="BE129" s="715"/>
      <c r="BF129" s="715"/>
      <c r="BG129" s="717"/>
      <c r="BH129" s="717"/>
      <c r="BI129" s="717"/>
      <c r="BJ129" s="717"/>
      <c r="BK129" s="717"/>
      <c r="BL129" s="717"/>
      <c r="BM129" s="717"/>
      <c r="BN129" s="717"/>
      <c r="BO129" s="717"/>
      <c r="BP129" s="717"/>
      <c r="BQ129" s="717"/>
      <c r="BR129" s="717"/>
      <c r="BS129" s="717"/>
      <c r="BT129" s="717"/>
      <c r="BU129" s="717"/>
      <c r="BV129" s="717"/>
      <c r="BW129" s="715"/>
      <c r="BX129" s="718"/>
      <c r="BY129" s="718"/>
      <c r="BZ129" s="718"/>
      <c r="CA129" s="715"/>
      <c r="CB129" s="718"/>
      <c r="CC129" s="718"/>
      <c r="CD129" s="718"/>
      <c r="CE129" s="718"/>
      <c r="CF129" s="720"/>
    </row>
    <row r="130" spans="2:84" s="436" customFormat="1" ht="14.5" outlineLevel="1" x14ac:dyDescent="0.35">
      <c r="B130" s="433">
        <v>6</v>
      </c>
      <c r="C130" s="434" t="s">
        <v>948</v>
      </c>
      <c r="D130" s="340" t="s">
        <v>240</v>
      </c>
      <c r="E130" s="340" t="s">
        <v>241</v>
      </c>
      <c r="F130" s="340" t="s">
        <v>260</v>
      </c>
      <c r="G130" s="288">
        <v>240.52</v>
      </c>
      <c r="H130" s="435">
        <v>279</v>
      </c>
      <c r="I130" s="696" t="s">
        <v>1018</v>
      </c>
      <c r="J130" s="697"/>
      <c r="K130" s="697"/>
      <c r="L130" s="697"/>
      <c r="M130" s="697"/>
      <c r="N130" s="697"/>
      <c r="O130" s="697"/>
      <c r="P130" s="697"/>
      <c r="Q130" s="697"/>
      <c r="R130" s="697"/>
      <c r="S130" s="696"/>
      <c r="T130" s="696"/>
      <c r="U130" s="697"/>
      <c r="V130" s="697"/>
      <c r="W130" s="697"/>
      <c r="X130" s="697"/>
      <c r="Y130" s="697"/>
      <c r="Z130" s="697"/>
      <c r="AA130" s="697"/>
      <c r="AB130" s="697"/>
      <c r="AC130" s="697"/>
      <c r="AD130" s="698"/>
      <c r="AE130" s="697"/>
      <c r="AF130" s="698"/>
      <c r="AG130" s="697"/>
      <c r="AH130" s="698"/>
      <c r="AI130" s="697"/>
      <c r="AJ130" s="697"/>
      <c r="AK130" s="696" t="s">
        <v>1018</v>
      </c>
      <c r="AL130" s="699"/>
      <c r="AM130" s="699"/>
      <c r="AN130" s="699"/>
      <c r="AO130" s="696" t="s">
        <v>1018</v>
      </c>
      <c r="AP130" s="699"/>
      <c r="AQ130" s="699"/>
      <c r="AR130" s="699"/>
      <c r="AS130" s="699"/>
      <c r="AT130" s="712"/>
      <c r="AU130" s="715"/>
      <c r="AV130" s="716"/>
      <c r="AW130" s="716"/>
      <c r="AX130" s="716"/>
      <c r="AY130" s="716"/>
      <c r="AZ130" s="716"/>
      <c r="BA130" s="716"/>
      <c r="BB130" s="716"/>
      <c r="BC130" s="716"/>
      <c r="BD130" s="716"/>
      <c r="BE130" s="715"/>
      <c r="BF130" s="715"/>
      <c r="BG130" s="716"/>
      <c r="BH130" s="716"/>
      <c r="BI130" s="716"/>
      <c r="BJ130" s="716"/>
      <c r="BK130" s="716"/>
      <c r="BL130" s="716"/>
      <c r="BM130" s="716"/>
      <c r="BN130" s="716"/>
      <c r="BO130" s="716"/>
      <c r="BP130" s="717"/>
      <c r="BQ130" s="716"/>
      <c r="BR130" s="717"/>
      <c r="BS130" s="716"/>
      <c r="BT130" s="717"/>
      <c r="BU130" s="716"/>
      <c r="BV130" s="716"/>
      <c r="BW130" s="715"/>
      <c r="BX130" s="718"/>
      <c r="BY130" s="718"/>
      <c r="BZ130" s="718"/>
      <c r="CA130" s="715"/>
      <c r="CB130" s="718"/>
      <c r="CC130" s="718"/>
      <c r="CD130" s="718"/>
      <c r="CE130" s="718"/>
      <c r="CF130" s="720"/>
    </row>
    <row r="131" spans="2:84" s="436" customFormat="1" ht="14.5" outlineLevel="1" x14ac:dyDescent="0.35">
      <c r="B131" s="433">
        <v>7</v>
      </c>
      <c r="C131" s="434" t="s">
        <v>949</v>
      </c>
      <c r="D131" s="340" t="s">
        <v>240</v>
      </c>
      <c r="E131" s="340" t="s">
        <v>241</v>
      </c>
      <c r="F131" s="340" t="s">
        <v>260</v>
      </c>
      <c r="G131" s="288">
        <v>257.76</v>
      </c>
      <c r="H131" s="435">
        <v>299</v>
      </c>
      <c r="I131" s="696" t="s">
        <v>1018</v>
      </c>
      <c r="J131" s="697"/>
      <c r="K131" s="697"/>
      <c r="L131" s="697"/>
      <c r="M131" s="697"/>
      <c r="N131" s="697"/>
      <c r="O131" s="697"/>
      <c r="P131" s="697"/>
      <c r="Q131" s="697"/>
      <c r="R131" s="697"/>
      <c r="S131" s="696"/>
      <c r="T131" s="696"/>
      <c r="U131" s="697"/>
      <c r="V131" s="697"/>
      <c r="W131" s="697"/>
      <c r="X131" s="697"/>
      <c r="Y131" s="697"/>
      <c r="Z131" s="697"/>
      <c r="AA131" s="697"/>
      <c r="AB131" s="697"/>
      <c r="AC131" s="697"/>
      <c r="AD131" s="698"/>
      <c r="AE131" s="697"/>
      <c r="AF131" s="698"/>
      <c r="AG131" s="697"/>
      <c r="AH131" s="698"/>
      <c r="AI131" s="697"/>
      <c r="AJ131" s="697"/>
      <c r="AK131" s="696" t="s">
        <v>1018</v>
      </c>
      <c r="AL131" s="699"/>
      <c r="AM131" s="699"/>
      <c r="AN131" s="699"/>
      <c r="AO131" s="696" t="s">
        <v>1018</v>
      </c>
      <c r="AP131" s="699"/>
      <c r="AQ131" s="699"/>
      <c r="AR131" s="699"/>
      <c r="AS131" s="699"/>
      <c r="AT131" s="712"/>
      <c r="AU131" s="715"/>
      <c r="AV131" s="716"/>
      <c r="AW131" s="716"/>
      <c r="AX131" s="716"/>
      <c r="AY131" s="716"/>
      <c r="AZ131" s="716"/>
      <c r="BA131" s="716"/>
      <c r="BB131" s="716"/>
      <c r="BC131" s="716"/>
      <c r="BD131" s="716"/>
      <c r="BE131" s="715"/>
      <c r="BF131" s="715"/>
      <c r="BG131" s="716"/>
      <c r="BH131" s="716"/>
      <c r="BI131" s="716"/>
      <c r="BJ131" s="716"/>
      <c r="BK131" s="716"/>
      <c r="BL131" s="716"/>
      <c r="BM131" s="716"/>
      <c r="BN131" s="716"/>
      <c r="BO131" s="716"/>
      <c r="BP131" s="717"/>
      <c r="BQ131" s="716"/>
      <c r="BR131" s="717"/>
      <c r="BS131" s="716"/>
      <c r="BT131" s="717"/>
      <c r="BU131" s="716"/>
      <c r="BV131" s="716"/>
      <c r="BW131" s="715"/>
      <c r="BX131" s="718"/>
      <c r="BY131" s="718"/>
      <c r="BZ131" s="718"/>
      <c r="CA131" s="715"/>
      <c r="CB131" s="718"/>
      <c r="CC131" s="718"/>
      <c r="CD131" s="718"/>
      <c r="CE131" s="718"/>
      <c r="CF131" s="720"/>
    </row>
    <row r="132" spans="2:84" s="436" customFormat="1" ht="14.5" outlineLevel="1" x14ac:dyDescent="0.35">
      <c r="B132" s="433">
        <v>8</v>
      </c>
      <c r="C132" s="434" t="s">
        <v>949</v>
      </c>
      <c r="D132" s="340" t="s">
        <v>242</v>
      </c>
      <c r="E132" s="340" t="s">
        <v>241</v>
      </c>
      <c r="F132" s="340" t="s">
        <v>260</v>
      </c>
      <c r="G132" s="288">
        <v>257.76</v>
      </c>
      <c r="H132" s="435">
        <v>299</v>
      </c>
      <c r="I132" s="696" t="s">
        <v>1018</v>
      </c>
      <c r="J132" s="697"/>
      <c r="K132" s="697"/>
      <c r="L132" s="697"/>
      <c r="M132" s="697"/>
      <c r="N132" s="697"/>
      <c r="O132" s="697"/>
      <c r="P132" s="697"/>
      <c r="Q132" s="697"/>
      <c r="R132" s="697"/>
      <c r="S132" s="696"/>
      <c r="T132" s="696"/>
      <c r="U132" s="696"/>
      <c r="V132" s="696"/>
      <c r="W132" s="696"/>
      <c r="X132" s="696"/>
      <c r="Y132" s="696"/>
      <c r="Z132" s="696"/>
      <c r="AA132" s="696"/>
      <c r="AB132" s="696"/>
      <c r="AC132" s="696"/>
      <c r="AD132" s="696"/>
      <c r="AE132" s="696"/>
      <c r="AF132" s="696"/>
      <c r="AG132" s="696"/>
      <c r="AH132" s="696"/>
      <c r="AI132" s="696"/>
      <c r="AJ132" s="696"/>
      <c r="AK132" s="696" t="s">
        <v>1018</v>
      </c>
      <c r="AL132" s="699"/>
      <c r="AM132" s="699"/>
      <c r="AN132" s="699"/>
      <c r="AO132" s="696" t="s">
        <v>1018</v>
      </c>
      <c r="AP132" s="699"/>
      <c r="AQ132" s="699"/>
      <c r="AR132" s="699"/>
      <c r="AS132" s="699"/>
      <c r="AT132" s="712"/>
      <c r="AU132" s="715"/>
      <c r="AV132" s="716"/>
      <c r="AW132" s="716"/>
      <c r="AX132" s="716"/>
      <c r="AY132" s="716"/>
      <c r="AZ132" s="716"/>
      <c r="BA132" s="716"/>
      <c r="BB132" s="716"/>
      <c r="BC132" s="716"/>
      <c r="BD132" s="716"/>
      <c r="BE132" s="715"/>
      <c r="BF132" s="715"/>
      <c r="BG132" s="715"/>
      <c r="BH132" s="715"/>
      <c r="BI132" s="715"/>
      <c r="BJ132" s="715"/>
      <c r="BK132" s="715"/>
      <c r="BL132" s="715"/>
      <c r="BM132" s="715"/>
      <c r="BN132" s="715"/>
      <c r="BO132" s="715"/>
      <c r="BP132" s="715"/>
      <c r="BQ132" s="715"/>
      <c r="BR132" s="715"/>
      <c r="BS132" s="715"/>
      <c r="BT132" s="715"/>
      <c r="BU132" s="715"/>
      <c r="BV132" s="715"/>
      <c r="BW132" s="715"/>
      <c r="BX132" s="718"/>
      <c r="BY132" s="718"/>
      <c r="BZ132" s="718"/>
      <c r="CA132" s="715"/>
      <c r="CB132" s="718"/>
      <c r="CC132" s="718"/>
      <c r="CD132" s="718"/>
      <c r="CE132" s="718"/>
      <c r="CF132" s="720"/>
    </row>
    <row r="133" spans="2:84" s="436" customFormat="1" ht="14.5" outlineLevel="1" x14ac:dyDescent="0.35">
      <c r="B133" s="433">
        <v>9</v>
      </c>
      <c r="C133" s="434" t="s">
        <v>200</v>
      </c>
      <c r="D133" s="340" t="s">
        <v>242</v>
      </c>
      <c r="E133" s="340" t="s">
        <v>241</v>
      </c>
      <c r="F133" s="340" t="s">
        <v>260</v>
      </c>
      <c r="G133" s="435">
        <v>300.86</v>
      </c>
      <c r="H133" s="435">
        <v>349</v>
      </c>
      <c r="I133" s="696" t="s">
        <v>1018</v>
      </c>
      <c r="J133" s="697"/>
      <c r="K133" s="697"/>
      <c r="L133" s="697"/>
      <c r="M133" s="697"/>
      <c r="N133" s="697"/>
      <c r="O133" s="697"/>
      <c r="P133" s="697"/>
      <c r="Q133" s="697"/>
      <c r="R133" s="697"/>
      <c r="S133" s="696"/>
      <c r="T133" s="696"/>
      <c r="U133" s="696"/>
      <c r="V133" s="696"/>
      <c r="W133" s="696"/>
      <c r="X133" s="696"/>
      <c r="Y133" s="696"/>
      <c r="Z133" s="696"/>
      <c r="AA133" s="696"/>
      <c r="AB133" s="696"/>
      <c r="AC133" s="696"/>
      <c r="AD133" s="696"/>
      <c r="AE133" s="696"/>
      <c r="AF133" s="696"/>
      <c r="AG133" s="696"/>
      <c r="AH133" s="696"/>
      <c r="AI133" s="696"/>
      <c r="AJ133" s="696"/>
      <c r="AK133" s="696" t="s">
        <v>1018</v>
      </c>
      <c r="AL133" s="699"/>
      <c r="AM133" s="699"/>
      <c r="AN133" s="699"/>
      <c r="AO133" s="696" t="s">
        <v>1018</v>
      </c>
      <c r="AP133" s="699"/>
      <c r="AQ133" s="699"/>
      <c r="AR133" s="699"/>
      <c r="AS133" s="699"/>
      <c r="AT133" s="712"/>
      <c r="AU133" s="715"/>
      <c r="AV133" s="716"/>
      <c r="AW133" s="716"/>
      <c r="AX133" s="716"/>
      <c r="AY133" s="716"/>
      <c r="AZ133" s="716"/>
      <c r="BA133" s="716"/>
      <c r="BB133" s="716"/>
      <c r="BC133" s="716"/>
      <c r="BD133" s="716"/>
      <c r="BE133" s="715"/>
      <c r="BF133" s="715"/>
      <c r="BG133" s="715"/>
      <c r="BH133" s="715"/>
      <c r="BI133" s="715"/>
      <c r="BJ133" s="715"/>
      <c r="BK133" s="715"/>
      <c r="BL133" s="715"/>
      <c r="BM133" s="715"/>
      <c r="BN133" s="715"/>
      <c r="BO133" s="715"/>
      <c r="BP133" s="715"/>
      <c r="BQ133" s="715"/>
      <c r="BR133" s="715"/>
      <c r="BS133" s="715"/>
      <c r="BT133" s="715"/>
      <c r="BU133" s="715"/>
      <c r="BV133" s="715"/>
      <c r="BW133" s="715"/>
      <c r="BX133" s="718"/>
      <c r="BY133" s="718"/>
      <c r="BZ133" s="718"/>
      <c r="CA133" s="715"/>
      <c r="CB133" s="718"/>
      <c r="CC133" s="718"/>
      <c r="CD133" s="718"/>
      <c r="CE133" s="718"/>
      <c r="CF133" s="720"/>
    </row>
    <row r="134" spans="2:84" s="436" customFormat="1" ht="14.5" outlineLevel="1" x14ac:dyDescent="0.35">
      <c r="B134" s="433">
        <v>10</v>
      </c>
      <c r="C134" s="434" t="s">
        <v>1059</v>
      </c>
      <c r="D134" s="340" t="s">
        <v>242</v>
      </c>
      <c r="E134" s="340" t="s">
        <v>241</v>
      </c>
      <c r="F134" s="340" t="s">
        <v>260</v>
      </c>
      <c r="G134" s="435">
        <v>343.97</v>
      </c>
      <c r="H134" s="435">
        <v>399</v>
      </c>
      <c r="I134" s="696" t="s">
        <v>1018</v>
      </c>
      <c r="J134" s="697"/>
      <c r="K134" s="697"/>
      <c r="L134" s="697"/>
      <c r="M134" s="697"/>
      <c r="N134" s="697"/>
      <c r="O134" s="697"/>
      <c r="P134" s="697"/>
      <c r="Q134" s="697"/>
      <c r="R134" s="697"/>
      <c r="S134" s="696"/>
      <c r="T134" s="696"/>
      <c r="U134" s="696"/>
      <c r="V134" s="696"/>
      <c r="W134" s="696"/>
      <c r="X134" s="696"/>
      <c r="Y134" s="696"/>
      <c r="Z134" s="696"/>
      <c r="AA134" s="696"/>
      <c r="AB134" s="696"/>
      <c r="AC134" s="696"/>
      <c r="AD134" s="696"/>
      <c r="AE134" s="696"/>
      <c r="AF134" s="696"/>
      <c r="AG134" s="696"/>
      <c r="AH134" s="696"/>
      <c r="AI134" s="696"/>
      <c r="AJ134" s="696"/>
      <c r="AK134" s="696" t="s">
        <v>1018</v>
      </c>
      <c r="AL134" s="699"/>
      <c r="AM134" s="699"/>
      <c r="AN134" s="699"/>
      <c r="AO134" s="696" t="s">
        <v>1018</v>
      </c>
      <c r="AP134" s="699"/>
      <c r="AQ134" s="699"/>
      <c r="AR134" s="699"/>
      <c r="AS134" s="699"/>
      <c r="AT134" s="712"/>
      <c r="AU134" s="715"/>
      <c r="AV134" s="716"/>
      <c r="AW134" s="716"/>
      <c r="AX134" s="716"/>
      <c r="AY134" s="716"/>
      <c r="AZ134" s="716"/>
      <c r="BA134" s="716"/>
      <c r="BB134" s="716"/>
      <c r="BC134" s="716"/>
      <c r="BD134" s="716"/>
      <c r="BE134" s="715"/>
      <c r="BF134" s="715"/>
      <c r="BG134" s="715"/>
      <c r="BH134" s="715"/>
      <c r="BI134" s="715"/>
      <c r="BJ134" s="715"/>
      <c r="BK134" s="715"/>
      <c r="BL134" s="715"/>
      <c r="BM134" s="715"/>
      <c r="BN134" s="715"/>
      <c r="BO134" s="715"/>
      <c r="BP134" s="715"/>
      <c r="BQ134" s="715"/>
      <c r="BR134" s="715"/>
      <c r="BS134" s="715"/>
      <c r="BT134" s="715"/>
      <c r="BU134" s="715"/>
      <c r="BV134" s="715"/>
      <c r="BW134" s="715"/>
      <c r="BX134" s="718"/>
      <c r="BY134" s="718"/>
      <c r="BZ134" s="718"/>
      <c r="CA134" s="715"/>
      <c r="CB134" s="718"/>
      <c r="CC134" s="718"/>
      <c r="CD134" s="718"/>
      <c r="CE134" s="718"/>
      <c r="CF134" s="720"/>
    </row>
    <row r="135" spans="2:84" s="436" customFormat="1" ht="14.5" outlineLevel="1" x14ac:dyDescent="0.35">
      <c r="B135" s="433">
        <v>11</v>
      </c>
      <c r="C135" s="434" t="s">
        <v>1060</v>
      </c>
      <c r="D135" s="340" t="s">
        <v>242</v>
      </c>
      <c r="E135" s="340" t="s">
        <v>241</v>
      </c>
      <c r="F135" s="340" t="s">
        <v>260</v>
      </c>
      <c r="G135" s="435">
        <v>473.28</v>
      </c>
      <c r="H135" s="435">
        <v>549</v>
      </c>
      <c r="I135" s="696" t="s">
        <v>1018</v>
      </c>
      <c r="J135" s="697"/>
      <c r="K135" s="697"/>
      <c r="L135" s="697"/>
      <c r="M135" s="697"/>
      <c r="N135" s="697"/>
      <c r="O135" s="697"/>
      <c r="P135" s="697"/>
      <c r="Q135" s="697"/>
      <c r="R135" s="697"/>
      <c r="S135" s="696"/>
      <c r="T135" s="696"/>
      <c r="U135" s="696"/>
      <c r="V135" s="696"/>
      <c r="W135" s="696"/>
      <c r="X135" s="696"/>
      <c r="Y135" s="696"/>
      <c r="Z135" s="696"/>
      <c r="AA135" s="696"/>
      <c r="AB135" s="696"/>
      <c r="AC135" s="696"/>
      <c r="AD135" s="696"/>
      <c r="AE135" s="696"/>
      <c r="AF135" s="696"/>
      <c r="AG135" s="696"/>
      <c r="AH135" s="696"/>
      <c r="AI135" s="696"/>
      <c r="AJ135" s="696"/>
      <c r="AK135" s="696" t="s">
        <v>1018</v>
      </c>
      <c r="AL135" s="699"/>
      <c r="AM135" s="699"/>
      <c r="AN135" s="699"/>
      <c r="AO135" s="696" t="s">
        <v>1018</v>
      </c>
      <c r="AP135" s="699"/>
      <c r="AQ135" s="699"/>
      <c r="AR135" s="699"/>
      <c r="AS135" s="699"/>
      <c r="AT135" s="712"/>
      <c r="AU135" s="715"/>
      <c r="AV135" s="716"/>
      <c r="AW135" s="716"/>
      <c r="AX135" s="716"/>
      <c r="AY135" s="716"/>
      <c r="AZ135" s="716"/>
      <c r="BA135" s="716"/>
      <c r="BB135" s="716"/>
      <c r="BC135" s="716"/>
      <c r="BD135" s="716"/>
      <c r="BE135" s="715"/>
      <c r="BF135" s="715"/>
      <c r="BG135" s="715"/>
      <c r="BH135" s="715"/>
      <c r="BI135" s="715"/>
      <c r="BJ135" s="715"/>
      <c r="BK135" s="715"/>
      <c r="BL135" s="715"/>
      <c r="BM135" s="715"/>
      <c r="BN135" s="715"/>
      <c r="BO135" s="715"/>
      <c r="BP135" s="715"/>
      <c r="BQ135" s="715"/>
      <c r="BR135" s="715"/>
      <c r="BS135" s="715"/>
      <c r="BT135" s="715"/>
      <c r="BU135" s="715"/>
      <c r="BV135" s="715"/>
      <c r="BW135" s="715"/>
      <c r="BX135" s="718"/>
      <c r="BY135" s="718"/>
      <c r="BZ135" s="718"/>
      <c r="CA135" s="715"/>
      <c r="CB135" s="718"/>
      <c r="CC135" s="718"/>
      <c r="CD135" s="718"/>
      <c r="CE135" s="718"/>
      <c r="CF135" s="720"/>
    </row>
    <row r="136" spans="2:84" s="436" customFormat="1" ht="14.5" outlineLevel="1" x14ac:dyDescent="0.35">
      <c r="B136" s="433">
        <v>12</v>
      </c>
      <c r="C136" s="434" t="s">
        <v>1061</v>
      </c>
      <c r="D136" s="340" t="s">
        <v>242</v>
      </c>
      <c r="E136" s="340" t="s">
        <v>241</v>
      </c>
      <c r="F136" s="340" t="s">
        <v>260</v>
      </c>
      <c r="G136" s="435">
        <v>775</v>
      </c>
      <c r="H136" s="435">
        <v>899</v>
      </c>
      <c r="I136" s="696" t="s">
        <v>1018</v>
      </c>
      <c r="J136" s="697"/>
      <c r="K136" s="697"/>
      <c r="L136" s="697"/>
      <c r="M136" s="697"/>
      <c r="N136" s="697"/>
      <c r="O136" s="697"/>
      <c r="P136" s="697"/>
      <c r="Q136" s="697"/>
      <c r="R136" s="697"/>
      <c r="S136" s="696"/>
      <c r="T136" s="696"/>
      <c r="U136" s="696"/>
      <c r="V136" s="696"/>
      <c r="W136" s="696"/>
      <c r="X136" s="696"/>
      <c r="Y136" s="696"/>
      <c r="Z136" s="696"/>
      <c r="AA136" s="696"/>
      <c r="AB136" s="696"/>
      <c r="AC136" s="696"/>
      <c r="AD136" s="696"/>
      <c r="AE136" s="696"/>
      <c r="AF136" s="696"/>
      <c r="AG136" s="696"/>
      <c r="AH136" s="696"/>
      <c r="AI136" s="696"/>
      <c r="AJ136" s="696"/>
      <c r="AK136" s="696" t="s">
        <v>1018</v>
      </c>
      <c r="AL136" s="699"/>
      <c r="AM136" s="699"/>
      <c r="AN136" s="699"/>
      <c r="AO136" s="696" t="s">
        <v>1018</v>
      </c>
      <c r="AP136" s="699"/>
      <c r="AQ136" s="699"/>
      <c r="AR136" s="699"/>
      <c r="AS136" s="699"/>
      <c r="AT136" s="712"/>
      <c r="AU136" s="715"/>
      <c r="AV136" s="716"/>
      <c r="AW136" s="716"/>
      <c r="AX136" s="716"/>
      <c r="AY136" s="716"/>
      <c r="AZ136" s="716"/>
      <c r="BA136" s="716"/>
      <c r="BB136" s="716"/>
      <c r="BC136" s="716"/>
      <c r="BD136" s="716"/>
      <c r="BE136" s="715"/>
      <c r="BF136" s="715"/>
      <c r="BG136" s="715"/>
      <c r="BH136" s="715"/>
      <c r="BI136" s="715"/>
      <c r="BJ136" s="715"/>
      <c r="BK136" s="715"/>
      <c r="BL136" s="715"/>
      <c r="BM136" s="715"/>
      <c r="BN136" s="715"/>
      <c r="BO136" s="715"/>
      <c r="BP136" s="715"/>
      <c r="BQ136" s="715"/>
      <c r="BR136" s="715"/>
      <c r="BS136" s="715"/>
      <c r="BT136" s="715"/>
      <c r="BU136" s="715"/>
      <c r="BV136" s="715"/>
      <c r="BW136" s="715"/>
      <c r="BX136" s="718"/>
      <c r="BY136" s="718"/>
      <c r="BZ136" s="718"/>
      <c r="CA136" s="715"/>
      <c r="CB136" s="718"/>
      <c r="CC136" s="718"/>
      <c r="CD136" s="718"/>
      <c r="CE136" s="718"/>
      <c r="CF136" s="720"/>
    </row>
    <row r="137" spans="2:84" s="436" customFormat="1" ht="14.5" outlineLevel="1" x14ac:dyDescent="0.35">
      <c r="B137" s="433">
        <v>13</v>
      </c>
      <c r="C137" s="434" t="s">
        <v>852</v>
      </c>
      <c r="D137" s="340" t="s">
        <v>240</v>
      </c>
      <c r="E137" s="340" t="s">
        <v>243</v>
      </c>
      <c r="F137" s="340" t="s">
        <v>260</v>
      </c>
      <c r="G137" s="288">
        <v>210.24</v>
      </c>
      <c r="H137" s="435">
        <v>249</v>
      </c>
      <c r="I137" s="696" t="s">
        <v>1018</v>
      </c>
      <c r="J137" s="697"/>
      <c r="K137" s="697"/>
      <c r="L137" s="697"/>
      <c r="M137" s="697"/>
      <c r="N137" s="697"/>
      <c r="O137" s="697"/>
      <c r="P137" s="697"/>
      <c r="Q137" s="697"/>
      <c r="R137" s="697"/>
      <c r="S137" s="696"/>
      <c r="T137" s="696"/>
      <c r="U137" s="698"/>
      <c r="V137" s="698"/>
      <c r="W137" s="698"/>
      <c r="X137" s="698"/>
      <c r="Y137" s="698"/>
      <c r="Z137" s="698"/>
      <c r="AA137" s="698"/>
      <c r="AB137" s="698"/>
      <c r="AC137" s="698"/>
      <c r="AD137" s="698"/>
      <c r="AE137" s="698"/>
      <c r="AF137" s="698"/>
      <c r="AG137" s="698"/>
      <c r="AH137" s="698"/>
      <c r="AI137" s="698"/>
      <c r="AJ137" s="698"/>
      <c r="AK137" s="696" t="s">
        <v>1018</v>
      </c>
      <c r="AL137" s="699"/>
      <c r="AM137" s="699"/>
      <c r="AN137" s="699"/>
      <c r="AO137" s="696" t="s">
        <v>1018</v>
      </c>
      <c r="AP137" s="699"/>
      <c r="AQ137" s="699"/>
      <c r="AR137" s="699"/>
      <c r="AS137" s="699"/>
      <c r="AT137" s="712"/>
      <c r="AU137" s="715"/>
      <c r="AV137" s="716"/>
      <c r="AW137" s="716"/>
      <c r="AX137" s="716"/>
      <c r="AY137" s="716"/>
      <c r="AZ137" s="716"/>
      <c r="BA137" s="716"/>
      <c r="BB137" s="716"/>
      <c r="BC137" s="716"/>
      <c r="BD137" s="716"/>
      <c r="BE137" s="715"/>
      <c r="BF137" s="715"/>
      <c r="BG137" s="717"/>
      <c r="BH137" s="717"/>
      <c r="BI137" s="717"/>
      <c r="BJ137" s="717"/>
      <c r="BK137" s="717"/>
      <c r="BL137" s="717"/>
      <c r="BM137" s="717"/>
      <c r="BN137" s="717"/>
      <c r="BO137" s="717"/>
      <c r="BP137" s="717"/>
      <c r="BQ137" s="717"/>
      <c r="BR137" s="717"/>
      <c r="BS137" s="717"/>
      <c r="BT137" s="717"/>
      <c r="BU137" s="717"/>
      <c r="BV137" s="717"/>
      <c r="BW137" s="715"/>
      <c r="BX137" s="718"/>
      <c r="BY137" s="718"/>
      <c r="BZ137" s="718"/>
      <c r="CA137" s="715"/>
      <c r="CB137" s="718"/>
      <c r="CC137" s="718"/>
      <c r="CD137" s="718"/>
      <c r="CE137" s="718"/>
      <c r="CF137" s="720"/>
    </row>
    <row r="138" spans="2:84" s="436" customFormat="1" ht="14.5" outlineLevel="1" x14ac:dyDescent="0.35">
      <c r="B138" s="433">
        <v>14</v>
      </c>
      <c r="C138" s="434" t="s">
        <v>204</v>
      </c>
      <c r="D138" s="340" t="s">
        <v>240</v>
      </c>
      <c r="E138" s="340" t="s">
        <v>243</v>
      </c>
      <c r="F138" s="340" t="s">
        <v>260</v>
      </c>
      <c r="G138" s="288">
        <v>244.01</v>
      </c>
      <c r="H138" s="435">
        <v>289</v>
      </c>
      <c r="I138" s="696" t="s">
        <v>1018</v>
      </c>
      <c r="J138" s="697"/>
      <c r="K138" s="697"/>
      <c r="L138" s="697"/>
      <c r="M138" s="697"/>
      <c r="N138" s="697"/>
      <c r="O138" s="697"/>
      <c r="P138" s="697"/>
      <c r="Q138" s="697"/>
      <c r="R138" s="697"/>
      <c r="S138" s="696"/>
      <c r="T138" s="696"/>
      <c r="U138" s="698"/>
      <c r="V138" s="698"/>
      <c r="W138" s="698"/>
      <c r="X138" s="698"/>
      <c r="Y138" s="698"/>
      <c r="Z138" s="698"/>
      <c r="AA138" s="698"/>
      <c r="AB138" s="698"/>
      <c r="AC138" s="698"/>
      <c r="AD138" s="698"/>
      <c r="AE138" s="698"/>
      <c r="AF138" s="698"/>
      <c r="AG138" s="698"/>
      <c r="AH138" s="698"/>
      <c r="AI138" s="698"/>
      <c r="AJ138" s="698"/>
      <c r="AK138" s="696" t="s">
        <v>1018</v>
      </c>
      <c r="AL138" s="699"/>
      <c r="AM138" s="699"/>
      <c r="AN138" s="699"/>
      <c r="AO138" s="696" t="s">
        <v>1018</v>
      </c>
      <c r="AP138" s="699"/>
      <c r="AQ138" s="699"/>
      <c r="AR138" s="699"/>
      <c r="AS138" s="699"/>
      <c r="AT138" s="712"/>
      <c r="AU138" s="715"/>
      <c r="AV138" s="716"/>
      <c r="AW138" s="716"/>
      <c r="AX138" s="716"/>
      <c r="AY138" s="716"/>
      <c r="AZ138" s="716"/>
      <c r="BA138" s="716"/>
      <c r="BB138" s="716"/>
      <c r="BC138" s="716"/>
      <c r="BD138" s="716"/>
      <c r="BE138" s="715"/>
      <c r="BF138" s="715"/>
      <c r="BG138" s="717"/>
      <c r="BH138" s="717"/>
      <c r="BI138" s="717"/>
      <c r="BJ138" s="717"/>
      <c r="BK138" s="717"/>
      <c r="BL138" s="717"/>
      <c r="BM138" s="717"/>
      <c r="BN138" s="717"/>
      <c r="BO138" s="717"/>
      <c r="BP138" s="717"/>
      <c r="BQ138" s="717"/>
      <c r="BR138" s="717"/>
      <c r="BS138" s="717"/>
      <c r="BT138" s="717"/>
      <c r="BU138" s="717"/>
      <c r="BV138" s="717"/>
      <c r="BW138" s="715"/>
      <c r="BX138" s="718"/>
      <c r="BY138" s="718"/>
      <c r="BZ138" s="718"/>
      <c r="CA138" s="715"/>
      <c r="CB138" s="718"/>
      <c r="CC138" s="718"/>
      <c r="CD138" s="718"/>
      <c r="CE138" s="718"/>
      <c r="CF138" s="720"/>
    </row>
    <row r="139" spans="2:84" s="436" customFormat="1" ht="14.5" outlineLevel="1" x14ac:dyDescent="0.35">
      <c r="B139" s="433">
        <v>15</v>
      </c>
      <c r="C139" s="434" t="s">
        <v>797</v>
      </c>
      <c r="D139" s="340" t="s">
        <v>240</v>
      </c>
      <c r="E139" s="340" t="s">
        <v>243</v>
      </c>
      <c r="F139" s="340" t="s">
        <v>260</v>
      </c>
      <c r="G139" s="288">
        <v>367.29</v>
      </c>
      <c r="H139" s="435">
        <v>435</v>
      </c>
      <c r="I139" s="696" t="s">
        <v>1018</v>
      </c>
      <c r="J139" s="697"/>
      <c r="K139" s="697"/>
      <c r="L139" s="697"/>
      <c r="M139" s="697"/>
      <c r="N139" s="697"/>
      <c r="O139" s="697"/>
      <c r="P139" s="697"/>
      <c r="Q139" s="697"/>
      <c r="R139" s="697"/>
      <c r="S139" s="696"/>
      <c r="T139" s="696"/>
      <c r="U139" s="698"/>
      <c r="V139" s="698"/>
      <c r="W139" s="698"/>
      <c r="X139" s="698"/>
      <c r="Y139" s="698"/>
      <c r="Z139" s="698"/>
      <c r="AA139" s="698"/>
      <c r="AB139" s="698"/>
      <c r="AC139" s="698"/>
      <c r="AD139" s="698"/>
      <c r="AE139" s="698"/>
      <c r="AF139" s="698"/>
      <c r="AG139" s="698"/>
      <c r="AH139" s="698"/>
      <c r="AI139" s="698"/>
      <c r="AJ139" s="698"/>
      <c r="AK139" s="696" t="s">
        <v>1019</v>
      </c>
      <c r="AL139" s="701"/>
      <c r="AM139" s="701"/>
      <c r="AN139" s="702"/>
      <c r="AO139" s="713" t="s">
        <v>1040</v>
      </c>
      <c r="AP139" s="697"/>
      <c r="AQ139" s="697"/>
      <c r="AR139" s="697"/>
      <c r="AS139" s="697"/>
      <c r="AT139" s="712"/>
      <c r="AU139" s="715"/>
      <c r="AV139" s="716"/>
      <c r="AW139" s="716"/>
      <c r="AX139" s="716"/>
      <c r="AY139" s="716"/>
      <c r="AZ139" s="716"/>
      <c r="BA139" s="716"/>
      <c r="BB139" s="716"/>
      <c r="BC139" s="716"/>
      <c r="BD139" s="716"/>
      <c r="BE139" s="715"/>
      <c r="BF139" s="715"/>
      <c r="BG139" s="717"/>
      <c r="BH139" s="717"/>
      <c r="BI139" s="717"/>
      <c r="BJ139" s="717"/>
      <c r="BK139" s="717"/>
      <c r="BL139" s="717"/>
      <c r="BM139" s="717"/>
      <c r="BN139" s="717"/>
      <c r="BO139" s="717"/>
      <c r="BP139" s="717"/>
      <c r="BQ139" s="717"/>
      <c r="BR139" s="717"/>
      <c r="BS139" s="717"/>
      <c r="BT139" s="717"/>
      <c r="BU139" s="717"/>
      <c r="BV139" s="717"/>
      <c r="BW139" s="715"/>
      <c r="BX139" s="721"/>
      <c r="BY139" s="721"/>
      <c r="BZ139" s="722"/>
      <c r="CA139" s="731"/>
      <c r="CB139" s="716"/>
      <c r="CC139" s="716"/>
      <c r="CD139" s="716"/>
      <c r="CE139" s="716"/>
      <c r="CF139" s="720"/>
    </row>
    <row r="140" spans="2:84" s="436" customFormat="1" ht="14.5" outlineLevel="1" x14ac:dyDescent="0.35">
      <c r="B140" s="433">
        <v>16</v>
      </c>
      <c r="C140" s="434" t="s">
        <v>798</v>
      </c>
      <c r="D140" s="340" t="s">
        <v>240</v>
      </c>
      <c r="E140" s="340" t="s">
        <v>243</v>
      </c>
      <c r="F140" s="340" t="s">
        <v>260</v>
      </c>
      <c r="G140" s="288">
        <v>421.32</v>
      </c>
      <c r="H140" s="435">
        <v>499</v>
      </c>
      <c r="I140" s="696" t="s">
        <v>1018</v>
      </c>
      <c r="J140" s="697"/>
      <c r="K140" s="697"/>
      <c r="L140" s="697"/>
      <c r="M140" s="697"/>
      <c r="N140" s="697"/>
      <c r="O140" s="697"/>
      <c r="P140" s="697"/>
      <c r="Q140" s="697"/>
      <c r="R140" s="697"/>
      <c r="S140" s="696"/>
      <c r="T140" s="696"/>
      <c r="U140" s="698"/>
      <c r="V140" s="698"/>
      <c r="W140" s="698"/>
      <c r="X140" s="698"/>
      <c r="Y140" s="698"/>
      <c r="Z140" s="698"/>
      <c r="AA140" s="698"/>
      <c r="AB140" s="698"/>
      <c r="AC140" s="698"/>
      <c r="AD140" s="698"/>
      <c r="AE140" s="698"/>
      <c r="AF140" s="698"/>
      <c r="AG140" s="698"/>
      <c r="AH140" s="698"/>
      <c r="AI140" s="698"/>
      <c r="AJ140" s="698"/>
      <c r="AK140" s="696" t="s">
        <v>1019</v>
      </c>
      <c r="AL140" s="701"/>
      <c r="AM140" s="701"/>
      <c r="AN140" s="702"/>
      <c r="AO140" s="696" t="s">
        <v>1040</v>
      </c>
      <c r="AP140" s="697"/>
      <c r="AQ140" s="697"/>
      <c r="AR140" s="697"/>
      <c r="AS140" s="697"/>
      <c r="AT140" s="712"/>
      <c r="AU140" s="715"/>
      <c r="AV140" s="716"/>
      <c r="AW140" s="716"/>
      <c r="AX140" s="716"/>
      <c r="AY140" s="716"/>
      <c r="AZ140" s="716"/>
      <c r="BA140" s="716"/>
      <c r="BB140" s="716"/>
      <c r="BC140" s="716"/>
      <c r="BD140" s="716"/>
      <c r="BE140" s="715"/>
      <c r="BF140" s="715"/>
      <c r="BG140" s="717"/>
      <c r="BH140" s="717"/>
      <c r="BI140" s="717"/>
      <c r="BJ140" s="717"/>
      <c r="BK140" s="717"/>
      <c r="BL140" s="717"/>
      <c r="BM140" s="717"/>
      <c r="BN140" s="717"/>
      <c r="BO140" s="717"/>
      <c r="BP140" s="717"/>
      <c r="BQ140" s="717"/>
      <c r="BR140" s="717"/>
      <c r="BS140" s="717"/>
      <c r="BT140" s="717"/>
      <c r="BU140" s="717"/>
      <c r="BV140" s="717"/>
      <c r="BW140" s="715"/>
      <c r="BX140" s="721"/>
      <c r="BY140" s="721"/>
      <c r="BZ140" s="722"/>
      <c r="CA140" s="715"/>
      <c r="CB140" s="716"/>
      <c r="CC140" s="716"/>
      <c r="CD140" s="716"/>
      <c r="CE140" s="716"/>
      <c r="CF140" s="720"/>
    </row>
    <row r="141" spans="2:84" s="436" customFormat="1" ht="14.5" outlineLevel="1" x14ac:dyDescent="0.35">
      <c r="B141" s="433">
        <v>17</v>
      </c>
      <c r="C141" s="434" t="s">
        <v>205</v>
      </c>
      <c r="D141" s="340" t="s">
        <v>240</v>
      </c>
      <c r="E141" s="340" t="s">
        <v>243</v>
      </c>
      <c r="F141" s="340" t="s">
        <v>260</v>
      </c>
      <c r="G141" s="288">
        <v>505.76</v>
      </c>
      <c r="H141" s="435">
        <v>599.00191359999997</v>
      </c>
      <c r="I141" s="696" t="s">
        <v>1018</v>
      </c>
      <c r="J141" s="697"/>
      <c r="K141" s="697"/>
      <c r="L141" s="697"/>
      <c r="M141" s="697"/>
      <c r="N141" s="697"/>
      <c r="O141" s="697"/>
      <c r="P141" s="697"/>
      <c r="Q141" s="697"/>
      <c r="R141" s="697"/>
      <c r="S141" s="696"/>
      <c r="T141" s="696"/>
      <c r="U141" s="698"/>
      <c r="V141" s="698"/>
      <c r="W141" s="698"/>
      <c r="X141" s="698"/>
      <c r="Y141" s="698"/>
      <c r="Z141" s="698"/>
      <c r="AA141" s="698"/>
      <c r="AB141" s="698"/>
      <c r="AC141" s="698"/>
      <c r="AD141" s="698"/>
      <c r="AE141" s="698"/>
      <c r="AF141" s="698"/>
      <c r="AG141" s="698"/>
      <c r="AH141" s="698"/>
      <c r="AI141" s="698"/>
      <c r="AJ141" s="698"/>
      <c r="AK141" s="696" t="s">
        <v>1019</v>
      </c>
      <c r="AL141" s="701"/>
      <c r="AM141" s="701"/>
      <c r="AN141" s="702"/>
      <c r="AO141" s="696" t="s">
        <v>1018</v>
      </c>
      <c r="AP141" s="697"/>
      <c r="AQ141" s="697"/>
      <c r="AR141" s="697"/>
      <c r="AS141" s="697"/>
      <c r="AT141" s="712"/>
      <c r="AU141" s="715"/>
      <c r="AV141" s="716"/>
      <c r="AW141" s="716"/>
      <c r="AX141" s="716"/>
      <c r="AY141" s="716"/>
      <c r="AZ141" s="716"/>
      <c r="BA141" s="716"/>
      <c r="BB141" s="716"/>
      <c r="BC141" s="716"/>
      <c r="BD141" s="716"/>
      <c r="BE141" s="715"/>
      <c r="BF141" s="715"/>
      <c r="BG141" s="717"/>
      <c r="BH141" s="717"/>
      <c r="BI141" s="717"/>
      <c r="BJ141" s="717"/>
      <c r="BK141" s="717"/>
      <c r="BL141" s="717"/>
      <c r="BM141" s="717"/>
      <c r="BN141" s="717"/>
      <c r="BO141" s="717"/>
      <c r="BP141" s="717"/>
      <c r="BQ141" s="717"/>
      <c r="BR141" s="717"/>
      <c r="BS141" s="717"/>
      <c r="BT141" s="717"/>
      <c r="BU141" s="717"/>
      <c r="BV141" s="717"/>
      <c r="BW141" s="715"/>
      <c r="BX141" s="721"/>
      <c r="BY141" s="721"/>
      <c r="BZ141" s="722"/>
      <c r="CA141" s="715"/>
      <c r="CB141" s="716"/>
      <c r="CC141" s="716"/>
      <c r="CD141" s="716"/>
      <c r="CE141" s="716"/>
      <c r="CF141" s="720"/>
    </row>
    <row r="142" spans="2:84" s="436" customFormat="1" ht="14.5" outlineLevel="1" x14ac:dyDescent="0.35">
      <c r="B142" s="433">
        <v>18</v>
      </c>
      <c r="C142" s="434" t="s">
        <v>708</v>
      </c>
      <c r="D142" s="340" t="s">
        <v>240</v>
      </c>
      <c r="E142" s="340" t="s">
        <v>243</v>
      </c>
      <c r="F142" s="340" t="s">
        <v>260</v>
      </c>
      <c r="G142" s="288">
        <v>328.44</v>
      </c>
      <c r="H142" s="435">
        <v>389</v>
      </c>
      <c r="I142" s="696" t="s">
        <v>1018</v>
      </c>
      <c r="J142" s="697"/>
      <c r="K142" s="697"/>
      <c r="L142" s="697"/>
      <c r="M142" s="697"/>
      <c r="N142" s="697"/>
      <c r="O142" s="697"/>
      <c r="P142" s="697"/>
      <c r="Q142" s="697"/>
      <c r="R142" s="697"/>
      <c r="S142" s="696"/>
      <c r="T142" s="696"/>
      <c r="U142" s="698"/>
      <c r="V142" s="698"/>
      <c r="W142" s="698"/>
      <c r="X142" s="698"/>
      <c r="Y142" s="698"/>
      <c r="Z142" s="698"/>
      <c r="AA142" s="698"/>
      <c r="AB142" s="698"/>
      <c r="AC142" s="698"/>
      <c r="AD142" s="698"/>
      <c r="AE142" s="698"/>
      <c r="AF142" s="698"/>
      <c r="AG142" s="698"/>
      <c r="AH142" s="698"/>
      <c r="AI142" s="698"/>
      <c r="AJ142" s="698"/>
      <c r="AK142" s="696" t="s">
        <v>1018</v>
      </c>
      <c r="AL142" s="697"/>
      <c r="AM142" s="697"/>
      <c r="AN142" s="697"/>
      <c r="AO142" s="696" t="s">
        <v>1066</v>
      </c>
      <c r="AP142" s="697"/>
      <c r="AQ142" s="697"/>
      <c r="AR142" s="697"/>
      <c r="AS142" s="697"/>
      <c r="AT142" s="712"/>
      <c r="AU142" s="715"/>
      <c r="AV142" s="716"/>
      <c r="AW142" s="716"/>
      <c r="AX142" s="716"/>
      <c r="AY142" s="716"/>
      <c r="AZ142" s="716"/>
      <c r="BA142" s="716"/>
      <c r="BB142" s="716"/>
      <c r="BC142" s="716"/>
      <c r="BD142" s="716"/>
      <c r="BE142" s="715"/>
      <c r="BF142" s="715"/>
      <c r="BG142" s="717"/>
      <c r="BH142" s="717"/>
      <c r="BI142" s="717"/>
      <c r="BJ142" s="717"/>
      <c r="BK142" s="717"/>
      <c r="BL142" s="717"/>
      <c r="BM142" s="717"/>
      <c r="BN142" s="717"/>
      <c r="BO142" s="717"/>
      <c r="BP142" s="717"/>
      <c r="BQ142" s="717"/>
      <c r="BR142" s="717"/>
      <c r="BS142" s="717"/>
      <c r="BT142" s="717"/>
      <c r="BU142" s="717"/>
      <c r="BV142" s="717"/>
      <c r="BW142" s="715"/>
      <c r="BX142" s="716"/>
      <c r="BY142" s="716"/>
      <c r="BZ142" s="716"/>
      <c r="CA142" s="715"/>
      <c r="CB142" s="716"/>
      <c r="CC142" s="716"/>
      <c r="CD142" s="716"/>
      <c r="CE142" s="716"/>
      <c r="CF142" s="720"/>
    </row>
    <row r="143" spans="2:84" s="436" customFormat="1" ht="14.5" outlineLevel="1" x14ac:dyDescent="0.35">
      <c r="B143" s="433">
        <v>19</v>
      </c>
      <c r="C143" s="434" t="s">
        <v>206</v>
      </c>
      <c r="D143" s="340" t="s">
        <v>242</v>
      </c>
      <c r="E143" s="340" t="s">
        <v>243</v>
      </c>
      <c r="F143" s="340" t="s">
        <v>260</v>
      </c>
      <c r="G143" s="288">
        <v>336.9</v>
      </c>
      <c r="H143" s="435">
        <v>399</v>
      </c>
      <c r="I143" s="696" t="s">
        <v>1018</v>
      </c>
      <c r="J143" s="697"/>
      <c r="K143" s="697"/>
      <c r="L143" s="697"/>
      <c r="M143" s="697"/>
      <c r="N143" s="697"/>
      <c r="O143" s="697"/>
      <c r="P143" s="697"/>
      <c r="Q143" s="697"/>
      <c r="R143" s="697"/>
      <c r="S143" s="696"/>
      <c r="T143" s="696"/>
      <c r="U143" s="698"/>
      <c r="V143" s="698"/>
      <c r="W143" s="698"/>
      <c r="X143" s="698"/>
      <c r="Y143" s="698"/>
      <c r="Z143" s="698"/>
      <c r="AA143" s="698"/>
      <c r="AB143" s="698"/>
      <c r="AC143" s="698"/>
      <c r="AD143" s="698"/>
      <c r="AE143" s="698"/>
      <c r="AF143" s="698"/>
      <c r="AG143" s="698"/>
      <c r="AH143" s="698"/>
      <c r="AI143" s="698"/>
      <c r="AJ143" s="698"/>
      <c r="AK143" s="696" t="s">
        <v>1018</v>
      </c>
      <c r="AL143" s="699"/>
      <c r="AM143" s="699"/>
      <c r="AN143" s="699"/>
      <c r="AO143" s="696" t="s">
        <v>1040</v>
      </c>
      <c r="AP143" s="697"/>
      <c r="AQ143" s="697"/>
      <c r="AR143" s="697"/>
      <c r="AS143" s="697"/>
      <c r="AT143" s="712"/>
      <c r="AU143" s="715"/>
      <c r="AV143" s="716"/>
      <c r="AW143" s="716"/>
      <c r="AX143" s="716"/>
      <c r="AY143" s="716"/>
      <c r="AZ143" s="716"/>
      <c r="BA143" s="716"/>
      <c r="BB143" s="716"/>
      <c r="BC143" s="716"/>
      <c r="BD143" s="716"/>
      <c r="BE143" s="715"/>
      <c r="BF143" s="715"/>
      <c r="BG143" s="717"/>
      <c r="BH143" s="717"/>
      <c r="BI143" s="717"/>
      <c r="BJ143" s="717"/>
      <c r="BK143" s="717"/>
      <c r="BL143" s="717"/>
      <c r="BM143" s="717"/>
      <c r="BN143" s="717"/>
      <c r="BO143" s="717"/>
      <c r="BP143" s="717"/>
      <c r="BQ143" s="717"/>
      <c r="BR143" s="717"/>
      <c r="BS143" s="717"/>
      <c r="BT143" s="717"/>
      <c r="BU143" s="717"/>
      <c r="BV143" s="717"/>
      <c r="BW143" s="715"/>
      <c r="BX143" s="718"/>
      <c r="BY143" s="718"/>
      <c r="BZ143" s="718"/>
      <c r="CA143" s="715"/>
      <c r="CB143" s="716"/>
      <c r="CC143" s="716"/>
      <c r="CD143" s="716"/>
      <c r="CE143" s="716"/>
      <c r="CF143" s="720"/>
    </row>
    <row r="144" spans="2:84" s="436" customFormat="1" ht="14.5" outlineLevel="1" x14ac:dyDescent="0.35">
      <c r="B144" s="433">
        <v>20</v>
      </c>
      <c r="C144" s="434" t="s">
        <v>799</v>
      </c>
      <c r="D144" s="340" t="s">
        <v>240</v>
      </c>
      <c r="E144" s="340" t="s">
        <v>243</v>
      </c>
      <c r="F144" s="340" t="s">
        <v>260</v>
      </c>
      <c r="G144" s="288">
        <v>1270.97</v>
      </c>
      <c r="H144" s="435">
        <v>1499</v>
      </c>
      <c r="I144" s="696" t="s">
        <v>1018</v>
      </c>
      <c r="J144" s="697"/>
      <c r="K144" s="697"/>
      <c r="L144" s="697"/>
      <c r="M144" s="697"/>
      <c r="N144" s="697"/>
      <c r="O144" s="697"/>
      <c r="P144" s="697"/>
      <c r="Q144" s="697"/>
      <c r="R144" s="697"/>
      <c r="S144" s="696"/>
      <c r="T144" s="696"/>
      <c r="U144" s="698"/>
      <c r="V144" s="698"/>
      <c r="W144" s="698"/>
      <c r="X144" s="698"/>
      <c r="Y144" s="698"/>
      <c r="Z144" s="698"/>
      <c r="AA144" s="698"/>
      <c r="AB144" s="698"/>
      <c r="AC144" s="698"/>
      <c r="AD144" s="698"/>
      <c r="AE144" s="698"/>
      <c r="AF144" s="698"/>
      <c r="AG144" s="698"/>
      <c r="AH144" s="698"/>
      <c r="AI144" s="698"/>
      <c r="AJ144" s="698"/>
      <c r="AK144" s="696" t="s">
        <v>1018</v>
      </c>
      <c r="AL144" s="699"/>
      <c r="AM144" s="699"/>
      <c r="AN144" s="699"/>
      <c r="AO144" s="696" t="s">
        <v>1018</v>
      </c>
      <c r="AP144" s="699"/>
      <c r="AQ144" s="699"/>
      <c r="AR144" s="699"/>
      <c r="AS144" s="699"/>
      <c r="AT144" s="712"/>
      <c r="AU144" s="715"/>
      <c r="AV144" s="716"/>
      <c r="AW144" s="716"/>
      <c r="AX144" s="716"/>
      <c r="AY144" s="716"/>
      <c r="AZ144" s="716"/>
      <c r="BA144" s="716"/>
      <c r="BB144" s="716"/>
      <c r="BC144" s="716"/>
      <c r="BD144" s="716"/>
      <c r="BE144" s="715"/>
      <c r="BF144" s="715"/>
      <c r="BG144" s="717"/>
      <c r="BH144" s="717"/>
      <c r="BI144" s="717"/>
      <c r="BJ144" s="717"/>
      <c r="BK144" s="717"/>
      <c r="BL144" s="717"/>
      <c r="BM144" s="717"/>
      <c r="BN144" s="717"/>
      <c r="BO144" s="717"/>
      <c r="BP144" s="717"/>
      <c r="BQ144" s="717"/>
      <c r="BR144" s="717"/>
      <c r="BS144" s="717"/>
      <c r="BT144" s="717"/>
      <c r="BU144" s="717"/>
      <c r="BV144" s="717"/>
      <c r="BW144" s="715"/>
      <c r="BX144" s="718"/>
      <c r="BY144" s="718"/>
      <c r="BZ144" s="718"/>
      <c r="CA144" s="715"/>
      <c r="CB144" s="718"/>
      <c r="CC144" s="718"/>
      <c r="CD144" s="718"/>
      <c r="CE144" s="718"/>
      <c r="CF144" s="720"/>
    </row>
    <row r="145" spans="2:84" s="436" customFormat="1" ht="14.5" outlineLevel="1" x14ac:dyDescent="0.35">
      <c r="B145" s="433">
        <v>21</v>
      </c>
      <c r="C145" s="434" t="s">
        <v>853</v>
      </c>
      <c r="D145" s="340" t="s">
        <v>240</v>
      </c>
      <c r="E145" s="340" t="s">
        <v>243</v>
      </c>
      <c r="F145" s="340" t="s">
        <v>260</v>
      </c>
      <c r="G145" s="288">
        <v>281.16000000000003</v>
      </c>
      <c r="H145" s="435">
        <v>333</v>
      </c>
      <c r="I145" s="696" t="s">
        <v>1018</v>
      </c>
      <c r="J145" s="697"/>
      <c r="K145" s="697"/>
      <c r="L145" s="697"/>
      <c r="M145" s="697"/>
      <c r="N145" s="697"/>
      <c r="O145" s="697"/>
      <c r="P145" s="697"/>
      <c r="Q145" s="697"/>
      <c r="R145" s="697"/>
      <c r="S145" s="696"/>
      <c r="T145" s="696"/>
      <c r="U145" s="698"/>
      <c r="V145" s="698"/>
      <c r="W145" s="698"/>
      <c r="X145" s="698"/>
      <c r="Y145" s="698"/>
      <c r="Z145" s="698"/>
      <c r="AA145" s="698"/>
      <c r="AB145" s="698"/>
      <c r="AC145" s="698"/>
      <c r="AD145" s="698"/>
      <c r="AE145" s="698"/>
      <c r="AF145" s="698"/>
      <c r="AG145" s="698"/>
      <c r="AH145" s="698"/>
      <c r="AI145" s="698"/>
      <c r="AJ145" s="698"/>
      <c r="AK145" s="696" t="s">
        <v>1018</v>
      </c>
      <c r="AL145" s="699"/>
      <c r="AM145" s="699"/>
      <c r="AN145" s="699"/>
      <c r="AO145" s="696" t="s">
        <v>1018</v>
      </c>
      <c r="AP145" s="699"/>
      <c r="AQ145" s="699"/>
      <c r="AR145" s="699"/>
      <c r="AS145" s="699"/>
      <c r="AT145" s="712"/>
      <c r="AU145" s="715"/>
      <c r="AV145" s="716"/>
      <c r="AW145" s="716"/>
      <c r="AX145" s="716"/>
      <c r="AY145" s="716"/>
      <c r="AZ145" s="716"/>
      <c r="BA145" s="716"/>
      <c r="BB145" s="716"/>
      <c r="BC145" s="716"/>
      <c r="BD145" s="716"/>
      <c r="BE145" s="715"/>
      <c r="BF145" s="715"/>
      <c r="BG145" s="717"/>
      <c r="BH145" s="717"/>
      <c r="BI145" s="717"/>
      <c r="BJ145" s="717"/>
      <c r="BK145" s="717"/>
      <c r="BL145" s="717"/>
      <c r="BM145" s="717"/>
      <c r="BN145" s="717"/>
      <c r="BO145" s="717"/>
      <c r="BP145" s="717"/>
      <c r="BQ145" s="717"/>
      <c r="BR145" s="717"/>
      <c r="BS145" s="717"/>
      <c r="BT145" s="717"/>
      <c r="BU145" s="717"/>
      <c r="BV145" s="717"/>
      <c r="BW145" s="715"/>
      <c r="BX145" s="718"/>
      <c r="BY145" s="718"/>
      <c r="BZ145" s="718"/>
      <c r="CA145" s="715"/>
      <c r="CB145" s="718"/>
      <c r="CC145" s="718"/>
      <c r="CD145" s="718"/>
      <c r="CE145" s="718"/>
      <c r="CF145" s="720"/>
    </row>
    <row r="146" spans="2:84" s="436" customFormat="1" ht="14.5" outlineLevel="1" x14ac:dyDescent="0.35">
      <c r="B146" s="433">
        <v>22</v>
      </c>
      <c r="C146" s="434" t="s">
        <v>207</v>
      </c>
      <c r="D146" s="340" t="s">
        <v>242</v>
      </c>
      <c r="E146" s="340" t="s">
        <v>243</v>
      </c>
      <c r="F146" s="340" t="s">
        <v>260</v>
      </c>
      <c r="G146" s="288">
        <v>463.55</v>
      </c>
      <c r="H146" s="435">
        <v>549</v>
      </c>
      <c r="I146" s="696" t="s">
        <v>1018</v>
      </c>
      <c r="J146" s="697"/>
      <c r="K146" s="697"/>
      <c r="L146" s="697"/>
      <c r="M146" s="697"/>
      <c r="N146" s="697"/>
      <c r="O146" s="697"/>
      <c r="P146" s="697"/>
      <c r="Q146" s="697"/>
      <c r="R146" s="697"/>
      <c r="S146" s="696"/>
      <c r="T146" s="696"/>
      <c r="U146" s="698"/>
      <c r="V146" s="698"/>
      <c r="W146" s="698"/>
      <c r="X146" s="698"/>
      <c r="Y146" s="698"/>
      <c r="Z146" s="698"/>
      <c r="AA146" s="698"/>
      <c r="AB146" s="698"/>
      <c r="AC146" s="698"/>
      <c r="AD146" s="698"/>
      <c r="AE146" s="698"/>
      <c r="AF146" s="698"/>
      <c r="AG146" s="698"/>
      <c r="AH146" s="698"/>
      <c r="AI146" s="698"/>
      <c r="AJ146" s="698"/>
      <c r="AK146" s="696" t="s">
        <v>1018</v>
      </c>
      <c r="AL146" s="699"/>
      <c r="AM146" s="699"/>
      <c r="AN146" s="699"/>
      <c r="AO146" s="696" t="s">
        <v>1018</v>
      </c>
      <c r="AP146" s="699"/>
      <c r="AQ146" s="699"/>
      <c r="AR146" s="699"/>
      <c r="AS146" s="699"/>
      <c r="AT146" s="712"/>
      <c r="AU146" s="715"/>
      <c r="AV146" s="716"/>
      <c r="AW146" s="716"/>
      <c r="AX146" s="716"/>
      <c r="AY146" s="716"/>
      <c r="AZ146" s="716"/>
      <c r="BA146" s="716"/>
      <c r="BB146" s="716"/>
      <c r="BC146" s="716"/>
      <c r="BD146" s="716"/>
      <c r="BE146" s="715"/>
      <c r="BF146" s="715"/>
      <c r="BG146" s="717"/>
      <c r="BH146" s="717"/>
      <c r="BI146" s="717"/>
      <c r="BJ146" s="717"/>
      <c r="BK146" s="717"/>
      <c r="BL146" s="717"/>
      <c r="BM146" s="717"/>
      <c r="BN146" s="717"/>
      <c r="BO146" s="717"/>
      <c r="BP146" s="717"/>
      <c r="BQ146" s="717"/>
      <c r="BR146" s="717"/>
      <c r="BS146" s="717"/>
      <c r="BT146" s="717"/>
      <c r="BU146" s="717"/>
      <c r="BV146" s="717"/>
      <c r="BW146" s="715"/>
      <c r="BX146" s="718"/>
      <c r="BY146" s="718"/>
      <c r="BZ146" s="718"/>
      <c r="CA146" s="715"/>
      <c r="CB146" s="718"/>
      <c r="CC146" s="718"/>
      <c r="CD146" s="718"/>
      <c r="CE146" s="718"/>
      <c r="CF146" s="720"/>
    </row>
    <row r="147" spans="2:84" s="436" customFormat="1" ht="14.5" outlineLevel="1" x14ac:dyDescent="0.35">
      <c r="B147" s="433">
        <v>23</v>
      </c>
      <c r="C147" s="434" t="s">
        <v>367</v>
      </c>
      <c r="D147" s="340" t="s">
        <v>242</v>
      </c>
      <c r="E147" s="340" t="s">
        <v>243</v>
      </c>
      <c r="F147" s="340" t="s">
        <v>260</v>
      </c>
      <c r="G147" s="288">
        <v>674.64</v>
      </c>
      <c r="H147" s="435">
        <v>799</v>
      </c>
      <c r="I147" s="696" t="s">
        <v>1018</v>
      </c>
      <c r="J147" s="697"/>
      <c r="K147" s="697"/>
      <c r="L147" s="697"/>
      <c r="M147" s="697"/>
      <c r="N147" s="697"/>
      <c r="O147" s="697"/>
      <c r="P147" s="697"/>
      <c r="Q147" s="697"/>
      <c r="R147" s="697"/>
      <c r="S147" s="696"/>
      <c r="T147" s="696"/>
      <c r="U147" s="698"/>
      <c r="V147" s="698"/>
      <c r="W147" s="698"/>
      <c r="X147" s="698"/>
      <c r="Y147" s="698"/>
      <c r="Z147" s="698"/>
      <c r="AA147" s="698"/>
      <c r="AB147" s="698"/>
      <c r="AC147" s="698"/>
      <c r="AD147" s="698"/>
      <c r="AE147" s="698"/>
      <c r="AF147" s="698"/>
      <c r="AG147" s="698"/>
      <c r="AH147" s="698"/>
      <c r="AI147" s="698"/>
      <c r="AJ147" s="698"/>
      <c r="AK147" s="696" t="s">
        <v>1018</v>
      </c>
      <c r="AL147" s="699"/>
      <c r="AM147" s="699"/>
      <c r="AN147" s="699"/>
      <c r="AO147" s="696" t="s">
        <v>1040</v>
      </c>
      <c r="AP147" s="699"/>
      <c r="AQ147" s="699"/>
      <c r="AR147" s="699"/>
      <c r="AS147" s="699"/>
      <c r="AT147" s="712"/>
      <c r="AU147" s="715"/>
      <c r="AV147" s="716"/>
      <c r="AW147" s="716"/>
      <c r="AX147" s="716"/>
      <c r="AY147" s="716"/>
      <c r="AZ147" s="716"/>
      <c r="BA147" s="716"/>
      <c r="BB147" s="716"/>
      <c r="BC147" s="716"/>
      <c r="BD147" s="716"/>
      <c r="BE147" s="715"/>
      <c r="BF147" s="715"/>
      <c r="BG147" s="717"/>
      <c r="BH147" s="717"/>
      <c r="BI147" s="717"/>
      <c r="BJ147" s="717"/>
      <c r="BK147" s="717"/>
      <c r="BL147" s="717"/>
      <c r="BM147" s="717"/>
      <c r="BN147" s="717"/>
      <c r="BO147" s="717"/>
      <c r="BP147" s="717"/>
      <c r="BQ147" s="717"/>
      <c r="BR147" s="717"/>
      <c r="BS147" s="717"/>
      <c r="BT147" s="717"/>
      <c r="BU147" s="717"/>
      <c r="BV147" s="717"/>
      <c r="BW147" s="715"/>
      <c r="BX147" s="718"/>
      <c r="BY147" s="718"/>
      <c r="BZ147" s="718"/>
      <c r="CA147" s="715"/>
      <c r="CB147" s="718"/>
      <c r="CC147" s="718"/>
      <c r="CD147" s="718"/>
      <c r="CE147" s="718"/>
      <c r="CF147" s="720"/>
    </row>
    <row r="148" spans="2:84" s="436" customFormat="1" ht="14.5" outlineLevel="1" x14ac:dyDescent="0.35">
      <c r="B148" s="433">
        <v>24</v>
      </c>
      <c r="C148" s="434" t="s">
        <v>1067</v>
      </c>
      <c r="D148" s="340" t="s">
        <v>240</v>
      </c>
      <c r="E148" s="340" t="s">
        <v>243</v>
      </c>
      <c r="F148" s="340" t="s">
        <v>260</v>
      </c>
      <c r="G148" s="288">
        <v>843.5</v>
      </c>
      <c r="H148" s="435">
        <v>999</v>
      </c>
      <c r="I148" s="696" t="s">
        <v>1018</v>
      </c>
      <c r="J148" s="697"/>
      <c r="K148" s="697"/>
      <c r="L148" s="697"/>
      <c r="M148" s="697"/>
      <c r="N148" s="697"/>
      <c r="O148" s="697"/>
      <c r="P148" s="697"/>
      <c r="Q148" s="697"/>
      <c r="R148" s="697"/>
      <c r="S148" s="696"/>
      <c r="T148" s="696"/>
      <c r="U148" s="698"/>
      <c r="V148" s="698"/>
      <c r="W148" s="698"/>
      <c r="X148" s="698"/>
      <c r="Y148" s="698"/>
      <c r="Z148" s="698"/>
      <c r="AA148" s="698"/>
      <c r="AB148" s="698"/>
      <c r="AC148" s="698"/>
      <c r="AD148" s="698"/>
      <c r="AE148" s="698"/>
      <c r="AF148" s="698"/>
      <c r="AG148" s="698"/>
      <c r="AH148" s="698"/>
      <c r="AI148" s="698"/>
      <c r="AJ148" s="698"/>
      <c r="AK148" s="696" t="s">
        <v>1018</v>
      </c>
      <c r="AL148" s="699"/>
      <c r="AM148" s="699"/>
      <c r="AN148" s="699"/>
      <c r="AO148" s="696" t="s">
        <v>1018</v>
      </c>
      <c r="AP148" s="699"/>
      <c r="AQ148" s="699"/>
      <c r="AR148" s="699"/>
      <c r="AS148" s="699"/>
      <c r="AT148" s="712"/>
      <c r="AU148" s="715"/>
      <c r="AV148" s="716"/>
      <c r="AW148" s="716"/>
      <c r="AX148" s="716"/>
      <c r="AY148" s="716"/>
      <c r="AZ148" s="716"/>
      <c r="BA148" s="716"/>
      <c r="BB148" s="716"/>
      <c r="BC148" s="716"/>
      <c r="BD148" s="716"/>
      <c r="BE148" s="715"/>
      <c r="BF148" s="715"/>
      <c r="BG148" s="717"/>
      <c r="BH148" s="717"/>
      <c r="BI148" s="717"/>
      <c r="BJ148" s="717"/>
      <c r="BK148" s="717"/>
      <c r="BL148" s="717"/>
      <c r="BM148" s="717"/>
      <c r="BN148" s="717"/>
      <c r="BO148" s="717"/>
      <c r="BP148" s="717"/>
      <c r="BQ148" s="717"/>
      <c r="BR148" s="717"/>
      <c r="BS148" s="717"/>
      <c r="BT148" s="717"/>
      <c r="BU148" s="717"/>
      <c r="BV148" s="717"/>
      <c r="BW148" s="715"/>
      <c r="BX148" s="718"/>
      <c r="BY148" s="718"/>
      <c r="BZ148" s="718"/>
      <c r="CA148" s="715"/>
      <c r="CB148" s="718"/>
      <c r="CC148" s="718"/>
      <c r="CD148" s="718"/>
      <c r="CE148" s="718"/>
      <c r="CF148" s="720"/>
    </row>
    <row r="149" spans="2:84" s="436" customFormat="1" ht="14.5" outlineLevel="1" x14ac:dyDescent="0.35">
      <c r="B149" s="433">
        <v>25</v>
      </c>
      <c r="C149" s="434" t="s">
        <v>800</v>
      </c>
      <c r="D149" s="340" t="s">
        <v>242</v>
      </c>
      <c r="E149" s="340" t="s">
        <v>243</v>
      </c>
      <c r="F149" s="340" t="s">
        <v>260</v>
      </c>
      <c r="G149" s="288">
        <v>1302.21</v>
      </c>
      <c r="H149" s="435">
        <v>1536</v>
      </c>
      <c r="I149" s="696" t="s">
        <v>1018</v>
      </c>
      <c r="J149" s="697"/>
      <c r="K149" s="697"/>
      <c r="L149" s="697"/>
      <c r="M149" s="697"/>
      <c r="N149" s="697"/>
      <c r="O149" s="697"/>
      <c r="P149" s="697"/>
      <c r="Q149" s="697"/>
      <c r="R149" s="697"/>
      <c r="S149" s="696"/>
      <c r="T149" s="696"/>
      <c r="U149" s="696"/>
      <c r="V149" s="696"/>
      <c r="W149" s="696"/>
      <c r="X149" s="696"/>
      <c r="Y149" s="696"/>
      <c r="Z149" s="696"/>
      <c r="AA149" s="696"/>
      <c r="AB149" s="696"/>
      <c r="AC149" s="696"/>
      <c r="AD149" s="696"/>
      <c r="AE149" s="696"/>
      <c r="AF149" s="696"/>
      <c r="AG149" s="696"/>
      <c r="AH149" s="696"/>
      <c r="AI149" s="696"/>
      <c r="AJ149" s="696"/>
      <c r="AK149" s="696" t="s">
        <v>1018</v>
      </c>
      <c r="AL149" s="699"/>
      <c r="AM149" s="699"/>
      <c r="AN149" s="699"/>
      <c r="AO149" s="696" t="s">
        <v>1018</v>
      </c>
      <c r="AP149" s="699"/>
      <c r="AQ149" s="699"/>
      <c r="AR149" s="699"/>
      <c r="AS149" s="699"/>
      <c r="AT149" s="712"/>
      <c r="AU149" s="715"/>
      <c r="AV149" s="716"/>
      <c r="AW149" s="716"/>
      <c r="AX149" s="716"/>
      <c r="AY149" s="716"/>
      <c r="AZ149" s="716"/>
      <c r="BA149" s="716"/>
      <c r="BB149" s="716"/>
      <c r="BC149" s="716"/>
      <c r="BD149" s="716"/>
      <c r="BE149" s="715"/>
      <c r="BF149" s="715"/>
      <c r="BG149" s="715"/>
      <c r="BH149" s="715"/>
      <c r="BI149" s="715"/>
      <c r="BJ149" s="715"/>
      <c r="BK149" s="715"/>
      <c r="BL149" s="715"/>
      <c r="BM149" s="715"/>
      <c r="BN149" s="715"/>
      <c r="BO149" s="715"/>
      <c r="BP149" s="715"/>
      <c r="BQ149" s="715"/>
      <c r="BR149" s="715"/>
      <c r="BS149" s="715"/>
      <c r="BT149" s="715"/>
      <c r="BU149" s="715"/>
      <c r="BV149" s="715"/>
      <c r="BW149" s="715"/>
      <c r="BX149" s="718"/>
      <c r="BY149" s="718"/>
      <c r="BZ149" s="718"/>
      <c r="CA149" s="715"/>
      <c r="CB149" s="718"/>
      <c r="CC149" s="718"/>
      <c r="CD149" s="718"/>
      <c r="CE149" s="718"/>
      <c r="CF149" s="720"/>
    </row>
    <row r="150" spans="2:84" s="436" customFormat="1" ht="14.5" outlineLevel="1" x14ac:dyDescent="0.35">
      <c r="B150" s="433">
        <v>26</v>
      </c>
      <c r="C150" s="434" t="s">
        <v>801</v>
      </c>
      <c r="D150" s="340" t="s">
        <v>242</v>
      </c>
      <c r="E150" s="340" t="s">
        <v>243</v>
      </c>
      <c r="F150" s="340" t="s">
        <v>260</v>
      </c>
      <c r="G150" s="288">
        <v>1547.07</v>
      </c>
      <c r="H150" s="435">
        <v>1826</v>
      </c>
      <c r="I150" s="696" t="s">
        <v>1018</v>
      </c>
      <c r="J150" s="697"/>
      <c r="K150" s="697"/>
      <c r="L150" s="697"/>
      <c r="M150" s="697"/>
      <c r="N150" s="697"/>
      <c r="O150" s="697"/>
      <c r="P150" s="697"/>
      <c r="Q150" s="697"/>
      <c r="R150" s="697"/>
      <c r="S150" s="696"/>
      <c r="T150" s="696"/>
      <c r="U150" s="696"/>
      <c r="V150" s="696"/>
      <c r="W150" s="696"/>
      <c r="X150" s="696"/>
      <c r="Y150" s="696"/>
      <c r="Z150" s="696"/>
      <c r="AA150" s="696"/>
      <c r="AB150" s="696"/>
      <c r="AC150" s="696"/>
      <c r="AD150" s="696"/>
      <c r="AE150" s="696"/>
      <c r="AF150" s="696"/>
      <c r="AG150" s="696"/>
      <c r="AH150" s="696"/>
      <c r="AI150" s="696"/>
      <c r="AJ150" s="696"/>
      <c r="AK150" s="696" t="s">
        <v>1018</v>
      </c>
      <c r="AL150" s="699"/>
      <c r="AM150" s="699"/>
      <c r="AN150" s="699"/>
      <c r="AO150" s="696" t="s">
        <v>1018</v>
      </c>
      <c r="AP150" s="699"/>
      <c r="AQ150" s="699"/>
      <c r="AR150" s="699"/>
      <c r="AS150" s="699"/>
      <c r="AT150" s="712"/>
      <c r="AU150" s="715"/>
      <c r="AV150" s="716"/>
      <c r="AW150" s="716"/>
      <c r="AX150" s="716"/>
      <c r="AY150" s="716"/>
      <c r="AZ150" s="716"/>
      <c r="BA150" s="716"/>
      <c r="BB150" s="716"/>
      <c r="BC150" s="716"/>
      <c r="BD150" s="716"/>
      <c r="BE150" s="715"/>
      <c r="BF150" s="715"/>
      <c r="BG150" s="715"/>
      <c r="BH150" s="715"/>
      <c r="BI150" s="715"/>
      <c r="BJ150" s="715"/>
      <c r="BK150" s="715"/>
      <c r="BL150" s="715"/>
      <c r="BM150" s="715"/>
      <c r="BN150" s="715"/>
      <c r="BO150" s="715"/>
      <c r="BP150" s="715"/>
      <c r="BQ150" s="715"/>
      <c r="BR150" s="715"/>
      <c r="BS150" s="715"/>
      <c r="BT150" s="715"/>
      <c r="BU150" s="715"/>
      <c r="BV150" s="715"/>
      <c r="BW150" s="715"/>
      <c r="BX150" s="718"/>
      <c r="BY150" s="718"/>
      <c r="BZ150" s="718"/>
      <c r="CA150" s="715"/>
      <c r="CB150" s="718"/>
      <c r="CC150" s="718"/>
      <c r="CD150" s="718"/>
      <c r="CE150" s="718"/>
      <c r="CF150" s="720"/>
    </row>
    <row r="151" spans="2:84" s="436" customFormat="1" ht="14.5" outlineLevel="1" x14ac:dyDescent="0.35">
      <c r="B151" s="433">
        <v>27</v>
      </c>
      <c r="C151" s="434" t="s">
        <v>830</v>
      </c>
      <c r="D151" s="340" t="s">
        <v>242</v>
      </c>
      <c r="E151" s="340" t="s">
        <v>243</v>
      </c>
      <c r="F151" s="340" t="s">
        <v>260</v>
      </c>
      <c r="G151" s="288">
        <v>1969.23</v>
      </c>
      <c r="H151" s="435">
        <v>2326</v>
      </c>
      <c r="I151" s="696" t="s">
        <v>1018</v>
      </c>
      <c r="J151" s="697"/>
      <c r="K151" s="697"/>
      <c r="L151" s="697"/>
      <c r="M151" s="697"/>
      <c r="N151" s="697"/>
      <c r="O151" s="697"/>
      <c r="P151" s="697"/>
      <c r="Q151" s="697"/>
      <c r="R151" s="697"/>
      <c r="S151" s="696"/>
      <c r="T151" s="696"/>
      <c r="U151" s="696"/>
      <c r="V151" s="696"/>
      <c r="W151" s="696"/>
      <c r="X151" s="696"/>
      <c r="Y151" s="696"/>
      <c r="Z151" s="696"/>
      <c r="AA151" s="696"/>
      <c r="AB151" s="696"/>
      <c r="AC151" s="696"/>
      <c r="AD151" s="696"/>
      <c r="AE151" s="696"/>
      <c r="AF151" s="696"/>
      <c r="AG151" s="696"/>
      <c r="AH151" s="696"/>
      <c r="AI151" s="696"/>
      <c r="AJ151" s="696"/>
      <c r="AK151" s="696" t="s">
        <v>1018</v>
      </c>
      <c r="AL151" s="699"/>
      <c r="AM151" s="699"/>
      <c r="AN151" s="699"/>
      <c r="AO151" s="696" t="s">
        <v>1018</v>
      </c>
      <c r="AP151" s="699"/>
      <c r="AQ151" s="699"/>
      <c r="AR151" s="699"/>
      <c r="AS151" s="699"/>
      <c r="AT151" s="712"/>
      <c r="AU151" s="715"/>
      <c r="AV151" s="716"/>
      <c r="AW151" s="716"/>
      <c r="AX151" s="716"/>
      <c r="AY151" s="716"/>
      <c r="AZ151" s="716"/>
      <c r="BA151" s="716"/>
      <c r="BB151" s="716"/>
      <c r="BC151" s="716"/>
      <c r="BD151" s="716"/>
      <c r="BE151" s="715"/>
      <c r="BF151" s="715"/>
      <c r="BG151" s="715"/>
      <c r="BH151" s="715"/>
      <c r="BI151" s="715"/>
      <c r="BJ151" s="715"/>
      <c r="BK151" s="715"/>
      <c r="BL151" s="715"/>
      <c r="BM151" s="715"/>
      <c r="BN151" s="715"/>
      <c r="BO151" s="715"/>
      <c r="BP151" s="715"/>
      <c r="BQ151" s="715"/>
      <c r="BR151" s="715"/>
      <c r="BS151" s="715"/>
      <c r="BT151" s="715"/>
      <c r="BU151" s="715"/>
      <c r="BV151" s="715"/>
      <c r="BW151" s="715"/>
      <c r="BX151" s="718"/>
      <c r="BY151" s="718"/>
      <c r="BZ151" s="718"/>
      <c r="CA151" s="715"/>
      <c r="CB151" s="718"/>
      <c r="CC151" s="718"/>
      <c r="CD151" s="718"/>
      <c r="CE151" s="718"/>
      <c r="CF151" s="720"/>
    </row>
    <row r="152" spans="2:84" s="436" customFormat="1" ht="14.5" outlineLevel="1" x14ac:dyDescent="0.35">
      <c r="B152" s="433">
        <v>28</v>
      </c>
      <c r="C152" s="434" t="s">
        <v>201</v>
      </c>
      <c r="D152" s="340" t="s">
        <v>242</v>
      </c>
      <c r="E152" s="340" t="s">
        <v>241</v>
      </c>
      <c r="F152" s="340" t="s">
        <v>260</v>
      </c>
      <c r="G152" s="435">
        <v>349</v>
      </c>
      <c r="H152" s="435">
        <v>404.84</v>
      </c>
      <c r="I152" s="696" t="s">
        <v>1018</v>
      </c>
      <c r="J152" s="697"/>
      <c r="K152" s="697"/>
      <c r="L152" s="697"/>
      <c r="M152" s="697"/>
      <c r="N152" s="697"/>
      <c r="O152" s="697"/>
      <c r="P152" s="697"/>
      <c r="Q152" s="697"/>
      <c r="R152" s="697"/>
      <c r="S152" s="696"/>
      <c r="T152" s="696"/>
      <c r="U152" s="696"/>
      <c r="V152" s="696"/>
      <c r="W152" s="696"/>
      <c r="X152" s="696"/>
      <c r="Y152" s="696"/>
      <c r="Z152" s="696"/>
      <c r="AA152" s="696"/>
      <c r="AB152" s="696"/>
      <c r="AC152" s="696"/>
      <c r="AD152" s="696"/>
      <c r="AE152" s="696"/>
      <c r="AF152" s="696"/>
      <c r="AG152" s="696"/>
      <c r="AH152" s="696"/>
      <c r="AI152" s="696"/>
      <c r="AJ152" s="696"/>
      <c r="AK152" s="696" t="s">
        <v>1018</v>
      </c>
      <c r="AL152" s="699"/>
      <c r="AM152" s="699"/>
      <c r="AN152" s="699"/>
      <c r="AO152" s="696" t="s">
        <v>1018</v>
      </c>
      <c r="AP152" s="699"/>
      <c r="AQ152" s="699"/>
      <c r="AR152" s="699"/>
      <c r="AS152" s="699"/>
      <c r="AT152" s="712"/>
      <c r="AU152" s="715"/>
      <c r="AV152" s="716"/>
      <c r="AW152" s="716"/>
      <c r="AX152" s="716"/>
      <c r="AY152" s="716"/>
      <c r="AZ152" s="716"/>
      <c r="BA152" s="716"/>
      <c r="BB152" s="716"/>
      <c r="BC152" s="716"/>
      <c r="BD152" s="716"/>
      <c r="BE152" s="715"/>
      <c r="BF152" s="715"/>
      <c r="BG152" s="715"/>
      <c r="BH152" s="715"/>
      <c r="BI152" s="715"/>
      <c r="BJ152" s="715"/>
      <c r="BK152" s="715"/>
      <c r="BL152" s="715"/>
      <c r="BM152" s="715"/>
      <c r="BN152" s="715"/>
      <c r="BO152" s="715"/>
      <c r="BP152" s="715"/>
      <c r="BQ152" s="715"/>
      <c r="BR152" s="715"/>
      <c r="BS152" s="715"/>
      <c r="BT152" s="715"/>
      <c r="BU152" s="715"/>
      <c r="BV152" s="715"/>
      <c r="BW152" s="715"/>
      <c r="BX152" s="718"/>
      <c r="BY152" s="718"/>
      <c r="BZ152" s="718"/>
      <c r="CA152" s="715"/>
      <c r="CB152" s="718"/>
      <c r="CC152" s="718"/>
      <c r="CD152" s="718"/>
      <c r="CE152" s="718"/>
      <c r="CF152" s="720"/>
    </row>
    <row r="153" spans="2:84" s="436" customFormat="1" ht="14.5" outlineLevel="1" x14ac:dyDescent="0.35">
      <c r="B153" s="433">
        <v>29</v>
      </c>
      <c r="C153" s="434" t="s">
        <v>202</v>
      </c>
      <c r="D153" s="340" t="s">
        <v>242</v>
      </c>
      <c r="E153" s="340" t="s">
        <v>241</v>
      </c>
      <c r="F153" s="340" t="s">
        <v>260</v>
      </c>
      <c r="G153" s="288">
        <v>608.69000000000005</v>
      </c>
      <c r="H153" s="435">
        <v>706.08</v>
      </c>
      <c r="I153" s="696" t="s">
        <v>1018</v>
      </c>
      <c r="J153" s="697"/>
      <c r="K153" s="697"/>
      <c r="L153" s="697"/>
      <c r="M153" s="697"/>
      <c r="N153" s="697"/>
      <c r="O153" s="697"/>
      <c r="P153" s="697"/>
      <c r="Q153" s="697"/>
      <c r="R153" s="697"/>
      <c r="S153" s="696"/>
      <c r="T153" s="696"/>
      <c r="U153" s="696"/>
      <c r="V153" s="696"/>
      <c r="W153" s="696"/>
      <c r="X153" s="696"/>
      <c r="Y153" s="696"/>
      <c r="Z153" s="696"/>
      <c r="AA153" s="696"/>
      <c r="AB153" s="696"/>
      <c r="AC153" s="696"/>
      <c r="AD153" s="696"/>
      <c r="AE153" s="696"/>
      <c r="AF153" s="696"/>
      <c r="AG153" s="696"/>
      <c r="AH153" s="696"/>
      <c r="AI153" s="696"/>
      <c r="AJ153" s="696"/>
      <c r="AK153" s="696" t="s">
        <v>1018</v>
      </c>
      <c r="AL153" s="699"/>
      <c r="AM153" s="699"/>
      <c r="AN153" s="699"/>
      <c r="AO153" s="696" t="s">
        <v>1018</v>
      </c>
      <c r="AP153" s="699"/>
      <c r="AQ153" s="699"/>
      <c r="AR153" s="699"/>
      <c r="AS153" s="699"/>
      <c r="AT153" s="712"/>
      <c r="AU153" s="715"/>
      <c r="AV153" s="716"/>
      <c r="AW153" s="716"/>
      <c r="AX153" s="716"/>
      <c r="AY153" s="716"/>
      <c r="AZ153" s="716"/>
      <c r="BA153" s="716"/>
      <c r="BB153" s="716"/>
      <c r="BC153" s="716"/>
      <c r="BD153" s="716"/>
      <c r="BE153" s="715"/>
      <c r="BF153" s="715"/>
      <c r="BG153" s="715"/>
      <c r="BH153" s="715"/>
      <c r="BI153" s="715"/>
      <c r="BJ153" s="715"/>
      <c r="BK153" s="715"/>
      <c r="BL153" s="715"/>
      <c r="BM153" s="715"/>
      <c r="BN153" s="715"/>
      <c r="BO153" s="715"/>
      <c r="BP153" s="715"/>
      <c r="BQ153" s="715"/>
      <c r="BR153" s="715"/>
      <c r="BS153" s="715"/>
      <c r="BT153" s="715"/>
      <c r="BU153" s="715"/>
      <c r="BV153" s="715"/>
      <c r="BW153" s="715"/>
      <c r="BX153" s="718"/>
      <c r="BY153" s="718"/>
      <c r="BZ153" s="718"/>
      <c r="CA153" s="715"/>
      <c r="CB153" s="718"/>
      <c r="CC153" s="718"/>
      <c r="CD153" s="718"/>
      <c r="CE153" s="718"/>
      <c r="CF153" s="720"/>
    </row>
    <row r="154" spans="2:84" s="436" customFormat="1" ht="14.5" outlineLevel="1" x14ac:dyDescent="0.35">
      <c r="B154" s="433">
        <v>30</v>
      </c>
      <c r="C154" s="434" t="s">
        <v>203</v>
      </c>
      <c r="D154" s="340" t="s">
        <v>242</v>
      </c>
      <c r="E154" s="340" t="s">
        <v>241</v>
      </c>
      <c r="F154" s="340" t="s">
        <v>260</v>
      </c>
      <c r="G154" s="435">
        <v>1042.5999999999999</v>
      </c>
      <c r="H154" s="435">
        <v>1209.42</v>
      </c>
      <c r="I154" s="696" t="s">
        <v>1018</v>
      </c>
      <c r="J154" s="697"/>
      <c r="K154" s="697"/>
      <c r="L154" s="697"/>
      <c r="M154" s="697"/>
      <c r="N154" s="697"/>
      <c r="O154" s="697"/>
      <c r="P154" s="697"/>
      <c r="Q154" s="697"/>
      <c r="R154" s="697"/>
      <c r="S154" s="696"/>
      <c r="T154" s="696"/>
      <c r="U154" s="696"/>
      <c r="V154" s="696"/>
      <c r="W154" s="696"/>
      <c r="X154" s="696"/>
      <c r="Y154" s="696"/>
      <c r="Z154" s="696"/>
      <c r="AA154" s="696"/>
      <c r="AB154" s="696"/>
      <c r="AC154" s="696"/>
      <c r="AD154" s="696"/>
      <c r="AE154" s="696"/>
      <c r="AF154" s="696"/>
      <c r="AG154" s="696"/>
      <c r="AH154" s="696"/>
      <c r="AI154" s="696"/>
      <c r="AJ154" s="696"/>
      <c r="AK154" s="696" t="s">
        <v>1018</v>
      </c>
      <c r="AL154" s="699"/>
      <c r="AM154" s="699"/>
      <c r="AN154" s="699"/>
      <c r="AO154" s="696" t="s">
        <v>1018</v>
      </c>
      <c r="AP154" s="699"/>
      <c r="AQ154" s="699"/>
      <c r="AR154" s="699"/>
      <c r="AS154" s="699"/>
      <c r="AT154" s="712"/>
      <c r="AU154" s="715"/>
      <c r="AV154" s="716"/>
      <c r="AW154" s="716"/>
      <c r="AX154" s="716"/>
      <c r="AY154" s="716"/>
      <c r="AZ154" s="716"/>
      <c r="BA154" s="716"/>
      <c r="BB154" s="716"/>
      <c r="BC154" s="716"/>
      <c r="BD154" s="716"/>
      <c r="BE154" s="715"/>
      <c r="BF154" s="715"/>
      <c r="BG154" s="715"/>
      <c r="BH154" s="715"/>
      <c r="BI154" s="715"/>
      <c r="BJ154" s="715"/>
      <c r="BK154" s="715"/>
      <c r="BL154" s="715"/>
      <c r="BM154" s="715"/>
      <c r="BN154" s="715"/>
      <c r="BO154" s="715"/>
      <c r="BP154" s="715"/>
      <c r="BQ154" s="715"/>
      <c r="BR154" s="715"/>
      <c r="BS154" s="715"/>
      <c r="BT154" s="715"/>
      <c r="BU154" s="715"/>
      <c r="BV154" s="715"/>
      <c r="BW154" s="715"/>
      <c r="BX154" s="718"/>
      <c r="BY154" s="718"/>
      <c r="BZ154" s="718"/>
      <c r="CA154" s="715"/>
      <c r="CB154" s="718"/>
      <c r="CC154" s="718"/>
      <c r="CD154" s="718"/>
      <c r="CE154" s="718"/>
      <c r="CF154" s="720"/>
    </row>
    <row r="155" spans="2:84" s="436" customFormat="1" ht="14.5" outlineLevel="1" x14ac:dyDescent="0.35">
      <c r="B155" s="433">
        <v>31</v>
      </c>
      <c r="C155" s="434" t="s">
        <v>854</v>
      </c>
      <c r="D155" s="340" t="s">
        <v>240</v>
      </c>
      <c r="E155" s="340" t="s">
        <v>243</v>
      </c>
      <c r="F155" s="340" t="s">
        <v>260</v>
      </c>
      <c r="G155" s="288">
        <v>432.24</v>
      </c>
      <c r="H155" s="435">
        <v>509</v>
      </c>
      <c r="I155" s="696" t="s">
        <v>1018</v>
      </c>
      <c r="J155" s="697"/>
      <c r="K155" s="697"/>
      <c r="L155" s="697"/>
      <c r="M155" s="697"/>
      <c r="N155" s="697"/>
      <c r="O155" s="697"/>
      <c r="P155" s="697"/>
      <c r="Q155" s="697"/>
      <c r="R155" s="697"/>
      <c r="S155" s="696"/>
      <c r="T155" s="696"/>
      <c r="U155" s="698"/>
      <c r="V155" s="698"/>
      <c r="W155" s="698"/>
      <c r="X155" s="698"/>
      <c r="Y155" s="698"/>
      <c r="Z155" s="698"/>
      <c r="AA155" s="698"/>
      <c r="AB155" s="698"/>
      <c r="AC155" s="698"/>
      <c r="AD155" s="698"/>
      <c r="AE155" s="698"/>
      <c r="AF155" s="698"/>
      <c r="AG155" s="698"/>
      <c r="AH155" s="698"/>
      <c r="AI155" s="698"/>
      <c r="AJ155" s="698"/>
      <c r="AK155" s="696" t="s">
        <v>1018</v>
      </c>
      <c r="AL155" s="699"/>
      <c r="AM155" s="699"/>
      <c r="AN155" s="699"/>
      <c r="AO155" s="696" t="s">
        <v>1018</v>
      </c>
      <c r="AP155" s="699"/>
      <c r="AQ155" s="699"/>
      <c r="AR155" s="699"/>
      <c r="AS155" s="699"/>
      <c r="AT155" s="712"/>
      <c r="AU155" s="715"/>
      <c r="AV155" s="716"/>
      <c r="AW155" s="716"/>
      <c r="AX155" s="716"/>
      <c r="AY155" s="716"/>
      <c r="AZ155" s="716"/>
      <c r="BA155" s="716"/>
      <c r="BB155" s="716"/>
      <c r="BC155" s="716"/>
      <c r="BD155" s="716"/>
      <c r="BE155" s="715"/>
      <c r="BF155" s="715"/>
      <c r="BG155" s="717"/>
      <c r="BH155" s="717"/>
      <c r="BI155" s="717"/>
      <c r="BJ155" s="717"/>
      <c r="BK155" s="717"/>
      <c r="BL155" s="717"/>
      <c r="BM155" s="717"/>
      <c r="BN155" s="717"/>
      <c r="BO155" s="717"/>
      <c r="BP155" s="717"/>
      <c r="BQ155" s="717"/>
      <c r="BR155" s="717"/>
      <c r="BS155" s="717"/>
      <c r="BT155" s="717"/>
      <c r="BU155" s="717"/>
      <c r="BV155" s="717"/>
      <c r="BW155" s="715"/>
      <c r="BX155" s="718"/>
      <c r="BY155" s="718"/>
      <c r="BZ155" s="718"/>
      <c r="CA155" s="715"/>
      <c r="CB155" s="718"/>
      <c r="CC155" s="718"/>
      <c r="CD155" s="718"/>
      <c r="CE155" s="718"/>
      <c r="CF155" s="720"/>
    </row>
    <row r="156" spans="2:84" s="436" customFormat="1" ht="14.5" outlineLevel="1" x14ac:dyDescent="0.35">
      <c r="B156" s="433">
        <v>32</v>
      </c>
      <c r="C156" s="434" t="s">
        <v>855</v>
      </c>
      <c r="D156" s="340" t="s">
        <v>240</v>
      </c>
      <c r="E156" s="340" t="s">
        <v>243</v>
      </c>
      <c r="F156" s="340" t="s">
        <v>260</v>
      </c>
      <c r="G156" s="288">
        <v>501.2</v>
      </c>
      <c r="H156" s="435">
        <v>589</v>
      </c>
      <c r="I156" s="696" t="s">
        <v>1018</v>
      </c>
      <c r="J156" s="697"/>
      <c r="K156" s="697"/>
      <c r="L156" s="697"/>
      <c r="M156" s="697"/>
      <c r="N156" s="697"/>
      <c r="O156" s="697"/>
      <c r="P156" s="697"/>
      <c r="Q156" s="697"/>
      <c r="R156" s="697"/>
      <c r="S156" s="696"/>
      <c r="T156" s="696"/>
      <c r="U156" s="698"/>
      <c r="V156" s="698"/>
      <c r="W156" s="698"/>
      <c r="X156" s="698"/>
      <c r="Y156" s="698"/>
      <c r="Z156" s="698"/>
      <c r="AA156" s="698"/>
      <c r="AB156" s="698"/>
      <c r="AC156" s="698"/>
      <c r="AD156" s="698"/>
      <c r="AE156" s="698"/>
      <c r="AF156" s="698"/>
      <c r="AG156" s="698"/>
      <c r="AH156" s="698"/>
      <c r="AI156" s="698"/>
      <c r="AJ156" s="698"/>
      <c r="AK156" s="696" t="s">
        <v>1018</v>
      </c>
      <c r="AL156" s="699"/>
      <c r="AM156" s="699"/>
      <c r="AN156" s="699"/>
      <c r="AO156" s="696" t="s">
        <v>1018</v>
      </c>
      <c r="AP156" s="699"/>
      <c r="AQ156" s="699"/>
      <c r="AR156" s="699"/>
      <c r="AS156" s="699"/>
      <c r="AT156" s="712"/>
      <c r="AU156" s="715"/>
      <c r="AV156" s="716"/>
      <c r="AW156" s="716"/>
      <c r="AX156" s="716"/>
      <c r="AY156" s="716"/>
      <c r="AZ156" s="716"/>
      <c r="BA156" s="716"/>
      <c r="BB156" s="716"/>
      <c r="BC156" s="716"/>
      <c r="BD156" s="716"/>
      <c r="BE156" s="715"/>
      <c r="BF156" s="715"/>
      <c r="BG156" s="717"/>
      <c r="BH156" s="717"/>
      <c r="BI156" s="717"/>
      <c r="BJ156" s="717"/>
      <c r="BK156" s="717"/>
      <c r="BL156" s="717"/>
      <c r="BM156" s="717"/>
      <c r="BN156" s="717"/>
      <c r="BO156" s="717"/>
      <c r="BP156" s="717"/>
      <c r="BQ156" s="717"/>
      <c r="BR156" s="717"/>
      <c r="BS156" s="717"/>
      <c r="BT156" s="717"/>
      <c r="BU156" s="717"/>
      <c r="BV156" s="717"/>
      <c r="BW156" s="715"/>
      <c r="BX156" s="718"/>
      <c r="BY156" s="718"/>
      <c r="BZ156" s="718"/>
      <c r="CA156" s="715"/>
      <c r="CB156" s="718"/>
      <c r="CC156" s="718"/>
      <c r="CD156" s="718"/>
      <c r="CE156" s="718"/>
      <c r="CF156" s="720"/>
    </row>
    <row r="157" spans="2:84" s="436" customFormat="1" ht="14.5" outlineLevel="1" x14ac:dyDescent="0.35">
      <c r="B157" s="433">
        <v>33</v>
      </c>
      <c r="C157" s="434" t="s">
        <v>856</v>
      </c>
      <c r="D157" s="340" t="s">
        <v>240</v>
      </c>
      <c r="E157" s="340" t="s">
        <v>243</v>
      </c>
      <c r="F157" s="340" t="s">
        <v>260</v>
      </c>
      <c r="G157" s="288">
        <v>570.16999999999996</v>
      </c>
      <c r="H157" s="435">
        <v>669</v>
      </c>
      <c r="I157" s="696" t="s">
        <v>1018</v>
      </c>
      <c r="J157" s="697"/>
      <c r="K157" s="697"/>
      <c r="L157" s="697"/>
      <c r="M157" s="697"/>
      <c r="N157" s="697"/>
      <c r="O157" s="697"/>
      <c r="P157" s="697"/>
      <c r="Q157" s="697"/>
      <c r="R157" s="697"/>
      <c r="S157" s="696"/>
      <c r="T157" s="696"/>
      <c r="U157" s="698"/>
      <c r="V157" s="698"/>
      <c r="W157" s="698"/>
      <c r="X157" s="698"/>
      <c r="Y157" s="698"/>
      <c r="Z157" s="698"/>
      <c r="AA157" s="698"/>
      <c r="AB157" s="698"/>
      <c r="AC157" s="698"/>
      <c r="AD157" s="698"/>
      <c r="AE157" s="698"/>
      <c r="AF157" s="698"/>
      <c r="AG157" s="698"/>
      <c r="AH157" s="698"/>
      <c r="AI157" s="698"/>
      <c r="AJ157" s="698"/>
      <c r="AK157" s="696" t="s">
        <v>1018</v>
      </c>
      <c r="AL157" s="699"/>
      <c r="AM157" s="699"/>
      <c r="AN157" s="699"/>
      <c r="AO157" s="696" t="s">
        <v>1018</v>
      </c>
      <c r="AP157" s="699"/>
      <c r="AQ157" s="699"/>
      <c r="AR157" s="699"/>
      <c r="AS157" s="699"/>
      <c r="AT157" s="712"/>
      <c r="AU157" s="715"/>
      <c r="AV157" s="716"/>
      <c r="AW157" s="716"/>
      <c r="AX157" s="716"/>
      <c r="AY157" s="716"/>
      <c r="AZ157" s="716"/>
      <c r="BA157" s="716"/>
      <c r="BB157" s="716"/>
      <c r="BC157" s="716"/>
      <c r="BD157" s="716"/>
      <c r="BE157" s="715"/>
      <c r="BF157" s="715"/>
      <c r="BG157" s="717"/>
      <c r="BH157" s="717"/>
      <c r="BI157" s="717"/>
      <c r="BJ157" s="717"/>
      <c r="BK157" s="717"/>
      <c r="BL157" s="717"/>
      <c r="BM157" s="717"/>
      <c r="BN157" s="717"/>
      <c r="BO157" s="717"/>
      <c r="BP157" s="717"/>
      <c r="BQ157" s="717"/>
      <c r="BR157" s="717"/>
      <c r="BS157" s="717"/>
      <c r="BT157" s="717"/>
      <c r="BU157" s="717"/>
      <c r="BV157" s="717"/>
      <c r="BW157" s="715"/>
      <c r="BX157" s="718"/>
      <c r="BY157" s="718"/>
      <c r="BZ157" s="718"/>
      <c r="CA157" s="715"/>
      <c r="CB157" s="718"/>
      <c r="CC157" s="718"/>
      <c r="CD157" s="718"/>
      <c r="CE157" s="718"/>
      <c r="CF157" s="720"/>
    </row>
    <row r="158" spans="2:84" s="436" customFormat="1" ht="14.5" outlineLevel="1" x14ac:dyDescent="0.35">
      <c r="B158" s="433">
        <v>34</v>
      </c>
      <c r="C158" s="434" t="s">
        <v>857</v>
      </c>
      <c r="D158" s="340" t="s">
        <v>240</v>
      </c>
      <c r="E158" s="340" t="s">
        <v>243</v>
      </c>
      <c r="F158" s="340" t="s">
        <v>260</v>
      </c>
      <c r="G158" s="288">
        <v>534.97</v>
      </c>
      <c r="H158" s="435">
        <v>629</v>
      </c>
      <c r="I158" s="696" t="s">
        <v>1018</v>
      </c>
      <c r="J158" s="697"/>
      <c r="K158" s="697"/>
      <c r="L158" s="697"/>
      <c r="M158" s="697"/>
      <c r="N158" s="697"/>
      <c r="O158" s="697"/>
      <c r="P158" s="697"/>
      <c r="Q158" s="697"/>
      <c r="R158" s="697"/>
      <c r="S158" s="696"/>
      <c r="T158" s="696"/>
      <c r="U158" s="698"/>
      <c r="V158" s="698"/>
      <c r="W158" s="698"/>
      <c r="X158" s="698"/>
      <c r="Y158" s="698"/>
      <c r="Z158" s="698"/>
      <c r="AA158" s="698"/>
      <c r="AB158" s="698"/>
      <c r="AC158" s="698"/>
      <c r="AD158" s="698"/>
      <c r="AE158" s="698"/>
      <c r="AF158" s="698"/>
      <c r="AG158" s="698"/>
      <c r="AH158" s="698"/>
      <c r="AI158" s="698"/>
      <c r="AJ158" s="698"/>
      <c r="AK158" s="696" t="s">
        <v>1018</v>
      </c>
      <c r="AL158" s="699"/>
      <c r="AM158" s="699"/>
      <c r="AN158" s="699"/>
      <c r="AO158" s="696" t="s">
        <v>1018</v>
      </c>
      <c r="AP158" s="699"/>
      <c r="AQ158" s="699"/>
      <c r="AR158" s="699"/>
      <c r="AS158" s="699"/>
      <c r="AT158" s="712"/>
      <c r="AU158" s="715"/>
      <c r="AV158" s="716"/>
      <c r="AW158" s="716"/>
      <c r="AX158" s="716"/>
      <c r="AY158" s="716"/>
      <c r="AZ158" s="716"/>
      <c r="BA158" s="716"/>
      <c r="BB158" s="716"/>
      <c r="BC158" s="716"/>
      <c r="BD158" s="716"/>
      <c r="BE158" s="715"/>
      <c r="BF158" s="715"/>
      <c r="BG158" s="717"/>
      <c r="BH158" s="717"/>
      <c r="BI158" s="717"/>
      <c r="BJ158" s="717"/>
      <c r="BK158" s="717"/>
      <c r="BL158" s="717"/>
      <c r="BM158" s="717"/>
      <c r="BN158" s="717"/>
      <c r="BO158" s="717"/>
      <c r="BP158" s="717"/>
      <c r="BQ158" s="717"/>
      <c r="BR158" s="717"/>
      <c r="BS158" s="717"/>
      <c r="BT158" s="717"/>
      <c r="BU158" s="717"/>
      <c r="BV158" s="717"/>
      <c r="BW158" s="715"/>
      <c r="BX158" s="718"/>
      <c r="BY158" s="718"/>
      <c r="BZ158" s="718"/>
      <c r="CA158" s="715"/>
      <c r="CB158" s="718"/>
      <c r="CC158" s="718"/>
      <c r="CD158" s="718"/>
      <c r="CE158" s="718"/>
      <c r="CF158" s="720"/>
    </row>
    <row r="159" spans="2:84" s="436" customFormat="1" ht="14.5" outlineLevel="1" x14ac:dyDescent="0.35">
      <c r="B159" s="433">
        <v>35</v>
      </c>
      <c r="C159" s="434" t="s">
        <v>858</v>
      </c>
      <c r="D159" s="340" t="s">
        <v>240</v>
      </c>
      <c r="E159" s="340" t="s">
        <v>243</v>
      </c>
      <c r="F159" s="340" t="s">
        <v>260</v>
      </c>
      <c r="G159" s="288">
        <v>603.94000000000005</v>
      </c>
      <c r="H159" s="435">
        <v>709</v>
      </c>
      <c r="I159" s="696" t="s">
        <v>1018</v>
      </c>
      <c r="J159" s="697"/>
      <c r="K159" s="697"/>
      <c r="L159" s="697"/>
      <c r="M159" s="697"/>
      <c r="N159" s="697"/>
      <c r="O159" s="697"/>
      <c r="P159" s="697"/>
      <c r="Q159" s="697"/>
      <c r="R159" s="697"/>
      <c r="S159" s="696"/>
      <c r="T159" s="696"/>
      <c r="U159" s="698"/>
      <c r="V159" s="698"/>
      <c r="W159" s="698"/>
      <c r="X159" s="698"/>
      <c r="Y159" s="698"/>
      <c r="Z159" s="698"/>
      <c r="AA159" s="698"/>
      <c r="AB159" s="698"/>
      <c r="AC159" s="698"/>
      <c r="AD159" s="698"/>
      <c r="AE159" s="698"/>
      <c r="AF159" s="698"/>
      <c r="AG159" s="698"/>
      <c r="AH159" s="698"/>
      <c r="AI159" s="698"/>
      <c r="AJ159" s="698"/>
      <c r="AK159" s="696" t="s">
        <v>1018</v>
      </c>
      <c r="AL159" s="699"/>
      <c r="AM159" s="699"/>
      <c r="AN159" s="699"/>
      <c r="AO159" s="696" t="s">
        <v>1018</v>
      </c>
      <c r="AP159" s="699"/>
      <c r="AQ159" s="699"/>
      <c r="AR159" s="699"/>
      <c r="AS159" s="699"/>
      <c r="AT159" s="712"/>
      <c r="AU159" s="715"/>
      <c r="AV159" s="716"/>
      <c r="AW159" s="716"/>
      <c r="AX159" s="716"/>
      <c r="AY159" s="716"/>
      <c r="AZ159" s="716"/>
      <c r="BA159" s="716"/>
      <c r="BB159" s="716"/>
      <c r="BC159" s="716"/>
      <c r="BD159" s="716"/>
      <c r="BE159" s="715"/>
      <c r="BF159" s="715"/>
      <c r="BG159" s="717"/>
      <c r="BH159" s="717"/>
      <c r="BI159" s="717"/>
      <c r="BJ159" s="717"/>
      <c r="BK159" s="717"/>
      <c r="BL159" s="717"/>
      <c r="BM159" s="717"/>
      <c r="BN159" s="717"/>
      <c r="BO159" s="717"/>
      <c r="BP159" s="717"/>
      <c r="BQ159" s="717"/>
      <c r="BR159" s="717"/>
      <c r="BS159" s="717"/>
      <c r="BT159" s="717"/>
      <c r="BU159" s="717"/>
      <c r="BV159" s="717"/>
      <c r="BW159" s="715"/>
      <c r="BX159" s="718"/>
      <c r="BY159" s="718"/>
      <c r="BZ159" s="718"/>
      <c r="CA159" s="715"/>
      <c r="CB159" s="718"/>
      <c r="CC159" s="718"/>
      <c r="CD159" s="718"/>
      <c r="CE159" s="718"/>
      <c r="CF159" s="720"/>
    </row>
    <row r="160" spans="2:84" s="436" customFormat="1" ht="14.5" outlineLevel="1" x14ac:dyDescent="0.35">
      <c r="B160" s="433">
        <v>36</v>
      </c>
      <c r="C160" s="434" t="s">
        <v>859</v>
      </c>
      <c r="D160" s="340" t="s">
        <v>240</v>
      </c>
      <c r="E160" s="340" t="s">
        <v>243</v>
      </c>
      <c r="F160" s="340" t="s">
        <v>260</v>
      </c>
      <c r="G160" s="288">
        <v>585.63</v>
      </c>
      <c r="H160" s="435">
        <v>689</v>
      </c>
      <c r="I160" s="696" t="s">
        <v>1018</v>
      </c>
      <c r="J160" s="697"/>
      <c r="K160" s="697"/>
      <c r="L160" s="697"/>
      <c r="M160" s="697"/>
      <c r="N160" s="697"/>
      <c r="O160" s="697"/>
      <c r="P160" s="697"/>
      <c r="Q160" s="697"/>
      <c r="R160" s="697"/>
      <c r="S160" s="696"/>
      <c r="T160" s="696"/>
      <c r="U160" s="698"/>
      <c r="V160" s="698"/>
      <c r="W160" s="698"/>
      <c r="X160" s="698"/>
      <c r="Y160" s="698"/>
      <c r="Z160" s="698"/>
      <c r="AA160" s="698"/>
      <c r="AB160" s="698"/>
      <c r="AC160" s="698"/>
      <c r="AD160" s="698"/>
      <c r="AE160" s="698"/>
      <c r="AF160" s="698"/>
      <c r="AG160" s="698"/>
      <c r="AH160" s="698"/>
      <c r="AI160" s="698"/>
      <c r="AJ160" s="698"/>
      <c r="AK160" s="696" t="s">
        <v>1018</v>
      </c>
      <c r="AL160" s="699"/>
      <c r="AM160" s="699"/>
      <c r="AN160" s="699"/>
      <c r="AO160" s="696" t="s">
        <v>1018</v>
      </c>
      <c r="AP160" s="699"/>
      <c r="AQ160" s="699"/>
      <c r="AR160" s="699"/>
      <c r="AS160" s="699"/>
      <c r="AT160" s="712"/>
      <c r="AU160" s="715"/>
      <c r="AV160" s="716"/>
      <c r="AW160" s="716"/>
      <c r="AX160" s="716"/>
      <c r="AY160" s="716"/>
      <c r="AZ160" s="716"/>
      <c r="BA160" s="716"/>
      <c r="BB160" s="716"/>
      <c r="BC160" s="716"/>
      <c r="BD160" s="716"/>
      <c r="BE160" s="715"/>
      <c r="BF160" s="715"/>
      <c r="BG160" s="717"/>
      <c r="BH160" s="717"/>
      <c r="BI160" s="717"/>
      <c r="BJ160" s="717"/>
      <c r="BK160" s="717"/>
      <c r="BL160" s="717"/>
      <c r="BM160" s="717"/>
      <c r="BN160" s="717"/>
      <c r="BO160" s="717"/>
      <c r="BP160" s="717"/>
      <c r="BQ160" s="717"/>
      <c r="BR160" s="717"/>
      <c r="BS160" s="717"/>
      <c r="BT160" s="717"/>
      <c r="BU160" s="717"/>
      <c r="BV160" s="717"/>
      <c r="BW160" s="715"/>
      <c r="BX160" s="718"/>
      <c r="BY160" s="718"/>
      <c r="BZ160" s="718"/>
      <c r="CA160" s="715"/>
      <c r="CB160" s="718"/>
      <c r="CC160" s="718"/>
      <c r="CD160" s="718"/>
      <c r="CE160" s="718"/>
      <c r="CF160" s="720"/>
    </row>
    <row r="161" spans="2:84" s="436" customFormat="1" ht="14.5" outlineLevel="1" x14ac:dyDescent="0.35">
      <c r="B161" s="433">
        <v>37</v>
      </c>
      <c r="C161" s="434" t="s">
        <v>860</v>
      </c>
      <c r="D161" s="340" t="s">
        <v>240</v>
      </c>
      <c r="E161" s="340" t="s">
        <v>243</v>
      </c>
      <c r="F161" s="340" t="s">
        <v>260</v>
      </c>
      <c r="G161" s="288">
        <v>654.6</v>
      </c>
      <c r="H161" s="435">
        <v>769</v>
      </c>
      <c r="I161" s="696" t="s">
        <v>1018</v>
      </c>
      <c r="J161" s="697"/>
      <c r="K161" s="697"/>
      <c r="L161" s="697"/>
      <c r="M161" s="697"/>
      <c r="N161" s="697"/>
      <c r="O161" s="697"/>
      <c r="P161" s="697"/>
      <c r="Q161" s="697"/>
      <c r="R161" s="697"/>
      <c r="S161" s="696"/>
      <c r="T161" s="696"/>
      <c r="U161" s="698"/>
      <c r="V161" s="698"/>
      <c r="W161" s="698"/>
      <c r="X161" s="698"/>
      <c r="Y161" s="698"/>
      <c r="Z161" s="698"/>
      <c r="AA161" s="698"/>
      <c r="AB161" s="698"/>
      <c r="AC161" s="698"/>
      <c r="AD161" s="698"/>
      <c r="AE161" s="698"/>
      <c r="AF161" s="698"/>
      <c r="AG161" s="698"/>
      <c r="AH161" s="698"/>
      <c r="AI161" s="698"/>
      <c r="AJ161" s="698"/>
      <c r="AK161" s="696" t="s">
        <v>1018</v>
      </c>
      <c r="AL161" s="699"/>
      <c r="AM161" s="699"/>
      <c r="AN161" s="699"/>
      <c r="AO161" s="696" t="s">
        <v>1018</v>
      </c>
      <c r="AP161" s="699"/>
      <c r="AQ161" s="699"/>
      <c r="AR161" s="699"/>
      <c r="AS161" s="699"/>
      <c r="AT161" s="712"/>
      <c r="AU161" s="715"/>
      <c r="AV161" s="716"/>
      <c r="AW161" s="716"/>
      <c r="AX161" s="716"/>
      <c r="AY161" s="716"/>
      <c r="AZ161" s="716"/>
      <c r="BA161" s="716"/>
      <c r="BB161" s="716"/>
      <c r="BC161" s="716"/>
      <c r="BD161" s="716"/>
      <c r="BE161" s="715"/>
      <c r="BF161" s="715"/>
      <c r="BG161" s="717"/>
      <c r="BH161" s="717"/>
      <c r="BI161" s="717"/>
      <c r="BJ161" s="717"/>
      <c r="BK161" s="717"/>
      <c r="BL161" s="717"/>
      <c r="BM161" s="717"/>
      <c r="BN161" s="717"/>
      <c r="BO161" s="717"/>
      <c r="BP161" s="717"/>
      <c r="BQ161" s="717"/>
      <c r="BR161" s="717"/>
      <c r="BS161" s="717"/>
      <c r="BT161" s="717"/>
      <c r="BU161" s="717"/>
      <c r="BV161" s="717"/>
      <c r="BW161" s="715"/>
      <c r="BX161" s="718"/>
      <c r="BY161" s="718"/>
      <c r="BZ161" s="718"/>
      <c r="CA161" s="715"/>
      <c r="CB161" s="718"/>
      <c r="CC161" s="718"/>
      <c r="CD161" s="718"/>
      <c r="CE161" s="718"/>
      <c r="CF161" s="720"/>
    </row>
    <row r="162" spans="2:84" s="436" customFormat="1" ht="14.5" outlineLevel="1" x14ac:dyDescent="0.35">
      <c r="B162" s="433">
        <v>38</v>
      </c>
      <c r="C162" s="434" t="s">
        <v>861</v>
      </c>
      <c r="D162" s="340" t="s">
        <v>240</v>
      </c>
      <c r="E162" s="340" t="s">
        <v>243</v>
      </c>
      <c r="F162" s="340" t="s">
        <v>260</v>
      </c>
      <c r="G162" s="288">
        <v>720.46</v>
      </c>
      <c r="H162" s="435">
        <v>847</v>
      </c>
      <c r="I162" s="696" t="s">
        <v>1018</v>
      </c>
      <c r="J162" s="697"/>
      <c r="K162" s="697"/>
      <c r="L162" s="697"/>
      <c r="M162" s="697"/>
      <c r="N162" s="697"/>
      <c r="O162" s="697"/>
      <c r="P162" s="697"/>
      <c r="Q162" s="697"/>
      <c r="R162" s="697"/>
      <c r="S162" s="696"/>
      <c r="T162" s="696"/>
      <c r="U162" s="698"/>
      <c r="V162" s="698"/>
      <c r="W162" s="698"/>
      <c r="X162" s="698"/>
      <c r="Y162" s="698"/>
      <c r="Z162" s="698"/>
      <c r="AA162" s="698"/>
      <c r="AB162" s="698"/>
      <c r="AC162" s="698"/>
      <c r="AD162" s="698"/>
      <c r="AE162" s="698"/>
      <c r="AF162" s="698"/>
      <c r="AG162" s="698"/>
      <c r="AH162" s="698"/>
      <c r="AI162" s="698"/>
      <c r="AJ162" s="698"/>
      <c r="AK162" s="696" t="s">
        <v>1018</v>
      </c>
      <c r="AL162" s="699"/>
      <c r="AM162" s="699"/>
      <c r="AN162" s="699"/>
      <c r="AO162" s="696" t="s">
        <v>1018</v>
      </c>
      <c r="AP162" s="699"/>
      <c r="AQ162" s="699"/>
      <c r="AR162" s="699"/>
      <c r="AS162" s="699"/>
      <c r="AT162" s="712"/>
      <c r="AU162" s="715"/>
      <c r="AV162" s="716"/>
      <c r="AW162" s="716"/>
      <c r="AX162" s="716"/>
      <c r="AY162" s="716"/>
      <c r="AZ162" s="716"/>
      <c r="BA162" s="716"/>
      <c r="BB162" s="716"/>
      <c r="BC162" s="716"/>
      <c r="BD162" s="716"/>
      <c r="BE162" s="715"/>
      <c r="BF162" s="715"/>
      <c r="BG162" s="717"/>
      <c r="BH162" s="717"/>
      <c r="BI162" s="717"/>
      <c r="BJ162" s="717"/>
      <c r="BK162" s="717"/>
      <c r="BL162" s="717"/>
      <c r="BM162" s="717"/>
      <c r="BN162" s="717"/>
      <c r="BO162" s="717"/>
      <c r="BP162" s="717"/>
      <c r="BQ162" s="717"/>
      <c r="BR162" s="717"/>
      <c r="BS162" s="717"/>
      <c r="BT162" s="717"/>
      <c r="BU162" s="717"/>
      <c r="BV162" s="717"/>
      <c r="BW162" s="715"/>
      <c r="BX162" s="718"/>
      <c r="BY162" s="718"/>
      <c r="BZ162" s="718"/>
      <c r="CA162" s="715"/>
      <c r="CB162" s="718"/>
      <c r="CC162" s="718"/>
      <c r="CD162" s="718"/>
      <c r="CE162" s="718"/>
      <c r="CF162" s="720"/>
    </row>
    <row r="163" spans="2:84" s="436" customFormat="1" ht="14.5" outlineLevel="1" x14ac:dyDescent="0.35">
      <c r="B163" s="433">
        <v>39</v>
      </c>
      <c r="C163" s="434" t="s">
        <v>862</v>
      </c>
      <c r="D163" s="340" t="s">
        <v>240</v>
      </c>
      <c r="E163" s="340" t="s">
        <v>243</v>
      </c>
      <c r="F163" s="340" t="s">
        <v>260</v>
      </c>
      <c r="G163" s="288">
        <v>670.06</v>
      </c>
      <c r="H163" s="435">
        <v>789</v>
      </c>
      <c r="I163" s="696" t="s">
        <v>1018</v>
      </c>
      <c r="J163" s="697"/>
      <c r="K163" s="697"/>
      <c r="L163" s="697"/>
      <c r="M163" s="697"/>
      <c r="N163" s="697"/>
      <c r="O163" s="697"/>
      <c r="P163" s="697"/>
      <c r="Q163" s="697"/>
      <c r="R163" s="697"/>
      <c r="S163" s="696"/>
      <c r="T163" s="696"/>
      <c r="U163" s="698"/>
      <c r="V163" s="698"/>
      <c r="W163" s="698"/>
      <c r="X163" s="698"/>
      <c r="Y163" s="698"/>
      <c r="Z163" s="698"/>
      <c r="AA163" s="698"/>
      <c r="AB163" s="698"/>
      <c r="AC163" s="698"/>
      <c r="AD163" s="698"/>
      <c r="AE163" s="698"/>
      <c r="AF163" s="698"/>
      <c r="AG163" s="698"/>
      <c r="AH163" s="698"/>
      <c r="AI163" s="698"/>
      <c r="AJ163" s="698"/>
      <c r="AK163" s="696" t="s">
        <v>1018</v>
      </c>
      <c r="AL163" s="699"/>
      <c r="AM163" s="699"/>
      <c r="AN163" s="699"/>
      <c r="AO163" s="696" t="s">
        <v>1018</v>
      </c>
      <c r="AP163" s="699"/>
      <c r="AQ163" s="699"/>
      <c r="AR163" s="699"/>
      <c r="AS163" s="699"/>
      <c r="AT163" s="712"/>
      <c r="AU163" s="715"/>
      <c r="AV163" s="716"/>
      <c r="AW163" s="716"/>
      <c r="AX163" s="716"/>
      <c r="AY163" s="716"/>
      <c r="AZ163" s="716"/>
      <c r="BA163" s="716"/>
      <c r="BB163" s="716"/>
      <c r="BC163" s="716"/>
      <c r="BD163" s="716"/>
      <c r="BE163" s="715"/>
      <c r="BF163" s="715"/>
      <c r="BG163" s="717"/>
      <c r="BH163" s="717"/>
      <c r="BI163" s="717"/>
      <c r="BJ163" s="717"/>
      <c r="BK163" s="717"/>
      <c r="BL163" s="717"/>
      <c r="BM163" s="717"/>
      <c r="BN163" s="717"/>
      <c r="BO163" s="717"/>
      <c r="BP163" s="717"/>
      <c r="BQ163" s="717"/>
      <c r="BR163" s="717"/>
      <c r="BS163" s="717"/>
      <c r="BT163" s="717"/>
      <c r="BU163" s="717"/>
      <c r="BV163" s="717"/>
      <c r="BW163" s="715"/>
      <c r="BX163" s="718"/>
      <c r="BY163" s="718"/>
      <c r="BZ163" s="718"/>
      <c r="CA163" s="715"/>
      <c r="CB163" s="718"/>
      <c r="CC163" s="718"/>
      <c r="CD163" s="718"/>
      <c r="CE163" s="718"/>
      <c r="CF163" s="720"/>
    </row>
    <row r="164" spans="2:84" s="436" customFormat="1" ht="14.5" outlineLevel="1" x14ac:dyDescent="0.35">
      <c r="B164" s="433">
        <v>40</v>
      </c>
      <c r="C164" s="434" t="s">
        <v>1068</v>
      </c>
      <c r="D164" s="340" t="s">
        <v>240</v>
      </c>
      <c r="E164" s="340" t="s">
        <v>243</v>
      </c>
      <c r="F164" s="340" t="s">
        <v>260</v>
      </c>
      <c r="G164" s="288">
        <v>1034.55</v>
      </c>
      <c r="H164" s="435">
        <v>1219</v>
      </c>
      <c r="I164" s="696" t="s">
        <v>1018</v>
      </c>
      <c r="J164" s="697"/>
      <c r="K164" s="697"/>
      <c r="L164" s="697"/>
      <c r="M164" s="697"/>
      <c r="N164" s="697"/>
      <c r="O164" s="697"/>
      <c r="P164" s="697"/>
      <c r="Q164" s="697"/>
      <c r="R164" s="697"/>
      <c r="S164" s="696"/>
      <c r="T164" s="696"/>
      <c r="U164" s="698"/>
      <c r="V164" s="698"/>
      <c r="W164" s="698"/>
      <c r="X164" s="698"/>
      <c r="Y164" s="698"/>
      <c r="Z164" s="698"/>
      <c r="AA164" s="698"/>
      <c r="AB164" s="698"/>
      <c r="AC164" s="698"/>
      <c r="AD164" s="698"/>
      <c r="AE164" s="698"/>
      <c r="AF164" s="698"/>
      <c r="AG164" s="698"/>
      <c r="AH164" s="698"/>
      <c r="AI164" s="698"/>
      <c r="AJ164" s="698"/>
      <c r="AK164" s="696" t="s">
        <v>1018</v>
      </c>
      <c r="AL164" s="699"/>
      <c r="AM164" s="699"/>
      <c r="AN164" s="699"/>
      <c r="AO164" s="696" t="s">
        <v>1018</v>
      </c>
      <c r="AP164" s="699"/>
      <c r="AQ164" s="699"/>
      <c r="AR164" s="699"/>
      <c r="AS164" s="699"/>
      <c r="AT164" s="712"/>
      <c r="AU164" s="715"/>
      <c r="AV164" s="716"/>
      <c r="AW164" s="716"/>
      <c r="AX164" s="716"/>
      <c r="AY164" s="716"/>
      <c r="AZ164" s="716"/>
      <c r="BA164" s="716"/>
      <c r="BB164" s="716"/>
      <c r="BC164" s="716"/>
      <c r="BD164" s="716"/>
      <c r="BE164" s="715"/>
      <c r="BF164" s="715"/>
      <c r="BG164" s="717"/>
      <c r="BH164" s="717"/>
      <c r="BI164" s="717"/>
      <c r="BJ164" s="717"/>
      <c r="BK164" s="717"/>
      <c r="BL164" s="717"/>
      <c r="BM164" s="717"/>
      <c r="BN164" s="717"/>
      <c r="BO164" s="717"/>
      <c r="BP164" s="717"/>
      <c r="BQ164" s="717"/>
      <c r="BR164" s="717"/>
      <c r="BS164" s="717"/>
      <c r="BT164" s="717"/>
      <c r="BU164" s="717"/>
      <c r="BV164" s="717"/>
      <c r="BW164" s="715"/>
      <c r="BX164" s="718"/>
      <c r="BY164" s="718"/>
      <c r="BZ164" s="718"/>
      <c r="CA164" s="715"/>
      <c r="CB164" s="718"/>
      <c r="CC164" s="718"/>
      <c r="CD164" s="718"/>
      <c r="CE164" s="718"/>
      <c r="CF164" s="720"/>
    </row>
    <row r="165" spans="2:84" s="436" customFormat="1" ht="14.5" outlineLevel="1" x14ac:dyDescent="0.35">
      <c r="B165" s="433">
        <v>41</v>
      </c>
      <c r="C165" s="434" t="s">
        <v>1069</v>
      </c>
      <c r="D165" s="340" t="s">
        <v>240</v>
      </c>
      <c r="E165" s="340" t="s">
        <v>243</v>
      </c>
      <c r="F165" s="340" t="s">
        <v>260</v>
      </c>
      <c r="G165" s="288">
        <v>989.22</v>
      </c>
      <c r="H165" s="435">
        <v>1167</v>
      </c>
      <c r="I165" s="696" t="s">
        <v>1018</v>
      </c>
      <c r="J165" s="697"/>
      <c r="K165" s="697"/>
      <c r="L165" s="697"/>
      <c r="M165" s="697"/>
      <c r="N165" s="697"/>
      <c r="O165" s="697"/>
      <c r="P165" s="697"/>
      <c r="Q165" s="697"/>
      <c r="R165" s="697"/>
      <c r="S165" s="696"/>
      <c r="T165" s="696"/>
      <c r="U165" s="698"/>
      <c r="V165" s="698"/>
      <c r="W165" s="698"/>
      <c r="X165" s="698"/>
      <c r="Y165" s="698"/>
      <c r="Z165" s="698"/>
      <c r="AA165" s="698"/>
      <c r="AB165" s="698"/>
      <c r="AC165" s="698"/>
      <c r="AD165" s="698"/>
      <c r="AE165" s="698"/>
      <c r="AF165" s="698"/>
      <c r="AG165" s="698"/>
      <c r="AH165" s="698"/>
      <c r="AI165" s="698"/>
      <c r="AJ165" s="698"/>
      <c r="AK165" s="696" t="s">
        <v>1018</v>
      </c>
      <c r="AL165" s="699"/>
      <c r="AM165" s="699"/>
      <c r="AN165" s="699"/>
      <c r="AO165" s="696" t="s">
        <v>1018</v>
      </c>
      <c r="AP165" s="699"/>
      <c r="AQ165" s="699"/>
      <c r="AR165" s="699"/>
      <c r="AS165" s="699"/>
      <c r="AT165" s="712"/>
      <c r="AU165" s="715"/>
      <c r="AV165" s="716"/>
      <c r="AW165" s="716"/>
      <c r="AX165" s="716"/>
      <c r="AY165" s="716"/>
      <c r="AZ165" s="716"/>
      <c r="BA165" s="716"/>
      <c r="BB165" s="716"/>
      <c r="BC165" s="716"/>
      <c r="BD165" s="716"/>
      <c r="BE165" s="715"/>
      <c r="BF165" s="715"/>
      <c r="BG165" s="717"/>
      <c r="BH165" s="717"/>
      <c r="BI165" s="717"/>
      <c r="BJ165" s="717"/>
      <c r="BK165" s="717"/>
      <c r="BL165" s="717"/>
      <c r="BM165" s="717"/>
      <c r="BN165" s="717"/>
      <c r="BO165" s="717"/>
      <c r="BP165" s="717"/>
      <c r="BQ165" s="717"/>
      <c r="BR165" s="717"/>
      <c r="BS165" s="717"/>
      <c r="BT165" s="717"/>
      <c r="BU165" s="717"/>
      <c r="BV165" s="717"/>
      <c r="BW165" s="715"/>
      <c r="BX165" s="718"/>
      <c r="BY165" s="718"/>
      <c r="BZ165" s="718"/>
      <c r="CA165" s="715"/>
      <c r="CB165" s="718"/>
      <c r="CC165" s="718"/>
      <c r="CD165" s="718"/>
      <c r="CE165" s="718"/>
      <c r="CF165" s="720"/>
    </row>
    <row r="166" spans="2:84" s="436" customFormat="1" ht="14.5" outlineLevel="1" x14ac:dyDescent="0.35">
      <c r="B166" s="433">
        <v>42</v>
      </c>
      <c r="C166" s="434" t="s">
        <v>1070</v>
      </c>
      <c r="D166" s="340" t="s">
        <v>240</v>
      </c>
      <c r="E166" s="340" t="s">
        <v>241</v>
      </c>
      <c r="F166" s="340" t="s">
        <v>260</v>
      </c>
      <c r="G166" s="288">
        <v>404.31</v>
      </c>
      <c r="H166" s="435">
        <v>469</v>
      </c>
      <c r="I166" s="696" t="s">
        <v>1018</v>
      </c>
      <c r="J166" s="697"/>
      <c r="K166" s="697"/>
      <c r="L166" s="697"/>
      <c r="M166" s="697"/>
      <c r="N166" s="697"/>
      <c r="O166" s="697"/>
      <c r="P166" s="697"/>
      <c r="Q166" s="697"/>
      <c r="R166" s="697"/>
      <c r="S166" s="696"/>
      <c r="T166" s="696"/>
      <c r="U166" s="698"/>
      <c r="V166" s="698"/>
      <c r="W166" s="698"/>
      <c r="X166" s="698"/>
      <c r="Y166" s="698"/>
      <c r="Z166" s="698"/>
      <c r="AA166" s="698"/>
      <c r="AB166" s="698"/>
      <c r="AC166" s="698"/>
      <c r="AD166" s="698"/>
      <c r="AE166" s="698"/>
      <c r="AF166" s="698"/>
      <c r="AG166" s="698"/>
      <c r="AH166" s="698"/>
      <c r="AI166" s="698"/>
      <c r="AJ166" s="698"/>
      <c r="AK166" s="696" t="s">
        <v>1018</v>
      </c>
      <c r="AL166" s="699"/>
      <c r="AM166" s="699"/>
      <c r="AN166" s="699"/>
      <c r="AO166" s="696" t="s">
        <v>1018</v>
      </c>
      <c r="AP166" s="699"/>
      <c r="AQ166" s="699"/>
      <c r="AR166" s="699"/>
      <c r="AS166" s="699"/>
      <c r="AT166" s="712"/>
      <c r="AU166" s="715"/>
      <c r="AV166" s="716"/>
      <c r="AW166" s="716"/>
      <c r="AX166" s="716"/>
      <c r="AY166" s="716"/>
      <c r="AZ166" s="716"/>
      <c r="BA166" s="716"/>
      <c r="BB166" s="716"/>
      <c r="BC166" s="716"/>
      <c r="BD166" s="716"/>
      <c r="BE166" s="715"/>
      <c r="BF166" s="715"/>
      <c r="BG166" s="717"/>
      <c r="BH166" s="717"/>
      <c r="BI166" s="717"/>
      <c r="BJ166" s="717"/>
      <c r="BK166" s="717"/>
      <c r="BL166" s="717"/>
      <c r="BM166" s="717"/>
      <c r="BN166" s="717"/>
      <c r="BO166" s="717"/>
      <c r="BP166" s="717"/>
      <c r="BQ166" s="717"/>
      <c r="BR166" s="717"/>
      <c r="BS166" s="717"/>
      <c r="BT166" s="717"/>
      <c r="BU166" s="717"/>
      <c r="BV166" s="717"/>
      <c r="BW166" s="715"/>
      <c r="BX166" s="718"/>
      <c r="BY166" s="718"/>
      <c r="BZ166" s="718"/>
      <c r="CA166" s="715"/>
      <c r="CB166" s="718"/>
      <c r="CC166" s="718"/>
      <c r="CD166" s="718"/>
      <c r="CE166" s="718"/>
      <c r="CF166" s="720"/>
    </row>
    <row r="167" spans="2:84" s="436" customFormat="1" ht="14.5" outlineLevel="1" x14ac:dyDescent="0.35">
      <c r="B167" s="433">
        <v>43</v>
      </c>
      <c r="C167" s="434" t="s">
        <v>1071</v>
      </c>
      <c r="D167" s="340" t="s">
        <v>240</v>
      </c>
      <c r="E167" s="340" t="s">
        <v>241</v>
      </c>
      <c r="F167" s="340" t="s">
        <v>260</v>
      </c>
      <c r="G167" s="288">
        <v>473.27</v>
      </c>
      <c r="H167" s="435">
        <v>549</v>
      </c>
      <c r="I167" s="696" t="s">
        <v>1018</v>
      </c>
      <c r="J167" s="697"/>
      <c r="K167" s="697"/>
      <c r="L167" s="697"/>
      <c r="M167" s="697"/>
      <c r="N167" s="697"/>
      <c r="O167" s="697"/>
      <c r="P167" s="697"/>
      <c r="Q167" s="697"/>
      <c r="R167" s="697"/>
      <c r="S167" s="696"/>
      <c r="T167" s="696"/>
      <c r="U167" s="698"/>
      <c r="V167" s="698"/>
      <c r="W167" s="698"/>
      <c r="X167" s="698"/>
      <c r="Y167" s="698"/>
      <c r="Z167" s="698"/>
      <c r="AA167" s="698"/>
      <c r="AB167" s="698"/>
      <c r="AC167" s="698"/>
      <c r="AD167" s="698"/>
      <c r="AE167" s="698"/>
      <c r="AF167" s="698"/>
      <c r="AG167" s="698"/>
      <c r="AH167" s="698"/>
      <c r="AI167" s="698"/>
      <c r="AJ167" s="698"/>
      <c r="AK167" s="696" t="s">
        <v>1018</v>
      </c>
      <c r="AL167" s="699"/>
      <c r="AM167" s="699"/>
      <c r="AN167" s="699"/>
      <c r="AO167" s="696" t="s">
        <v>1018</v>
      </c>
      <c r="AP167" s="699"/>
      <c r="AQ167" s="699"/>
      <c r="AR167" s="699"/>
      <c r="AS167" s="699"/>
      <c r="AT167" s="712"/>
      <c r="AU167" s="715"/>
      <c r="AV167" s="716"/>
      <c r="AW167" s="716"/>
      <c r="AX167" s="716"/>
      <c r="AY167" s="716"/>
      <c r="AZ167" s="716"/>
      <c r="BA167" s="716"/>
      <c r="BB167" s="716"/>
      <c r="BC167" s="716"/>
      <c r="BD167" s="716"/>
      <c r="BE167" s="715"/>
      <c r="BF167" s="715"/>
      <c r="BG167" s="717"/>
      <c r="BH167" s="717"/>
      <c r="BI167" s="717"/>
      <c r="BJ167" s="717"/>
      <c r="BK167" s="717"/>
      <c r="BL167" s="717"/>
      <c r="BM167" s="717"/>
      <c r="BN167" s="717"/>
      <c r="BO167" s="717"/>
      <c r="BP167" s="717"/>
      <c r="BQ167" s="717"/>
      <c r="BR167" s="717"/>
      <c r="BS167" s="717"/>
      <c r="BT167" s="717"/>
      <c r="BU167" s="717"/>
      <c r="BV167" s="717"/>
      <c r="BW167" s="715"/>
      <c r="BX167" s="718"/>
      <c r="BY167" s="718"/>
      <c r="BZ167" s="718"/>
      <c r="CA167" s="715"/>
      <c r="CB167" s="718"/>
      <c r="CC167" s="718"/>
      <c r="CD167" s="718"/>
      <c r="CE167" s="718"/>
      <c r="CF167" s="720"/>
    </row>
    <row r="168" spans="2:84" s="436" customFormat="1" ht="14.5" outlineLevel="1" x14ac:dyDescent="0.35">
      <c r="B168" s="433">
        <v>44</v>
      </c>
      <c r="C168" s="434" t="s">
        <v>1072</v>
      </c>
      <c r="D168" s="340" t="s">
        <v>240</v>
      </c>
      <c r="E168" s="340" t="s">
        <v>241</v>
      </c>
      <c r="F168" s="340" t="s">
        <v>260</v>
      </c>
      <c r="G168" s="288">
        <v>542.24</v>
      </c>
      <c r="H168" s="435">
        <v>629</v>
      </c>
      <c r="I168" s="696" t="s">
        <v>1018</v>
      </c>
      <c r="J168" s="697"/>
      <c r="K168" s="697"/>
      <c r="L168" s="697"/>
      <c r="M168" s="697"/>
      <c r="N168" s="697"/>
      <c r="O168" s="697"/>
      <c r="P168" s="697"/>
      <c r="Q168" s="697"/>
      <c r="R168" s="697"/>
      <c r="S168" s="696"/>
      <c r="T168" s="696"/>
      <c r="U168" s="698"/>
      <c r="V168" s="698"/>
      <c r="W168" s="698"/>
      <c r="X168" s="698"/>
      <c r="Y168" s="698"/>
      <c r="Z168" s="698"/>
      <c r="AA168" s="698"/>
      <c r="AB168" s="698"/>
      <c r="AC168" s="698"/>
      <c r="AD168" s="698"/>
      <c r="AE168" s="698"/>
      <c r="AF168" s="698"/>
      <c r="AG168" s="698"/>
      <c r="AH168" s="698"/>
      <c r="AI168" s="698"/>
      <c r="AJ168" s="698"/>
      <c r="AK168" s="696" t="s">
        <v>1018</v>
      </c>
      <c r="AL168" s="699"/>
      <c r="AM168" s="699"/>
      <c r="AN168" s="699"/>
      <c r="AO168" s="696" t="s">
        <v>1018</v>
      </c>
      <c r="AP168" s="699"/>
      <c r="AQ168" s="699"/>
      <c r="AR168" s="699"/>
      <c r="AS168" s="699"/>
      <c r="AT168" s="712"/>
      <c r="AU168" s="715"/>
      <c r="AV168" s="716"/>
      <c r="AW168" s="716"/>
      <c r="AX168" s="716"/>
      <c r="AY168" s="716"/>
      <c r="AZ168" s="716"/>
      <c r="BA168" s="716"/>
      <c r="BB168" s="716"/>
      <c r="BC168" s="716"/>
      <c r="BD168" s="716"/>
      <c r="BE168" s="715"/>
      <c r="BF168" s="715"/>
      <c r="BG168" s="717"/>
      <c r="BH168" s="717"/>
      <c r="BI168" s="717"/>
      <c r="BJ168" s="717"/>
      <c r="BK168" s="717"/>
      <c r="BL168" s="717"/>
      <c r="BM168" s="717"/>
      <c r="BN168" s="717"/>
      <c r="BO168" s="717"/>
      <c r="BP168" s="717"/>
      <c r="BQ168" s="717"/>
      <c r="BR168" s="717"/>
      <c r="BS168" s="717"/>
      <c r="BT168" s="717"/>
      <c r="BU168" s="717"/>
      <c r="BV168" s="717"/>
      <c r="BW168" s="715"/>
      <c r="BX168" s="718"/>
      <c r="BY168" s="718"/>
      <c r="BZ168" s="718"/>
      <c r="CA168" s="715"/>
      <c r="CB168" s="718"/>
      <c r="CC168" s="718"/>
      <c r="CD168" s="718"/>
      <c r="CE168" s="718"/>
      <c r="CF168" s="720"/>
    </row>
    <row r="169" spans="2:84" s="436" customFormat="1" ht="14.5" outlineLevel="1" x14ac:dyDescent="0.35">
      <c r="B169" s="433">
        <v>45</v>
      </c>
      <c r="C169" s="434" t="s">
        <v>1073</v>
      </c>
      <c r="D169" s="340" t="s">
        <v>240</v>
      </c>
      <c r="E169" s="340" t="s">
        <v>241</v>
      </c>
      <c r="F169" s="340" t="s">
        <v>260</v>
      </c>
      <c r="G169" s="288">
        <v>511.20000000000005</v>
      </c>
      <c r="H169" s="435">
        <v>593</v>
      </c>
      <c r="I169" s="696" t="s">
        <v>1018</v>
      </c>
      <c r="J169" s="697"/>
      <c r="K169" s="697"/>
      <c r="L169" s="697"/>
      <c r="M169" s="697"/>
      <c r="N169" s="697"/>
      <c r="O169" s="697"/>
      <c r="P169" s="697"/>
      <c r="Q169" s="697"/>
      <c r="R169" s="697"/>
      <c r="S169" s="696"/>
      <c r="T169" s="696"/>
      <c r="U169" s="698"/>
      <c r="V169" s="698"/>
      <c r="W169" s="698"/>
      <c r="X169" s="698"/>
      <c r="Y169" s="698"/>
      <c r="Z169" s="698"/>
      <c r="AA169" s="698"/>
      <c r="AB169" s="698"/>
      <c r="AC169" s="698"/>
      <c r="AD169" s="698"/>
      <c r="AE169" s="698"/>
      <c r="AF169" s="698"/>
      <c r="AG169" s="698"/>
      <c r="AH169" s="698"/>
      <c r="AI169" s="698"/>
      <c r="AJ169" s="698"/>
      <c r="AK169" s="696" t="s">
        <v>1018</v>
      </c>
      <c r="AL169" s="699"/>
      <c r="AM169" s="699"/>
      <c r="AN169" s="699"/>
      <c r="AO169" s="696" t="s">
        <v>1018</v>
      </c>
      <c r="AP169" s="699"/>
      <c r="AQ169" s="699"/>
      <c r="AR169" s="699"/>
      <c r="AS169" s="699"/>
      <c r="AT169" s="712"/>
      <c r="AU169" s="715"/>
      <c r="AV169" s="716"/>
      <c r="AW169" s="716"/>
      <c r="AX169" s="716"/>
      <c r="AY169" s="716"/>
      <c r="AZ169" s="716"/>
      <c r="BA169" s="716"/>
      <c r="BB169" s="716"/>
      <c r="BC169" s="716"/>
      <c r="BD169" s="716"/>
      <c r="BE169" s="715"/>
      <c r="BF169" s="715"/>
      <c r="BG169" s="717"/>
      <c r="BH169" s="717"/>
      <c r="BI169" s="717"/>
      <c r="BJ169" s="717"/>
      <c r="BK169" s="717"/>
      <c r="BL169" s="717"/>
      <c r="BM169" s="717"/>
      <c r="BN169" s="717"/>
      <c r="BO169" s="717"/>
      <c r="BP169" s="717"/>
      <c r="BQ169" s="717"/>
      <c r="BR169" s="717"/>
      <c r="BS169" s="717"/>
      <c r="BT169" s="717"/>
      <c r="BU169" s="717"/>
      <c r="BV169" s="717"/>
      <c r="BW169" s="715"/>
      <c r="BX169" s="718"/>
      <c r="BY169" s="718"/>
      <c r="BZ169" s="718"/>
      <c r="CA169" s="715"/>
      <c r="CB169" s="718"/>
      <c r="CC169" s="718"/>
      <c r="CD169" s="718"/>
      <c r="CE169" s="718"/>
      <c r="CF169" s="720"/>
    </row>
    <row r="170" spans="2:84" s="436" customFormat="1" ht="14.5" outlineLevel="1" x14ac:dyDescent="0.35">
      <c r="B170" s="433">
        <v>46</v>
      </c>
      <c r="C170" s="434" t="s">
        <v>1074</v>
      </c>
      <c r="D170" s="340" t="s">
        <v>240</v>
      </c>
      <c r="E170" s="340" t="s">
        <v>241</v>
      </c>
      <c r="F170" s="340" t="s">
        <v>260</v>
      </c>
      <c r="G170" s="288">
        <v>580.17000000000007</v>
      </c>
      <c r="H170" s="435">
        <v>673</v>
      </c>
      <c r="I170" s="696" t="s">
        <v>1018</v>
      </c>
      <c r="J170" s="697"/>
      <c r="K170" s="697"/>
      <c r="L170" s="697"/>
      <c r="M170" s="697"/>
      <c r="N170" s="697"/>
      <c r="O170" s="697"/>
      <c r="P170" s="697"/>
      <c r="Q170" s="697"/>
      <c r="R170" s="697"/>
      <c r="S170" s="696"/>
      <c r="T170" s="696"/>
      <c r="U170" s="698"/>
      <c r="V170" s="698"/>
      <c r="W170" s="698"/>
      <c r="X170" s="698"/>
      <c r="Y170" s="698"/>
      <c r="Z170" s="698"/>
      <c r="AA170" s="698"/>
      <c r="AB170" s="698"/>
      <c r="AC170" s="698"/>
      <c r="AD170" s="698"/>
      <c r="AE170" s="698"/>
      <c r="AF170" s="698"/>
      <c r="AG170" s="698"/>
      <c r="AH170" s="698"/>
      <c r="AI170" s="698"/>
      <c r="AJ170" s="698"/>
      <c r="AK170" s="696" t="s">
        <v>1018</v>
      </c>
      <c r="AL170" s="699"/>
      <c r="AM170" s="699"/>
      <c r="AN170" s="699"/>
      <c r="AO170" s="696" t="s">
        <v>1018</v>
      </c>
      <c r="AP170" s="699"/>
      <c r="AQ170" s="699"/>
      <c r="AR170" s="699"/>
      <c r="AS170" s="699"/>
      <c r="AT170" s="712"/>
      <c r="AU170" s="715"/>
      <c r="AV170" s="716"/>
      <c r="AW170" s="716"/>
      <c r="AX170" s="716"/>
      <c r="AY170" s="716"/>
      <c r="AZ170" s="716"/>
      <c r="BA170" s="716"/>
      <c r="BB170" s="716"/>
      <c r="BC170" s="716"/>
      <c r="BD170" s="716"/>
      <c r="BE170" s="715"/>
      <c r="BF170" s="715"/>
      <c r="BG170" s="717"/>
      <c r="BH170" s="717"/>
      <c r="BI170" s="717"/>
      <c r="BJ170" s="717"/>
      <c r="BK170" s="717"/>
      <c r="BL170" s="717"/>
      <c r="BM170" s="717"/>
      <c r="BN170" s="717"/>
      <c r="BO170" s="717"/>
      <c r="BP170" s="717"/>
      <c r="BQ170" s="717"/>
      <c r="BR170" s="717"/>
      <c r="BS170" s="717"/>
      <c r="BT170" s="717"/>
      <c r="BU170" s="717"/>
      <c r="BV170" s="717"/>
      <c r="BW170" s="715"/>
      <c r="BX170" s="718"/>
      <c r="BY170" s="718"/>
      <c r="BZ170" s="718"/>
      <c r="CA170" s="715"/>
      <c r="CB170" s="718"/>
      <c r="CC170" s="718"/>
      <c r="CD170" s="718"/>
      <c r="CE170" s="718"/>
      <c r="CF170" s="720"/>
    </row>
    <row r="171" spans="2:84" s="436" customFormat="1" ht="14.5" outlineLevel="1" x14ac:dyDescent="0.35">
      <c r="B171" s="433">
        <v>47</v>
      </c>
      <c r="C171" s="434" t="s">
        <v>1075</v>
      </c>
      <c r="D171" s="340" t="s">
        <v>240</v>
      </c>
      <c r="E171" s="340" t="s">
        <v>241</v>
      </c>
      <c r="F171" s="340" t="s">
        <v>260</v>
      </c>
      <c r="G171" s="288">
        <v>687.07</v>
      </c>
      <c r="H171" s="435">
        <v>797</v>
      </c>
      <c r="I171" s="696" t="s">
        <v>1018</v>
      </c>
      <c r="J171" s="697"/>
      <c r="K171" s="697"/>
      <c r="L171" s="697"/>
      <c r="M171" s="697"/>
      <c r="N171" s="697"/>
      <c r="O171" s="697"/>
      <c r="P171" s="697"/>
      <c r="Q171" s="697"/>
      <c r="R171" s="697"/>
      <c r="S171" s="696"/>
      <c r="T171" s="696"/>
      <c r="U171" s="698"/>
      <c r="V171" s="698"/>
      <c r="W171" s="698"/>
      <c r="X171" s="698"/>
      <c r="Y171" s="698"/>
      <c r="Z171" s="698"/>
      <c r="AA171" s="698"/>
      <c r="AB171" s="698"/>
      <c r="AC171" s="698"/>
      <c r="AD171" s="698"/>
      <c r="AE171" s="698"/>
      <c r="AF171" s="698"/>
      <c r="AG171" s="698"/>
      <c r="AH171" s="698"/>
      <c r="AI171" s="698"/>
      <c r="AJ171" s="698"/>
      <c r="AK171" s="696" t="s">
        <v>1018</v>
      </c>
      <c r="AL171" s="699"/>
      <c r="AM171" s="699"/>
      <c r="AN171" s="699"/>
      <c r="AO171" s="696" t="s">
        <v>1018</v>
      </c>
      <c r="AP171" s="699"/>
      <c r="AQ171" s="699"/>
      <c r="AR171" s="699"/>
      <c r="AS171" s="699"/>
      <c r="AT171" s="712"/>
      <c r="AU171" s="715"/>
      <c r="AV171" s="716"/>
      <c r="AW171" s="716"/>
      <c r="AX171" s="716"/>
      <c r="AY171" s="716"/>
      <c r="AZ171" s="716"/>
      <c r="BA171" s="716"/>
      <c r="BB171" s="716"/>
      <c r="BC171" s="716"/>
      <c r="BD171" s="716"/>
      <c r="BE171" s="715"/>
      <c r="BF171" s="715"/>
      <c r="BG171" s="717"/>
      <c r="BH171" s="717"/>
      <c r="BI171" s="717"/>
      <c r="BJ171" s="717"/>
      <c r="BK171" s="717"/>
      <c r="BL171" s="717"/>
      <c r="BM171" s="717"/>
      <c r="BN171" s="717"/>
      <c r="BO171" s="717"/>
      <c r="BP171" s="717"/>
      <c r="BQ171" s="717"/>
      <c r="BR171" s="717"/>
      <c r="BS171" s="717"/>
      <c r="BT171" s="717"/>
      <c r="BU171" s="717"/>
      <c r="BV171" s="717"/>
      <c r="BW171" s="715"/>
      <c r="BX171" s="718"/>
      <c r="BY171" s="718"/>
      <c r="BZ171" s="718"/>
      <c r="CA171" s="715"/>
      <c r="CB171" s="718"/>
      <c r="CC171" s="718"/>
      <c r="CD171" s="718"/>
      <c r="CE171" s="718"/>
      <c r="CF171" s="720"/>
    </row>
    <row r="172" spans="2:84" s="436" customFormat="1" ht="14.5" outlineLevel="1" x14ac:dyDescent="0.35">
      <c r="B172" s="433">
        <v>48</v>
      </c>
      <c r="C172" s="434" t="s">
        <v>1076</v>
      </c>
      <c r="D172" s="340" t="s">
        <v>240</v>
      </c>
      <c r="E172" s="340" t="s">
        <v>241</v>
      </c>
      <c r="F172" s="340" t="s">
        <v>260</v>
      </c>
      <c r="G172" s="288">
        <v>637.06999999999994</v>
      </c>
      <c r="H172" s="435">
        <v>739</v>
      </c>
      <c r="I172" s="696" t="s">
        <v>1018</v>
      </c>
      <c r="J172" s="697"/>
      <c r="K172" s="697"/>
      <c r="L172" s="697"/>
      <c r="M172" s="697"/>
      <c r="N172" s="697"/>
      <c r="O172" s="697"/>
      <c r="P172" s="697"/>
      <c r="Q172" s="697"/>
      <c r="R172" s="697"/>
      <c r="S172" s="696"/>
      <c r="T172" s="696"/>
      <c r="U172" s="698"/>
      <c r="V172" s="698"/>
      <c r="W172" s="698"/>
      <c r="X172" s="698"/>
      <c r="Y172" s="698"/>
      <c r="Z172" s="698"/>
      <c r="AA172" s="698"/>
      <c r="AB172" s="698"/>
      <c r="AC172" s="698"/>
      <c r="AD172" s="698"/>
      <c r="AE172" s="698"/>
      <c r="AF172" s="698"/>
      <c r="AG172" s="698"/>
      <c r="AH172" s="698"/>
      <c r="AI172" s="698"/>
      <c r="AJ172" s="698"/>
      <c r="AK172" s="696" t="s">
        <v>1018</v>
      </c>
      <c r="AL172" s="699"/>
      <c r="AM172" s="699"/>
      <c r="AN172" s="699"/>
      <c r="AO172" s="696" t="s">
        <v>1018</v>
      </c>
      <c r="AP172" s="699"/>
      <c r="AQ172" s="699"/>
      <c r="AR172" s="699"/>
      <c r="AS172" s="699"/>
      <c r="AT172" s="712"/>
      <c r="AU172" s="715"/>
      <c r="AV172" s="716"/>
      <c r="AW172" s="716"/>
      <c r="AX172" s="716"/>
      <c r="AY172" s="716"/>
      <c r="AZ172" s="716"/>
      <c r="BA172" s="716"/>
      <c r="BB172" s="716"/>
      <c r="BC172" s="716"/>
      <c r="BD172" s="716"/>
      <c r="BE172" s="715"/>
      <c r="BF172" s="715"/>
      <c r="BG172" s="717"/>
      <c r="BH172" s="717"/>
      <c r="BI172" s="717"/>
      <c r="BJ172" s="717"/>
      <c r="BK172" s="717"/>
      <c r="BL172" s="717"/>
      <c r="BM172" s="717"/>
      <c r="BN172" s="717"/>
      <c r="BO172" s="717"/>
      <c r="BP172" s="717"/>
      <c r="BQ172" s="717"/>
      <c r="BR172" s="717"/>
      <c r="BS172" s="717"/>
      <c r="BT172" s="717"/>
      <c r="BU172" s="717"/>
      <c r="BV172" s="717"/>
      <c r="BW172" s="715"/>
      <c r="BX172" s="718"/>
      <c r="BY172" s="718"/>
      <c r="BZ172" s="718"/>
      <c r="CA172" s="715"/>
      <c r="CB172" s="718"/>
      <c r="CC172" s="718"/>
      <c r="CD172" s="718"/>
      <c r="CE172" s="718"/>
      <c r="CF172" s="720"/>
    </row>
    <row r="173" spans="2:84" s="436" customFormat="1" ht="14.5" outlineLevel="1" x14ac:dyDescent="0.35">
      <c r="B173" s="433">
        <v>49</v>
      </c>
      <c r="C173" s="434" t="s">
        <v>1077</v>
      </c>
      <c r="D173" s="340" t="s">
        <v>240</v>
      </c>
      <c r="E173" s="340" t="s">
        <v>241</v>
      </c>
      <c r="F173" s="340" t="s">
        <v>260</v>
      </c>
      <c r="G173" s="288">
        <v>964.66</v>
      </c>
      <c r="H173" s="435">
        <v>1119</v>
      </c>
      <c r="I173" s="696" t="s">
        <v>1018</v>
      </c>
      <c r="J173" s="697"/>
      <c r="K173" s="697"/>
      <c r="L173" s="697"/>
      <c r="M173" s="697"/>
      <c r="N173" s="697"/>
      <c r="O173" s="697"/>
      <c r="P173" s="697"/>
      <c r="Q173" s="697"/>
      <c r="R173" s="697"/>
      <c r="S173" s="696"/>
      <c r="T173" s="696"/>
      <c r="U173" s="698"/>
      <c r="V173" s="698"/>
      <c r="W173" s="698"/>
      <c r="X173" s="698"/>
      <c r="Y173" s="698"/>
      <c r="Z173" s="698"/>
      <c r="AA173" s="698"/>
      <c r="AB173" s="698"/>
      <c r="AC173" s="698"/>
      <c r="AD173" s="698"/>
      <c r="AE173" s="698"/>
      <c r="AF173" s="698"/>
      <c r="AG173" s="698"/>
      <c r="AH173" s="698"/>
      <c r="AI173" s="698"/>
      <c r="AJ173" s="698"/>
      <c r="AK173" s="696" t="s">
        <v>1018</v>
      </c>
      <c r="AL173" s="699"/>
      <c r="AM173" s="699"/>
      <c r="AN173" s="699"/>
      <c r="AO173" s="696" t="s">
        <v>1018</v>
      </c>
      <c r="AP173" s="699"/>
      <c r="AQ173" s="699"/>
      <c r="AR173" s="699"/>
      <c r="AS173" s="699"/>
      <c r="AT173" s="712"/>
      <c r="AU173" s="715"/>
      <c r="AV173" s="716"/>
      <c r="AW173" s="716"/>
      <c r="AX173" s="716"/>
      <c r="AY173" s="716"/>
      <c r="AZ173" s="716"/>
      <c r="BA173" s="716"/>
      <c r="BB173" s="716"/>
      <c r="BC173" s="716"/>
      <c r="BD173" s="716"/>
      <c r="BE173" s="715"/>
      <c r="BF173" s="715"/>
      <c r="BG173" s="717"/>
      <c r="BH173" s="717"/>
      <c r="BI173" s="717"/>
      <c r="BJ173" s="717"/>
      <c r="BK173" s="717"/>
      <c r="BL173" s="717"/>
      <c r="BM173" s="717"/>
      <c r="BN173" s="717"/>
      <c r="BO173" s="717"/>
      <c r="BP173" s="717"/>
      <c r="BQ173" s="717"/>
      <c r="BR173" s="717"/>
      <c r="BS173" s="717"/>
      <c r="BT173" s="717"/>
      <c r="BU173" s="717"/>
      <c r="BV173" s="717"/>
      <c r="BW173" s="715"/>
      <c r="BX173" s="718"/>
      <c r="BY173" s="718"/>
      <c r="BZ173" s="718"/>
      <c r="CA173" s="715"/>
      <c r="CB173" s="718"/>
      <c r="CC173" s="718"/>
      <c r="CD173" s="718"/>
      <c r="CE173" s="718"/>
      <c r="CF173" s="720"/>
    </row>
    <row r="174" spans="2:84" s="436" customFormat="1" ht="14.5" x14ac:dyDescent="0.35">
      <c r="B174" s="433">
        <v>50</v>
      </c>
      <c r="C174" s="434" t="s">
        <v>1078</v>
      </c>
      <c r="D174" s="340" t="s">
        <v>240</v>
      </c>
      <c r="E174" s="340" t="s">
        <v>241</v>
      </c>
      <c r="F174" s="340" t="s">
        <v>260</v>
      </c>
      <c r="G174" s="288">
        <v>919.81999999999994</v>
      </c>
      <c r="H174" s="435">
        <v>1067</v>
      </c>
      <c r="I174" s="696" t="s">
        <v>1018</v>
      </c>
      <c r="J174" s="697"/>
      <c r="K174" s="697"/>
      <c r="L174" s="697"/>
      <c r="M174" s="697"/>
      <c r="N174" s="697"/>
      <c r="O174" s="697"/>
      <c r="P174" s="697"/>
      <c r="Q174" s="697"/>
      <c r="R174" s="697"/>
      <c r="S174" s="696"/>
      <c r="T174" s="696"/>
      <c r="U174" s="698"/>
      <c r="V174" s="698"/>
      <c r="W174" s="698"/>
      <c r="X174" s="698"/>
      <c r="Y174" s="698"/>
      <c r="Z174" s="698"/>
      <c r="AA174" s="698"/>
      <c r="AB174" s="698"/>
      <c r="AC174" s="698"/>
      <c r="AD174" s="698"/>
      <c r="AE174" s="698"/>
      <c r="AF174" s="698"/>
      <c r="AG174" s="698"/>
      <c r="AH174" s="698"/>
      <c r="AI174" s="698"/>
      <c r="AJ174" s="698"/>
      <c r="AK174" s="696" t="s">
        <v>1018</v>
      </c>
      <c r="AL174" s="699"/>
      <c r="AM174" s="699"/>
      <c r="AN174" s="699"/>
      <c r="AO174" s="696" t="s">
        <v>1018</v>
      </c>
      <c r="AP174" s="699"/>
      <c r="AQ174" s="699"/>
      <c r="AR174" s="699"/>
      <c r="AS174" s="699"/>
      <c r="AT174" s="712"/>
      <c r="AU174" s="715"/>
      <c r="AV174" s="716"/>
      <c r="AW174" s="716"/>
      <c r="AX174" s="716"/>
      <c r="AY174" s="716"/>
      <c r="AZ174" s="716"/>
      <c r="BA174" s="716"/>
      <c r="BB174" s="716"/>
      <c r="BC174" s="716"/>
      <c r="BD174" s="716"/>
      <c r="BE174" s="715"/>
      <c r="BF174" s="715"/>
      <c r="BG174" s="717"/>
      <c r="BH174" s="717"/>
      <c r="BI174" s="717"/>
      <c r="BJ174" s="717"/>
      <c r="BK174" s="717"/>
      <c r="BL174" s="717"/>
      <c r="BM174" s="717"/>
      <c r="BN174" s="717"/>
      <c r="BO174" s="717"/>
      <c r="BP174" s="717"/>
      <c r="BQ174" s="717"/>
      <c r="BR174" s="717"/>
      <c r="BS174" s="717"/>
      <c r="BT174" s="717"/>
      <c r="BU174" s="717"/>
      <c r="BV174" s="717"/>
      <c r="BW174" s="715"/>
      <c r="BX174" s="718"/>
      <c r="BY174" s="718"/>
      <c r="BZ174" s="718"/>
      <c r="CA174" s="715"/>
      <c r="CB174" s="718"/>
      <c r="CC174" s="718"/>
      <c r="CD174" s="718"/>
      <c r="CE174" s="718"/>
      <c r="CF174" s="720"/>
    </row>
    <row r="175" spans="2:84" s="436" customFormat="1" ht="14.5" x14ac:dyDescent="0.35">
      <c r="B175" s="433">
        <v>51</v>
      </c>
      <c r="C175" s="434" t="s">
        <v>1079</v>
      </c>
      <c r="D175" s="340" t="s">
        <v>242</v>
      </c>
      <c r="E175" s="340" t="s">
        <v>243</v>
      </c>
      <c r="F175" s="340" t="s">
        <v>260</v>
      </c>
      <c r="G175" s="288">
        <v>440.68</v>
      </c>
      <c r="H175" s="435">
        <v>519</v>
      </c>
      <c r="I175" s="696" t="s">
        <v>1018</v>
      </c>
      <c r="J175" s="697"/>
      <c r="K175" s="697"/>
      <c r="L175" s="697"/>
      <c r="M175" s="697"/>
      <c r="N175" s="697"/>
      <c r="O175" s="697"/>
      <c r="P175" s="697"/>
      <c r="Q175" s="697"/>
      <c r="R175" s="697"/>
      <c r="S175" s="696"/>
      <c r="T175" s="696"/>
      <c r="U175" s="696"/>
      <c r="V175" s="696"/>
      <c r="W175" s="696"/>
      <c r="X175" s="696"/>
      <c r="Y175" s="696"/>
      <c r="Z175" s="696"/>
      <c r="AA175" s="696"/>
      <c r="AB175" s="696"/>
      <c r="AC175" s="696"/>
      <c r="AD175" s="696"/>
      <c r="AE175" s="696"/>
      <c r="AF175" s="696"/>
      <c r="AG175" s="696"/>
      <c r="AH175" s="696"/>
      <c r="AI175" s="696"/>
      <c r="AJ175" s="696"/>
      <c r="AK175" s="696" t="s">
        <v>1018</v>
      </c>
      <c r="AL175" s="699"/>
      <c r="AM175" s="699"/>
      <c r="AN175" s="699"/>
      <c r="AO175" s="696" t="s">
        <v>1018</v>
      </c>
      <c r="AP175" s="699"/>
      <c r="AQ175" s="699"/>
      <c r="AR175" s="699"/>
      <c r="AS175" s="699"/>
      <c r="AT175" s="712"/>
      <c r="AU175" s="715"/>
      <c r="AV175" s="716"/>
      <c r="AW175" s="716"/>
      <c r="AX175" s="716"/>
      <c r="AY175" s="716"/>
      <c r="AZ175" s="716"/>
      <c r="BA175" s="716"/>
      <c r="BB175" s="716"/>
      <c r="BC175" s="716"/>
      <c r="BD175" s="716"/>
      <c r="BE175" s="715"/>
      <c r="BF175" s="715"/>
      <c r="BG175" s="715"/>
      <c r="BH175" s="715"/>
      <c r="BI175" s="715"/>
      <c r="BJ175" s="715"/>
      <c r="BK175" s="715"/>
      <c r="BL175" s="715"/>
      <c r="BM175" s="715"/>
      <c r="BN175" s="715"/>
      <c r="BO175" s="715"/>
      <c r="BP175" s="715"/>
      <c r="BQ175" s="715"/>
      <c r="BR175" s="715"/>
      <c r="BS175" s="715"/>
      <c r="BT175" s="715"/>
      <c r="BU175" s="715"/>
      <c r="BV175" s="715"/>
      <c r="BW175" s="715"/>
      <c r="BX175" s="718"/>
      <c r="BY175" s="718"/>
      <c r="BZ175" s="718"/>
      <c r="CA175" s="715"/>
      <c r="CB175" s="718"/>
      <c r="CC175" s="718"/>
      <c r="CD175" s="718"/>
      <c r="CE175" s="718"/>
      <c r="CF175" s="720"/>
    </row>
    <row r="176" spans="2:84" s="436" customFormat="1" ht="14.5" x14ac:dyDescent="0.35">
      <c r="B176" s="433">
        <v>52</v>
      </c>
      <c r="C176" s="434" t="s">
        <v>1080</v>
      </c>
      <c r="D176" s="340" t="s">
        <v>242</v>
      </c>
      <c r="E176" s="340" t="s">
        <v>243</v>
      </c>
      <c r="F176" s="340" t="s">
        <v>260</v>
      </c>
      <c r="G176" s="288">
        <v>509.64</v>
      </c>
      <c r="H176" s="435">
        <v>599</v>
      </c>
      <c r="I176" s="696" t="s">
        <v>1018</v>
      </c>
      <c r="J176" s="697"/>
      <c r="K176" s="697"/>
      <c r="L176" s="697"/>
      <c r="M176" s="697"/>
      <c r="N176" s="697"/>
      <c r="O176" s="697"/>
      <c r="P176" s="697"/>
      <c r="Q176" s="697"/>
      <c r="R176" s="697"/>
      <c r="S176" s="696"/>
      <c r="T176" s="696"/>
      <c r="U176" s="696"/>
      <c r="V176" s="696"/>
      <c r="W176" s="696"/>
      <c r="X176" s="696"/>
      <c r="Y176" s="696"/>
      <c r="Z176" s="696"/>
      <c r="AA176" s="696"/>
      <c r="AB176" s="696"/>
      <c r="AC176" s="696"/>
      <c r="AD176" s="696"/>
      <c r="AE176" s="696"/>
      <c r="AF176" s="696"/>
      <c r="AG176" s="696"/>
      <c r="AH176" s="696"/>
      <c r="AI176" s="696"/>
      <c r="AJ176" s="696"/>
      <c r="AK176" s="696" t="s">
        <v>1018</v>
      </c>
      <c r="AL176" s="699"/>
      <c r="AM176" s="699"/>
      <c r="AN176" s="699"/>
      <c r="AO176" s="696" t="s">
        <v>1018</v>
      </c>
      <c r="AP176" s="699"/>
      <c r="AQ176" s="699"/>
      <c r="AR176" s="699"/>
      <c r="AS176" s="699"/>
      <c r="AT176" s="712"/>
      <c r="AU176" s="715"/>
      <c r="AV176" s="716"/>
      <c r="AW176" s="716"/>
      <c r="AX176" s="716"/>
      <c r="AY176" s="716"/>
      <c r="AZ176" s="716"/>
      <c r="BA176" s="716"/>
      <c r="BB176" s="716"/>
      <c r="BC176" s="716"/>
      <c r="BD176" s="716"/>
      <c r="BE176" s="715"/>
      <c r="BF176" s="715"/>
      <c r="BG176" s="715"/>
      <c r="BH176" s="715"/>
      <c r="BI176" s="715"/>
      <c r="BJ176" s="715"/>
      <c r="BK176" s="715"/>
      <c r="BL176" s="715"/>
      <c r="BM176" s="715"/>
      <c r="BN176" s="715"/>
      <c r="BO176" s="715"/>
      <c r="BP176" s="715"/>
      <c r="BQ176" s="715"/>
      <c r="BR176" s="715"/>
      <c r="BS176" s="715"/>
      <c r="BT176" s="715"/>
      <c r="BU176" s="715"/>
      <c r="BV176" s="715"/>
      <c r="BW176" s="715"/>
      <c r="BX176" s="718"/>
      <c r="BY176" s="718"/>
      <c r="BZ176" s="718"/>
      <c r="CA176" s="715"/>
      <c r="CB176" s="718"/>
      <c r="CC176" s="718"/>
      <c r="CD176" s="718"/>
      <c r="CE176" s="718"/>
      <c r="CF176" s="720"/>
    </row>
    <row r="177" spans="2:84" s="436" customFormat="1" ht="14.5" x14ac:dyDescent="0.35">
      <c r="B177" s="433">
        <v>53</v>
      </c>
      <c r="C177" s="434" t="s">
        <v>1081</v>
      </c>
      <c r="D177" s="340" t="s">
        <v>242</v>
      </c>
      <c r="E177" s="340" t="s">
        <v>243</v>
      </c>
      <c r="F177" s="340" t="s">
        <v>260</v>
      </c>
      <c r="G177" s="288">
        <v>578.61</v>
      </c>
      <c r="H177" s="435">
        <v>679</v>
      </c>
      <c r="I177" s="696" t="s">
        <v>1018</v>
      </c>
      <c r="J177" s="697"/>
      <c r="K177" s="697"/>
      <c r="L177" s="697"/>
      <c r="M177" s="697"/>
      <c r="N177" s="697"/>
      <c r="O177" s="697"/>
      <c r="P177" s="697"/>
      <c r="Q177" s="697"/>
      <c r="R177" s="697"/>
      <c r="S177" s="696"/>
      <c r="T177" s="696"/>
      <c r="U177" s="696"/>
      <c r="V177" s="696"/>
      <c r="W177" s="696"/>
      <c r="X177" s="696"/>
      <c r="Y177" s="696"/>
      <c r="Z177" s="696"/>
      <c r="AA177" s="696"/>
      <c r="AB177" s="696"/>
      <c r="AC177" s="696"/>
      <c r="AD177" s="696"/>
      <c r="AE177" s="696"/>
      <c r="AF177" s="696"/>
      <c r="AG177" s="696"/>
      <c r="AH177" s="696"/>
      <c r="AI177" s="696"/>
      <c r="AJ177" s="696"/>
      <c r="AK177" s="696" t="s">
        <v>1018</v>
      </c>
      <c r="AL177" s="699"/>
      <c r="AM177" s="699"/>
      <c r="AN177" s="699"/>
      <c r="AO177" s="696" t="s">
        <v>1018</v>
      </c>
      <c r="AP177" s="699"/>
      <c r="AQ177" s="699"/>
      <c r="AR177" s="699"/>
      <c r="AS177" s="699"/>
      <c r="AT177" s="712"/>
      <c r="AU177" s="715"/>
      <c r="AV177" s="716"/>
      <c r="AW177" s="716"/>
      <c r="AX177" s="716"/>
      <c r="AY177" s="716"/>
      <c r="AZ177" s="716"/>
      <c r="BA177" s="716"/>
      <c r="BB177" s="716"/>
      <c r="BC177" s="716"/>
      <c r="BD177" s="716"/>
      <c r="BE177" s="715"/>
      <c r="BF177" s="715"/>
      <c r="BG177" s="715"/>
      <c r="BH177" s="715"/>
      <c r="BI177" s="715"/>
      <c r="BJ177" s="715"/>
      <c r="BK177" s="715"/>
      <c r="BL177" s="715"/>
      <c r="BM177" s="715"/>
      <c r="BN177" s="715"/>
      <c r="BO177" s="715"/>
      <c r="BP177" s="715"/>
      <c r="BQ177" s="715"/>
      <c r="BR177" s="715"/>
      <c r="BS177" s="715"/>
      <c r="BT177" s="715"/>
      <c r="BU177" s="715"/>
      <c r="BV177" s="715"/>
      <c r="BW177" s="715"/>
      <c r="BX177" s="718"/>
      <c r="BY177" s="718"/>
      <c r="BZ177" s="718"/>
      <c r="CA177" s="715"/>
      <c r="CB177" s="718"/>
      <c r="CC177" s="718"/>
      <c r="CD177" s="718"/>
      <c r="CE177" s="718"/>
      <c r="CF177" s="720"/>
    </row>
    <row r="178" spans="2:84" s="436" customFormat="1" ht="14.5" x14ac:dyDescent="0.35">
      <c r="B178" s="433">
        <v>54</v>
      </c>
      <c r="C178" s="434" t="s">
        <v>1082</v>
      </c>
      <c r="D178" s="340" t="s">
        <v>242</v>
      </c>
      <c r="E178" s="340" t="s">
        <v>243</v>
      </c>
      <c r="F178" s="340" t="s">
        <v>260</v>
      </c>
      <c r="G178" s="288">
        <v>627.85</v>
      </c>
      <c r="H178" s="435">
        <v>739</v>
      </c>
      <c r="I178" s="696" t="s">
        <v>1018</v>
      </c>
      <c r="J178" s="697"/>
      <c r="K178" s="697"/>
      <c r="L178" s="697"/>
      <c r="M178" s="697"/>
      <c r="N178" s="697"/>
      <c r="O178" s="697"/>
      <c r="P178" s="697"/>
      <c r="Q178" s="697"/>
      <c r="R178" s="697"/>
      <c r="S178" s="696"/>
      <c r="T178" s="696"/>
      <c r="U178" s="696"/>
      <c r="V178" s="696"/>
      <c r="W178" s="696"/>
      <c r="X178" s="696"/>
      <c r="Y178" s="696"/>
      <c r="Z178" s="696"/>
      <c r="AA178" s="696"/>
      <c r="AB178" s="696"/>
      <c r="AC178" s="696"/>
      <c r="AD178" s="696"/>
      <c r="AE178" s="696"/>
      <c r="AF178" s="696"/>
      <c r="AG178" s="696"/>
      <c r="AH178" s="696"/>
      <c r="AI178" s="696"/>
      <c r="AJ178" s="696"/>
      <c r="AK178" s="696" t="s">
        <v>1018</v>
      </c>
      <c r="AL178" s="699"/>
      <c r="AM178" s="699"/>
      <c r="AN178" s="699"/>
      <c r="AO178" s="696" t="s">
        <v>1018</v>
      </c>
      <c r="AP178" s="699"/>
      <c r="AQ178" s="699"/>
      <c r="AR178" s="699"/>
      <c r="AS178" s="699"/>
      <c r="AT178" s="712"/>
      <c r="AU178" s="715"/>
      <c r="AV178" s="716"/>
      <c r="AW178" s="716"/>
      <c r="AX178" s="716"/>
      <c r="AY178" s="716"/>
      <c r="AZ178" s="716"/>
      <c r="BA178" s="716"/>
      <c r="BB178" s="716"/>
      <c r="BC178" s="716"/>
      <c r="BD178" s="716"/>
      <c r="BE178" s="715"/>
      <c r="BF178" s="715"/>
      <c r="BG178" s="715"/>
      <c r="BH178" s="715"/>
      <c r="BI178" s="715"/>
      <c r="BJ178" s="715"/>
      <c r="BK178" s="715"/>
      <c r="BL178" s="715"/>
      <c r="BM178" s="715"/>
      <c r="BN178" s="715"/>
      <c r="BO178" s="715"/>
      <c r="BP178" s="715"/>
      <c r="BQ178" s="715"/>
      <c r="BR178" s="715"/>
      <c r="BS178" s="715"/>
      <c r="BT178" s="715"/>
      <c r="BU178" s="715"/>
      <c r="BV178" s="715"/>
      <c r="BW178" s="715"/>
      <c r="BX178" s="718"/>
      <c r="BY178" s="718"/>
      <c r="BZ178" s="718"/>
      <c r="CA178" s="715"/>
      <c r="CB178" s="718"/>
      <c r="CC178" s="718"/>
      <c r="CD178" s="718"/>
      <c r="CE178" s="718"/>
      <c r="CF178" s="720"/>
    </row>
    <row r="179" spans="2:84" s="436" customFormat="1" ht="14.5" x14ac:dyDescent="0.35">
      <c r="B179" s="433">
        <v>55</v>
      </c>
      <c r="C179" s="434" t="s">
        <v>1083</v>
      </c>
      <c r="D179" s="340" t="s">
        <v>242</v>
      </c>
      <c r="E179" s="340" t="s">
        <v>243</v>
      </c>
      <c r="F179" s="340" t="s">
        <v>260</v>
      </c>
      <c r="G179" s="288">
        <v>696.81</v>
      </c>
      <c r="H179" s="435">
        <v>819</v>
      </c>
      <c r="I179" s="696" t="s">
        <v>1018</v>
      </c>
      <c r="J179" s="697"/>
      <c r="K179" s="697"/>
      <c r="L179" s="697"/>
      <c r="M179" s="697"/>
      <c r="N179" s="697"/>
      <c r="O179" s="697"/>
      <c r="P179" s="697"/>
      <c r="Q179" s="697"/>
      <c r="R179" s="697"/>
      <c r="S179" s="696"/>
      <c r="T179" s="696"/>
      <c r="U179" s="696"/>
      <c r="V179" s="696"/>
      <c r="W179" s="696"/>
      <c r="X179" s="696"/>
      <c r="Y179" s="696"/>
      <c r="Z179" s="696"/>
      <c r="AA179" s="696"/>
      <c r="AB179" s="696"/>
      <c r="AC179" s="696"/>
      <c r="AD179" s="696"/>
      <c r="AE179" s="696"/>
      <c r="AF179" s="696"/>
      <c r="AG179" s="696"/>
      <c r="AH179" s="696"/>
      <c r="AI179" s="696"/>
      <c r="AJ179" s="696"/>
      <c r="AK179" s="696" t="s">
        <v>1018</v>
      </c>
      <c r="AL179" s="699"/>
      <c r="AM179" s="699"/>
      <c r="AN179" s="699"/>
      <c r="AO179" s="696" t="s">
        <v>1018</v>
      </c>
      <c r="AP179" s="699"/>
      <c r="AQ179" s="699"/>
      <c r="AR179" s="699"/>
      <c r="AS179" s="699"/>
      <c r="AT179" s="712"/>
      <c r="AU179" s="715"/>
      <c r="AV179" s="716"/>
      <c r="AW179" s="716"/>
      <c r="AX179" s="716"/>
      <c r="AY179" s="716"/>
      <c r="AZ179" s="716"/>
      <c r="BA179" s="716"/>
      <c r="BB179" s="716"/>
      <c r="BC179" s="716"/>
      <c r="BD179" s="716"/>
      <c r="BE179" s="715"/>
      <c r="BF179" s="715"/>
      <c r="BG179" s="715"/>
      <c r="BH179" s="715"/>
      <c r="BI179" s="715"/>
      <c r="BJ179" s="715"/>
      <c r="BK179" s="715"/>
      <c r="BL179" s="715"/>
      <c r="BM179" s="715"/>
      <c r="BN179" s="715"/>
      <c r="BO179" s="715"/>
      <c r="BP179" s="715"/>
      <c r="BQ179" s="715"/>
      <c r="BR179" s="715"/>
      <c r="BS179" s="715"/>
      <c r="BT179" s="715"/>
      <c r="BU179" s="715"/>
      <c r="BV179" s="715"/>
      <c r="BW179" s="715"/>
      <c r="BX179" s="718"/>
      <c r="BY179" s="718"/>
      <c r="BZ179" s="718"/>
      <c r="CA179" s="715"/>
      <c r="CB179" s="718"/>
      <c r="CC179" s="718"/>
      <c r="CD179" s="718"/>
      <c r="CE179" s="718"/>
      <c r="CF179" s="720"/>
    </row>
    <row r="180" spans="2:84" s="436" customFormat="1" ht="14.5" x14ac:dyDescent="0.35">
      <c r="B180" s="433">
        <v>56</v>
      </c>
      <c r="C180" s="434" t="s">
        <v>1084</v>
      </c>
      <c r="D180" s="340" t="s">
        <v>242</v>
      </c>
      <c r="E180" s="340" t="s">
        <v>243</v>
      </c>
      <c r="F180" s="340" t="s">
        <v>260</v>
      </c>
      <c r="G180" s="288">
        <v>838.93</v>
      </c>
      <c r="H180" s="435">
        <v>989</v>
      </c>
      <c r="I180" s="696" t="s">
        <v>1018</v>
      </c>
      <c r="J180" s="697"/>
      <c r="K180" s="697"/>
      <c r="L180" s="697"/>
      <c r="M180" s="697"/>
      <c r="N180" s="697"/>
      <c r="O180" s="697"/>
      <c r="P180" s="697"/>
      <c r="Q180" s="697"/>
      <c r="R180" s="697"/>
      <c r="S180" s="696"/>
      <c r="T180" s="696"/>
      <c r="U180" s="696"/>
      <c r="V180" s="696"/>
      <c r="W180" s="696"/>
      <c r="X180" s="696"/>
      <c r="Y180" s="696"/>
      <c r="Z180" s="696"/>
      <c r="AA180" s="696"/>
      <c r="AB180" s="696"/>
      <c r="AC180" s="696"/>
      <c r="AD180" s="696"/>
      <c r="AE180" s="696"/>
      <c r="AF180" s="696"/>
      <c r="AG180" s="696"/>
      <c r="AH180" s="696"/>
      <c r="AI180" s="696"/>
      <c r="AJ180" s="696"/>
      <c r="AK180" s="696" t="s">
        <v>1018</v>
      </c>
      <c r="AL180" s="699"/>
      <c r="AM180" s="699"/>
      <c r="AN180" s="699"/>
      <c r="AO180" s="696" t="s">
        <v>1018</v>
      </c>
      <c r="AP180" s="699"/>
      <c r="AQ180" s="699"/>
      <c r="AR180" s="699"/>
      <c r="AS180" s="699"/>
      <c r="AT180" s="712"/>
      <c r="AU180" s="715"/>
      <c r="AV180" s="716"/>
      <c r="AW180" s="716"/>
      <c r="AX180" s="716"/>
      <c r="AY180" s="716"/>
      <c r="AZ180" s="716"/>
      <c r="BA180" s="716"/>
      <c r="BB180" s="716"/>
      <c r="BC180" s="716"/>
      <c r="BD180" s="716"/>
      <c r="BE180" s="715"/>
      <c r="BF180" s="715"/>
      <c r="BG180" s="715"/>
      <c r="BH180" s="715"/>
      <c r="BI180" s="715"/>
      <c r="BJ180" s="715"/>
      <c r="BK180" s="715"/>
      <c r="BL180" s="715"/>
      <c r="BM180" s="715"/>
      <c r="BN180" s="715"/>
      <c r="BO180" s="715"/>
      <c r="BP180" s="715"/>
      <c r="BQ180" s="715"/>
      <c r="BR180" s="715"/>
      <c r="BS180" s="715"/>
      <c r="BT180" s="715"/>
      <c r="BU180" s="715"/>
      <c r="BV180" s="715"/>
      <c r="BW180" s="715"/>
      <c r="BX180" s="718"/>
      <c r="BY180" s="718"/>
      <c r="BZ180" s="718"/>
      <c r="CA180" s="715"/>
      <c r="CB180" s="718"/>
      <c r="CC180" s="718"/>
      <c r="CD180" s="718"/>
      <c r="CE180" s="718"/>
      <c r="CF180" s="720"/>
    </row>
    <row r="181" spans="2:84" s="436" customFormat="1" ht="14.5" x14ac:dyDescent="0.35">
      <c r="B181" s="433">
        <v>57</v>
      </c>
      <c r="C181" s="434" t="s">
        <v>1085</v>
      </c>
      <c r="D181" s="340" t="s">
        <v>242</v>
      </c>
      <c r="E181" s="340" t="s">
        <v>243</v>
      </c>
      <c r="F181" s="340" t="s">
        <v>260</v>
      </c>
      <c r="G181" s="288">
        <v>889.31999999999994</v>
      </c>
      <c r="H181" s="435">
        <v>1047</v>
      </c>
      <c r="I181" s="696" t="s">
        <v>1018</v>
      </c>
      <c r="J181" s="697"/>
      <c r="K181" s="697"/>
      <c r="L181" s="697"/>
      <c r="M181" s="697"/>
      <c r="N181" s="697"/>
      <c r="O181" s="697"/>
      <c r="P181" s="697"/>
      <c r="Q181" s="697"/>
      <c r="R181" s="697"/>
      <c r="S181" s="696"/>
      <c r="T181" s="696"/>
      <c r="U181" s="696"/>
      <c r="V181" s="696"/>
      <c r="W181" s="696"/>
      <c r="X181" s="696"/>
      <c r="Y181" s="696"/>
      <c r="Z181" s="696"/>
      <c r="AA181" s="696"/>
      <c r="AB181" s="696"/>
      <c r="AC181" s="696"/>
      <c r="AD181" s="696"/>
      <c r="AE181" s="696"/>
      <c r="AF181" s="696"/>
      <c r="AG181" s="696"/>
      <c r="AH181" s="696"/>
      <c r="AI181" s="696"/>
      <c r="AJ181" s="696"/>
      <c r="AK181" s="696" t="s">
        <v>1018</v>
      </c>
      <c r="AL181" s="699"/>
      <c r="AM181" s="699"/>
      <c r="AN181" s="699"/>
      <c r="AO181" s="696" t="s">
        <v>1018</v>
      </c>
      <c r="AP181" s="699"/>
      <c r="AQ181" s="699"/>
      <c r="AR181" s="699"/>
      <c r="AS181" s="699"/>
      <c r="AT181" s="712"/>
      <c r="AU181" s="715"/>
      <c r="AV181" s="716"/>
      <c r="AW181" s="716"/>
      <c r="AX181" s="716"/>
      <c r="AY181" s="716"/>
      <c r="AZ181" s="716"/>
      <c r="BA181" s="716"/>
      <c r="BB181" s="716"/>
      <c r="BC181" s="716"/>
      <c r="BD181" s="716"/>
      <c r="BE181" s="715"/>
      <c r="BF181" s="715"/>
      <c r="BG181" s="715"/>
      <c r="BH181" s="715"/>
      <c r="BI181" s="715"/>
      <c r="BJ181" s="715"/>
      <c r="BK181" s="715"/>
      <c r="BL181" s="715"/>
      <c r="BM181" s="715"/>
      <c r="BN181" s="715"/>
      <c r="BO181" s="715"/>
      <c r="BP181" s="715"/>
      <c r="BQ181" s="715"/>
      <c r="BR181" s="715"/>
      <c r="BS181" s="715"/>
      <c r="BT181" s="715"/>
      <c r="BU181" s="715"/>
      <c r="BV181" s="715"/>
      <c r="BW181" s="715"/>
      <c r="BX181" s="718"/>
      <c r="BY181" s="718"/>
      <c r="BZ181" s="718"/>
      <c r="CA181" s="715"/>
      <c r="CB181" s="718"/>
      <c r="CC181" s="718"/>
      <c r="CD181" s="718"/>
      <c r="CE181" s="718"/>
      <c r="CF181" s="720"/>
    </row>
    <row r="182" spans="2:84" s="436" customFormat="1" ht="14.5" x14ac:dyDescent="0.35">
      <c r="B182" s="433">
        <v>58</v>
      </c>
      <c r="C182" s="434" t="s">
        <v>1086</v>
      </c>
      <c r="D182" s="340" t="s">
        <v>242</v>
      </c>
      <c r="E182" s="340" t="s">
        <v>241</v>
      </c>
      <c r="F182" s="340" t="s">
        <v>260</v>
      </c>
      <c r="G182" s="288">
        <v>404.31</v>
      </c>
      <c r="H182" s="435">
        <v>469</v>
      </c>
      <c r="I182" s="696" t="s">
        <v>1018</v>
      </c>
      <c r="J182" s="697"/>
      <c r="K182" s="697"/>
      <c r="L182" s="697"/>
      <c r="M182" s="697"/>
      <c r="N182" s="697"/>
      <c r="O182" s="697"/>
      <c r="P182" s="697"/>
      <c r="Q182" s="697"/>
      <c r="R182" s="697"/>
      <c r="S182" s="696"/>
      <c r="T182" s="696"/>
      <c r="U182" s="696"/>
      <c r="V182" s="696"/>
      <c r="W182" s="696"/>
      <c r="X182" s="696"/>
      <c r="Y182" s="696"/>
      <c r="Z182" s="696"/>
      <c r="AA182" s="696"/>
      <c r="AB182" s="696"/>
      <c r="AC182" s="696"/>
      <c r="AD182" s="696"/>
      <c r="AE182" s="696"/>
      <c r="AF182" s="696"/>
      <c r="AG182" s="696"/>
      <c r="AH182" s="696"/>
      <c r="AI182" s="696"/>
      <c r="AJ182" s="696"/>
      <c r="AK182" s="696" t="s">
        <v>1018</v>
      </c>
      <c r="AL182" s="699"/>
      <c r="AM182" s="699"/>
      <c r="AN182" s="699"/>
      <c r="AO182" s="696" t="s">
        <v>1018</v>
      </c>
      <c r="AP182" s="699"/>
      <c r="AQ182" s="699"/>
      <c r="AR182" s="699"/>
      <c r="AS182" s="699"/>
      <c r="AT182" s="712"/>
      <c r="AU182" s="715"/>
      <c r="AV182" s="716"/>
      <c r="AW182" s="716"/>
      <c r="AX182" s="716"/>
      <c r="AY182" s="716"/>
      <c r="AZ182" s="716"/>
      <c r="BA182" s="716"/>
      <c r="BB182" s="716"/>
      <c r="BC182" s="716"/>
      <c r="BD182" s="716"/>
      <c r="BE182" s="715"/>
      <c r="BF182" s="715"/>
      <c r="BG182" s="715"/>
      <c r="BH182" s="715"/>
      <c r="BI182" s="715"/>
      <c r="BJ182" s="715"/>
      <c r="BK182" s="715"/>
      <c r="BL182" s="715"/>
      <c r="BM182" s="715"/>
      <c r="BN182" s="715"/>
      <c r="BO182" s="715"/>
      <c r="BP182" s="715"/>
      <c r="BQ182" s="715"/>
      <c r="BR182" s="715"/>
      <c r="BS182" s="715"/>
      <c r="BT182" s="715"/>
      <c r="BU182" s="715"/>
      <c r="BV182" s="715"/>
      <c r="BW182" s="715"/>
      <c r="BX182" s="718"/>
      <c r="BY182" s="718"/>
      <c r="BZ182" s="718"/>
      <c r="CA182" s="715"/>
      <c r="CB182" s="718"/>
      <c r="CC182" s="718"/>
      <c r="CD182" s="718"/>
      <c r="CE182" s="718"/>
      <c r="CF182" s="720"/>
    </row>
    <row r="183" spans="2:84" s="436" customFormat="1" ht="14.5" x14ac:dyDescent="0.35">
      <c r="B183" s="433">
        <v>59</v>
      </c>
      <c r="C183" s="434" t="s">
        <v>1087</v>
      </c>
      <c r="D183" s="340" t="s">
        <v>242</v>
      </c>
      <c r="E183" s="340" t="s">
        <v>241</v>
      </c>
      <c r="F183" s="340" t="s">
        <v>260</v>
      </c>
      <c r="G183" s="288">
        <v>473.27</v>
      </c>
      <c r="H183" s="435">
        <v>549</v>
      </c>
      <c r="I183" s="696" t="s">
        <v>1018</v>
      </c>
      <c r="J183" s="697"/>
      <c r="K183" s="697"/>
      <c r="L183" s="697"/>
      <c r="M183" s="697"/>
      <c r="N183" s="697"/>
      <c r="O183" s="697"/>
      <c r="P183" s="697"/>
      <c r="Q183" s="697"/>
      <c r="R183" s="697"/>
      <c r="S183" s="696"/>
      <c r="T183" s="696"/>
      <c r="U183" s="696"/>
      <c r="V183" s="696"/>
      <c r="W183" s="696"/>
      <c r="X183" s="696"/>
      <c r="Y183" s="696"/>
      <c r="Z183" s="696"/>
      <c r="AA183" s="696"/>
      <c r="AB183" s="696"/>
      <c r="AC183" s="696"/>
      <c r="AD183" s="696"/>
      <c r="AE183" s="696"/>
      <c r="AF183" s="696"/>
      <c r="AG183" s="696"/>
      <c r="AH183" s="696"/>
      <c r="AI183" s="696"/>
      <c r="AJ183" s="696"/>
      <c r="AK183" s="696" t="s">
        <v>1018</v>
      </c>
      <c r="AL183" s="699"/>
      <c r="AM183" s="699"/>
      <c r="AN183" s="699"/>
      <c r="AO183" s="696" t="s">
        <v>1018</v>
      </c>
      <c r="AP183" s="699"/>
      <c r="AQ183" s="699"/>
      <c r="AR183" s="699"/>
      <c r="AS183" s="699"/>
      <c r="AT183" s="712"/>
      <c r="AU183" s="715"/>
      <c r="AV183" s="716"/>
      <c r="AW183" s="716"/>
      <c r="AX183" s="716"/>
      <c r="AY183" s="716"/>
      <c r="AZ183" s="716"/>
      <c r="BA183" s="716"/>
      <c r="BB183" s="716"/>
      <c r="BC183" s="716"/>
      <c r="BD183" s="716"/>
      <c r="BE183" s="715"/>
      <c r="BF183" s="715"/>
      <c r="BG183" s="715"/>
      <c r="BH183" s="715"/>
      <c r="BI183" s="715"/>
      <c r="BJ183" s="715"/>
      <c r="BK183" s="715"/>
      <c r="BL183" s="715"/>
      <c r="BM183" s="715"/>
      <c r="BN183" s="715"/>
      <c r="BO183" s="715"/>
      <c r="BP183" s="715"/>
      <c r="BQ183" s="715"/>
      <c r="BR183" s="715"/>
      <c r="BS183" s="715"/>
      <c r="BT183" s="715"/>
      <c r="BU183" s="715"/>
      <c r="BV183" s="715"/>
      <c r="BW183" s="715"/>
      <c r="BX183" s="718"/>
      <c r="BY183" s="718"/>
      <c r="BZ183" s="718"/>
      <c r="CA183" s="715"/>
      <c r="CB183" s="718"/>
      <c r="CC183" s="718"/>
      <c r="CD183" s="718"/>
      <c r="CE183" s="718"/>
      <c r="CF183" s="720"/>
    </row>
    <row r="184" spans="2:84" s="436" customFormat="1" ht="14.5" x14ac:dyDescent="0.35">
      <c r="B184" s="433">
        <v>60</v>
      </c>
      <c r="C184" s="434" t="s">
        <v>1088</v>
      </c>
      <c r="D184" s="340" t="s">
        <v>242</v>
      </c>
      <c r="E184" s="340" t="s">
        <v>241</v>
      </c>
      <c r="F184" s="340" t="s">
        <v>260</v>
      </c>
      <c r="G184" s="288">
        <v>542.24</v>
      </c>
      <c r="H184" s="435">
        <v>629</v>
      </c>
      <c r="I184" s="696" t="s">
        <v>1018</v>
      </c>
      <c r="J184" s="697"/>
      <c r="K184" s="697"/>
      <c r="L184" s="697"/>
      <c r="M184" s="697"/>
      <c r="N184" s="697"/>
      <c r="O184" s="697"/>
      <c r="P184" s="697"/>
      <c r="Q184" s="697"/>
      <c r="R184" s="697"/>
      <c r="S184" s="696"/>
      <c r="T184" s="696"/>
      <c r="U184" s="696"/>
      <c r="V184" s="696"/>
      <c r="W184" s="696"/>
      <c r="X184" s="696"/>
      <c r="Y184" s="696"/>
      <c r="Z184" s="696"/>
      <c r="AA184" s="696"/>
      <c r="AB184" s="696"/>
      <c r="AC184" s="696"/>
      <c r="AD184" s="696"/>
      <c r="AE184" s="696"/>
      <c r="AF184" s="696"/>
      <c r="AG184" s="696"/>
      <c r="AH184" s="696"/>
      <c r="AI184" s="696"/>
      <c r="AJ184" s="696"/>
      <c r="AK184" s="696" t="s">
        <v>1018</v>
      </c>
      <c r="AL184" s="699"/>
      <c r="AM184" s="699"/>
      <c r="AN184" s="699"/>
      <c r="AO184" s="696" t="s">
        <v>1018</v>
      </c>
      <c r="AP184" s="699"/>
      <c r="AQ184" s="699"/>
      <c r="AR184" s="699"/>
      <c r="AS184" s="699"/>
      <c r="AT184" s="712"/>
      <c r="AU184" s="715"/>
      <c r="AV184" s="716"/>
      <c r="AW184" s="716"/>
      <c r="AX184" s="716"/>
      <c r="AY184" s="716"/>
      <c r="AZ184" s="716"/>
      <c r="BA184" s="716"/>
      <c r="BB184" s="716"/>
      <c r="BC184" s="716"/>
      <c r="BD184" s="716"/>
      <c r="BE184" s="715"/>
      <c r="BF184" s="715"/>
      <c r="BG184" s="715"/>
      <c r="BH184" s="715"/>
      <c r="BI184" s="715"/>
      <c r="BJ184" s="715"/>
      <c r="BK184" s="715"/>
      <c r="BL184" s="715"/>
      <c r="BM184" s="715"/>
      <c r="BN184" s="715"/>
      <c r="BO184" s="715"/>
      <c r="BP184" s="715"/>
      <c r="BQ184" s="715"/>
      <c r="BR184" s="715"/>
      <c r="BS184" s="715"/>
      <c r="BT184" s="715"/>
      <c r="BU184" s="715"/>
      <c r="BV184" s="715"/>
      <c r="BW184" s="715"/>
      <c r="BX184" s="718"/>
      <c r="BY184" s="718"/>
      <c r="BZ184" s="718"/>
      <c r="CA184" s="715"/>
      <c r="CB184" s="718"/>
      <c r="CC184" s="718"/>
      <c r="CD184" s="718"/>
      <c r="CE184" s="718"/>
      <c r="CF184" s="720"/>
    </row>
    <row r="185" spans="2:84" s="436" customFormat="1" ht="14.5" x14ac:dyDescent="0.35">
      <c r="B185" s="433">
        <v>61</v>
      </c>
      <c r="C185" s="434" t="s">
        <v>1089</v>
      </c>
      <c r="D185" s="340" t="s">
        <v>242</v>
      </c>
      <c r="E185" s="340" t="s">
        <v>241</v>
      </c>
      <c r="F185" s="340" t="s">
        <v>260</v>
      </c>
      <c r="G185" s="288">
        <v>511.2</v>
      </c>
      <c r="H185" s="435">
        <v>593</v>
      </c>
      <c r="I185" s="696" t="s">
        <v>1018</v>
      </c>
      <c r="J185" s="697"/>
      <c r="K185" s="697"/>
      <c r="L185" s="697"/>
      <c r="M185" s="697"/>
      <c r="N185" s="697"/>
      <c r="O185" s="697"/>
      <c r="P185" s="697"/>
      <c r="Q185" s="697"/>
      <c r="R185" s="697"/>
      <c r="S185" s="696"/>
      <c r="T185" s="696"/>
      <c r="U185" s="696"/>
      <c r="V185" s="696"/>
      <c r="W185" s="696"/>
      <c r="X185" s="696"/>
      <c r="Y185" s="696"/>
      <c r="Z185" s="696"/>
      <c r="AA185" s="696"/>
      <c r="AB185" s="696"/>
      <c r="AC185" s="696"/>
      <c r="AD185" s="696"/>
      <c r="AE185" s="696"/>
      <c r="AF185" s="696"/>
      <c r="AG185" s="696"/>
      <c r="AH185" s="696"/>
      <c r="AI185" s="696"/>
      <c r="AJ185" s="696"/>
      <c r="AK185" s="696" t="s">
        <v>1018</v>
      </c>
      <c r="AL185" s="699"/>
      <c r="AM185" s="699"/>
      <c r="AN185" s="699"/>
      <c r="AO185" s="696" t="s">
        <v>1018</v>
      </c>
      <c r="AP185" s="699"/>
      <c r="AQ185" s="699"/>
      <c r="AR185" s="699"/>
      <c r="AS185" s="699"/>
      <c r="AT185" s="712"/>
      <c r="AU185" s="715"/>
      <c r="AV185" s="716"/>
      <c r="AW185" s="716"/>
      <c r="AX185" s="716"/>
      <c r="AY185" s="716"/>
      <c r="AZ185" s="716"/>
      <c r="BA185" s="716"/>
      <c r="BB185" s="716"/>
      <c r="BC185" s="716"/>
      <c r="BD185" s="716"/>
      <c r="BE185" s="715"/>
      <c r="BF185" s="715"/>
      <c r="BG185" s="715"/>
      <c r="BH185" s="715"/>
      <c r="BI185" s="715"/>
      <c r="BJ185" s="715"/>
      <c r="BK185" s="715"/>
      <c r="BL185" s="715"/>
      <c r="BM185" s="715"/>
      <c r="BN185" s="715"/>
      <c r="BO185" s="715"/>
      <c r="BP185" s="715"/>
      <c r="BQ185" s="715"/>
      <c r="BR185" s="715"/>
      <c r="BS185" s="715"/>
      <c r="BT185" s="715"/>
      <c r="BU185" s="715"/>
      <c r="BV185" s="715"/>
      <c r="BW185" s="715"/>
      <c r="BX185" s="718"/>
      <c r="BY185" s="718"/>
      <c r="BZ185" s="718"/>
      <c r="CA185" s="715"/>
      <c r="CB185" s="718"/>
      <c r="CC185" s="718"/>
      <c r="CD185" s="718"/>
      <c r="CE185" s="718"/>
      <c r="CF185" s="720"/>
    </row>
    <row r="186" spans="2:84" s="436" customFormat="1" ht="14.5" x14ac:dyDescent="0.35">
      <c r="B186" s="433">
        <v>62</v>
      </c>
      <c r="C186" s="434" t="s">
        <v>1090</v>
      </c>
      <c r="D186" s="340" t="s">
        <v>242</v>
      </c>
      <c r="E186" s="340" t="s">
        <v>241</v>
      </c>
      <c r="F186" s="340" t="s">
        <v>260</v>
      </c>
      <c r="G186" s="288">
        <v>580.17000000000007</v>
      </c>
      <c r="H186" s="435">
        <v>673</v>
      </c>
      <c r="I186" s="696" t="s">
        <v>1018</v>
      </c>
      <c r="J186" s="697"/>
      <c r="K186" s="697"/>
      <c r="L186" s="697"/>
      <c r="M186" s="697"/>
      <c r="N186" s="697"/>
      <c r="O186" s="697"/>
      <c r="P186" s="697"/>
      <c r="Q186" s="697"/>
      <c r="R186" s="697"/>
      <c r="S186" s="696"/>
      <c r="T186" s="696"/>
      <c r="U186" s="696"/>
      <c r="V186" s="696"/>
      <c r="W186" s="696"/>
      <c r="X186" s="696"/>
      <c r="Y186" s="696"/>
      <c r="Z186" s="696"/>
      <c r="AA186" s="696"/>
      <c r="AB186" s="696"/>
      <c r="AC186" s="696"/>
      <c r="AD186" s="696"/>
      <c r="AE186" s="696"/>
      <c r="AF186" s="696"/>
      <c r="AG186" s="696"/>
      <c r="AH186" s="696"/>
      <c r="AI186" s="696"/>
      <c r="AJ186" s="696"/>
      <c r="AK186" s="696" t="s">
        <v>1018</v>
      </c>
      <c r="AL186" s="699"/>
      <c r="AM186" s="699"/>
      <c r="AN186" s="699"/>
      <c r="AO186" s="696" t="s">
        <v>1018</v>
      </c>
      <c r="AP186" s="699"/>
      <c r="AQ186" s="699"/>
      <c r="AR186" s="699"/>
      <c r="AS186" s="699"/>
      <c r="AT186" s="712"/>
      <c r="AU186" s="715"/>
      <c r="AV186" s="716"/>
      <c r="AW186" s="716"/>
      <c r="AX186" s="716"/>
      <c r="AY186" s="716"/>
      <c r="AZ186" s="716"/>
      <c r="BA186" s="716"/>
      <c r="BB186" s="716"/>
      <c r="BC186" s="716"/>
      <c r="BD186" s="716"/>
      <c r="BE186" s="715"/>
      <c r="BF186" s="715"/>
      <c r="BG186" s="715"/>
      <c r="BH186" s="715"/>
      <c r="BI186" s="715"/>
      <c r="BJ186" s="715"/>
      <c r="BK186" s="715"/>
      <c r="BL186" s="715"/>
      <c r="BM186" s="715"/>
      <c r="BN186" s="715"/>
      <c r="BO186" s="715"/>
      <c r="BP186" s="715"/>
      <c r="BQ186" s="715"/>
      <c r="BR186" s="715"/>
      <c r="BS186" s="715"/>
      <c r="BT186" s="715"/>
      <c r="BU186" s="715"/>
      <c r="BV186" s="715"/>
      <c r="BW186" s="715"/>
      <c r="BX186" s="718"/>
      <c r="BY186" s="718"/>
      <c r="BZ186" s="718"/>
      <c r="CA186" s="715"/>
      <c r="CB186" s="718"/>
      <c r="CC186" s="718"/>
      <c r="CD186" s="718"/>
      <c r="CE186" s="718"/>
      <c r="CF186" s="720"/>
    </row>
    <row r="187" spans="2:84" s="436" customFormat="1" ht="14.5" x14ac:dyDescent="0.35">
      <c r="B187" s="433">
        <v>63</v>
      </c>
      <c r="C187" s="434" t="s">
        <v>1091</v>
      </c>
      <c r="D187" s="340" t="s">
        <v>242</v>
      </c>
      <c r="E187" s="340" t="s">
        <v>241</v>
      </c>
      <c r="F187" s="340" t="s">
        <v>260</v>
      </c>
      <c r="G187" s="288">
        <v>687.07</v>
      </c>
      <c r="H187" s="435">
        <v>797</v>
      </c>
      <c r="I187" s="696" t="s">
        <v>1018</v>
      </c>
      <c r="J187" s="697"/>
      <c r="K187" s="697"/>
      <c r="L187" s="697"/>
      <c r="M187" s="697"/>
      <c r="N187" s="697"/>
      <c r="O187" s="697"/>
      <c r="P187" s="697"/>
      <c r="Q187" s="697"/>
      <c r="R187" s="697"/>
      <c r="S187" s="696"/>
      <c r="T187" s="696"/>
      <c r="U187" s="696"/>
      <c r="V187" s="696"/>
      <c r="W187" s="696"/>
      <c r="X187" s="696"/>
      <c r="Y187" s="696"/>
      <c r="Z187" s="696"/>
      <c r="AA187" s="696"/>
      <c r="AB187" s="696"/>
      <c r="AC187" s="696"/>
      <c r="AD187" s="696"/>
      <c r="AE187" s="696"/>
      <c r="AF187" s="696"/>
      <c r="AG187" s="696"/>
      <c r="AH187" s="696"/>
      <c r="AI187" s="696"/>
      <c r="AJ187" s="696"/>
      <c r="AK187" s="696" t="s">
        <v>1018</v>
      </c>
      <c r="AL187" s="699"/>
      <c r="AM187" s="699"/>
      <c r="AN187" s="699"/>
      <c r="AO187" s="696" t="s">
        <v>1018</v>
      </c>
      <c r="AP187" s="699"/>
      <c r="AQ187" s="699"/>
      <c r="AR187" s="699"/>
      <c r="AS187" s="699"/>
      <c r="AT187" s="712"/>
      <c r="AU187" s="715"/>
      <c r="AV187" s="716"/>
      <c r="AW187" s="716"/>
      <c r="AX187" s="716"/>
      <c r="AY187" s="716"/>
      <c r="AZ187" s="716"/>
      <c r="BA187" s="716"/>
      <c r="BB187" s="716"/>
      <c r="BC187" s="716"/>
      <c r="BD187" s="716"/>
      <c r="BE187" s="715"/>
      <c r="BF187" s="715"/>
      <c r="BG187" s="715"/>
      <c r="BH187" s="715"/>
      <c r="BI187" s="715"/>
      <c r="BJ187" s="715"/>
      <c r="BK187" s="715"/>
      <c r="BL187" s="715"/>
      <c r="BM187" s="715"/>
      <c r="BN187" s="715"/>
      <c r="BO187" s="715"/>
      <c r="BP187" s="715"/>
      <c r="BQ187" s="715"/>
      <c r="BR187" s="715"/>
      <c r="BS187" s="715"/>
      <c r="BT187" s="715"/>
      <c r="BU187" s="715"/>
      <c r="BV187" s="715"/>
      <c r="BW187" s="715"/>
      <c r="BX187" s="718"/>
      <c r="BY187" s="718"/>
      <c r="BZ187" s="718"/>
      <c r="CA187" s="715"/>
      <c r="CB187" s="718"/>
      <c r="CC187" s="718"/>
      <c r="CD187" s="718"/>
      <c r="CE187" s="718"/>
      <c r="CF187" s="720"/>
    </row>
    <row r="188" spans="2:84" s="436" customFormat="1" ht="14.5" x14ac:dyDescent="0.35">
      <c r="B188" s="433">
        <v>64</v>
      </c>
      <c r="C188" s="434" t="s">
        <v>1092</v>
      </c>
      <c r="D188" s="340" t="s">
        <v>242</v>
      </c>
      <c r="E188" s="340" t="s">
        <v>241</v>
      </c>
      <c r="F188" s="340" t="s">
        <v>260</v>
      </c>
      <c r="G188" s="288">
        <v>637.06999999999994</v>
      </c>
      <c r="H188" s="435">
        <v>739</v>
      </c>
      <c r="I188" s="696" t="s">
        <v>1018</v>
      </c>
      <c r="J188" s="697"/>
      <c r="K188" s="697"/>
      <c r="L188" s="697"/>
      <c r="M188" s="697"/>
      <c r="N188" s="697"/>
      <c r="O188" s="697"/>
      <c r="P188" s="697"/>
      <c r="Q188" s="697"/>
      <c r="R188" s="697"/>
      <c r="S188" s="696"/>
      <c r="T188" s="696"/>
      <c r="U188" s="696"/>
      <c r="V188" s="696"/>
      <c r="W188" s="696"/>
      <c r="X188" s="696"/>
      <c r="Y188" s="696"/>
      <c r="Z188" s="696"/>
      <c r="AA188" s="696"/>
      <c r="AB188" s="696"/>
      <c r="AC188" s="696"/>
      <c r="AD188" s="696"/>
      <c r="AE188" s="696"/>
      <c r="AF188" s="696"/>
      <c r="AG188" s="696"/>
      <c r="AH188" s="696"/>
      <c r="AI188" s="696"/>
      <c r="AJ188" s="696"/>
      <c r="AK188" s="696" t="s">
        <v>1018</v>
      </c>
      <c r="AL188" s="699"/>
      <c r="AM188" s="699"/>
      <c r="AN188" s="699"/>
      <c r="AO188" s="696" t="s">
        <v>1018</v>
      </c>
      <c r="AP188" s="699"/>
      <c r="AQ188" s="699"/>
      <c r="AR188" s="699"/>
      <c r="AS188" s="699"/>
      <c r="AT188" s="712"/>
      <c r="AU188" s="715"/>
      <c r="AV188" s="716"/>
      <c r="AW188" s="716"/>
      <c r="AX188" s="716"/>
      <c r="AY188" s="716"/>
      <c r="AZ188" s="716"/>
      <c r="BA188" s="716"/>
      <c r="BB188" s="716"/>
      <c r="BC188" s="716"/>
      <c r="BD188" s="716"/>
      <c r="BE188" s="715"/>
      <c r="BF188" s="715"/>
      <c r="BG188" s="715"/>
      <c r="BH188" s="715"/>
      <c r="BI188" s="715"/>
      <c r="BJ188" s="715"/>
      <c r="BK188" s="715"/>
      <c r="BL188" s="715"/>
      <c r="BM188" s="715"/>
      <c r="BN188" s="715"/>
      <c r="BO188" s="715"/>
      <c r="BP188" s="715"/>
      <c r="BQ188" s="715"/>
      <c r="BR188" s="715"/>
      <c r="BS188" s="715"/>
      <c r="BT188" s="715"/>
      <c r="BU188" s="715"/>
      <c r="BV188" s="715"/>
      <c r="BW188" s="715"/>
      <c r="BX188" s="718"/>
      <c r="BY188" s="718"/>
      <c r="BZ188" s="718"/>
      <c r="CA188" s="715"/>
      <c r="CB188" s="718"/>
      <c r="CC188" s="718"/>
      <c r="CD188" s="718"/>
      <c r="CE188" s="718"/>
      <c r="CF188" s="720"/>
    </row>
    <row r="189" spans="2:84" s="436" customFormat="1" ht="14.5" x14ac:dyDescent="0.35">
      <c r="B189" s="433">
        <v>65</v>
      </c>
      <c r="C189" s="434" t="s">
        <v>1093</v>
      </c>
      <c r="D189" s="340" t="s">
        <v>242</v>
      </c>
      <c r="E189" s="340" t="s">
        <v>241</v>
      </c>
      <c r="F189" s="340" t="s">
        <v>260</v>
      </c>
      <c r="G189" s="288">
        <v>964.66</v>
      </c>
      <c r="H189" s="435">
        <v>1119</v>
      </c>
      <c r="I189" s="696" t="s">
        <v>1018</v>
      </c>
      <c r="J189" s="697"/>
      <c r="K189" s="697"/>
      <c r="L189" s="697"/>
      <c r="M189" s="697"/>
      <c r="N189" s="697"/>
      <c r="O189" s="697"/>
      <c r="P189" s="697"/>
      <c r="Q189" s="697"/>
      <c r="R189" s="697"/>
      <c r="S189" s="696"/>
      <c r="T189" s="696"/>
      <c r="U189" s="696"/>
      <c r="V189" s="696"/>
      <c r="W189" s="696"/>
      <c r="X189" s="696"/>
      <c r="Y189" s="696"/>
      <c r="Z189" s="696"/>
      <c r="AA189" s="696"/>
      <c r="AB189" s="696"/>
      <c r="AC189" s="696"/>
      <c r="AD189" s="696"/>
      <c r="AE189" s="696"/>
      <c r="AF189" s="696"/>
      <c r="AG189" s="696"/>
      <c r="AH189" s="696"/>
      <c r="AI189" s="696"/>
      <c r="AJ189" s="696"/>
      <c r="AK189" s="696" t="s">
        <v>1018</v>
      </c>
      <c r="AL189" s="699"/>
      <c r="AM189" s="699"/>
      <c r="AN189" s="699"/>
      <c r="AO189" s="696" t="s">
        <v>1018</v>
      </c>
      <c r="AP189" s="699"/>
      <c r="AQ189" s="699"/>
      <c r="AR189" s="699"/>
      <c r="AS189" s="699"/>
      <c r="AT189" s="712"/>
      <c r="AU189" s="715"/>
      <c r="AV189" s="716"/>
      <c r="AW189" s="716"/>
      <c r="AX189" s="716"/>
      <c r="AY189" s="716"/>
      <c r="AZ189" s="716"/>
      <c r="BA189" s="716"/>
      <c r="BB189" s="716"/>
      <c r="BC189" s="716"/>
      <c r="BD189" s="716"/>
      <c r="BE189" s="715"/>
      <c r="BF189" s="715"/>
      <c r="BG189" s="715"/>
      <c r="BH189" s="715"/>
      <c r="BI189" s="715"/>
      <c r="BJ189" s="715"/>
      <c r="BK189" s="715"/>
      <c r="BL189" s="715"/>
      <c r="BM189" s="715"/>
      <c r="BN189" s="715"/>
      <c r="BO189" s="715"/>
      <c r="BP189" s="715"/>
      <c r="BQ189" s="715"/>
      <c r="BR189" s="715"/>
      <c r="BS189" s="715"/>
      <c r="BT189" s="715"/>
      <c r="BU189" s="715"/>
      <c r="BV189" s="715"/>
      <c r="BW189" s="715"/>
      <c r="BX189" s="718"/>
      <c r="BY189" s="718"/>
      <c r="BZ189" s="718"/>
      <c r="CA189" s="715"/>
      <c r="CB189" s="718"/>
      <c r="CC189" s="718"/>
      <c r="CD189" s="718"/>
      <c r="CE189" s="718"/>
      <c r="CF189" s="720"/>
    </row>
    <row r="190" spans="2:84" s="436" customFormat="1" ht="14.5" x14ac:dyDescent="0.35">
      <c r="B190" s="433">
        <v>66</v>
      </c>
      <c r="C190" s="434" t="s">
        <v>1094</v>
      </c>
      <c r="D190" s="340" t="s">
        <v>242</v>
      </c>
      <c r="E190" s="340" t="s">
        <v>241</v>
      </c>
      <c r="F190" s="340" t="s">
        <v>260</v>
      </c>
      <c r="G190" s="288">
        <v>919.81999999999994</v>
      </c>
      <c r="H190" s="435">
        <v>1067</v>
      </c>
      <c r="I190" s="696" t="s">
        <v>1018</v>
      </c>
      <c r="J190" s="697"/>
      <c r="K190" s="697"/>
      <c r="L190" s="697"/>
      <c r="M190" s="697"/>
      <c r="N190" s="697"/>
      <c r="O190" s="697"/>
      <c r="P190" s="697"/>
      <c r="Q190" s="697"/>
      <c r="R190" s="697"/>
      <c r="S190" s="696"/>
      <c r="T190" s="696"/>
      <c r="U190" s="696"/>
      <c r="V190" s="696"/>
      <c r="W190" s="696"/>
      <c r="X190" s="696"/>
      <c r="Y190" s="696"/>
      <c r="Z190" s="696"/>
      <c r="AA190" s="696"/>
      <c r="AB190" s="696"/>
      <c r="AC190" s="696"/>
      <c r="AD190" s="696"/>
      <c r="AE190" s="696"/>
      <c r="AF190" s="696"/>
      <c r="AG190" s="696"/>
      <c r="AH190" s="696"/>
      <c r="AI190" s="696"/>
      <c r="AJ190" s="696"/>
      <c r="AK190" s="696" t="s">
        <v>1018</v>
      </c>
      <c r="AL190" s="699"/>
      <c r="AM190" s="699"/>
      <c r="AN190" s="699"/>
      <c r="AO190" s="696" t="s">
        <v>1018</v>
      </c>
      <c r="AP190" s="699"/>
      <c r="AQ190" s="699"/>
      <c r="AR190" s="699"/>
      <c r="AS190" s="699"/>
      <c r="AT190" s="712"/>
      <c r="AU190" s="715"/>
      <c r="AV190" s="716"/>
      <c r="AW190" s="716"/>
      <c r="AX190" s="716"/>
      <c r="AY190" s="716"/>
      <c r="AZ190" s="716"/>
      <c r="BA190" s="716"/>
      <c r="BB190" s="716"/>
      <c r="BC190" s="716"/>
      <c r="BD190" s="716"/>
      <c r="BE190" s="715"/>
      <c r="BF190" s="715"/>
      <c r="BG190" s="715"/>
      <c r="BH190" s="715"/>
      <c r="BI190" s="715"/>
      <c r="BJ190" s="715"/>
      <c r="BK190" s="715"/>
      <c r="BL190" s="715"/>
      <c r="BM190" s="715"/>
      <c r="BN190" s="715"/>
      <c r="BO190" s="715"/>
      <c r="BP190" s="715"/>
      <c r="BQ190" s="715"/>
      <c r="BR190" s="715"/>
      <c r="BS190" s="715"/>
      <c r="BT190" s="715"/>
      <c r="BU190" s="715"/>
      <c r="BV190" s="715"/>
      <c r="BW190" s="715"/>
      <c r="BX190" s="718"/>
      <c r="BY190" s="718"/>
      <c r="BZ190" s="718"/>
      <c r="CA190" s="715"/>
      <c r="CB190" s="718"/>
      <c r="CC190" s="718"/>
      <c r="CD190" s="718"/>
      <c r="CE190" s="718"/>
      <c r="CF190" s="720"/>
    </row>
    <row r="191" spans="2:84" s="436" customFormat="1" ht="14.5" x14ac:dyDescent="0.35">
      <c r="B191" s="433">
        <v>67</v>
      </c>
      <c r="C191" s="434" t="s">
        <v>1095</v>
      </c>
      <c r="D191" s="340" t="s">
        <v>240</v>
      </c>
      <c r="E191" s="340" t="s">
        <v>243</v>
      </c>
      <c r="F191" s="340" t="s">
        <v>260</v>
      </c>
      <c r="G191" s="288">
        <v>367.29</v>
      </c>
      <c r="H191" s="435">
        <v>435</v>
      </c>
      <c r="I191" s="696" t="s">
        <v>1019</v>
      </c>
      <c r="J191" s="697"/>
      <c r="K191" s="697"/>
      <c r="L191" s="697"/>
      <c r="M191" s="697"/>
      <c r="N191" s="697"/>
      <c r="O191" s="697"/>
      <c r="P191" s="697"/>
      <c r="Q191" s="697"/>
      <c r="R191" s="697"/>
      <c r="S191" s="703"/>
      <c r="T191" s="704"/>
      <c r="U191" s="697"/>
      <c r="V191" s="703"/>
      <c r="W191" s="704"/>
      <c r="X191" s="697"/>
      <c r="Y191" s="703"/>
      <c r="Z191" s="704"/>
      <c r="AA191" s="697"/>
      <c r="AB191" s="703"/>
      <c r="AC191" s="704"/>
      <c r="AD191" s="697"/>
      <c r="AE191" s="696"/>
      <c r="AF191" s="696"/>
      <c r="AG191" s="696"/>
      <c r="AH191" s="696"/>
      <c r="AI191" s="696"/>
      <c r="AJ191" s="696"/>
      <c r="AK191" s="696" t="s">
        <v>1018</v>
      </c>
      <c r="AL191" s="699"/>
      <c r="AM191" s="699"/>
      <c r="AN191" s="699"/>
      <c r="AO191" s="696" t="s">
        <v>1018</v>
      </c>
      <c r="AP191" s="699"/>
      <c r="AQ191" s="699"/>
      <c r="AR191" s="699"/>
      <c r="AS191" s="699"/>
      <c r="AT191" s="712"/>
      <c r="AU191" s="715"/>
      <c r="AV191" s="716"/>
      <c r="AW191" s="716"/>
      <c r="AX191" s="716"/>
      <c r="AY191" s="716"/>
      <c r="AZ191" s="716"/>
      <c r="BA191" s="716"/>
      <c r="BB191" s="716"/>
      <c r="BC191" s="716"/>
      <c r="BD191" s="716"/>
      <c r="BE191" s="723"/>
      <c r="BF191" s="724"/>
      <c r="BG191" s="716"/>
      <c r="BH191" s="723"/>
      <c r="BI191" s="724"/>
      <c r="BJ191" s="716"/>
      <c r="BK191" s="723"/>
      <c r="BL191" s="724"/>
      <c r="BM191" s="716"/>
      <c r="BN191" s="723"/>
      <c r="BO191" s="724"/>
      <c r="BP191" s="716"/>
      <c r="BQ191" s="715"/>
      <c r="BR191" s="715"/>
      <c r="BS191" s="715"/>
      <c r="BT191" s="715"/>
      <c r="BU191" s="715"/>
      <c r="BV191" s="715"/>
      <c r="BW191" s="715"/>
      <c r="BX191" s="718"/>
      <c r="BY191" s="718"/>
      <c r="BZ191" s="718"/>
      <c r="CA191" s="715"/>
      <c r="CB191" s="718"/>
      <c r="CC191" s="718"/>
      <c r="CD191" s="718"/>
      <c r="CE191" s="718"/>
      <c r="CF191" s="720"/>
    </row>
    <row r="192" spans="2:84" s="436" customFormat="1" ht="14.5" x14ac:dyDescent="0.35">
      <c r="B192" s="433">
        <v>68</v>
      </c>
      <c r="C192" s="434" t="s">
        <v>1096</v>
      </c>
      <c r="D192" s="340" t="s">
        <v>240</v>
      </c>
      <c r="E192" s="340" t="s">
        <v>243</v>
      </c>
      <c r="F192" s="340" t="s">
        <v>260</v>
      </c>
      <c r="G192" s="288">
        <v>388.4</v>
      </c>
      <c r="H192" s="435">
        <v>460</v>
      </c>
      <c r="I192" s="696" t="s">
        <v>1019</v>
      </c>
      <c r="J192" s="697"/>
      <c r="K192" s="697"/>
      <c r="L192" s="697"/>
      <c r="M192" s="697"/>
      <c r="N192" s="697"/>
      <c r="O192" s="697"/>
      <c r="P192" s="697"/>
      <c r="Q192" s="697"/>
      <c r="R192" s="697"/>
      <c r="S192" s="703"/>
      <c r="T192" s="704"/>
      <c r="U192" s="697"/>
      <c r="V192" s="703"/>
      <c r="W192" s="704"/>
      <c r="X192" s="697"/>
      <c r="Y192" s="703"/>
      <c r="Z192" s="704"/>
      <c r="AA192" s="697"/>
      <c r="AB192" s="703"/>
      <c r="AC192" s="704"/>
      <c r="AD192" s="697"/>
      <c r="AE192" s="696"/>
      <c r="AF192" s="696"/>
      <c r="AG192" s="696"/>
      <c r="AH192" s="696"/>
      <c r="AI192" s="696"/>
      <c r="AJ192" s="696"/>
      <c r="AK192" s="696" t="s">
        <v>1018</v>
      </c>
      <c r="AL192" s="699"/>
      <c r="AM192" s="699"/>
      <c r="AN192" s="699"/>
      <c r="AO192" s="696" t="s">
        <v>1018</v>
      </c>
      <c r="AP192" s="699"/>
      <c r="AQ192" s="699"/>
      <c r="AR192" s="699"/>
      <c r="AS192" s="699"/>
      <c r="AT192" s="712"/>
      <c r="AU192" s="715"/>
      <c r="AV192" s="716"/>
      <c r="AW192" s="716"/>
      <c r="AX192" s="716"/>
      <c r="AY192" s="716"/>
      <c r="AZ192" s="716"/>
      <c r="BA192" s="716"/>
      <c r="BB192" s="716"/>
      <c r="BC192" s="716"/>
      <c r="BD192" s="716"/>
      <c r="BE192" s="723"/>
      <c r="BF192" s="724"/>
      <c r="BG192" s="716"/>
      <c r="BH192" s="723"/>
      <c r="BI192" s="724"/>
      <c r="BJ192" s="716"/>
      <c r="BK192" s="723"/>
      <c r="BL192" s="724"/>
      <c r="BM192" s="716"/>
      <c r="BN192" s="723"/>
      <c r="BO192" s="724"/>
      <c r="BP192" s="716"/>
      <c r="BQ192" s="715"/>
      <c r="BR192" s="715"/>
      <c r="BS192" s="715"/>
      <c r="BT192" s="715"/>
      <c r="BU192" s="715"/>
      <c r="BV192" s="715"/>
      <c r="BW192" s="715"/>
      <c r="BX192" s="718"/>
      <c r="BY192" s="718"/>
      <c r="BZ192" s="718"/>
      <c r="CA192" s="715"/>
      <c r="CB192" s="718"/>
      <c r="CC192" s="718"/>
      <c r="CD192" s="718"/>
      <c r="CE192" s="718"/>
      <c r="CF192" s="720"/>
    </row>
    <row r="193" spans="1:143" s="436" customFormat="1" ht="14.5" x14ac:dyDescent="0.35">
      <c r="B193" s="433">
        <v>69</v>
      </c>
      <c r="C193" s="434" t="s">
        <v>1097</v>
      </c>
      <c r="D193" s="340" t="s">
        <v>240</v>
      </c>
      <c r="E193" s="340" t="s">
        <v>243</v>
      </c>
      <c r="F193" s="340" t="s">
        <v>260</v>
      </c>
      <c r="G193" s="288">
        <v>463.54</v>
      </c>
      <c r="H193" s="435">
        <v>549</v>
      </c>
      <c r="I193" s="696" t="s">
        <v>1019</v>
      </c>
      <c r="J193" s="697"/>
      <c r="K193" s="697"/>
      <c r="L193" s="697"/>
      <c r="M193" s="697"/>
      <c r="N193" s="697"/>
      <c r="O193" s="697"/>
      <c r="P193" s="697"/>
      <c r="Q193" s="697"/>
      <c r="R193" s="697"/>
      <c r="S193" s="703"/>
      <c r="T193" s="704"/>
      <c r="U193" s="697"/>
      <c r="V193" s="703"/>
      <c r="W193" s="704"/>
      <c r="X193" s="697"/>
      <c r="Y193" s="703"/>
      <c r="Z193" s="704"/>
      <c r="AA193" s="697"/>
      <c r="AB193" s="703"/>
      <c r="AC193" s="704"/>
      <c r="AD193" s="697"/>
      <c r="AE193" s="696"/>
      <c r="AF193" s="696"/>
      <c r="AG193" s="696"/>
      <c r="AH193" s="696"/>
      <c r="AI193" s="696"/>
      <c r="AJ193" s="696"/>
      <c r="AK193" s="696" t="s">
        <v>1018</v>
      </c>
      <c r="AL193" s="699"/>
      <c r="AM193" s="699"/>
      <c r="AN193" s="699"/>
      <c r="AO193" s="696" t="s">
        <v>1018</v>
      </c>
      <c r="AP193" s="699"/>
      <c r="AQ193" s="699"/>
      <c r="AR193" s="699"/>
      <c r="AS193" s="699"/>
      <c r="AT193" s="712"/>
      <c r="AU193" s="715"/>
      <c r="AV193" s="716"/>
      <c r="AW193" s="716"/>
      <c r="AX193" s="716"/>
      <c r="AY193" s="716"/>
      <c r="AZ193" s="716"/>
      <c r="BA193" s="716"/>
      <c r="BB193" s="716"/>
      <c r="BC193" s="716"/>
      <c r="BD193" s="716"/>
      <c r="BE193" s="723"/>
      <c r="BF193" s="724"/>
      <c r="BG193" s="716"/>
      <c r="BH193" s="723"/>
      <c r="BI193" s="724"/>
      <c r="BJ193" s="716"/>
      <c r="BK193" s="723"/>
      <c r="BL193" s="724"/>
      <c r="BM193" s="716"/>
      <c r="BN193" s="723"/>
      <c r="BO193" s="724"/>
      <c r="BP193" s="716"/>
      <c r="BQ193" s="715"/>
      <c r="BR193" s="715"/>
      <c r="BS193" s="715"/>
      <c r="BT193" s="715"/>
      <c r="BU193" s="715"/>
      <c r="BV193" s="715"/>
      <c r="BW193" s="715"/>
      <c r="BX193" s="718"/>
      <c r="BY193" s="718"/>
      <c r="BZ193" s="718"/>
      <c r="CA193" s="715"/>
      <c r="CB193" s="718"/>
      <c r="CC193" s="718"/>
      <c r="CD193" s="718"/>
      <c r="CE193" s="718"/>
      <c r="CF193" s="720"/>
    </row>
    <row r="194" spans="1:143" s="436" customFormat="1" ht="14.5" x14ac:dyDescent="0.35">
      <c r="B194" s="433">
        <v>70</v>
      </c>
      <c r="C194" s="434" t="s">
        <v>1098</v>
      </c>
      <c r="D194" s="340" t="s">
        <v>240</v>
      </c>
      <c r="E194" s="340" t="s">
        <v>243</v>
      </c>
      <c r="F194" s="340" t="s">
        <v>260</v>
      </c>
      <c r="G194" s="288">
        <v>607.08000000000004</v>
      </c>
      <c r="H194" s="435">
        <v>719</v>
      </c>
      <c r="I194" s="696" t="s">
        <v>1019</v>
      </c>
      <c r="J194" s="697"/>
      <c r="K194" s="697"/>
      <c r="L194" s="697"/>
      <c r="M194" s="697"/>
      <c r="N194" s="697"/>
      <c r="O194" s="697"/>
      <c r="P194" s="697"/>
      <c r="Q194" s="697"/>
      <c r="R194" s="697"/>
      <c r="S194" s="703"/>
      <c r="T194" s="704"/>
      <c r="U194" s="697"/>
      <c r="V194" s="703"/>
      <c r="W194" s="704"/>
      <c r="X194" s="697"/>
      <c r="Y194" s="703"/>
      <c r="Z194" s="704"/>
      <c r="AA194" s="697"/>
      <c r="AB194" s="703"/>
      <c r="AC194" s="704"/>
      <c r="AD194" s="697"/>
      <c r="AE194" s="696"/>
      <c r="AF194" s="696"/>
      <c r="AG194" s="696"/>
      <c r="AH194" s="696"/>
      <c r="AI194" s="696"/>
      <c r="AJ194" s="696"/>
      <c r="AK194" s="696" t="s">
        <v>1018</v>
      </c>
      <c r="AL194" s="699"/>
      <c r="AM194" s="699"/>
      <c r="AN194" s="699"/>
      <c r="AO194" s="696" t="s">
        <v>1018</v>
      </c>
      <c r="AP194" s="699"/>
      <c r="AQ194" s="699"/>
      <c r="AR194" s="699"/>
      <c r="AS194" s="699"/>
      <c r="AT194" s="712"/>
      <c r="AU194" s="715"/>
      <c r="AV194" s="716"/>
      <c r="AW194" s="716"/>
      <c r="AX194" s="716"/>
      <c r="AY194" s="716"/>
      <c r="AZ194" s="716"/>
      <c r="BA194" s="716"/>
      <c r="BB194" s="716"/>
      <c r="BC194" s="716"/>
      <c r="BD194" s="716"/>
      <c r="BE194" s="723"/>
      <c r="BF194" s="724"/>
      <c r="BG194" s="716"/>
      <c r="BH194" s="723"/>
      <c r="BI194" s="724"/>
      <c r="BJ194" s="716"/>
      <c r="BK194" s="723"/>
      <c r="BL194" s="724"/>
      <c r="BM194" s="716"/>
      <c r="BN194" s="723"/>
      <c r="BO194" s="724"/>
      <c r="BP194" s="716"/>
      <c r="BQ194" s="715"/>
      <c r="BR194" s="715"/>
      <c r="BS194" s="715"/>
      <c r="BT194" s="715"/>
      <c r="BU194" s="715"/>
      <c r="BV194" s="715"/>
      <c r="BW194" s="715"/>
      <c r="BX194" s="718"/>
      <c r="BY194" s="718"/>
      <c r="BZ194" s="718"/>
      <c r="CA194" s="715"/>
      <c r="CB194" s="718"/>
      <c r="CC194" s="718"/>
      <c r="CD194" s="718"/>
      <c r="CE194" s="718"/>
      <c r="CF194" s="720"/>
    </row>
    <row r="195" spans="1:143" s="436" customFormat="1" ht="14.5" x14ac:dyDescent="0.35">
      <c r="B195" s="433">
        <v>71</v>
      </c>
      <c r="C195" s="434" t="s">
        <v>1099</v>
      </c>
      <c r="D195" s="340" t="s">
        <v>240</v>
      </c>
      <c r="E195" s="340" t="s">
        <v>243</v>
      </c>
      <c r="F195" s="340" t="s">
        <v>260</v>
      </c>
      <c r="G195" s="288">
        <v>1037.69</v>
      </c>
      <c r="H195" s="435">
        <v>1229</v>
      </c>
      <c r="I195" s="696" t="s">
        <v>1019</v>
      </c>
      <c r="J195" s="697"/>
      <c r="K195" s="697"/>
      <c r="L195" s="697"/>
      <c r="M195" s="697"/>
      <c r="N195" s="697"/>
      <c r="O195" s="697"/>
      <c r="P195" s="697"/>
      <c r="Q195" s="697"/>
      <c r="R195" s="697"/>
      <c r="S195" s="703"/>
      <c r="T195" s="704"/>
      <c r="U195" s="697"/>
      <c r="V195" s="703"/>
      <c r="W195" s="704"/>
      <c r="X195" s="697"/>
      <c r="Y195" s="703"/>
      <c r="Z195" s="704"/>
      <c r="AA195" s="697"/>
      <c r="AB195" s="703"/>
      <c r="AC195" s="704"/>
      <c r="AD195" s="697"/>
      <c r="AE195" s="696"/>
      <c r="AF195" s="696"/>
      <c r="AG195" s="696"/>
      <c r="AH195" s="696"/>
      <c r="AI195" s="696"/>
      <c r="AJ195" s="696"/>
      <c r="AK195" s="696" t="s">
        <v>1018</v>
      </c>
      <c r="AL195" s="699"/>
      <c r="AM195" s="699"/>
      <c r="AN195" s="699"/>
      <c r="AO195" s="696" t="s">
        <v>1018</v>
      </c>
      <c r="AP195" s="699"/>
      <c r="AQ195" s="699"/>
      <c r="AR195" s="699"/>
      <c r="AS195" s="699"/>
      <c r="AT195" s="712"/>
      <c r="AU195" s="715"/>
      <c r="AV195" s="716"/>
      <c r="AW195" s="716"/>
      <c r="AX195" s="716"/>
      <c r="AY195" s="716"/>
      <c r="AZ195" s="716"/>
      <c r="BA195" s="716"/>
      <c r="BB195" s="716"/>
      <c r="BC195" s="716"/>
      <c r="BD195" s="716"/>
      <c r="BE195" s="723"/>
      <c r="BF195" s="724"/>
      <c r="BG195" s="716"/>
      <c r="BH195" s="723"/>
      <c r="BI195" s="724"/>
      <c r="BJ195" s="716"/>
      <c r="BK195" s="723"/>
      <c r="BL195" s="724"/>
      <c r="BM195" s="716"/>
      <c r="BN195" s="723"/>
      <c r="BO195" s="724"/>
      <c r="BP195" s="716"/>
      <c r="BQ195" s="715"/>
      <c r="BR195" s="715"/>
      <c r="BS195" s="715"/>
      <c r="BT195" s="715"/>
      <c r="BU195" s="715"/>
      <c r="BV195" s="715"/>
      <c r="BW195" s="715"/>
      <c r="BX195" s="718"/>
      <c r="BY195" s="718"/>
      <c r="BZ195" s="718"/>
      <c r="CA195" s="715"/>
      <c r="CB195" s="718"/>
      <c r="CC195" s="718"/>
      <c r="CD195" s="718"/>
      <c r="CE195" s="718"/>
      <c r="CF195" s="720"/>
    </row>
    <row r="196" spans="1:143" s="436" customFormat="1" ht="14.5" x14ac:dyDescent="0.35">
      <c r="B196" s="433">
        <v>72</v>
      </c>
      <c r="C196" s="434" t="s">
        <v>1100</v>
      </c>
      <c r="D196" s="340" t="s">
        <v>240</v>
      </c>
      <c r="E196" s="340" t="s">
        <v>241</v>
      </c>
      <c r="F196" s="340" t="s">
        <v>260</v>
      </c>
      <c r="G196" s="288">
        <v>322.41000000000003</v>
      </c>
      <c r="H196" s="435">
        <v>374</v>
      </c>
      <c r="I196" s="696" t="s">
        <v>1019</v>
      </c>
      <c r="J196" s="697"/>
      <c r="K196" s="697"/>
      <c r="L196" s="697"/>
      <c r="M196" s="697"/>
      <c r="N196" s="697"/>
      <c r="O196" s="697"/>
      <c r="P196" s="697"/>
      <c r="Q196" s="697"/>
      <c r="R196" s="697"/>
      <c r="S196" s="703"/>
      <c r="T196" s="704"/>
      <c r="U196" s="697"/>
      <c r="V196" s="703"/>
      <c r="W196" s="704"/>
      <c r="X196" s="697"/>
      <c r="Y196" s="703"/>
      <c r="Z196" s="704"/>
      <c r="AA196" s="697"/>
      <c r="AB196" s="703"/>
      <c r="AC196" s="704"/>
      <c r="AD196" s="697"/>
      <c r="AE196" s="696"/>
      <c r="AF196" s="696"/>
      <c r="AG196" s="696"/>
      <c r="AH196" s="696"/>
      <c r="AI196" s="696"/>
      <c r="AJ196" s="696"/>
      <c r="AK196" s="696" t="s">
        <v>1018</v>
      </c>
      <c r="AL196" s="699"/>
      <c r="AM196" s="699"/>
      <c r="AN196" s="699"/>
      <c r="AO196" s="696" t="s">
        <v>1018</v>
      </c>
      <c r="AP196" s="699"/>
      <c r="AQ196" s="699"/>
      <c r="AR196" s="699"/>
      <c r="AS196" s="699"/>
      <c r="AT196" s="712"/>
      <c r="AU196" s="715"/>
      <c r="AV196" s="716"/>
      <c r="AW196" s="716"/>
      <c r="AX196" s="716"/>
      <c r="AY196" s="716"/>
      <c r="AZ196" s="716"/>
      <c r="BA196" s="716"/>
      <c r="BB196" s="716"/>
      <c r="BC196" s="716"/>
      <c r="BD196" s="716"/>
      <c r="BE196" s="723"/>
      <c r="BF196" s="724"/>
      <c r="BG196" s="716"/>
      <c r="BH196" s="723"/>
      <c r="BI196" s="724"/>
      <c r="BJ196" s="716"/>
      <c r="BK196" s="723"/>
      <c r="BL196" s="724"/>
      <c r="BM196" s="716"/>
      <c r="BN196" s="723"/>
      <c r="BO196" s="724"/>
      <c r="BP196" s="716"/>
      <c r="BQ196" s="715"/>
      <c r="BR196" s="715"/>
      <c r="BS196" s="715"/>
      <c r="BT196" s="715"/>
      <c r="BU196" s="715"/>
      <c r="BV196" s="715"/>
      <c r="BW196" s="715"/>
      <c r="BX196" s="718"/>
      <c r="BY196" s="718"/>
      <c r="BZ196" s="718"/>
      <c r="CA196" s="715"/>
      <c r="CB196" s="718"/>
      <c r="CC196" s="718"/>
      <c r="CD196" s="718"/>
      <c r="CE196" s="718"/>
      <c r="CF196" s="720"/>
    </row>
    <row r="197" spans="1:143" s="436" customFormat="1" ht="14.5" x14ac:dyDescent="0.35">
      <c r="B197" s="433">
        <v>73</v>
      </c>
      <c r="C197" s="434" t="s">
        <v>1101</v>
      </c>
      <c r="D197" s="340" t="s">
        <v>240</v>
      </c>
      <c r="E197" s="340" t="s">
        <v>241</v>
      </c>
      <c r="F197" s="340" t="s">
        <v>260</v>
      </c>
      <c r="G197" s="288">
        <v>365.52</v>
      </c>
      <c r="H197" s="435">
        <v>424</v>
      </c>
      <c r="I197" s="696" t="s">
        <v>1019</v>
      </c>
      <c r="J197" s="697"/>
      <c r="K197" s="697"/>
      <c r="L197" s="697"/>
      <c r="M197" s="697"/>
      <c r="N197" s="697"/>
      <c r="O197" s="697"/>
      <c r="P197" s="697"/>
      <c r="Q197" s="697"/>
      <c r="R197" s="697"/>
      <c r="S197" s="703"/>
      <c r="T197" s="704"/>
      <c r="U197" s="697"/>
      <c r="V197" s="703"/>
      <c r="W197" s="704"/>
      <c r="X197" s="697"/>
      <c r="Y197" s="703"/>
      <c r="Z197" s="704"/>
      <c r="AA197" s="697"/>
      <c r="AB197" s="703"/>
      <c r="AC197" s="704"/>
      <c r="AD197" s="697"/>
      <c r="AE197" s="696"/>
      <c r="AF197" s="696"/>
      <c r="AG197" s="696"/>
      <c r="AH197" s="696"/>
      <c r="AI197" s="696"/>
      <c r="AJ197" s="696"/>
      <c r="AK197" s="696" t="s">
        <v>1018</v>
      </c>
      <c r="AL197" s="699"/>
      <c r="AM197" s="699"/>
      <c r="AN197" s="699"/>
      <c r="AO197" s="696" t="s">
        <v>1018</v>
      </c>
      <c r="AP197" s="699"/>
      <c r="AQ197" s="699"/>
      <c r="AR197" s="699"/>
      <c r="AS197" s="699"/>
      <c r="AT197" s="712"/>
      <c r="AU197" s="715"/>
      <c r="AV197" s="716"/>
      <c r="AW197" s="716"/>
      <c r="AX197" s="716"/>
      <c r="AY197" s="716"/>
      <c r="AZ197" s="716"/>
      <c r="BA197" s="716"/>
      <c r="BB197" s="716"/>
      <c r="BC197" s="716"/>
      <c r="BD197" s="716"/>
      <c r="BE197" s="723"/>
      <c r="BF197" s="724"/>
      <c r="BG197" s="716"/>
      <c r="BH197" s="723"/>
      <c r="BI197" s="724"/>
      <c r="BJ197" s="716"/>
      <c r="BK197" s="723"/>
      <c r="BL197" s="724"/>
      <c r="BM197" s="716"/>
      <c r="BN197" s="723"/>
      <c r="BO197" s="724"/>
      <c r="BP197" s="716"/>
      <c r="BQ197" s="715"/>
      <c r="BR197" s="715"/>
      <c r="BS197" s="715"/>
      <c r="BT197" s="715"/>
      <c r="BU197" s="715"/>
      <c r="BV197" s="715"/>
      <c r="BW197" s="715"/>
      <c r="BX197" s="718"/>
      <c r="BY197" s="718"/>
      <c r="BZ197" s="718"/>
      <c r="CA197" s="715"/>
      <c r="CB197" s="718"/>
      <c r="CC197" s="718"/>
      <c r="CD197" s="718"/>
      <c r="CE197" s="718"/>
      <c r="CF197" s="720"/>
    </row>
    <row r="198" spans="1:143" ht="14.5" x14ac:dyDescent="0.35">
      <c r="A198" s="436"/>
      <c r="B198" s="433">
        <v>74</v>
      </c>
      <c r="C198" s="434" t="s">
        <v>1102</v>
      </c>
      <c r="D198" s="340" t="s">
        <v>240</v>
      </c>
      <c r="E198" s="340" t="s">
        <v>241</v>
      </c>
      <c r="F198" s="340" t="s">
        <v>260</v>
      </c>
      <c r="G198" s="288">
        <v>585.34</v>
      </c>
      <c r="H198" s="435">
        <v>679</v>
      </c>
      <c r="I198" s="696" t="s">
        <v>1019</v>
      </c>
      <c r="J198" s="697"/>
      <c r="K198" s="697"/>
      <c r="L198" s="697"/>
      <c r="M198" s="697"/>
      <c r="N198" s="697"/>
      <c r="O198" s="697"/>
      <c r="P198" s="697"/>
      <c r="Q198" s="697"/>
      <c r="R198" s="697"/>
      <c r="S198" s="703"/>
      <c r="T198" s="704"/>
      <c r="U198" s="697"/>
      <c r="V198" s="703"/>
      <c r="W198" s="704"/>
      <c r="X198" s="697"/>
      <c r="Y198" s="703"/>
      <c r="Z198" s="704"/>
      <c r="AA198" s="697"/>
      <c r="AB198" s="703"/>
      <c r="AC198" s="704"/>
      <c r="AD198" s="697"/>
      <c r="AE198" s="696"/>
      <c r="AF198" s="696"/>
      <c r="AG198" s="696"/>
      <c r="AH198" s="696"/>
      <c r="AI198" s="696"/>
      <c r="AJ198" s="696"/>
      <c r="AK198" s="696" t="s">
        <v>1018</v>
      </c>
      <c r="AL198" s="699"/>
      <c r="AM198" s="699"/>
      <c r="AN198" s="699"/>
      <c r="AO198" s="696" t="s">
        <v>1018</v>
      </c>
      <c r="AP198" s="699"/>
      <c r="AQ198" s="699"/>
      <c r="AR198" s="699"/>
      <c r="AS198" s="699"/>
      <c r="AT198" s="712"/>
      <c r="AU198" s="715"/>
      <c r="AV198" s="716"/>
      <c r="AW198" s="716"/>
      <c r="AX198" s="716"/>
      <c r="AY198" s="716"/>
      <c r="AZ198" s="716"/>
      <c r="BA198" s="716"/>
      <c r="BB198" s="716"/>
      <c r="BC198" s="716"/>
      <c r="BD198" s="716"/>
      <c r="BE198" s="723"/>
      <c r="BF198" s="724"/>
      <c r="BG198" s="716"/>
      <c r="BH198" s="723"/>
      <c r="BI198" s="724"/>
      <c r="BJ198" s="716"/>
      <c r="BK198" s="723"/>
      <c r="BL198" s="724"/>
      <c r="BM198" s="716"/>
      <c r="BN198" s="723"/>
      <c r="BO198" s="724"/>
      <c r="BP198" s="716"/>
      <c r="BQ198" s="715"/>
      <c r="BR198" s="715"/>
      <c r="BS198" s="715"/>
      <c r="BT198" s="715"/>
      <c r="BU198" s="715"/>
      <c r="BV198" s="715"/>
      <c r="BW198" s="715"/>
      <c r="BX198" s="718"/>
      <c r="BY198" s="718"/>
      <c r="BZ198" s="718"/>
      <c r="CA198" s="715"/>
      <c r="CB198" s="718"/>
      <c r="CC198" s="718"/>
      <c r="CD198" s="718"/>
      <c r="CE198" s="718"/>
      <c r="CF198" s="720"/>
      <c r="CG198" s="436"/>
      <c r="CH198" s="436"/>
      <c r="CI198" s="436"/>
      <c r="CJ198" s="436"/>
      <c r="CK198" s="436"/>
      <c r="CL198" s="436"/>
      <c r="CM198" s="436"/>
      <c r="CN198" s="436"/>
      <c r="CO198" s="436"/>
      <c r="CP198" s="436"/>
      <c r="CQ198" s="436"/>
      <c r="CR198" s="436"/>
      <c r="CS198" s="436"/>
      <c r="CT198" s="436"/>
      <c r="CU198" s="436"/>
      <c r="CV198" s="436"/>
      <c r="CW198" s="436"/>
      <c r="CX198" s="436"/>
      <c r="CY198" s="436"/>
      <c r="CZ198" s="436"/>
      <c r="DA198" s="436"/>
      <c r="DB198" s="436"/>
      <c r="DC198" s="436"/>
      <c r="DD198" s="436"/>
      <c r="DE198" s="436"/>
      <c r="DF198" s="436"/>
      <c r="DG198" s="436"/>
      <c r="DH198" s="436"/>
      <c r="DI198" s="436"/>
      <c r="DJ198" s="436"/>
      <c r="DK198" s="436"/>
      <c r="DL198" s="436"/>
      <c r="DM198" s="436"/>
      <c r="DN198" s="436"/>
      <c r="DO198" s="436"/>
      <c r="DP198" s="436"/>
      <c r="DQ198" s="436"/>
      <c r="DR198" s="436"/>
      <c r="DS198" s="436"/>
      <c r="DT198" s="436"/>
      <c r="DU198" s="436"/>
      <c r="DV198" s="436"/>
      <c r="DW198" s="436"/>
      <c r="DX198" s="436"/>
      <c r="DY198" s="436"/>
      <c r="DZ198" s="436"/>
      <c r="EA198" s="436"/>
      <c r="EB198" s="436"/>
      <c r="EC198" s="436"/>
      <c r="ED198" s="436"/>
      <c r="EE198" s="436"/>
      <c r="EF198" s="436"/>
      <c r="EG198" s="436"/>
      <c r="EH198" s="436"/>
      <c r="EI198" s="436"/>
      <c r="EJ198" s="436"/>
      <c r="EK198" s="436"/>
      <c r="EL198" s="436"/>
      <c r="EM198" s="436"/>
    </row>
    <row r="199" spans="1:143" ht="14.5" x14ac:dyDescent="0.35">
      <c r="A199" s="436"/>
      <c r="B199" s="433">
        <v>75</v>
      </c>
      <c r="C199" s="434" t="s">
        <v>1103</v>
      </c>
      <c r="D199" s="340" t="s">
        <v>240</v>
      </c>
      <c r="E199" s="340" t="s">
        <v>241</v>
      </c>
      <c r="F199" s="340" t="s">
        <v>260</v>
      </c>
      <c r="G199" s="288">
        <v>973.28</v>
      </c>
      <c r="H199" s="435">
        <v>1129</v>
      </c>
      <c r="I199" s="696" t="s">
        <v>1019</v>
      </c>
      <c r="J199" s="697"/>
      <c r="K199" s="697"/>
      <c r="L199" s="697"/>
      <c r="M199" s="697"/>
      <c r="N199" s="697"/>
      <c r="O199" s="697"/>
      <c r="P199" s="697"/>
      <c r="Q199" s="697"/>
      <c r="R199" s="697"/>
      <c r="S199" s="703"/>
      <c r="T199" s="707"/>
      <c r="U199" s="697"/>
      <c r="V199" s="703"/>
      <c r="W199" s="707"/>
      <c r="X199" s="697"/>
      <c r="Y199" s="703"/>
      <c r="Z199" s="707"/>
      <c r="AA199" s="697"/>
      <c r="AB199" s="703"/>
      <c r="AC199" s="707"/>
      <c r="AD199" s="697"/>
      <c r="AE199" s="696"/>
      <c r="AF199" s="696"/>
      <c r="AG199" s="696"/>
      <c r="AH199" s="696"/>
      <c r="AI199" s="696"/>
      <c r="AJ199" s="696"/>
      <c r="AK199" s="696" t="s">
        <v>1018</v>
      </c>
      <c r="AL199" s="699"/>
      <c r="AM199" s="699"/>
      <c r="AN199" s="699"/>
      <c r="AO199" s="696" t="s">
        <v>1018</v>
      </c>
      <c r="AP199" s="699"/>
      <c r="AQ199" s="699"/>
      <c r="AR199" s="699"/>
      <c r="AS199" s="699"/>
      <c r="AT199" s="712"/>
      <c r="AU199" s="715"/>
      <c r="AV199" s="716"/>
      <c r="AW199" s="716"/>
      <c r="AX199" s="716"/>
      <c r="AY199" s="716"/>
      <c r="AZ199" s="716"/>
      <c r="BA199" s="716"/>
      <c r="BB199" s="716"/>
      <c r="BC199" s="716"/>
      <c r="BD199" s="716"/>
      <c r="BE199" s="723"/>
      <c r="BF199" s="728"/>
      <c r="BG199" s="716"/>
      <c r="BH199" s="723"/>
      <c r="BI199" s="728"/>
      <c r="BJ199" s="716"/>
      <c r="BK199" s="723"/>
      <c r="BL199" s="728"/>
      <c r="BM199" s="716"/>
      <c r="BN199" s="723"/>
      <c r="BO199" s="728"/>
      <c r="BP199" s="716"/>
      <c r="BQ199" s="715"/>
      <c r="BR199" s="715"/>
      <c r="BS199" s="715"/>
      <c r="BT199" s="715"/>
      <c r="BU199" s="715"/>
      <c r="BV199" s="715"/>
      <c r="BW199" s="715"/>
      <c r="BX199" s="718"/>
      <c r="BY199" s="718"/>
      <c r="BZ199" s="718"/>
      <c r="CA199" s="715"/>
      <c r="CB199" s="718"/>
      <c r="CC199" s="718"/>
      <c r="CD199" s="718"/>
      <c r="CE199" s="718"/>
      <c r="CF199" s="720"/>
      <c r="CG199" s="436"/>
      <c r="CH199" s="436"/>
      <c r="CI199" s="436"/>
      <c r="CJ199" s="436"/>
      <c r="CK199" s="436"/>
      <c r="CL199" s="436"/>
      <c r="CM199" s="436"/>
      <c r="CN199" s="436"/>
      <c r="CO199" s="436"/>
      <c r="CP199" s="436"/>
      <c r="CQ199" s="436"/>
      <c r="CR199" s="436"/>
      <c r="CS199" s="436"/>
      <c r="CT199" s="436"/>
      <c r="CU199" s="436"/>
      <c r="CV199" s="436"/>
      <c r="CW199" s="436"/>
      <c r="CX199" s="436"/>
      <c r="CY199" s="436"/>
      <c r="CZ199" s="436"/>
      <c r="DA199" s="436"/>
      <c r="DB199" s="436"/>
      <c r="DC199" s="436"/>
      <c r="DD199" s="436"/>
      <c r="DE199" s="436"/>
      <c r="DF199" s="436"/>
      <c r="DG199" s="436"/>
      <c r="DH199" s="436"/>
      <c r="DI199" s="436"/>
      <c r="DJ199" s="436"/>
      <c r="DK199" s="436"/>
      <c r="DL199" s="436"/>
      <c r="DM199" s="436"/>
      <c r="DN199" s="436"/>
      <c r="DO199" s="436"/>
      <c r="DP199" s="436"/>
      <c r="DQ199" s="436"/>
      <c r="DR199" s="436"/>
      <c r="DS199" s="436"/>
      <c r="DT199" s="436"/>
      <c r="DU199" s="436"/>
      <c r="DV199" s="436"/>
      <c r="DW199" s="436"/>
      <c r="DX199" s="436"/>
      <c r="DY199" s="436"/>
      <c r="DZ199" s="436"/>
      <c r="EA199" s="436"/>
      <c r="EB199" s="436"/>
      <c r="EC199" s="436"/>
      <c r="ED199" s="436"/>
      <c r="EE199" s="436"/>
      <c r="EF199" s="436"/>
      <c r="EG199" s="436"/>
      <c r="EH199" s="436"/>
      <c r="EI199" s="436"/>
      <c r="EJ199" s="436"/>
      <c r="EK199" s="436"/>
      <c r="EL199" s="436"/>
      <c r="EM199" s="436"/>
    </row>
    <row r="200" spans="1:143" ht="14.5" x14ac:dyDescent="0.35">
      <c r="A200" s="436"/>
      <c r="B200" s="433">
        <v>76</v>
      </c>
      <c r="C200" s="434" t="s">
        <v>1104</v>
      </c>
      <c r="D200" s="340" t="s">
        <v>240</v>
      </c>
      <c r="E200" s="340" t="s">
        <v>243</v>
      </c>
      <c r="F200" s="340" t="s">
        <v>260</v>
      </c>
      <c r="G200" s="288">
        <v>453.34</v>
      </c>
      <c r="H200" s="435">
        <v>534</v>
      </c>
      <c r="I200" s="696" t="s">
        <v>1019</v>
      </c>
      <c r="J200" s="690"/>
      <c r="K200" s="697"/>
      <c r="L200" s="697"/>
      <c r="M200" s="697"/>
      <c r="N200" s="697"/>
      <c r="O200" s="697"/>
      <c r="P200" s="697"/>
      <c r="Q200" s="697"/>
      <c r="R200" s="697"/>
      <c r="S200" s="703"/>
      <c r="T200" s="699"/>
      <c r="U200" s="697"/>
      <c r="V200" s="703"/>
      <c r="W200" s="699"/>
      <c r="X200" s="697"/>
      <c r="Y200" s="703"/>
      <c r="Z200" s="699"/>
      <c r="AA200" s="697"/>
      <c r="AB200" s="703"/>
      <c r="AC200" s="699"/>
      <c r="AD200" s="697"/>
      <c r="AE200" s="696"/>
      <c r="AF200" s="696"/>
      <c r="AG200" s="696"/>
      <c r="AH200" s="696"/>
      <c r="AI200" s="696"/>
      <c r="AJ200" s="696"/>
      <c r="AK200" s="696" t="s">
        <v>1018</v>
      </c>
      <c r="AL200" s="699"/>
      <c r="AM200" s="699"/>
      <c r="AN200" s="699"/>
      <c r="AO200" s="696" t="s">
        <v>1018</v>
      </c>
      <c r="AP200" s="699"/>
      <c r="AQ200" s="699"/>
      <c r="AR200" s="699"/>
      <c r="AS200" s="699"/>
      <c r="AT200" s="712"/>
      <c r="AU200" s="715"/>
      <c r="AV200" s="725"/>
      <c r="AW200" s="716"/>
      <c r="AX200" s="716"/>
      <c r="AY200" s="716"/>
      <c r="AZ200" s="716"/>
      <c r="BA200" s="716"/>
      <c r="BB200" s="716"/>
      <c r="BC200" s="716"/>
      <c r="BD200" s="716"/>
      <c r="BE200" s="723"/>
      <c r="BF200" s="718"/>
      <c r="BG200" s="716"/>
      <c r="BH200" s="723"/>
      <c r="BI200" s="718"/>
      <c r="BJ200" s="716"/>
      <c r="BK200" s="723"/>
      <c r="BL200" s="718"/>
      <c r="BM200" s="716"/>
      <c r="BN200" s="723"/>
      <c r="BO200" s="718"/>
      <c r="BP200" s="716"/>
      <c r="BQ200" s="715"/>
      <c r="BR200" s="715"/>
      <c r="BS200" s="715"/>
      <c r="BT200" s="715"/>
      <c r="BU200" s="715"/>
      <c r="BV200" s="715"/>
      <c r="BW200" s="715"/>
      <c r="BX200" s="718"/>
      <c r="BY200" s="718"/>
      <c r="BZ200" s="718"/>
      <c r="CA200" s="715"/>
      <c r="CB200" s="718"/>
      <c r="CC200" s="718"/>
      <c r="CD200" s="718"/>
      <c r="CE200" s="718"/>
      <c r="CF200" s="720"/>
      <c r="CG200" s="436"/>
      <c r="CH200" s="436"/>
      <c r="CI200" s="436"/>
      <c r="CJ200" s="436"/>
      <c r="CK200" s="436"/>
      <c r="CL200" s="436"/>
      <c r="CM200" s="436"/>
      <c r="CN200" s="436"/>
      <c r="CO200" s="436"/>
      <c r="CP200" s="436"/>
      <c r="CQ200" s="436"/>
      <c r="CR200" s="436"/>
      <c r="CS200" s="436"/>
      <c r="CT200" s="436"/>
      <c r="CU200" s="436"/>
      <c r="CV200" s="436"/>
      <c r="CW200" s="436"/>
      <c r="CX200" s="436"/>
      <c r="CY200" s="436"/>
      <c r="CZ200" s="436"/>
      <c r="DA200" s="436"/>
      <c r="DB200" s="436"/>
      <c r="DC200" s="436"/>
      <c r="DD200" s="436"/>
      <c r="DE200" s="436"/>
      <c r="DF200" s="436"/>
      <c r="DG200" s="436"/>
      <c r="DH200" s="436"/>
      <c r="DI200" s="436"/>
      <c r="DJ200" s="436"/>
      <c r="DK200" s="436"/>
      <c r="DL200" s="436"/>
      <c r="DM200" s="436"/>
      <c r="DN200" s="436"/>
      <c r="DO200" s="436"/>
      <c r="DP200" s="436"/>
      <c r="DQ200" s="436"/>
      <c r="DR200" s="436"/>
      <c r="DS200" s="436"/>
      <c r="DT200" s="436"/>
      <c r="DU200" s="436"/>
      <c r="DV200" s="436"/>
      <c r="DW200" s="436"/>
      <c r="DX200" s="436"/>
      <c r="DY200" s="436"/>
      <c r="DZ200" s="436"/>
      <c r="EA200" s="436"/>
      <c r="EB200" s="436"/>
      <c r="EC200" s="436"/>
      <c r="ED200" s="436"/>
      <c r="EE200" s="436"/>
      <c r="EF200" s="436"/>
      <c r="EG200" s="436"/>
      <c r="EH200" s="436"/>
      <c r="EI200" s="436"/>
      <c r="EJ200" s="436"/>
      <c r="EK200" s="436"/>
      <c r="EL200" s="436"/>
      <c r="EM200" s="436"/>
    </row>
    <row r="201" spans="1:143" ht="14.5" x14ac:dyDescent="0.35">
      <c r="A201" s="436"/>
      <c r="B201" s="433">
        <v>77</v>
      </c>
      <c r="C201" s="434" t="s">
        <v>1105</v>
      </c>
      <c r="D201" s="340" t="s">
        <v>240</v>
      </c>
      <c r="E201" s="340" t="s">
        <v>243</v>
      </c>
      <c r="F201" s="340" t="s">
        <v>260</v>
      </c>
      <c r="G201" s="288">
        <v>520.61</v>
      </c>
      <c r="H201" s="435">
        <v>611.99</v>
      </c>
      <c r="I201" s="696" t="s">
        <v>1019</v>
      </c>
      <c r="J201" s="697"/>
      <c r="K201" s="697"/>
      <c r="L201" s="697"/>
      <c r="M201" s="690"/>
      <c r="N201" s="690"/>
      <c r="O201" s="697"/>
      <c r="P201" s="697"/>
      <c r="Q201" s="697"/>
      <c r="R201" s="697"/>
      <c r="S201" s="703"/>
      <c r="T201" s="699"/>
      <c r="U201" s="697"/>
      <c r="V201" s="703"/>
      <c r="W201" s="699"/>
      <c r="X201" s="697"/>
      <c r="Y201" s="703"/>
      <c r="Z201" s="699"/>
      <c r="AA201" s="697"/>
      <c r="AB201" s="703"/>
      <c r="AC201" s="699"/>
      <c r="AD201" s="697"/>
      <c r="AE201" s="696"/>
      <c r="AF201" s="696"/>
      <c r="AG201" s="696"/>
      <c r="AH201" s="696"/>
      <c r="AI201" s="696"/>
      <c r="AJ201" s="696"/>
      <c r="AK201" s="696" t="s">
        <v>1018</v>
      </c>
      <c r="AL201" s="699"/>
      <c r="AM201" s="699"/>
      <c r="AN201" s="699"/>
      <c r="AO201" s="696" t="s">
        <v>1018</v>
      </c>
      <c r="AP201" s="699"/>
      <c r="AQ201" s="699"/>
      <c r="AR201" s="699"/>
      <c r="AS201" s="699"/>
      <c r="AT201" s="712"/>
      <c r="AU201" s="715"/>
      <c r="AV201" s="716"/>
      <c r="AW201" s="716"/>
      <c r="AX201" s="716"/>
      <c r="AY201" s="725"/>
      <c r="AZ201" s="725"/>
      <c r="BA201" s="716"/>
      <c r="BB201" s="716"/>
      <c r="BC201" s="716"/>
      <c r="BD201" s="716"/>
      <c r="BE201" s="723"/>
      <c r="BF201" s="718"/>
      <c r="BG201" s="716"/>
      <c r="BH201" s="723"/>
      <c r="BI201" s="718"/>
      <c r="BJ201" s="716"/>
      <c r="BK201" s="723"/>
      <c r="BL201" s="718"/>
      <c r="BM201" s="716"/>
      <c r="BN201" s="723"/>
      <c r="BO201" s="718"/>
      <c r="BP201" s="716"/>
      <c r="BQ201" s="715"/>
      <c r="BR201" s="715"/>
      <c r="BS201" s="715"/>
      <c r="BT201" s="715"/>
      <c r="BU201" s="715"/>
      <c r="BV201" s="715"/>
      <c r="BW201" s="715"/>
      <c r="BX201" s="718"/>
      <c r="BY201" s="718"/>
      <c r="BZ201" s="718"/>
      <c r="CA201" s="715"/>
      <c r="CB201" s="718"/>
      <c r="CC201" s="718"/>
      <c r="CD201" s="718"/>
      <c r="CE201" s="718"/>
      <c r="CF201" s="720"/>
      <c r="CG201" s="436"/>
      <c r="CH201" s="436"/>
      <c r="CI201" s="436"/>
      <c r="CJ201" s="436"/>
      <c r="CK201" s="436"/>
      <c r="CL201" s="436"/>
      <c r="CM201" s="436"/>
      <c r="CN201" s="436"/>
      <c r="CO201" s="436"/>
      <c r="CP201" s="436"/>
      <c r="CQ201" s="436"/>
      <c r="CR201" s="436"/>
      <c r="CS201" s="436"/>
      <c r="CT201" s="436"/>
      <c r="CU201" s="436"/>
      <c r="CV201" s="436"/>
      <c r="CW201" s="436"/>
      <c r="CX201" s="436"/>
      <c r="CY201" s="436"/>
      <c r="CZ201" s="436"/>
      <c r="DA201" s="436"/>
      <c r="DB201" s="436"/>
      <c r="DC201" s="436"/>
      <c r="DD201" s="436"/>
      <c r="DE201" s="436"/>
      <c r="DF201" s="436"/>
      <c r="DG201" s="436"/>
      <c r="DH201" s="436"/>
      <c r="DI201" s="436"/>
      <c r="DJ201" s="436"/>
      <c r="DK201" s="436"/>
      <c r="DL201" s="436"/>
      <c r="DM201" s="436"/>
      <c r="DN201" s="436"/>
      <c r="DO201" s="436"/>
      <c r="DP201" s="436"/>
      <c r="DQ201" s="436"/>
      <c r="DR201" s="436"/>
      <c r="DS201" s="436"/>
      <c r="DT201" s="436"/>
      <c r="DU201" s="436"/>
      <c r="DV201" s="436"/>
      <c r="DW201" s="436"/>
      <c r="DX201" s="436"/>
      <c r="DY201" s="436"/>
      <c r="DZ201" s="436"/>
      <c r="EA201" s="436"/>
      <c r="EB201" s="436"/>
      <c r="EC201" s="436"/>
      <c r="ED201" s="436"/>
      <c r="EE201" s="436"/>
      <c r="EF201" s="436"/>
      <c r="EG201" s="436"/>
      <c r="EH201" s="436"/>
      <c r="EI201" s="436"/>
      <c r="EJ201" s="436"/>
      <c r="EK201" s="436"/>
      <c r="EL201" s="436"/>
      <c r="EM201" s="436"/>
    </row>
    <row r="202" spans="1:143" ht="14.5" x14ac:dyDescent="0.35">
      <c r="A202" s="436"/>
      <c r="B202" s="433">
        <v>78</v>
      </c>
      <c r="C202" s="434" t="s">
        <v>1106</v>
      </c>
      <c r="D202" s="340" t="s">
        <v>240</v>
      </c>
      <c r="E202" s="340" t="s">
        <v>243</v>
      </c>
      <c r="F202" s="340" t="s">
        <v>260</v>
      </c>
      <c r="G202" s="288">
        <v>589.58000000000004</v>
      </c>
      <c r="H202" s="435">
        <v>691.99</v>
      </c>
      <c r="I202" s="696" t="s">
        <v>1019</v>
      </c>
      <c r="J202" s="697"/>
      <c r="K202" s="697"/>
      <c r="L202" s="697"/>
      <c r="M202" s="697"/>
      <c r="N202" s="697"/>
      <c r="O202" s="697"/>
      <c r="P202" s="706"/>
      <c r="Q202" s="697"/>
      <c r="R202" s="697"/>
      <c r="S202" s="703"/>
      <c r="T202" s="707"/>
      <c r="U202" s="697"/>
      <c r="V202" s="703"/>
      <c r="W202" s="707"/>
      <c r="X202" s="697"/>
      <c r="Y202" s="703"/>
      <c r="Z202" s="707"/>
      <c r="AA202" s="697"/>
      <c r="AB202" s="703"/>
      <c r="AC202" s="707"/>
      <c r="AD202" s="697"/>
      <c r="AE202" s="696"/>
      <c r="AF202" s="696"/>
      <c r="AG202" s="696"/>
      <c r="AH202" s="696"/>
      <c r="AI202" s="696"/>
      <c r="AJ202" s="696"/>
      <c r="AK202" s="696" t="s">
        <v>1018</v>
      </c>
      <c r="AL202" s="699"/>
      <c r="AM202" s="699"/>
      <c r="AN202" s="699"/>
      <c r="AO202" s="696" t="s">
        <v>1018</v>
      </c>
      <c r="AP202" s="699"/>
      <c r="AQ202" s="699"/>
      <c r="AR202" s="699"/>
      <c r="AS202" s="699"/>
      <c r="AT202" s="712"/>
      <c r="AU202" s="715"/>
      <c r="AV202" s="716"/>
      <c r="AW202" s="716"/>
      <c r="AX202" s="716"/>
      <c r="AY202" s="716"/>
      <c r="AZ202" s="716"/>
      <c r="BA202" s="716"/>
      <c r="BB202" s="727"/>
      <c r="BC202" s="716"/>
      <c r="BD202" s="716"/>
      <c r="BE202" s="723"/>
      <c r="BF202" s="728"/>
      <c r="BG202" s="716"/>
      <c r="BH202" s="723"/>
      <c r="BI202" s="728"/>
      <c r="BJ202" s="716"/>
      <c r="BK202" s="723"/>
      <c r="BL202" s="728"/>
      <c r="BM202" s="716"/>
      <c r="BN202" s="723"/>
      <c r="BO202" s="728"/>
      <c r="BP202" s="716"/>
      <c r="BQ202" s="715"/>
      <c r="BR202" s="715"/>
      <c r="BS202" s="715"/>
      <c r="BT202" s="715"/>
      <c r="BU202" s="715"/>
      <c r="BV202" s="715"/>
      <c r="BW202" s="715"/>
      <c r="BX202" s="718"/>
      <c r="BY202" s="718"/>
      <c r="BZ202" s="718"/>
      <c r="CA202" s="715"/>
      <c r="CB202" s="718"/>
      <c r="CC202" s="718"/>
      <c r="CD202" s="718"/>
      <c r="CE202" s="718"/>
      <c r="CF202" s="720"/>
      <c r="CG202" s="436"/>
      <c r="CH202" s="436"/>
      <c r="CI202" s="436"/>
      <c r="CJ202" s="436"/>
      <c r="CK202" s="436"/>
      <c r="CL202" s="436"/>
      <c r="CM202" s="436"/>
      <c r="CN202" s="436"/>
      <c r="CO202" s="436"/>
      <c r="CP202" s="436"/>
      <c r="CQ202" s="436"/>
      <c r="CR202" s="436"/>
      <c r="CS202" s="436"/>
      <c r="CT202" s="436"/>
      <c r="CU202" s="436"/>
      <c r="CV202" s="436"/>
      <c r="CW202" s="436"/>
      <c r="CX202" s="436"/>
      <c r="CY202" s="436"/>
      <c r="CZ202" s="436"/>
      <c r="DA202" s="436"/>
      <c r="DB202" s="436"/>
      <c r="DC202" s="436"/>
      <c r="DD202" s="436"/>
      <c r="DE202" s="436"/>
      <c r="DF202" s="436"/>
      <c r="DG202" s="436"/>
      <c r="DH202" s="436"/>
      <c r="DI202" s="436"/>
      <c r="DJ202" s="436"/>
      <c r="DK202" s="436"/>
      <c r="DL202" s="436"/>
      <c r="DM202" s="436"/>
      <c r="DN202" s="436"/>
      <c r="DO202" s="436"/>
      <c r="DP202" s="436"/>
      <c r="DQ202" s="436"/>
      <c r="DR202" s="436"/>
      <c r="DS202" s="436"/>
      <c r="DT202" s="436"/>
      <c r="DU202" s="436"/>
      <c r="DV202" s="436"/>
      <c r="DW202" s="436"/>
      <c r="DX202" s="436"/>
      <c r="DY202" s="436"/>
      <c r="DZ202" s="436"/>
      <c r="EA202" s="436"/>
      <c r="EB202" s="436"/>
      <c r="EC202" s="436"/>
      <c r="ED202" s="436"/>
      <c r="EE202" s="436"/>
      <c r="EF202" s="436"/>
      <c r="EG202" s="436"/>
      <c r="EH202" s="436"/>
      <c r="EI202" s="436"/>
      <c r="EJ202" s="436"/>
      <c r="EK202" s="436"/>
      <c r="EL202" s="436"/>
      <c r="EM202" s="436"/>
    </row>
    <row r="203" spans="1:143" ht="14.5" x14ac:dyDescent="0.35">
      <c r="A203" s="436"/>
      <c r="B203" s="433">
        <v>79</v>
      </c>
      <c r="C203" s="434" t="s">
        <v>1107</v>
      </c>
      <c r="D203" s="340" t="s">
        <v>240</v>
      </c>
      <c r="E203" s="340" t="s">
        <v>243</v>
      </c>
      <c r="F203" s="340" t="s">
        <v>260</v>
      </c>
      <c r="G203" s="288">
        <v>554.39</v>
      </c>
      <c r="H203" s="435">
        <v>652</v>
      </c>
      <c r="I203" s="696" t="s">
        <v>1019</v>
      </c>
      <c r="J203" s="697"/>
      <c r="K203" s="697"/>
      <c r="L203" s="697"/>
      <c r="M203" s="690"/>
      <c r="N203" s="690"/>
      <c r="O203" s="697"/>
      <c r="P203" s="696"/>
      <c r="Q203" s="697"/>
      <c r="R203" s="697"/>
      <c r="S203" s="703"/>
      <c r="T203" s="699"/>
      <c r="U203" s="697"/>
      <c r="V203" s="703"/>
      <c r="W203" s="699"/>
      <c r="X203" s="697"/>
      <c r="Y203" s="703"/>
      <c r="Z203" s="699"/>
      <c r="AA203" s="697"/>
      <c r="AB203" s="703"/>
      <c r="AC203" s="699"/>
      <c r="AD203" s="697"/>
      <c r="AE203" s="696"/>
      <c r="AF203" s="696"/>
      <c r="AG203" s="696"/>
      <c r="AH203" s="696"/>
      <c r="AI203" s="696"/>
      <c r="AJ203" s="696"/>
      <c r="AK203" s="696" t="s">
        <v>1018</v>
      </c>
      <c r="AL203" s="699"/>
      <c r="AM203" s="699"/>
      <c r="AN203" s="699"/>
      <c r="AO203" s="696" t="s">
        <v>1018</v>
      </c>
      <c r="AP203" s="699"/>
      <c r="AQ203" s="699"/>
      <c r="AR203" s="699"/>
      <c r="AS203" s="699"/>
      <c r="AT203" s="712"/>
      <c r="AU203" s="715"/>
      <c r="AV203" s="716"/>
      <c r="AW203" s="716"/>
      <c r="AX203" s="716"/>
      <c r="AY203" s="725"/>
      <c r="AZ203" s="725"/>
      <c r="BA203" s="716"/>
      <c r="BB203" s="715"/>
      <c r="BC203" s="716"/>
      <c r="BD203" s="716"/>
      <c r="BE203" s="723"/>
      <c r="BF203" s="718"/>
      <c r="BG203" s="716"/>
      <c r="BH203" s="723"/>
      <c r="BI203" s="718"/>
      <c r="BJ203" s="716"/>
      <c r="BK203" s="723"/>
      <c r="BL203" s="718"/>
      <c r="BM203" s="716"/>
      <c r="BN203" s="723"/>
      <c r="BO203" s="718"/>
      <c r="BP203" s="716"/>
      <c r="BQ203" s="715"/>
      <c r="BR203" s="715"/>
      <c r="BS203" s="715"/>
      <c r="BT203" s="715"/>
      <c r="BU203" s="715"/>
      <c r="BV203" s="715"/>
      <c r="BW203" s="715"/>
      <c r="BX203" s="718"/>
      <c r="BY203" s="718"/>
      <c r="BZ203" s="718"/>
      <c r="CA203" s="715"/>
      <c r="CB203" s="718"/>
      <c r="CC203" s="718"/>
      <c r="CD203" s="718"/>
      <c r="CE203" s="718"/>
      <c r="CF203" s="720"/>
      <c r="CG203" s="436"/>
      <c r="CH203" s="436"/>
      <c r="CI203" s="436"/>
      <c r="CJ203" s="436"/>
      <c r="CK203" s="436"/>
      <c r="CL203" s="436"/>
      <c r="CM203" s="436"/>
      <c r="CN203" s="436"/>
      <c r="CO203" s="436"/>
      <c r="CP203" s="436"/>
      <c r="CQ203" s="436"/>
      <c r="CR203" s="436"/>
      <c r="CS203" s="436"/>
      <c r="CT203" s="436"/>
      <c r="CU203" s="436"/>
      <c r="CV203" s="436"/>
      <c r="CW203" s="436"/>
      <c r="CX203" s="436"/>
      <c r="CY203" s="436"/>
      <c r="CZ203" s="436"/>
      <c r="DA203" s="436"/>
      <c r="DB203" s="436"/>
      <c r="DC203" s="436"/>
      <c r="DD203" s="436"/>
      <c r="DE203" s="436"/>
      <c r="DF203" s="436"/>
      <c r="DG203" s="436"/>
      <c r="DH203" s="436"/>
      <c r="DI203" s="436"/>
      <c r="DJ203" s="436"/>
      <c r="DK203" s="436"/>
      <c r="DL203" s="436"/>
      <c r="DM203" s="436"/>
      <c r="DN203" s="436"/>
      <c r="DO203" s="436"/>
      <c r="DP203" s="436"/>
      <c r="DQ203" s="436"/>
      <c r="DR203" s="436"/>
      <c r="DS203" s="436"/>
      <c r="DT203" s="436"/>
      <c r="DU203" s="436"/>
      <c r="DV203" s="436"/>
      <c r="DW203" s="436"/>
      <c r="DX203" s="436"/>
      <c r="DY203" s="436"/>
      <c r="DZ203" s="436"/>
      <c r="EA203" s="436"/>
      <c r="EB203" s="436"/>
      <c r="EC203" s="436"/>
      <c r="ED203" s="436"/>
      <c r="EE203" s="436"/>
      <c r="EF203" s="436"/>
      <c r="EG203" s="436"/>
      <c r="EH203" s="436"/>
      <c r="EI203" s="436"/>
      <c r="EJ203" s="436"/>
      <c r="EK203" s="436"/>
      <c r="EL203" s="436"/>
      <c r="EM203" s="436"/>
    </row>
    <row r="204" spans="1:143" ht="14.5" x14ac:dyDescent="0.35">
      <c r="A204" s="436"/>
      <c r="B204" s="433">
        <v>80</v>
      </c>
      <c r="C204" s="434" t="s">
        <v>1108</v>
      </c>
      <c r="D204" s="340" t="s">
        <v>240</v>
      </c>
      <c r="E204" s="340" t="s">
        <v>243</v>
      </c>
      <c r="F204" s="340" t="s">
        <v>260</v>
      </c>
      <c r="G204" s="288">
        <v>623.36</v>
      </c>
      <c r="H204" s="435">
        <v>732</v>
      </c>
      <c r="I204" s="696" t="s">
        <v>1019</v>
      </c>
      <c r="J204" s="697"/>
      <c r="K204" s="697"/>
      <c r="L204" s="697"/>
      <c r="M204" s="697"/>
      <c r="N204" s="697"/>
      <c r="O204" s="697"/>
      <c r="P204" s="706"/>
      <c r="Q204" s="697"/>
      <c r="R204" s="697"/>
      <c r="S204" s="703"/>
      <c r="T204" s="707"/>
      <c r="U204" s="697"/>
      <c r="V204" s="703"/>
      <c r="W204" s="707"/>
      <c r="X204" s="697"/>
      <c r="Y204" s="703"/>
      <c r="Z204" s="707"/>
      <c r="AA204" s="697"/>
      <c r="AB204" s="703"/>
      <c r="AC204" s="707"/>
      <c r="AD204" s="697"/>
      <c r="AE204" s="696"/>
      <c r="AF204" s="696"/>
      <c r="AG204" s="696"/>
      <c r="AH204" s="696"/>
      <c r="AI204" s="696"/>
      <c r="AJ204" s="696"/>
      <c r="AK204" s="696" t="s">
        <v>1018</v>
      </c>
      <c r="AL204" s="699"/>
      <c r="AM204" s="699"/>
      <c r="AN204" s="699"/>
      <c r="AO204" s="696" t="s">
        <v>1018</v>
      </c>
      <c r="AP204" s="699"/>
      <c r="AQ204" s="699"/>
      <c r="AR204" s="699"/>
      <c r="AS204" s="699"/>
      <c r="AT204" s="712"/>
      <c r="AU204" s="715"/>
      <c r="AV204" s="716"/>
      <c r="AW204" s="716"/>
      <c r="AX204" s="716"/>
      <c r="AY204" s="716"/>
      <c r="AZ204" s="716"/>
      <c r="BA204" s="716"/>
      <c r="BB204" s="727"/>
      <c r="BC204" s="716"/>
      <c r="BD204" s="716"/>
      <c r="BE204" s="723"/>
      <c r="BF204" s="728"/>
      <c r="BG204" s="716"/>
      <c r="BH204" s="723"/>
      <c r="BI204" s="728"/>
      <c r="BJ204" s="716"/>
      <c r="BK204" s="723"/>
      <c r="BL204" s="728"/>
      <c r="BM204" s="716"/>
      <c r="BN204" s="723"/>
      <c r="BO204" s="728"/>
      <c r="BP204" s="716"/>
      <c r="BQ204" s="715"/>
      <c r="BR204" s="715"/>
      <c r="BS204" s="715"/>
      <c r="BT204" s="715"/>
      <c r="BU204" s="715"/>
      <c r="BV204" s="715"/>
      <c r="BW204" s="715"/>
      <c r="BX204" s="718"/>
      <c r="BY204" s="718"/>
      <c r="BZ204" s="718"/>
      <c r="CA204" s="715"/>
      <c r="CB204" s="718"/>
      <c r="CC204" s="718"/>
      <c r="CD204" s="718"/>
      <c r="CE204" s="718"/>
      <c r="CF204" s="720"/>
      <c r="CG204" s="436"/>
      <c r="CH204" s="436"/>
      <c r="CI204" s="436"/>
      <c r="CJ204" s="436"/>
      <c r="CK204" s="436"/>
      <c r="CL204" s="436"/>
      <c r="CM204" s="436"/>
      <c r="CN204" s="436"/>
      <c r="CO204" s="436"/>
      <c r="CP204" s="436"/>
      <c r="CQ204" s="436"/>
      <c r="CR204" s="436"/>
      <c r="CS204" s="436"/>
      <c r="CT204" s="436"/>
      <c r="CU204" s="436"/>
      <c r="CV204" s="436"/>
      <c r="CW204" s="436"/>
      <c r="CX204" s="436"/>
      <c r="CY204" s="436"/>
      <c r="CZ204" s="436"/>
      <c r="DA204" s="436"/>
      <c r="DB204" s="436"/>
      <c r="DC204" s="436"/>
      <c r="DD204" s="436"/>
      <c r="DE204" s="436"/>
      <c r="DF204" s="436"/>
      <c r="DG204" s="436"/>
      <c r="DH204" s="436"/>
      <c r="DI204" s="436"/>
      <c r="DJ204" s="436"/>
      <c r="DK204" s="436"/>
      <c r="DL204" s="436"/>
      <c r="DM204" s="436"/>
      <c r="DN204" s="436"/>
      <c r="DO204" s="436"/>
      <c r="DP204" s="436"/>
      <c r="DQ204" s="436"/>
      <c r="DR204" s="436"/>
      <c r="DS204" s="436"/>
      <c r="DT204" s="436"/>
      <c r="DU204" s="436"/>
      <c r="DV204" s="436"/>
      <c r="DW204" s="436"/>
      <c r="DX204" s="436"/>
      <c r="DY204" s="436"/>
      <c r="DZ204" s="436"/>
      <c r="EA204" s="436"/>
      <c r="EB204" s="436"/>
      <c r="EC204" s="436"/>
      <c r="ED204" s="436"/>
      <c r="EE204" s="436"/>
      <c r="EF204" s="436"/>
      <c r="EG204" s="436"/>
      <c r="EH204" s="436"/>
      <c r="EI204" s="436"/>
      <c r="EJ204" s="436"/>
      <c r="EK204" s="436"/>
      <c r="EL204" s="436"/>
      <c r="EM204" s="436"/>
    </row>
    <row r="205" spans="1:143" ht="14.5" x14ac:dyDescent="0.35">
      <c r="A205" s="436"/>
      <c r="B205" s="433">
        <v>81</v>
      </c>
      <c r="C205" s="434" t="s">
        <v>1109</v>
      </c>
      <c r="D205" s="340" t="s">
        <v>240</v>
      </c>
      <c r="E205" s="340" t="s">
        <v>243</v>
      </c>
      <c r="F205" s="340" t="s">
        <v>260</v>
      </c>
      <c r="G205" s="288">
        <v>627</v>
      </c>
      <c r="H205" s="435">
        <v>738</v>
      </c>
      <c r="I205" s="696" t="s">
        <v>1019</v>
      </c>
      <c r="J205" s="697"/>
      <c r="K205" s="697"/>
      <c r="L205" s="697"/>
      <c r="M205" s="690"/>
      <c r="N205" s="690"/>
      <c r="O205" s="697"/>
      <c r="P205" s="696"/>
      <c r="Q205" s="697"/>
      <c r="R205" s="697"/>
      <c r="S205" s="703"/>
      <c r="T205" s="699"/>
      <c r="U205" s="697"/>
      <c r="V205" s="703"/>
      <c r="W205" s="699"/>
      <c r="X205" s="697"/>
      <c r="Y205" s="703"/>
      <c r="Z205" s="699"/>
      <c r="AA205" s="697"/>
      <c r="AB205" s="703"/>
      <c r="AC205" s="699"/>
      <c r="AD205" s="697"/>
      <c r="AE205" s="696"/>
      <c r="AF205" s="696"/>
      <c r="AG205" s="696"/>
      <c r="AH205" s="696"/>
      <c r="AI205" s="696"/>
      <c r="AJ205" s="696"/>
      <c r="AK205" s="696" t="s">
        <v>1018</v>
      </c>
      <c r="AL205" s="699"/>
      <c r="AM205" s="699"/>
      <c r="AN205" s="699"/>
      <c r="AO205" s="696" t="s">
        <v>1018</v>
      </c>
      <c r="AP205" s="699"/>
      <c r="AQ205" s="699"/>
      <c r="AR205" s="699"/>
      <c r="AS205" s="699"/>
      <c r="AT205" s="712"/>
      <c r="AU205" s="715"/>
      <c r="AV205" s="716"/>
      <c r="AW205" s="716"/>
      <c r="AX205" s="716"/>
      <c r="AY205" s="725"/>
      <c r="AZ205" s="725"/>
      <c r="BA205" s="716"/>
      <c r="BB205" s="715"/>
      <c r="BC205" s="716"/>
      <c r="BD205" s="716"/>
      <c r="BE205" s="723"/>
      <c r="BF205" s="718"/>
      <c r="BG205" s="716"/>
      <c r="BH205" s="723"/>
      <c r="BI205" s="718"/>
      <c r="BJ205" s="716"/>
      <c r="BK205" s="723"/>
      <c r="BL205" s="718"/>
      <c r="BM205" s="716"/>
      <c r="BN205" s="723"/>
      <c r="BO205" s="718"/>
      <c r="BP205" s="716"/>
      <c r="BQ205" s="715"/>
      <c r="BR205" s="715"/>
      <c r="BS205" s="715"/>
      <c r="BT205" s="715"/>
      <c r="BU205" s="715"/>
      <c r="BV205" s="715"/>
      <c r="BW205" s="715"/>
      <c r="BX205" s="718"/>
      <c r="BY205" s="718"/>
      <c r="BZ205" s="718"/>
      <c r="CA205" s="715"/>
      <c r="CB205" s="718"/>
      <c r="CC205" s="718"/>
      <c r="CD205" s="718"/>
      <c r="CE205" s="718"/>
      <c r="CF205" s="720"/>
      <c r="CG205" s="436"/>
      <c r="CH205" s="436"/>
      <c r="CI205" s="436"/>
      <c r="CJ205" s="436"/>
      <c r="CK205" s="436"/>
      <c r="CL205" s="436"/>
      <c r="CM205" s="436"/>
      <c r="CN205" s="436"/>
      <c r="CO205" s="436"/>
      <c r="CP205" s="436"/>
      <c r="CQ205" s="436"/>
      <c r="CR205" s="436"/>
      <c r="CS205" s="436"/>
      <c r="CT205" s="436"/>
      <c r="CU205" s="436"/>
      <c r="CV205" s="436"/>
      <c r="CW205" s="436"/>
      <c r="CX205" s="436"/>
      <c r="CY205" s="436"/>
      <c r="CZ205" s="436"/>
      <c r="DA205" s="436"/>
      <c r="DB205" s="436"/>
      <c r="DC205" s="436"/>
      <c r="DD205" s="436"/>
      <c r="DE205" s="436"/>
      <c r="DF205" s="436"/>
      <c r="DG205" s="436"/>
      <c r="DH205" s="436"/>
      <c r="DI205" s="436"/>
      <c r="DJ205" s="436"/>
      <c r="DK205" s="436"/>
      <c r="DL205" s="436"/>
      <c r="DM205" s="436"/>
      <c r="DN205" s="436"/>
      <c r="DO205" s="436"/>
      <c r="DP205" s="436"/>
      <c r="DQ205" s="436"/>
      <c r="DR205" s="436"/>
      <c r="DS205" s="436"/>
      <c r="DT205" s="436"/>
      <c r="DU205" s="436"/>
      <c r="DV205" s="436"/>
      <c r="DW205" s="436"/>
      <c r="DX205" s="436"/>
      <c r="DY205" s="436"/>
      <c r="DZ205" s="436"/>
      <c r="EA205" s="436"/>
      <c r="EB205" s="436"/>
      <c r="EC205" s="436"/>
      <c r="ED205" s="436"/>
      <c r="EE205" s="436"/>
      <c r="EF205" s="436"/>
      <c r="EG205" s="436"/>
      <c r="EH205" s="436"/>
      <c r="EI205" s="436"/>
      <c r="EJ205" s="436"/>
      <c r="EK205" s="436"/>
      <c r="EL205" s="436"/>
      <c r="EM205" s="436"/>
    </row>
    <row r="206" spans="1:143" ht="14.5" x14ac:dyDescent="0.35">
      <c r="A206" s="436"/>
      <c r="B206" s="433">
        <v>82</v>
      </c>
      <c r="C206" s="434" t="s">
        <v>1110</v>
      </c>
      <c r="D206" s="340" t="s">
        <v>240</v>
      </c>
      <c r="E206" s="340" t="s">
        <v>243</v>
      </c>
      <c r="F206" s="340" t="s">
        <v>260</v>
      </c>
      <c r="G206" s="288">
        <v>695.13</v>
      </c>
      <c r="H206" s="435">
        <v>817</v>
      </c>
      <c r="I206" s="696" t="s">
        <v>1019</v>
      </c>
      <c r="J206" s="697"/>
      <c r="K206" s="697"/>
      <c r="L206" s="697"/>
      <c r="M206" s="697"/>
      <c r="N206" s="697"/>
      <c r="O206" s="697"/>
      <c r="P206" s="706"/>
      <c r="Q206" s="697"/>
      <c r="R206" s="697"/>
      <c r="S206" s="703"/>
      <c r="T206" s="699"/>
      <c r="U206" s="697"/>
      <c r="V206" s="703"/>
      <c r="W206" s="699"/>
      <c r="X206" s="697"/>
      <c r="Y206" s="703"/>
      <c r="Z206" s="699"/>
      <c r="AA206" s="697"/>
      <c r="AB206" s="703"/>
      <c r="AC206" s="699"/>
      <c r="AD206" s="697"/>
      <c r="AE206" s="696"/>
      <c r="AF206" s="696"/>
      <c r="AG206" s="696"/>
      <c r="AH206" s="696"/>
      <c r="AI206" s="696"/>
      <c r="AJ206" s="696"/>
      <c r="AK206" s="696" t="s">
        <v>1018</v>
      </c>
      <c r="AL206" s="699"/>
      <c r="AM206" s="699"/>
      <c r="AN206" s="699"/>
      <c r="AO206" s="696" t="s">
        <v>1018</v>
      </c>
      <c r="AP206" s="699"/>
      <c r="AQ206" s="699"/>
      <c r="AR206" s="699"/>
      <c r="AS206" s="699"/>
      <c r="AT206" s="712"/>
      <c r="AU206" s="715"/>
      <c r="AV206" s="716"/>
      <c r="AW206" s="716"/>
      <c r="AX206" s="716"/>
      <c r="AY206" s="716"/>
      <c r="AZ206" s="716"/>
      <c r="BA206" s="716"/>
      <c r="BB206" s="727"/>
      <c r="BC206" s="716"/>
      <c r="BD206" s="716"/>
      <c r="BE206" s="723"/>
      <c r="BF206" s="718"/>
      <c r="BG206" s="716"/>
      <c r="BH206" s="723"/>
      <c r="BI206" s="718"/>
      <c r="BJ206" s="716"/>
      <c r="BK206" s="723"/>
      <c r="BL206" s="718"/>
      <c r="BM206" s="716"/>
      <c r="BN206" s="723"/>
      <c r="BO206" s="718"/>
      <c r="BP206" s="716"/>
      <c r="BQ206" s="715"/>
      <c r="BR206" s="715"/>
      <c r="BS206" s="715"/>
      <c r="BT206" s="715"/>
      <c r="BU206" s="715"/>
      <c r="BV206" s="715"/>
      <c r="BW206" s="715"/>
      <c r="BX206" s="718"/>
      <c r="BY206" s="718"/>
      <c r="BZ206" s="718"/>
      <c r="CA206" s="715"/>
      <c r="CB206" s="718"/>
      <c r="CC206" s="718"/>
      <c r="CD206" s="718"/>
      <c r="CE206" s="718"/>
      <c r="CF206" s="720"/>
      <c r="CG206" s="436"/>
      <c r="CH206" s="436"/>
      <c r="CI206" s="436"/>
      <c r="CJ206" s="436"/>
      <c r="CK206" s="436"/>
      <c r="CL206" s="436"/>
      <c r="CM206" s="436"/>
      <c r="CN206" s="436"/>
      <c r="CO206" s="436"/>
      <c r="CP206" s="436"/>
      <c r="CQ206" s="436"/>
      <c r="CR206" s="436"/>
      <c r="CS206" s="436"/>
      <c r="CT206" s="436"/>
      <c r="CU206" s="436"/>
      <c r="CV206" s="436"/>
      <c r="CW206" s="436"/>
      <c r="CX206" s="436"/>
      <c r="CY206" s="436"/>
      <c r="CZ206" s="436"/>
      <c r="DA206" s="436"/>
      <c r="DB206" s="436"/>
      <c r="DC206" s="436"/>
      <c r="DD206" s="436"/>
      <c r="DE206" s="436"/>
      <c r="DF206" s="436"/>
      <c r="DG206" s="436"/>
      <c r="DH206" s="436"/>
      <c r="DI206" s="436"/>
      <c r="DJ206" s="436"/>
      <c r="DK206" s="436"/>
      <c r="DL206" s="436"/>
      <c r="DM206" s="436"/>
      <c r="DN206" s="436"/>
      <c r="DO206" s="436"/>
      <c r="DP206" s="436"/>
      <c r="DQ206" s="436"/>
      <c r="DR206" s="436"/>
      <c r="DS206" s="436"/>
      <c r="DT206" s="436"/>
      <c r="DU206" s="436"/>
      <c r="DV206" s="436"/>
      <c r="DW206" s="436"/>
      <c r="DX206" s="436"/>
      <c r="DY206" s="436"/>
      <c r="DZ206" s="436"/>
      <c r="EA206" s="436"/>
      <c r="EB206" s="436"/>
      <c r="EC206" s="436"/>
      <c r="ED206" s="436"/>
      <c r="EE206" s="436"/>
      <c r="EF206" s="436"/>
      <c r="EG206" s="436"/>
      <c r="EH206" s="436"/>
      <c r="EI206" s="436"/>
      <c r="EJ206" s="436"/>
      <c r="EK206" s="436"/>
      <c r="EL206" s="436"/>
      <c r="EM206" s="436"/>
    </row>
    <row r="207" spans="1:143" ht="14.5" x14ac:dyDescent="0.35">
      <c r="A207" s="436"/>
      <c r="B207" s="433">
        <v>83</v>
      </c>
      <c r="C207" s="434" t="s">
        <v>1111</v>
      </c>
      <c r="D207" s="340" t="s">
        <v>240</v>
      </c>
      <c r="E207" s="340" t="s">
        <v>243</v>
      </c>
      <c r="F207" s="340" t="s">
        <v>260</v>
      </c>
      <c r="G207" s="288">
        <v>789.11</v>
      </c>
      <c r="H207" s="435">
        <v>929</v>
      </c>
      <c r="I207" s="696" t="s">
        <v>1019</v>
      </c>
      <c r="J207" s="697"/>
      <c r="K207" s="697"/>
      <c r="L207" s="697"/>
      <c r="M207" s="697"/>
      <c r="N207" s="697"/>
      <c r="O207" s="697"/>
      <c r="P207" s="706"/>
      <c r="Q207" s="697"/>
      <c r="R207" s="697"/>
      <c r="S207" s="703"/>
      <c r="T207" s="699"/>
      <c r="U207" s="697"/>
      <c r="V207" s="703"/>
      <c r="W207" s="699"/>
      <c r="X207" s="697"/>
      <c r="Y207" s="703"/>
      <c r="Z207" s="699"/>
      <c r="AA207" s="697"/>
      <c r="AB207" s="703"/>
      <c r="AC207" s="699"/>
      <c r="AD207" s="697"/>
      <c r="AE207" s="696"/>
      <c r="AF207" s="696"/>
      <c r="AG207" s="696"/>
      <c r="AH207" s="696"/>
      <c r="AI207" s="696"/>
      <c r="AJ207" s="696"/>
      <c r="AK207" s="696" t="s">
        <v>1018</v>
      </c>
      <c r="AL207" s="699"/>
      <c r="AM207" s="699"/>
      <c r="AN207" s="699"/>
      <c r="AO207" s="696" t="s">
        <v>1018</v>
      </c>
      <c r="AP207" s="699"/>
      <c r="AQ207" s="699"/>
      <c r="AR207" s="699"/>
      <c r="AS207" s="699"/>
      <c r="AT207" s="712"/>
      <c r="AU207" s="715"/>
      <c r="AV207" s="716"/>
      <c r="AW207" s="716"/>
      <c r="AX207" s="716"/>
      <c r="AY207" s="716"/>
      <c r="AZ207" s="716"/>
      <c r="BA207" s="716"/>
      <c r="BB207" s="727"/>
      <c r="BC207" s="716"/>
      <c r="BD207" s="716"/>
      <c r="BE207" s="723"/>
      <c r="BF207" s="718"/>
      <c r="BG207" s="716"/>
      <c r="BH207" s="723"/>
      <c r="BI207" s="718"/>
      <c r="BJ207" s="716"/>
      <c r="BK207" s="723"/>
      <c r="BL207" s="718"/>
      <c r="BM207" s="716"/>
      <c r="BN207" s="723"/>
      <c r="BO207" s="718"/>
      <c r="BP207" s="716"/>
      <c r="BQ207" s="715"/>
      <c r="BR207" s="715"/>
      <c r="BS207" s="715"/>
      <c r="BT207" s="715"/>
      <c r="BU207" s="715"/>
      <c r="BV207" s="715"/>
      <c r="BW207" s="715"/>
      <c r="BX207" s="718"/>
      <c r="BY207" s="718"/>
      <c r="BZ207" s="718"/>
      <c r="CA207" s="715"/>
      <c r="CB207" s="718"/>
      <c r="CC207" s="718"/>
      <c r="CD207" s="718"/>
      <c r="CE207" s="718"/>
      <c r="CF207" s="720"/>
      <c r="CG207" s="436"/>
      <c r="CH207" s="436"/>
      <c r="CI207" s="436"/>
      <c r="CJ207" s="436"/>
      <c r="CK207" s="436"/>
      <c r="CL207" s="436"/>
      <c r="CM207" s="436"/>
      <c r="CN207" s="436"/>
      <c r="CO207" s="436"/>
      <c r="CP207" s="436"/>
      <c r="CQ207" s="436"/>
      <c r="CR207" s="436"/>
      <c r="CS207" s="436"/>
      <c r="CT207" s="436"/>
      <c r="CU207" s="436"/>
      <c r="CV207" s="436"/>
      <c r="CW207" s="436"/>
      <c r="CX207" s="436"/>
      <c r="CY207" s="436"/>
      <c r="CZ207" s="436"/>
      <c r="DA207" s="436"/>
      <c r="DB207" s="436"/>
      <c r="DC207" s="436"/>
      <c r="DD207" s="436"/>
      <c r="DE207" s="436"/>
      <c r="DF207" s="436"/>
      <c r="DG207" s="436"/>
      <c r="DH207" s="436"/>
      <c r="DI207" s="436"/>
      <c r="DJ207" s="436"/>
      <c r="DK207" s="436"/>
      <c r="DL207" s="436"/>
      <c r="DM207" s="436"/>
      <c r="DN207" s="436"/>
      <c r="DO207" s="436"/>
      <c r="DP207" s="436"/>
      <c r="DQ207" s="436"/>
      <c r="DR207" s="436"/>
      <c r="DS207" s="436"/>
      <c r="DT207" s="436"/>
      <c r="DU207" s="436"/>
      <c r="DV207" s="436"/>
      <c r="DW207" s="436"/>
      <c r="DX207" s="436"/>
      <c r="DY207" s="436"/>
      <c r="DZ207" s="436"/>
      <c r="EA207" s="436"/>
      <c r="EB207" s="436"/>
      <c r="EC207" s="436"/>
      <c r="ED207" s="436"/>
      <c r="EE207" s="436"/>
      <c r="EF207" s="436"/>
      <c r="EG207" s="436"/>
      <c r="EH207" s="436"/>
      <c r="EI207" s="436"/>
      <c r="EJ207" s="436"/>
      <c r="EK207" s="436"/>
      <c r="EL207" s="436"/>
      <c r="EM207" s="436"/>
    </row>
    <row r="208" spans="1:143" ht="14.5" x14ac:dyDescent="0.35">
      <c r="A208" s="436"/>
      <c r="B208" s="433">
        <v>84</v>
      </c>
      <c r="C208" s="434" t="s">
        <v>1112</v>
      </c>
      <c r="D208" s="340" t="s">
        <v>240</v>
      </c>
      <c r="E208" s="340" t="s">
        <v>243</v>
      </c>
      <c r="F208" s="340" t="s">
        <v>260</v>
      </c>
      <c r="G208" s="288">
        <v>746.49</v>
      </c>
      <c r="H208" s="435">
        <v>880</v>
      </c>
      <c r="I208" s="696" t="s">
        <v>1019</v>
      </c>
      <c r="J208" s="697"/>
      <c r="K208" s="697"/>
      <c r="L208" s="697"/>
      <c r="M208" s="690"/>
      <c r="N208" s="690"/>
      <c r="O208" s="697"/>
      <c r="P208" s="696"/>
      <c r="Q208" s="697"/>
      <c r="R208" s="697"/>
      <c r="S208" s="703"/>
      <c r="T208" s="699"/>
      <c r="U208" s="697"/>
      <c r="V208" s="703"/>
      <c r="W208" s="699"/>
      <c r="X208" s="697"/>
      <c r="Y208" s="703"/>
      <c r="Z208" s="699"/>
      <c r="AA208" s="697"/>
      <c r="AB208" s="703"/>
      <c r="AC208" s="699"/>
      <c r="AD208" s="697"/>
      <c r="AE208" s="696"/>
      <c r="AF208" s="696"/>
      <c r="AG208" s="696"/>
      <c r="AH208" s="696"/>
      <c r="AI208" s="696"/>
      <c r="AJ208" s="696"/>
      <c r="AK208" s="696" t="s">
        <v>1018</v>
      </c>
      <c r="AL208" s="699"/>
      <c r="AM208" s="699"/>
      <c r="AN208" s="699"/>
      <c r="AO208" s="696" t="s">
        <v>1018</v>
      </c>
      <c r="AP208" s="699"/>
      <c r="AQ208" s="699"/>
      <c r="AR208" s="699"/>
      <c r="AS208" s="699"/>
      <c r="AT208" s="712"/>
      <c r="AU208" s="715"/>
      <c r="AV208" s="716"/>
      <c r="AW208" s="716"/>
      <c r="AX208" s="716"/>
      <c r="AY208" s="725"/>
      <c r="AZ208" s="725"/>
      <c r="BA208" s="716"/>
      <c r="BB208" s="715"/>
      <c r="BC208" s="716"/>
      <c r="BD208" s="716"/>
      <c r="BE208" s="723"/>
      <c r="BF208" s="718"/>
      <c r="BG208" s="716"/>
      <c r="BH208" s="723"/>
      <c r="BI208" s="718"/>
      <c r="BJ208" s="716"/>
      <c r="BK208" s="723"/>
      <c r="BL208" s="718"/>
      <c r="BM208" s="716"/>
      <c r="BN208" s="723"/>
      <c r="BO208" s="718"/>
      <c r="BP208" s="716"/>
      <c r="BQ208" s="715"/>
      <c r="BR208" s="715"/>
      <c r="BS208" s="715"/>
      <c r="BT208" s="715"/>
      <c r="BU208" s="715"/>
      <c r="BV208" s="715"/>
      <c r="BW208" s="715"/>
      <c r="BX208" s="718"/>
      <c r="BY208" s="718"/>
      <c r="BZ208" s="718"/>
      <c r="CA208" s="715"/>
      <c r="CB208" s="718"/>
      <c r="CC208" s="718"/>
      <c r="CD208" s="718"/>
      <c r="CE208" s="718"/>
      <c r="CF208" s="720"/>
      <c r="CG208" s="436"/>
      <c r="CH208" s="436"/>
      <c r="CI208" s="436"/>
      <c r="CJ208" s="436"/>
      <c r="CK208" s="436"/>
      <c r="CL208" s="436"/>
      <c r="CM208" s="436"/>
      <c r="CN208" s="436"/>
      <c r="CO208" s="436"/>
      <c r="CP208" s="436"/>
      <c r="CQ208" s="436"/>
      <c r="CR208" s="436"/>
      <c r="CS208" s="436"/>
      <c r="CT208" s="436"/>
      <c r="CU208" s="436"/>
      <c r="CV208" s="436"/>
      <c r="CW208" s="436"/>
      <c r="CX208" s="436"/>
      <c r="CY208" s="436"/>
      <c r="CZ208" s="436"/>
      <c r="DA208" s="436"/>
      <c r="DB208" s="436"/>
      <c r="DC208" s="436"/>
      <c r="DD208" s="436"/>
      <c r="DE208" s="436"/>
      <c r="DF208" s="436"/>
      <c r="DG208" s="436"/>
      <c r="DH208" s="436"/>
      <c r="DI208" s="436"/>
      <c r="DJ208" s="436"/>
      <c r="DK208" s="436"/>
      <c r="DL208" s="436"/>
      <c r="DM208" s="436"/>
      <c r="DN208" s="436"/>
      <c r="DO208" s="436"/>
      <c r="DP208" s="436"/>
      <c r="DQ208" s="436"/>
      <c r="DR208" s="436"/>
      <c r="DS208" s="436"/>
      <c r="DT208" s="436"/>
      <c r="DU208" s="436"/>
      <c r="DV208" s="436"/>
      <c r="DW208" s="436"/>
      <c r="DX208" s="436"/>
      <c r="DY208" s="436"/>
      <c r="DZ208" s="436"/>
      <c r="EA208" s="436"/>
      <c r="EB208" s="436"/>
      <c r="EC208" s="436"/>
      <c r="ED208" s="436"/>
      <c r="EE208" s="436"/>
      <c r="EF208" s="436"/>
      <c r="EG208" s="436"/>
      <c r="EH208" s="436"/>
      <c r="EI208" s="436"/>
      <c r="EJ208" s="436"/>
      <c r="EK208" s="436"/>
      <c r="EL208" s="436"/>
      <c r="EM208" s="436"/>
    </row>
    <row r="209" spans="1:143" ht="14.5" x14ac:dyDescent="0.35">
      <c r="A209" s="436"/>
      <c r="B209" s="433">
        <v>85</v>
      </c>
      <c r="C209" s="434" t="s">
        <v>1113</v>
      </c>
      <c r="D209" s="340" t="s">
        <v>240</v>
      </c>
      <c r="E209" s="340" t="s">
        <v>243</v>
      </c>
      <c r="F209" s="340" t="s">
        <v>260</v>
      </c>
      <c r="G209" s="288">
        <v>1231.28</v>
      </c>
      <c r="H209" s="435">
        <v>1452</v>
      </c>
      <c r="I209" s="696" t="s">
        <v>1019</v>
      </c>
      <c r="J209" s="697"/>
      <c r="K209" s="697"/>
      <c r="L209" s="697"/>
      <c r="M209" s="697"/>
      <c r="N209" s="697"/>
      <c r="O209" s="697"/>
      <c r="P209" s="706"/>
      <c r="Q209" s="697"/>
      <c r="R209" s="697"/>
      <c r="S209" s="703"/>
      <c r="T209" s="699"/>
      <c r="U209" s="697"/>
      <c r="V209" s="703"/>
      <c r="W209" s="699"/>
      <c r="X209" s="697"/>
      <c r="Y209" s="703"/>
      <c r="Z209" s="699"/>
      <c r="AA209" s="697"/>
      <c r="AB209" s="703"/>
      <c r="AC209" s="699"/>
      <c r="AD209" s="697"/>
      <c r="AE209" s="696"/>
      <c r="AF209" s="696"/>
      <c r="AG209" s="696"/>
      <c r="AH209" s="696"/>
      <c r="AI209" s="696"/>
      <c r="AJ209" s="696"/>
      <c r="AK209" s="696" t="s">
        <v>1018</v>
      </c>
      <c r="AL209" s="699"/>
      <c r="AM209" s="699"/>
      <c r="AN209" s="699"/>
      <c r="AO209" s="696" t="s">
        <v>1018</v>
      </c>
      <c r="AP209" s="699"/>
      <c r="AQ209" s="699"/>
      <c r="AR209" s="699"/>
      <c r="AS209" s="699"/>
      <c r="AT209" s="712"/>
      <c r="AU209" s="715"/>
      <c r="AV209" s="716"/>
      <c r="AW209" s="716"/>
      <c r="AX209" s="716"/>
      <c r="AY209" s="716"/>
      <c r="AZ209" s="716"/>
      <c r="BA209" s="716"/>
      <c r="BB209" s="727"/>
      <c r="BC209" s="716"/>
      <c r="BD209" s="716"/>
      <c r="BE209" s="723"/>
      <c r="BF209" s="718"/>
      <c r="BG209" s="716"/>
      <c r="BH209" s="723"/>
      <c r="BI209" s="718"/>
      <c r="BJ209" s="716"/>
      <c r="BK209" s="723"/>
      <c r="BL209" s="718"/>
      <c r="BM209" s="716"/>
      <c r="BN209" s="723"/>
      <c r="BO209" s="718"/>
      <c r="BP209" s="716"/>
      <c r="BQ209" s="715"/>
      <c r="BR209" s="715"/>
      <c r="BS209" s="715"/>
      <c r="BT209" s="715"/>
      <c r="BU209" s="715"/>
      <c r="BV209" s="715"/>
      <c r="BW209" s="715"/>
      <c r="BX209" s="718"/>
      <c r="BY209" s="718"/>
      <c r="BZ209" s="718"/>
      <c r="CA209" s="715"/>
      <c r="CB209" s="718"/>
      <c r="CC209" s="718"/>
      <c r="CD209" s="718"/>
      <c r="CE209" s="718"/>
      <c r="CF209" s="720"/>
      <c r="CG209" s="436"/>
      <c r="CH209" s="436"/>
      <c r="CI209" s="436"/>
      <c r="CJ209" s="436"/>
      <c r="CK209" s="436"/>
      <c r="CL209" s="436"/>
      <c r="CM209" s="436"/>
      <c r="CN209" s="436"/>
      <c r="CO209" s="436"/>
      <c r="CP209" s="436"/>
      <c r="CQ209" s="436"/>
      <c r="CR209" s="436"/>
      <c r="CS209" s="436"/>
      <c r="CT209" s="436"/>
      <c r="CU209" s="436"/>
      <c r="CV209" s="436"/>
      <c r="CW209" s="436"/>
      <c r="CX209" s="436"/>
      <c r="CY209" s="436"/>
      <c r="CZ209" s="436"/>
      <c r="DA209" s="436"/>
      <c r="DB209" s="436"/>
      <c r="DC209" s="436"/>
      <c r="DD209" s="436"/>
      <c r="DE209" s="436"/>
      <c r="DF209" s="436"/>
      <c r="DG209" s="436"/>
      <c r="DH209" s="436"/>
      <c r="DI209" s="436"/>
      <c r="DJ209" s="436"/>
      <c r="DK209" s="436"/>
      <c r="DL209" s="436"/>
      <c r="DM209" s="436"/>
      <c r="DN209" s="436"/>
      <c r="DO209" s="436"/>
      <c r="DP209" s="436"/>
      <c r="DQ209" s="436"/>
      <c r="DR209" s="436"/>
      <c r="DS209" s="436"/>
      <c r="DT209" s="436"/>
      <c r="DU209" s="436"/>
      <c r="DV209" s="436"/>
      <c r="DW209" s="436"/>
      <c r="DX209" s="436"/>
      <c r="DY209" s="436"/>
      <c r="DZ209" s="436"/>
      <c r="EA209" s="436"/>
      <c r="EB209" s="436"/>
      <c r="EC209" s="436"/>
      <c r="ED209" s="436"/>
      <c r="EE209" s="436"/>
      <c r="EF209" s="436"/>
      <c r="EG209" s="436"/>
      <c r="EH209" s="436"/>
      <c r="EI209" s="436"/>
      <c r="EJ209" s="436"/>
      <c r="EK209" s="436"/>
      <c r="EL209" s="436"/>
      <c r="EM209" s="436"/>
    </row>
    <row r="210" spans="1:143" ht="14.5" outlineLevel="1" x14ac:dyDescent="0.35">
      <c r="A210" s="436"/>
      <c r="B210" s="433">
        <v>86</v>
      </c>
      <c r="C210" s="434" t="s">
        <v>1114</v>
      </c>
      <c r="D210" s="340" t="s">
        <v>240</v>
      </c>
      <c r="E210" s="340" t="s">
        <v>243</v>
      </c>
      <c r="F210" s="340" t="s">
        <v>260</v>
      </c>
      <c r="G210" s="288">
        <v>1183.42</v>
      </c>
      <c r="H210" s="435">
        <v>1397</v>
      </c>
      <c r="I210" s="696" t="s">
        <v>1019</v>
      </c>
      <c r="J210" s="697"/>
      <c r="K210" s="697"/>
      <c r="L210" s="697"/>
      <c r="M210" s="690"/>
      <c r="N210" s="690"/>
      <c r="O210" s="697"/>
      <c r="P210" s="696"/>
      <c r="Q210" s="697"/>
      <c r="R210" s="697"/>
      <c r="S210" s="703"/>
      <c r="T210" s="699"/>
      <c r="U210" s="697"/>
      <c r="V210" s="703"/>
      <c r="W210" s="699"/>
      <c r="X210" s="697"/>
      <c r="Y210" s="703"/>
      <c r="Z210" s="699"/>
      <c r="AA210" s="697"/>
      <c r="AB210" s="703"/>
      <c r="AC210" s="699"/>
      <c r="AD210" s="697"/>
      <c r="AE210" s="696"/>
      <c r="AF210" s="696"/>
      <c r="AG210" s="696"/>
      <c r="AH210" s="696"/>
      <c r="AI210" s="696"/>
      <c r="AJ210" s="696"/>
      <c r="AK210" s="696" t="s">
        <v>1018</v>
      </c>
      <c r="AL210" s="699"/>
      <c r="AM210" s="699"/>
      <c r="AN210" s="699"/>
      <c r="AO210" s="696" t="s">
        <v>1018</v>
      </c>
      <c r="AP210" s="699"/>
      <c r="AQ210" s="699"/>
      <c r="AR210" s="699"/>
      <c r="AS210" s="699"/>
      <c r="AT210" s="712"/>
      <c r="AU210" s="715"/>
      <c r="AV210" s="716"/>
      <c r="AW210" s="716"/>
      <c r="AX210" s="716"/>
      <c r="AY210" s="725"/>
      <c r="AZ210" s="725"/>
      <c r="BA210" s="716"/>
      <c r="BB210" s="715"/>
      <c r="BC210" s="716"/>
      <c r="BD210" s="716"/>
      <c r="BE210" s="723"/>
      <c r="BF210" s="718"/>
      <c r="BG210" s="716"/>
      <c r="BH210" s="723"/>
      <c r="BI210" s="718"/>
      <c r="BJ210" s="716"/>
      <c r="BK210" s="723"/>
      <c r="BL210" s="718"/>
      <c r="BM210" s="716"/>
      <c r="BN210" s="723"/>
      <c r="BO210" s="718"/>
      <c r="BP210" s="716"/>
      <c r="BQ210" s="715"/>
      <c r="BR210" s="715"/>
      <c r="BS210" s="715"/>
      <c r="BT210" s="715"/>
      <c r="BU210" s="715"/>
      <c r="BV210" s="715"/>
      <c r="BW210" s="715"/>
      <c r="BX210" s="718"/>
      <c r="BY210" s="718"/>
      <c r="BZ210" s="718"/>
      <c r="CA210" s="715"/>
      <c r="CB210" s="718"/>
      <c r="CC210" s="718"/>
      <c r="CD210" s="718"/>
      <c r="CE210" s="718"/>
      <c r="CF210" s="327"/>
      <c r="CH210" s="436"/>
      <c r="CI210" s="436"/>
      <c r="CJ210" s="436"/>
      <c r="CK210" s="436"/>
      <c r="CL210" s="436"/>
      <c r="CM210" s="436"/>
      <c r="CN210" s="436"/>
      <c r="CO210" s="436"/>
      <c r="CP210" s="436"/>
      <c r="CQ210" s="436"/>
      <c r="CR210" s="436"/>
      <c r="CS210" s="436"/>
      <c r="CT210" s="436"/>
      <c r="CU210" s="436"/>
      <c r="CV210" s="436"/>
      <c r="CW210" s="436"/>
      <c r="CX210" s="436"/>
      <c r="CY210" s="436"/>
      <c r="CZ210" s="436"/>
      <c r="DA210" s="436"/>
      <c r="DB210" s="436"/>
      <c r="DC210" s="436"/>
      <c r="DD210" s="436"/>
      <c r="DE210" s="436"/>
      <c r="DF210" s="436"/>
      <c r="DG210" s="436"/>
      <c r="DH210" s="436"/>
      <c r="DI210" s="436"/>
      <c r="DJ210" s="436"/>
      <c r="DK210" s="436"/>
      <c r="DL210" s="436"/>
      <c r="DM210" s="436"/>
      <c r="DN210" s="436"/>
      <c r="DO210" s="436"/>
      <c r="DP210" s="436"/>
      <c r="DQ210" s="436"/>
      <c r="DR210" s="436"/>
      <c r="DS210" s="436"/>
      <c r="DT210" s="436"/>
      <c r="DU210" s="436"/>
      <c r="DV210" s="436"/>
      <c r="DW210" s="436"/>
      <c r="DX210" s="436"/>
      <c r="DY210" s="436"/>
      <c r="DZ210" s="436"/>
      <c r="EA210" s="436"/>
      <c r="EB210" s="436"/>
      <c r="EC210" s="436"/>
      <c r="ED210" s="436"/>
      <c r="EE210" s="436"/>
      <c r="EF210" s="436"/>
      <c r="EG210" s="436"/>
      <c r="EH210" s="436"/>
      <c r="EI210" s="436"/>
      <c r="EJ210" s="436"/>
      <c r="EK210" s="436"/>
      <c r="EL210" s="436"/>
      <c r="EM210" s="436"/>
    </row>
    <row r="211" spans="1:143" ht="14.5" outlineLevel="1" x14ac:dyDescent="0.35">
      <c r="A211" s="436"/>
      <c r="B211" s="433">
        <v>87</v>
      </c>
      <c r="C211" s="434" t="s">
        <v>1115</v>
      </c>
      <c r="D211" s="340" t="s">
        <v>240</v>
      </c>
      <c r="E211" s="340" t="s">
        <v>241</v>
      </c>
      <c r="F211" s="340" t="s">
        <v>260</v>
      </c>
      <c r="G211" s="288">
        <v>425.86</v>
      </c>
      <c r="H211" s="435">
        <v>494</v>
      </c>
      <c r="I211" s="696" t="s">
        <v>1019</v>
      </c>
      <c r="J211" s="690"/>
      <c r="K211" s="697"/>
      <c r="L211" s="697"/>
      <c r="M211" s="697"/>
      <c r="N211" s="697"/>
      <c r="O211" s="697"/>
      <c r="P211" s="696"/>
      <c r="Q211" s="697"/>
      <c r="R211" s="697"/>
      <c r="S211" s="703"/>
      <c r="T211" s="699"/>
      <c r="U211" s="697"/>
      <c r="V211" s="703"/>
      <c r="W211" s="699"/>
      <c r="X211" s="697"/>
      <c r="Y211" s="703"/>
      <c r="Z211" s="699"/>
      <c r="AA211" s="697"/>
      <c r="AB211" s="703"/>
      <c r="AC211" s="699"/>
      <c r="AD211" s="697"/>
      <c r="AE211" s="696"/>
      <c r="AF211" s="696"/>
      <c r="AG211" s="696"/>
      <c r="AH211" s="696"/>
      <c r="AI211" s="696"/>
      <c r="AJ211" s="696"/>
      <c r="AK211" s="696" t="s">
        <v>1018</v>
      </c>
      <c r="AL211" s="699"/>
      <c r="AM211" s="699"/>
      <c r="AN211" s="699"/>
      <c r="AO211" s="696" t="s">
        <v>1018</v>
      </c>
      <c r="AP211" s="699"/>
      <c r="AQ211" s="699"/>
      <c r="AR211" s="699"/>
      <c r="AS211" s="699"/>
      <c r="AT211" s="712"/>
      <c r="AU211" s="715"/>
      <c r="AV211" s="725"/>
      <c r="AW211" s="716"/>
      <c r="AX211" s="716"/>
      <c r="AY211" s="716"/>
      <c r="AZ211" s="716"/>
      <c r="BA211" s="716"/>
      <c r="BB211" s="715"/>
      <c r="BC211" s="716"/>
      <c r="BD211" s="716"/>
      <c r="BE211" s="723"/>
      <c r="BF211" s="718"/>
      <c r="BG211" s="716"/>
      <c r="BH211" s="723"/>
      <c r="BI211" s="718"/>
      <c r="BJ211" s="716"/>
      <c r="BK211" s="723"/>
      <c r="BL211" s="718"/>
      <c r="BM211" s="716"/>
      <c r="BN211" s="723"/>
      <c r="BO211" s="718"/>
      <c r="BP211" s="716"/>
      <c r="BQ211" s="715"/>
      <c r="BR211" s="715"/>
      <c r="BS211" s="715"/>
      <c r="BT211" s="715"/>
      <c r="BU211" s="715"/>
      <c r="BV211" s="715"/>
      <c r="BW211" s="715"/>
      <c r="BX211" s="718"/>
      <c r="BY211" s="718"/>
      <c r="BZ211" s="718"/>
      <c r="CA211" s="715"/>
      <c r="CB211" s="718"/>
      <c r="CC211" s="718"/>
      <c r="CD211" s="718"/>
      <c r="CE211" s="718"/>
      <c r="CF211" s="327"/>
      <c r="CH211" s="436"/>
      <c r="CI211" s="436"/>
      <c r="CJ211" s="436"/>
      <c r="CK211" s="436"/>
      <c r="CL211" s="436"/>
      <c r="CM211" s="436"/>
      <c r="CN211" s="436"/>
      <c r="CO211" s="436"/>
      <c r="CP211" s="436"/>
      <c r="CQ211" s="436"/>
      <c r="CR211" s="436"/>
      <c r="CS211" s="436"/>
      <c r="CT211" s="436"/>
      <c r="CU211" s="436"/>
      <c r="CV211" s="436"/>
      <c r="CW211" s="436"/>
      <c r="CX211" s="436"/>
      <c r="CY211" s="436"/>
      <c r="CZ211" s="436"/>
      <c r="DA211" s="436"/>
      <c r="DB211" s="436"/>
      <c r="DC211" s="436"/>
      <c r="DD211" s="436"/>
      <c r="DE211" s="436"/>
      <c r="DF211" s="436"/>
      <c r="DG211" s="436"/>
      <c r="DH211" s="436"/>
      <c r="DI211" s="436"/>
      <c r="DJ211" s="436"/>
      <c r="DK211" s="436"/>
      <c r="DL211" s="436"/>
      <c r="DM211" s="436"/>
      <c r="DN211" s="436"/>
      <c r="DO211" s="436"/>
      <c r="DP211" s="436"/>
      <c r="DQ211" s="436"/>
      <c r="DR211" s="436"/>
      <c r="DS211" s="436"/>
      <c r="DT211" s="436"/>
      <c r="DU211" s="436"/>
      <c r="DV211" s="436"/>
      <c r="DW211" s="436"/>
      <c r="DX211" s="436"/>
      <c r="DY211" s="436"/>
      <c r="DZ211" s="436"/>
      <c r="EA211" s="436"/>
      <c r="EB211" s="436"/>
      <c r="EC211" s="436"/>
      <c r="ED211" s="436"/>
      <c r="EE211" s="436"/>
      <c r="EF211" s="436"/>
      <c r="EG211" s="436"/>
      <c r="EH211" s="436"/>
      <c r="EI211" s="436"/>
      <c r="EJ211" s="436"/>
      <c r="EK211" s="436"/>
      <c r="EL211" s="436"/>
      <c r="EM211" s="436"/>
    </row>
    <row r="212" spans="1:143" ht="14.5" outlineLevel="1" x14ac:dyDescent="0.35">
      <c r="A212" s="436"/>
      <c r="B212" s="433">
        <v>88</v>
      </c>
      <c r="C212" s="434" t="s">
        <v>1116</v>
      </c>
      <c r="D212" s="340" t="s">
        <v>240</v>
      </c>
      <c r="E212" s="340" t="s">
        <v>241</v>
      </c>
      <c r="F212" s="340" t="s">
        <v>260</v>
      </c>
      <c r="G212" s="288">
        <v>493.1</v>
      </c>
      <c r="H212" s="435">
        <v>572</v>
      </c>
      <c r="I212" s="696" t="s">
        <v>1019</v>
      </c>
      <c r="J212" s="697"/>
      <c r="K212" s="697"/>
      <c r="L212" s="697"/>
      <c r="M212" s="690"/>
      <c r="N212" s="690"/>
      <c r="O212" s="697"/>
      <c r="P212" s="696"/>
      <c r="Q212" s="697"/>
      <c r="R212" s="697"/>
      <c r="S212" s="703"/>
      <c r="T212" s="699"/>
      <c r="U212" s="697"/>
      <c r="V212" s="703"/>
      <c r="W212" s="699"/>
      <c r="X212" s="697"/>
      <c r="Y212" s="703"/>
      <c r="Z212" s="699"/>
      <c r="AA212" s="697"/>
      <c r="AB212" s="703"/>
      <c r="AC212" s="699"/>
      <c r="AD212" s="697"/>
      <c r="AE212" s="696"/>
      <c r="AF212" s="696"/>
      <c r="AG212" s="696"/>
      <c r="AH212" s="696"/>
      <c r="AI212" s="696"/>
      <c r="AJ212" s="696"/>
      <c r="AK212" s="696" t="s">
        <v>1018</v>
      </c>
      <c r="AL212" s="699"/>
      <c r="AM212" s="699"/>
      <c r="AN212" s="699"/>
      <c r="AO212" s="696" t="s">
        <v>1018</v>
      </c>
      <c r="AP212" s="699"/>
      <c r="AQ212" s="699"/>
      <c r="AR212" s="699"/>
      <c r="AS212" s="699"/>
      <c r="AT212" s="712"/>
      <c r="AU212" s="715"/>
      <c r="AV212" s="716"/>
      <c r="AW212" s="716"/>
      <c r="AX212" s="716"/>
      <c r="AY212" s="725"/>
      <c r="AZ212" s="725"/>
      <c r="BA212" s="716"/>
      <c r="BB212" s="715"/>
      <c r="BC212" s="716"/>
      <c r="BD212" s="716"/>
      <c r="BE212" s="723"/>
      <c r="BF212" s="718"/>
      <c r="BG212" s="716"/>
      <c r="BH212" s="723"/>
      <c r="BI212" s="718"/>
      <c r="BJ212" s="716"/>
      <c r="BK212" s="723"/>
      <c r="BL212" s="718"/>
      <c r="BM212" s="716"/>
      <c r="BN212" s="723"/>
      <c r="BO212" s="718"/>
      <c r="BP212" s="716"/>
      <c r="BQ212" s="715"/>
      <c r="BR212" s="715"/>
      <c r="BS212" s="715"/>
      <c r="BT212" s="715"/>
      <c r="BU212" s="715"/>
      <c r="BV212" s="715"/>
      <c r="BW212" s="715"/>
      <c r="BX212" s="718"/>
      <c r="BY212" s="718"/>
      <c r="BZ212" s="718"/>
      <c r="CA212" s="715"/>
      <c r="CB212" s="718"/>
      <c r="CC212" s="718"/>
      <c r="CD212" s="718"/>
      <c r="CE212" s="718"/>
      <c r="CF212" s="327"/>
    </row>
    <row r="213" spans="1:143" ht="14.5" outlineLevel="1" x14ac:dyDescent="0.35">
      <c r="A213" s="436"/>
      <c r="B213" s="433">
        <v>89</v>
      </c>
      <c r="C213" s="434" t="s">
        <v>1117</v>
      </c>
      <c r="D213" s="340" t="s">
        <v>240</v>
      </c>
      <c r="E213" s="340" t="s">
        <v>241</v>
      </c>
      <c r="F213" s="340" t="s">
        <v>260</v>
      </c>
      <c r="G213" s="288">
        <v>562.07000000000005</v>
      </c>
      <c r="H213" s="435">
        <v>652</v>
      </c>
      <c r="I213" s="696" t="s">
        <v>1019</v>
      </c>
      <c r="J213" s="697"/>
      <c r="K213" s="697"/>
      <c r="L213" s="697"/>
      <c r="M213" s="697"/>
      <c r="N213" s="697"/>
      <c r="O213" s="697"/>
      <c r="P213" s="706"/>
      <c r="Q213" s="706"/>
      <c r="R213" s="697"/>
      <c r="S213" s="703"/>
      <c r="T213" s="699"/>
      <c r="U213" s="697"/>
      <c r="V213" s="703"/>
      <c r="W213" s="699"/>
      <c r="X213" s="697"/>
      <c r="Y213" s="703"/>
      <c r="Z213" s="699"/>
      <c r="AA213" s="697"/>
      <c r="AB213" s="703"/>
      <c r="AC213" s="699"/>
      <c r="AD213" s="697"/>
      <c r="AE213" s="696"/>
      <c r="AF213" s="696"/>
      <c r="AG213" s="696"/>
      <c r="AH213" s="696"/>
      <c r="AI213" s="696"/>
      <c r="AJ213" s="696"/>
      <c r="AK213" s="696" t="s">
        <v>1018</v>
      </c>
      <c r="AL213" s="699"/>
      <c r="AM213" s="699"/>
      <c r="AN213" s="699"/>
      <c r="AO213" s="696" t="s">
        <v>1018</v>
      </c>
      <c r="AP213" s="699"/>
      <c r="AQ213" s="699"/>
      <c r="AR213" s="699"/>
      <c r="AS213" s="699"/>
      <c r="AT213" s="712"/>
      <c r="AU213" s="715"/>
      <c r="AV213" s="716"/>
      <c r="AW213" s="716"/>
      <c r="AX213" s="716"/>
      <c r="AY213" s="716"/>
      <c r="AZ213" s="716"/>
      <c r="BA213" s="716"/>
      <c r="BB213" s="727"/>
      <c r="BC213" s="727"/>
      <c r="BD213" s="716"/>
      <c r="BE213" s="723"/>
      <c r="BF213" s="718"/>
      <c r="BG213" s="716"/>
      <c r="BH213" s="723"/>
      <c r="BI213" s="718"/>
      <c r="BJ213" s="716"/>
      <c r="BK213" s="723"/>
      <c r="BL213" s="718"/>
      <c r="BM213" s="716"/>
      <c r="BN213" s="723"/>
      <c r="BO213" s="718"/>
      <c r="BP213" s="716"/>
      <c r="BQ213" s="715"/>
      <c r="BR213" s="715"/>
      <c r="BS213" s="715"/>
      <c r="BT213" s="715"/>
      <c r="BU213" s="715"/>
      <c r="BV213" s="715"/>
      <c r="BW213" s="715"/>
      <c r="BX213" s="718"/>
      <c r="BY213" s="718"/>
      <c r="BZ213" s="718"/>
      <c r="CA213" s="715"/>
      <c r="CB213" s="718"/>
      <c r="CC213" s="718"/>
      <c r="CD213" s="718"/>
      <c r="CE213" s="718"/>
      <c r="CF213" s="327"/>
    </row>
    <row r="214" spans="1:143" ht="14.5" outlineLevel="1" x14ac:dyDescent="0.35">
      <c r="A214" s="436"/>
      <c r="B214" s="433">
        <v>90</v>
      </c>
      <c r="C214" s="434" t="s">
        <v>1118</v>
      </c>
      <c r="D214" s="340" t="s">
        <v>240</v>
      </c>
      <c r="E214" s="340" t="s">
        <v>241</v>
      </c>
      <c r="F214" s="340" t="s">
        <v>260</v>
      </c>
      <c r="G214" s="435">
        <v>531.89</v>
      </c>
      <c r="H214" s="435">
        <v>617</v>
      </c>
      <c r="I214" s="696" t="s">
        <v>1019</v>
      </c>
      <c r="J214" s="697"/>
      <c r="K214" s="697"/>
      <c r="L214" s="697"/>
      <c r="M214" s="690"/>
      <c r="N214" s="690"/>
      <c r="O214" s="697"/>
      <c r="P214" s="696"/>
      <c r="Q214" s="697"/>
      <c r="R214" s="697"/>
      <c r="S214" s="703"/>
      <c r="T214" s="699"/>
      <c r="U214" s="697"/>
      <c r="V214" s="703"/>
      <c r="W214" s="699"/>
      <c r="X214" s="697"/>
      <c r="Y214" s="703"/>
      <c r="Z214" s="699"/>
      <c r="AA214" s="697"/>
      <c r="AB214" s="703"/>
      <c r="AC214" s="699"/>
      <c r="AD214" s="697"/>
      <c r="AE214" s="696"/>
      <c r="AF214" s="696"/>
      <c r="AG214" s="696"/>
      <c r="AH214" s="696"/>
      <c r="AI214" s="696"/>
      <c r="AJ214" s="696"/>
      <c r="AK214" s="696" t="s">
        <v>1018</v>
      </c>
      <c r="AL214" s="699"/>
      <c r="AM214" s="699"/>
      <c r="AN214" s="699"/>
      <c r="AO214" s="696" t="s">
        <v>1018</v>
      </c>
      <c r="AP214" s="699"/>
      <c r="AQ214" s="699"/>
      <c r="AR214" s="699"/>
      <c r="AS214" s="699"/>
      <c r="AT214" s="712"/>
      <c r="AU214" s="715"/>
      <c r="AV214" s="716"/>
      <c r="AW214" s="716"/>
      <c r="AX214" s="716"/>
      <c r="AY214" s="725"/>
      <c r="AZ214" s="725"/>
      <c r="BA214" s="716"/>
      <c r="BB214" s="715"/>
      <c r="BC214" s="716"/>
      <c r="BD214" s="716"/>
      <c r="BE214" s="723"/>
      <c r="BF214" s="718"/>
      <c r="BG214" s="716"/>
      <c r="BH214" s="723"/>
      <c r="BI214" s="718"/>
      <c r="BJ214" s="716"/>
      <c r="BK214" s="723"/>
      <c r="BL214" s="718"/>
      <c r="BM214" s="716"/>
      <c r="BN214" s="723"/>
      <c r="BO214" s="718"/>
      <c r="BP214" s="716"/>
      <c r="BQ214" s="715"/>
      <c r="BR214" s="715"/>
      <c r="BS214" s="715"/>
      <c r="BT214" s="715"/>
      <c r="BU214" s="715"/>
      <c r="BV214" s="715"/>
      <c r="BW214" s="715"/>
      <c r="BX214" s="718"/>
      <c r="BY214" s="718"/>
      <c r="BZ214" s="718"/>
      <c r="CA214" s="715"/>
      <c r="CB214" s="718"/>
      <c r="CC214" s="718"/>
      <c r="CD214" s="718"/>
      <c r="CE214" s="718"/>
      <c r="CF214" s="327"/>
    </row>
    <row r="215" spans="1:143" ht="14.5" outlineLevel="1" x14ac:dyDescent="0.35">
      <c r="A215" s="436"/>
      <c r="B215" s="433">
        <v>91</v>
      </c>
      <c r="C215" s="434" t="s">
        <v>1119</v>
      </c>
      <c r="D215" s="340" t="s">
        <v>240</v>
      </c>
      <c r="E215" s="340" t="s">
        <v>241</v>
      </c>
      <c r="F215" s="340" t="s">
        <v>260</v>
      </c>
      <c r="G215" s="435">
        <v>600.86</v>
      </c>
      <c r="H215" s="435">
        <v>697</v>
      </c>
      <c r="I215" s="696" t="s">
        <v>1019</v>
      </c>
      <c r="J215" s="697"/>
      <c r="K215" s="697"/>
      <c r="L215" s="697"/>
      <c r="M215" s="697"/>
      <c r="N215" s="697"/>
      <c r="O215" s="697"/>
      <c r="P215" s="706"/>
      <c r="Q215" s="706"/>
      <c r="R215" s="697"/>
      <c r="S215" s="703"/>
      <c r="T215" s="699"/>
      <c r="U215" s="697"/>
      <c r="V215" s="703"/>
      <c r="W215" s="699"/>
      <c r="X215" s="697"/>
      <c r="Y215" s="703"/>
      <c r="Z215" s="699"/>
      <c r="AA215" s="697"/>
      <c r="AB215" s="703"/>
      <c r="AC215" s="699"/>
      <c r="AD215" s="697"/>
      <c r="AE215" s="696"/>
      <c r="AF215" s="696"/>
      <c r="AG215" s="696"/>
      <c r="AH215" s="696"/>
      <c r="AI215" s="696"/>
      <c r="AJ215" s="696"/>
      <c r="AK215" s="696" t="s">
        <v>1018</v>
      </c>
      <c r="AL215" s="699"/>
      <c r="AM215" s="699"/>
      <c r="AN215" s="699"/>
      <c r="AO215" s="696" t="s">
        <v>1018</v>
      </c>
      <c r="AP215" s="699"/>
      <c r="AQ215" s="699"/>
      <c r="AR215" s="699"/>
      <c r="AS215" s="699"/>
      <c r="AT215" s="712"/>
      <c r="AU215" s="715"/>
      <c r="AV215" s="716"/>
      <c r="AW215" s="716"/>
      <c r="AX215" s="716"/>
      <c r="AY215" s="716"/>
      <c r="AZ215" s="716"/>
      <c r="BA215" s="716"/>
      <c r="BB215" s="727"/>
      <c r="BC215" s="727"/>
      <c r="BD215" s="716"/>
      <c r="BE215" s="723"/>
      <c r="BF215" s="718"/>
      <c r="BG215" s="716"/>
      <c r="BH215" s="723"/>
      <c r="BI215" s="718"/>
      <c r="BJ215" s="716"/>
      <c r="BK215" s="723"/>
      <c r="BL215" s="718"/>
      <c r="BM215" s="716"/>
      <c r="BN215" s="723"/>
      <c r="BO215" s="718"/>
      <c r="BP215" s="716"/>
      <c r="BQ215" s="715"/>
      <c r="BR215" s="715"/>
      <c r="BS215" s="715"/>
      <c r="BT215" s="715"/>
      <c r="BU215" s="715"/>
      <c r="BV215" s="715"/>
      <c r="BW215" s="715"/>
      <c r="BX215" s="718"/>
      <c r="BY215" s="718"/>
      <c r="BZ215" s="718"/>
      <c r="CA215" s="715"/>
      <c r="CB215" s="718"/>
      <c r="CC215" s="718"/>
      <c r="CD215" s="718"/>
      <c r="CE215" s="718"/>
      <c r="CF215" s="327"/>
    </row>
    <row r="216" spans="1:143" ht="14.5" outlineLevel="1" x14ac:dyDescent="0.35">
      <c r="A216" s="436"/>
      <c r="B216" s="433">
        <v>92</v>
      </c>
      <c r="C216" s="434" t="s">
        <v>1120</v>
      </c>
      <c r="D216" s="340" t="s">
        <v>240</v>
      </c>
      <c r="E216" s="340" t="s">
        <v>241</v>
      </c>
      <c r="F216" s="340" t="s">
        <v>260</v>
      </c>
      <c r="G216" s="345">
        <v>786.21</v>
      </c>
      <c r="H216" s="461">
        <v>912</v>
      </c>
      <c r="I216" s="696" t="s">
        <v>1019</v>
      </c>
      <c r="J216" s="697"/>
      <c r="K216" s="697"/>
      <c r="L216" s="697"/>
      <c r="M216" s="697"/>
      <c r="N216" s="697"/>
      <c r="O216" s="697"/>
      <c r="P216" s="706"/>
      <c r="Q216" s="699"/>
      <c r="R216" s="697"/>
      <c r="S216" s="703"/>
      <c r="T216" s="707"/>
      <c r="U216" s="697"/>
      <c r="V216" s="703"/>
      <c r="W216" s="707"/>
      <c r="X216" s="697"/>
      <c r="Y216" s="703"/>
      <c r="Z216" s="707"/>
      <c r="AA216" s="697"/>
      <c r="AB216" s="703"/>
      <c r="AC216" s="707"/>
      <c r="AD216" s="697"/>
      <c r="AE216" s="696"/>
      <c r="AF216" s="696"/>
      <c r="AG216" s="696"/>
      <c r="AH216" s="696"/>
      <c r="AI216" s="696"/>
      <c r="AJ216" s="696"/>
      <c r="AK216" s="696" t="s">
        <v>1018</v>
      </c>
      <c r="AL216" s="699"/>
      <c r="AM216" s="699"/>
      <c r="AN216" s="699"/>
      <c r="AO216" s="696" t="s">
        <v>1018</v>
      </c>
      <c r="AP216" s="699"/>
      <c r="AQ216" s="699"/>
      <c r="AR216" s="699"/>
      <c r="AS216" s="710"/>
      <c r="AT216" s="711"/>
      <c r="AU216" s="715"/>
      <c r="AV216" s="716"/>
      <c r="AW216" s="716"/>
      <c r="AX216" s="716"/>
      <c r="AY216" s="716"/>
      <c r="AZ216" s="716"/>
      <c r="BA216" s="716"/>
      <c r="BB216" s="727"/>
      <c r="BC216" s="718"/>
      <c r="BD216" s="716"/>
      <c r="BE216" s="723"/>
      <c r="BF216" s="728"/>
      <c r="BG216" s="716"/>
      <c r="BH216" s="723"/>
      <c r="BI216" s="728"/>
      <c r="BJ216" s="716"/>
      <c r="BK216" s="723"/>
      <c r="BL216" s="728"/>
      <c r="BM216" s="716"/>
      <c r="BN216" s="723"/>
      <c r="BO216" s="728"/>
      <c r="BP216" s="716"/>
      <c r="BQ216" s="715"/>
      <c r="BR216" s="715"/>
      <c r="BS216" s="715"/>
      <c r="BT216" s="715"/>
      <c r="BU216" s="715"/>
      <c r="BV216" s="715"/>
      <c r="BW216" s="715"/>
      <c r="BX216" s="718"/>
      <c r="BY216" s="718"/>
      <c r="BZ216" s="718"/>
      <c r="CA216" s="715"/>
      <c r="CB216" s="718"/>
      <c r="CC216" s="718"/>
      <c r="CD216" s="718"/>
      <c r="CE216" s="718"/>
      <c r="CF216" s="327"/>
    </row>
    <row r="217" spans="1:143" ht="14.5" outlineLevel="1" x14ac:dyDescent="0.35">
      <c r="A217" s="436"/>
      <c r="B217" s="433">
        <v>93</v>
      </c>
      <c r="C217" s="434" t="s">
        <v>1121</v>
      </c>
      <c r="D217" s="340" t="s">
        <v>240</v>
      </c>
      <c r="E217" s="340" t="s">
        <v>241</v>
      </c>
      <c r="F217" s="340" t="s">
        <v>260</v>
      </c>
      <c r="G217" s="345">
        <v>735.34</v>
      </c>
      <c r="H217" s="461">
        <v>853</v>
      </c>
      <c r="I217" s="696" t="s">
        <v>1019</v>
      </c>
      <c r="J217" s="697"/>
      <c r="K217" s="697"/>
      <c r="L217" s="697"/>
      <c r="M217" s="690"/>
      <c r="N217" s="699"/>
      <c r="O217" s="697"/>
      <c r="P217" s="696"/>
      <c r="Q217" s="696"/>
      <c r="R217" s="697"/>
      <c r="S217" s="703"/>
      <c r="T217" s="699"/>
      <c r="U217" s="697"/>
      <c r="V217" s="703"/>
      <c r="W217" s="699"/>
      <c r="X217" s="697"/>
      <c r="Y217" s="703"/>
      <c r="Z217" s="699"/>
      <c r="AA217" s="697"/>
      <c r="AB217" s="703"/>
      <c r="AC217" s="699"/>
      <c r="AD217" s="697"/>
      <c r="AE217" s="696"/>
      <c r="AF217" s="696"/>
      <c r="AG217" s="696"/>
      <c r="AH217" s="696"/>
      <c r="AI217" s="696"/>
      <c r="AJ217" s="696"/>
      <c r="AK217" s="696" t="s">
        <v>1018</v>
      </c>
      <c r="AL217" s="699"/>
      <c r="AM217" s="699"/>
      <c r="AN217" s="699"/>
      <c r="AO217" s="696" t="s">
        <v>1018</v>
      </c>
      <c r="AP217" s="699"/>
      <c r="AQ217" s="699"/>
      <c r="AR217" s="699"/>
      <c r="AS217" s="710"/>
      <c r="AT217" s="711"/>
      <c r="AU217" s="715"/>
      <c r="AV217" s="716"/>
      <c r="AW217" s="716"/>
      <c r="AX217" s="716"/>
      <c r="AY217" s="725"/>
      <c r="AZ217" s="718"/>
      <c r="BA217" s="716"/>
      <c r="BB217" s="715"/>
      <c r="BC217" s="715"/>
      <c r="BD217" s="716"/>
      <c r="BE217" s="723"/>
      <c r="BF217" s="718"/>
      <c r="BG217" s="716"/>
      <c r="BH217" s="723"/>
      <c r="BI217" s="718"/>
      <c r="BJ217" s="716"/>
      <c r="BK217" s="723"/>
      <c r="BL217" s="718"/>
      <c r="BM217" s="716"/>
      <c r="BN217" s="723"/>
      <c r="BO217" s="718"/>
      <c r="BP217" s="716"/>
      <c r="BQ217" s="715"/>
      <c r="BR217" s="715"/>
      <c r="BS217" s="715"/>
      <c r="BT217" s="715"/>
      <c r="BU217" s="715"/>
      <c r="BV217" s="715"/>
      <c r="BW217" s="715"/>
      <c r="BX217" s="718"/>
      <c r="BY217" s="718"/>
      <c r="BZ217" s="718"/>
      <c r="CA217" s="715"/>
      <c r="CB217" s="718"/>
      <c r="CC217" s="718"/>
      <c r="CD217" s="718"/>
      <c r="CE217" s="718"/>
      <c r="CF217" s="327"/>
    </row>
    <row r="218" spans="1:143" ht="14.5" outlineLevel="1" x14ac:dyDescent="0.35">
      <c r="A218" s="436"/>
      <c r="B218" s="433">
        <v>94</v>
      </c>
      <c r="C218" s="434" t="s">
        <v>1122</v>
      </c>
      <c r="D218" s="340" t="s">
        <v>240</v>
      </c>
      <c r="E218" s="340" t="s">
        <v>241</v>
      </c>
      <c r="F218" s="340" t="s">
        <v>260</v>
      </c>
      <c r="G218" s="345">
        <v>1165.52</v>
      </c>
      <c r="H218" s="461">
        <v>1352</v>
      </c>
      <c r="I218" s="696" t="s">
        <v>1019</v>
      </c>
      <c r="J218" s="697"/>
      <c r="K218" s="697"/>
      <c r="L218" s="697"/>
      <c r="M218" s="697"/>
      <c r="N218" s="697"/>
      <c r="O218" s="697"/>
      <c r="P218" s="706"/>
      <c r="Q218" s="699"/>
      <c r="R218" s="697"/>
      <c r="S218" s="703"/>
      <c r="T218" s="699"/>
      <c r="U218" s="697"/>
      <c r="V218" s="703"/>
      <c r="W218" s="699"/>
      <c r="X218" s="697"/>
      <c r="Y218" s="703"/>
      <c r="Z218" s="699"/>
      <c r="AA218" s="697"/>
      <c r="AB218" s="703"/>
      <c r="AC218" s="699"/>
      <c r="AD218" s="697"/>
      <c r="AE218" s="696"/>
      <c r="AF218" s="696"/>
      <c r="AG218" s="696"/>
      <c r="AH218" s="696"/>
      <c r="AI218" s="696"/>
      <c r="AJ218" s="696"/>
      <c r="AK218" s="696" t="s">
        <v>1018</v>
      </c>
      <c r="AL218" s="699"/>
      <c r="AM218" s="699"/>
      <c r="AN218" s="699"/>
      <c r="AO218" s="696" t="s">
        <v>1018</v>
      </c>
      <c r="AP218" s="699"/>
      <c r="AQ218" s="699"/>
      <c r="AR218" s="699"/>
      <c r="AS218" s="710"/>
      <c r="AT218" s="711"/>
      <c r="AU218" s="715"/>
      <c r="AV218" s="716"/>
      <c r="AW218" s="716"/>
      <c r="AX218" s="716"/>
      <c r="AY218" s="716"/>
      <c r="AZ218" s="716"/>
      <c r="BA218" s="716"/>
      <c r="BB218" s="727"/>
      <c r="BC218" s="718"/>
      <c r="BD218" s="716"/>
      <c r="BE218" s="723"/>
      <c r="BF218" s="718"/>
      <c r="BG218" s="716"/>
      <c r="BH218" s="723"/>
      <c r="BI218" s="718"/>
      <c r="BJ218" s="716"/>
      <c r="BK218" s="723"/>
      <c r="BL218" s="718"/>
      <c r="BM218" s="716"/>
      <c r="BN218" s="723"/>
      <c r="BO218" s="718"/>
      <c r="BP218" s="716"/>
      <c r="BQ218" s="715"/>
      <c r="BR218" s="715"/>
      <c r="BS218" s="715"/>
      <c r="BT218" s="715"/>
      <c r="BU218" s="715"/>
      <c r="BV218" s="715"/>
      <c r="BW218" s="715"/>
      <c r="BX218" s="718"/>
      <c r="BY218" s="718"/>
      <c r="BZ218" s="718"/>
      <c r="CA218" s="715"/>
      <c r="CB218" s="718"/>
      <c r="CC218" s="718"/>
      <c r="CD218" s="718"/>
      <c r="CE218" s="718"/>
      <c r="CF218" s="327"/>
    </row>
    <row r="219" spans="1:143" ht="14.5" outlineLevel="1" x14ac:dyDescent="0.35">
      <c r="A219" s="436"/>
      <c r="B219" s="433">
        <v>95</v>
      </c>
      <c r="C219" s="434" t="s">
        <v>1123</v>
      </c>
      <c r="D219" s="340" t="s">
        <v>240</v>
      </c>
      <c r="E219" s="340" t="s">
        <v>241</v>
      </c>
      <c r="F219" s="340" t="s">
        <v>260</v>
      </c>
      <c r="G219" s="345">
        <v>1118.0999999999999</v>
      </c>
      <c r="H219" s="461">
        <v>1297</v>
      </c>
      <c r="I219" s="696" t="s">
        <v>1019</v>
      </c>
      <c r="J219" s="697"/>
      <c r="K219" s="697"/>
      <c r="L219" s="697"/>
      <c r="M219" s="690"/>
      <c r="N219" s="699"/>
      <c r="O219" s="697"/>
      <c r="P219" s="697"/>
      <c r="Q219" s="697"/>
      <c r="R219" s="697"/>
      <c r="S219" s="703"/>
      <c r="T219" s="699"/>
      <c r="U219" s="697"/>
      <c r="V219" s="703"/>
      <c r="W219" s="699"/>
      <c r="X219" s="697"/>
      <c r="Y219" s="703"/>
      <c r="Z219" s="699"/>
      <c r="AA219" s="697"/>
      <c r="AB219" s="703"/>
      <c r="AC219" s="699"/>
      <c r="AD219" s="697"/>
      <c r="AE219" s="696"/>
      <c r="AF219" s="696"/>
      <c r="AG219" s="696"/>
      <c r="AH219" s="696"/>
      <c r="AI219" s="696"/>
      <c r="AJ219" s="696"/>
      <c r="AK219" s="696" t="s">
        <v>1018</v>
      </c>
      <c r="AL219" s="699"/>
      <c r="AM219" s="699"/>
      <c r="AN219" s="699"/>
      <c r="AO219" s="696" t="s">
        <v>1018</v>
      </c>
      <c r="AP219" s="699"/>
      <c r="AQ219" s="699"/>
      <c r="AR219" s="699"/>
      <c r="AS219" s="710"/>
      <c r="AT219" s="711"/>
      <c r="AU219" s="715"/>
      <c r="AV219" s="716"/>
      <c r="AW219" s="716"/>
      <c r="AX219" s="716"/>
      <c r="AY219" s="725"/>
      <c r="AZ219" s="718"/>
      <c r="BA219" s="716"/>
      <c r="BB219" s="716"/>
      <c r="BC219" s="716"/>
      <c r="BD219" s="716"/>
      <c r="BE219" s="723"/>
      <c r="BF219" s="718"/>
      <c r="BG219" s="716"/>
      <c r="BH219" s="723"/>
      <c r="BI219" s="718"/>
      <c r="BJ219" s="716"/>
      <c r="BK219" s="723"/>
      <c r="BL219" s="718"/>
      <c r="BM219" s="716"/>
      <c r="BN219" s="723"/>
      <c r="BO219" s="718"/>
      <c r="BP219" s="716"/>
      <c r="BQ219" s="715"/>
      <c r="BR219" s="715"/>
      <c r="BS219" s="715"/>
      <c r="BT219" s="715"/>
      <c r="BU219" s="715"/>
      <c r="BV219" s="715"/>
      <c r="BW219" s="715"/>
      <c r="BX219" s="718"/>
      <c r="BY219" s="718"/>
      <c r="BZ219" s="718"/>
      <c r="CA219" s="715"/>
      <c r="CB219" s="718"/>
      <c r="CC219" s="718"/>
      <c r="CD219" s="718"/>
      <c r="CE219" s="718"/>
      <c r="CF219" s="327"/>
    </row>
    <row r="220" spans="1:143" ht="14.5" outlineLevel="1" x14ac:dyDescent="0.35">
      <c r="A220" s="436"/>
      <c r="B220" s="433">
        <v>96</v>
      </c>
      <c r="C220" s="507" t="s">
        <v>1124</v>
      </c>
      <c r="D220" s="340" t="s">
        <v>242</v>
      </c>
      <c r="E220" s="340" t="s">
        <v>243</v>
      </c>
      <c r="F220" s="340" t="s">
        <v>260</v>
      </c>
      <c r="G220" s="508" t="s">
        <v>1125</v>
      </c>
      <c r="H220" s="509" t="s">
        <v>1126</v>
      </c>
      <c r="I220" s="696" t="s">
        <v>1018</v>
      </c>
      <c r="J220" s="697"/>
      <c r="K220" s="697"/>
      <c r="L220" s="697"/>
      <c r="M220" s="697"/>
      <c r="N220" s="697"/>
      <c r="O220" s="697"/>
      <c r="P220" s="697"/>
      <c r="Q220" s="697"/>
      <c r="R220" s="697"/>
      <c r="S220" s="697"/>
      <c r="T220" s="697"/>
      <c r="U220" s="697"/>
      <c r="V220" s="697"/>
      <c r="W220" s="697"/>
      <c r="X220" s="697"/>
      <c r="Y220" s="697"/>
      <c r="Z220" s="697"/>
      <c r="AA220" s="697"/>
      <c r="AB220" s="697"/>
      <c r="AC220" s="697"/>
      <c r="AD220" s="697"/>
      <c r="AE220" s="696"/>
      <c r="AF220" s="696"/>
      <c r="AG220" s="696"/>
      <c r="AH220" s="696"/>
      <c r="AI220" s="696"/>
      <c r="AJ220" s="696"/>
      <c r="AK220" s="696" t="s">
        <v>1018</v>
      </c>
      <c r="AL220" s="699"/>
      <c r="AM220" s="699"/>
      <c r="AN220" s="699"/>
      <c r="AO220" s="708" t="s">
        <v>1018</v>
      </c>
      <c r="AP220" s="699"/>
      <c r="AQ220" s="699"/>
      <c r="AR220" s="699"/>
      <c r="AS220" s="710"/>
      <c r="AT220" s="711"/>
      <c r="AU220" s="715"/>
      <c r="AV220" s="716"/>
      <c r="AW220" s="716"/>
      <c r="AX220" s="716"/>
      <c r="AY220" s="716"/>
      <c r="AZ220" s="716"/>
      <c r="BA220" s="716"/>
      <c r="BB220" s="716"/>
      <c r="BC220" s="716"/>
      <c r="BD220" s="716"/>
      <c r="BE220" s="716"/>
      <c r="BF220" s="716"/>
      <c r="BG220" s="716"/>
      <c r="BH220" s="716"/>
      <c r="BI220" s="716"/>
      <c r="BJ220" s="716"/>
      <c r="BK220" s="716"/>
      <c r="BL220" s="716"/>
      <c r="BM220" s="716"/>
      <c r="BN220" s="716"/>
      <c r="BO220" s="716"/>
      <c r="BP220" s="716"/>
      <c r="BQ220" s="715"/>
      <c r="BR220" s="715"/>
      <c r="BS220" s="715"/>
      <c r="BT220" s="715"/>
      <c r="BU220" s="715"/>
      <c r="BV220" s="715"/>
      <c r="BW220" s="715"/>
      <c r="BX220" s="718"/>
      <c r="BY220" s="718"/>
      <c r="BZ220" s="718"/>
      <c r="CA220" s="729"/>
      <c r="CB220" s="718"/>
      <c r="CC220" s="718"/>
      <c r="CD220" s="718"/>
      <c r="CE220" s="718"/>
      <c r="CF220" s="327"/>
    </row>
    <row r="221" spans="1:143" ht="14.5" outlineLevel="1" x14ac:dyDescent="0.35">
      <c r="A221" s="436"/>
      <c r="B221" s="433">
        <v>97</v>
      </c>
      <c r="C221" s="277" t="s">
        <v>818</v>
      </c>
      <c r="D221" s="340" t="s">
        <v>242</v>
      </c>
      <c r="E221" s="340" t="s">
        <v>243</v>
      </c>
      <c r="F221" s="340" t="s">
        <v>260</v>
      </c>
      <c r="G221" s="345">
        <v>679.07</v>
      </c>
      <c r="H221" s="461">
        <v>799</v>
      </c>
      <c r="I221" s="696" t="s">
        <v>1018</v>
      </c>
      <c r="J221" s="697"/>
      <c r="K221" s="697"/>
      <c r="L221" s="697"/>
      <c r="M221" s="697"/>
      <c r="N221" s="697"/>
      <c r="O221" s="697"/>
      <c r="P221" s="697"/>
      <c r="Q221" s="697"/>
      <c r="R221" s="697"/>
      <c r="S221" s="697"/>
      <c r="T221" s="697"/>
      <c r="U221" s="697"/>
      <c r="V221" s="697"/>
      <c r="W221" s="697"/>
      <c r="X221" s="697"/>
      <c r="Y221" s="697"/>
      <c r="Z221" s="697"/>
      <c r="AA221" s="697"/>
      <c r="AB221" s="697"/>
      <c r="AC221" s="697"/>
      <c r="AD221" s="697"/>
      <c r="AE221" s="696"/>
      <c r="AF221" s="696"/>
      <c r="AG221" s="696"/>
      <c r="AH221" s="696"/>
      <c r="AI221" s="696"/>
      <c r="AJ221" s="696"/>
      <c r="AK221" s="696" t="s">
        <v>1018</v>
      </c>
      <c r="AL221" s="699"/>
      <c r="AM221" s="699"/>
      <c r="AN221" s="699"/>
      <c r="AO221" s="708" t="s">
        <v>1040</v>
      </c>
      <c r="AP221" s="699"/>
      <c r="AQ221" s="699"/>
      <c r="AR221" s="699"/>
      <c r="AS221" s="714"/>
      <c r="AT221" s="711"/>
      <c r="AU221" s="715"/>
      <c r="AV221" s="716"/>
      <c r="AW221" s="716"/>
      <c r="AX221" s="716"/>
      <c r="AY221" s="716"/>
      <c r="AZ221" s="716"/>
      <c r="BA221" s="716"/>
      <c r="BB221" s="716"/>
      <c r="BC221" s="716"/>
      <c r="BD221" s="716"/>
      <c r="BE221" s="716"/>
      <c r="BF221" s="716"/>
      <c r="BG221" s="716"/>
      <c r="BH221" s="716"/>
      <c r="BI221" s="716"/>
      <c r="BJ221" s="716"/>
      <c r="BK221" s="716"/>
      <c r="BL221" s="716"/>
      <c r="BM221" s="716"/>
      <c r="BN221" s="716"/>
      <c r="BO221" s="716"/>
      <c r="BP221" s="716"/>
      <c r="BQ221" s="715"/>
      <c r="BR221" s="715"/>
      <c r="BS221" s="715"/>
      <c r="BT221" s="715"/>
      <c r="BU221" s="715"/>
      <c r="BV221" s="715"/>
      <c r="BW221" s="715"/>
      <c r="BX221" s="718"/>
      <c r="BY221" s="718"/>
      <c r="BZ221" s="718"/>
      <c r="CA221" s="729"/>
      <c r="CB221" s="718"/>
      <c r="CC221" s="718"/>
      <c r="CD221" s="718"/>
      <c r="CE221" s="732"/>
      <c r="CF221" s="327"/>
    </row>
    <row r="222" spans="1:143" ht="14.5" outlineLevel="1" x14ac:dyDescent="0.35">
      <c r="A222" s="436"/>
      <c r="B222" s="433">
        <v>98</v>
      </c>
      <c r="C222" s="277" t="s">
        <v>1043</v>
      </c>
      <c r="D222" s="340" t="s">
        <v>242</v>
      </c>
      <c r="E222" s="340" t="s">
        <v>243</v>
      </c>
      <c r="F222" s="340" t="s">
        <v>260</v>
      </c>
      <c r="G222" s="345">
        <v>933.26</v>
      </c>
      <c r="H222" s="461">
        <v>1098.9992</v>
      </c>
      <c r="I222" s="696" t="s">
        <v>1018</v>
      </c>
      <c r="J222" s="697"/>
      <c r="K222" s="697"/>
      <c r="L222" s="697"/>
      <c r="M222" s="697"/>
      <c r="N222" s="697"/>
      <c r="O222" s="697"/>
      <c r="P222" s="697"/>
      <c r="Q222" s="697"/>
      <c r="R222" s="697"/>
      <c r="S222" s="697"/>
      <c r="T222" s="697"/>
      <c r="U222" s="697"/>
      <c r="V222" s="697"/>
      <c r="W222" s="697"/>
      <c r="X222" s="697"/>
      <c r="Y222" s="697"/>
      <c r="Z222" s="697"/>
      <c r="AA222" s="697"/>
      <c r="AB222" s="697"/>
      <c r="AC222" s="697"/>
      <c r="AD222" s="697"/>
      <c r="AE222" s="696"/>
      <c r="AF222" s="696"/>
      <c r="AG222" s="696"/>
      <c r="AH222" s="696"/>
      <c r="AI222" s="696"/>
      <c r="AJ222" s="696"/>
      <c r="AK222" s="696" t="s">
        <v>1018</v>
      </c>
      <c r="AL222" s="699"/>
      <c r="AM222" s="699"/>
      <c r="AN222" s="699"/>
      <c r="AO222" s="708" t="s">
        <v>1040</v>
      </c>
      <c r="AP222" s="699"/>
      <c r="AQ222" s="699"/>
      <c r="AR222" s="699"/>
      <c r="AS222" s="714"/>
      <c r="AT222" s="711"/>
      <c r="AU222" s="715"/>
      <c r="AV222" s="716"/>
      <c r="AW222" s="716"/>
      <c r="AX222" s="716"/>
      <c r="AY222" s="716"/>
      <c r="AZ222" s="716"/>
      <c r="BA222" s="716"/>
      <c r="BB222" s="716"/>
      <c r="BC222" s="716"/>
      <c r="BD222" s="716"/>
      <c r="BE222" s="716"/>
      <c r="BF222" s="716"/>
      <c r="BG222" s="716"/>
      <c r="BH222" s="716"/>
      <c r="BI222" s="716"/>
      <c r="BJ222" s="716"/>
      <c r="BK222" s="716"/>
      <c r="BL222" s="716"/>
      <c r="BM222" s="716"/>
      <c r="BN222" s="716"/>
      <c r="BO222" s="716"/>
      <c r="BP222" s="716"/>
      <c r="BQ222" s="715"/>
      <c r="BR222" s="715"/>
      <c r="BS222" s="715"/>
      <c r="BT222" s="715"/>
      <c r="BU222" s="715"/>
      <c r="BV222" s="715"/>
      <c r="BW222" s="715"/>
      <c r="BX222" s="718"/>
      <c r="BY222" s="718"/>
      <c r="BZ222" s="718"/>
      <c r="CA222" s="729"/>
      <c r="CB222" s="718"/>
      <c r="CC222" s="718"/>
      <c r="CD222" s="718"/>
      <c r="CE222" s="732"/>
      <c r="CF222" s="327"/>
    </row>
    <row r="223" spans="1:143" ht="14.5" outlineLevel="1" x14ac:dyDescent="0.35">
      <c r="A223" s="436"/>
      <c r="B223" s="433">
        <v>99</v>
      </c>
      <c r="C223" s="277" t="s">
        <v>844</v>
      </c>
      <c r="D223" s="340" t="s">
        <v>242</v>
      </c>
      <c r="E223" s="340" t="s">
        <v>243</v>
      </c>
      <c r="F223" s="340" t="s">
        <v>260</v>
      </c>
      <c r="G223" s="461">
        <v>1647.04</v>
      </c>
      <c r="H223" s="461">
        <v>1936.0028</v>
      </c>
      <c r="I223" s="696" t="s">
        <v>1018</v>
      </c>
      <c r="J223" s="697"/>
      <c r="K223" s="697"/>
      <c r="L223" s="697"/>
      <c r="M223" s="697"/>
      <c r="N223" s="697"/>
      <c r="O223" s="697"/>
      <c r="P223" s="697"/>
      <c r="Q223" s="697"/>
      <c r="R223" s="697"/>
      <c r="S223" s="697"/>
      <c r="T223" s="697"/>
      <c r="U223" s="697"/>
      <c r="V223" s="697"/>
      <c r="W223" s="697"/>
      <c r="X223" s="697"/>
      <c r="Y223" s="697"/>
      <c r="Z223" s="697"/>
      <c r="AA223" s="697"/>
      <c r="AB223" s="697"/>
      <c r="AC223" s="697"/>
      <c r="AD223" s="697"/>
      <c r="AE223" s="696"/>
      <c r="AF223" s="696"/>
      <c r="AG223" s="696"/>
      <c r="AH223" s="696"/>
      <c r="AI223" s="696"/>
      <c r="AJ223" s="696"/>
      <c r="AK223" s="696" t="s">
        <v>1018</v>
      </c>
      <c r="AL223" s="699"/>
      <c r="AM223" s="699"/>
      <c r="AN223" s="699"/>
      <c r="AO223" s="708" t="s">
        <v>1040</v>
      </c>
      <c r="AP223" s="699"/>
      <c r="AQ223" s="699"/>
      <c r="AR223" s="699"/>
      <c r="AS223" s="714"/>
      <c r="AT223" s="711"/>
      <c r="AU223" s="715"/>
      <c r="AV223" s="716"/>
      <c r="AW223" s="716"/>
      <c r="AX223" s="716"/>
      <c r="AY223" s="716"/>
      <c r="AZ223" s="716"/>
      <c r="BA223" s="716"/>
      <c r="BB223" s="716"/>
      <c r="BC223" s="716"/>
      <c r="BD223" s="716"/>
      <c r="BE223" s="716"/>
      <c r="BF223" s="716"/>
      <c r="BG223" s="716"/>
      <c r="BH223" s="716"/>
      <c r="BI223" s="716"/>
      <c r="BJ223" s="716"/>
      <c r="BK223" s="716"/>
      <c r="BL223" s="716"/>
      <c r="BM223" s="716"/>
      <c r="BN223" s="716"/>
      <c r="BO223" s="716"/>
      <c r="BP223" s="716"/>
      <c r="BQ223" s="715"/>
      <c r="BR223" s="715"/>
      <c r="BS223" s="715"/>
      <c r="BT223" s="715"/>
      <c r="BU223" s="715"/>
      <c r="BV223" s="715"/>
      <c r="BW223" s="715"/>
      <c r="BX223" s="718"/>
      <c r="BY223" s="718"/>
      <c r="BZ223" s="718"/>
      <c r="CA223" s="729"/>
      <c r="CB223" s="718"/>
      <c r="CC223" s="718"/>
      <c r="CD223" s="718"/>
      <c r="CE223" s="732"/>
      <c r="CF223" s="327"/>
    </row>
    <row r="224" spans="1:143" ht="14.5" outlineLevel="1" x14ac:dyDescent="0.35">
      <c r="A224" s="436"/>
      <c r="B224" s="433">
        <v>100</v>
      </c>
      <c r="C224" s="277" t="s">
        <v>845</v>
      </c>
      <c r="D224" s="340" t="s">
        <v>242</v>
      </c>
      <c r="E224" s="340" t="s">
        <v>243</v>
      </c>
      <c r="F224" s="340" t="s">
        <v>260</v>
      </c>
      <c r="G224" s="461">
        <v>1935</v>
      </c>
      <c r="H224" s="461">
        <v>2275.9987999999998</v>
      </c>
      <c r="I224" s="696" t="s">
        <v>1018</v>
      </c>
      <c r="J224" s="697"/>
      <c r="K224" s="697"/>
      <c r="L224" s="697"/>
      <c r="M224" s="697"/>
      <c r="N224" s="697"/>
      <c r="O224" s="697"/>
      <c r="P224" s="697"/>
      <c r="Q224" s="697"/>
      <c r="R224" s="697"/>
      <c r="S224" s="697"/>
      <c r="T224" s="697"/>
      <c r="U224" s="697"/>
      <c r="V224" s="697"/>
      <c r="W224" s="697"/>
      <c r="X224" s="697"/>
      <c r="Y224" s="697"/>
      <c r="Z224" s="697"/>
      <c r="AA224" s="697"/>
      <c r="AB224" s="697"/>
      <c r="AC224" s="697"/>
      <c r="AD224" s="697"/>
      <c r="AE224" s="696"/>
      <c r="AF224" s="696"/>
      <c r="AG224" s="696"/>
      <c r="AH224" s="696"/>
      <c r="AI224" s="696"/>
      <c r="AJ224" s="696"/>
      <c r="AK224" s="696" t="s">
        <v>1018</v>
      </c>
      <c r="AL224" s="699"/>
      <c r="AM224" s="699"/>
      <c r="AN224" s="699"/>
      <c r="AO224" s="708" t="s">
        <v>1040</v>
      </c>
      <c r="AP224" s="699"/>
      <c r="AQ224" s="699"/>
      <c r="AR224" s="699"/>
      <c r="AS224" s="714"/>
      <c r="AT224" s="711"/>
      <c r="AU224" s="715"/>
      <c r="AV224" s="716"/>
      <c r="AW224" s="716"/>
      <c r="AX224" s="716"/>
      <c r="AY224" s="716"/>
      <c r="AZ224" s="716"/>
      <c r="BA224" s="716"/>
      <c r="BB224" s="716"/>
      <c r="BC224" s="716"/>
      <c r="BD224" s="716"/>
      <c r="BE224" s="716"/>
      <c r="BF224" s="716"/>
      <c r="BG224" s="716"/>
      <c r="BH224" s="716"/>
      <c r="BI224" s="716"/>
      <c r="BJ224" s="716"/>
      <c r="BK224" s="716"/>
      <c r="BL224" s="716"/>
      <c r="BM224" s="716"/>
      <c r="BN224" s="716"/>
      <c r="BO224" s="716"/>
      <c r="BP224" s="716"/>
      <c r="BQ224" s="715"/>
      <c r="BR224" s="715"/>
      <c r="BS224" s="715"/>
      <c r="BT224" s="715"/>
      <c r="BU224" s="715"/>
      <c r="BV224" s="715"/>
      <c r="BW224" s="715"/>
      <c r="BX224" s="718"/>
      <c r="BY224" s="718"/>
      <c r="BZ224" s="718"/>
      <c r="CA224" s="729"/>
      <c r="CB224" s="718"/>
      <c r="CC224" s="718"/>
      <c r="CD224" s="718"/>
      <c r="CE224" s="732"/>
      <c r="CF224" s="327"/>
    </row>
    <row r="225" spans="1:84" ht="14.5" outlineLevel="1" x14ac:dyDescent="0.35">
      <c r="A225" s="436"/>
      <c r="B225" s="433">
        <v>101</v>
      </c>
      <c r="C225" s="277" t="s">
        <v>846</v>
      </c>
      <c r="D225" s="340" t="s">
        <v>242</v>
      </c>
      <c r="E225" s="340" t="s">
        <v>243</v>
      </c>
      <c r="F225" s="340" t="s">
        <v>260</v>
      </c>
      <c r="G225" s="461">
        <v>2400.2600000000002</v>
      </c>
      <c r="H225" s="461">
        <v>2826.0047999999997</v>
      </c>
      <c r="I225" s="696" t="s">
        <v>1018</v>
      </c>
      <c r="J225" s="697"/>
      <c r="K225" s="697"/>
      <c r="L225" s="697"/>
      <c r="M225" s="697"/>
      <c r="N225" s="697"/>
      <c r="O225" s="697"/>
      <c r="P225" s="697"/>
      <c r="Q225" s="697"/>
      <c r="R225" s="697"/>
      <c r="S225" s="697"/>
      <c r="T225" s="697"/>
      <c r="U225" s="697"/>
      <c r="V225" s="697"/>
      <c r="W225" s="697"/>
      <c r="X225" s="697"/>
      <c r="Y225" s="697"/>
      <c r="Z225" s="697"/>
      <c r="AA225" s="697"/>
      <c r="AB225" s="697"/>
      <c r="AC225" s="697"/>
      <c r="AD225" s="697"/>
      <c r="AE225" s="696"/>
      <c r="AF225" s="696"/>
      <c r="AG225" s="696"/>
      <c r="AH225" s="696"/>
      <c r="AI225" s="696"/>
      <c r="AJ225" s="696"/>
      <c r="AK225" s="696" t="s">
        <v>1018</v>
      </c>
      <c r="AL225" s="699"/>
      <c r="AM225" s="699"/>
      <c r="AN225" s="699"/>
      <c r="AO225" s="708" t="s">
        <v>1040</v>
      </c>
      <c r="AP225" s="699"/>
      <c r="AQ225" s="699"/>
      <c r="AR225" s="699"/>
      <c r="AS225" s="714"/>
      <c r="AT225" s="711"/>
      <c r="AU225" s="715"/>
      <c r="AV225" s="716"/>
      <c r="AW225" s="716"/>
      <c r="AX225" s="716"/>
      <c r="AY225" s="716"/>
      <c r="AZ225" s="716"/>
      <c r="BA225" s="716"/>
      <c r="BB225" s="716"/>
      <c r="BC225" s="716"/>
      <c r="BD225" s="716"/>
      <c r="BE225" s="716"/>
      <c r="BF225" s="716"/>
      <c r="BG225" s="716"/>
      <c r="BH225" s="716"/>
      <c r="BI225" s="716"/>
      <c r="BJ225" s="716"/>
      <c r="BK225" s="716"/>
      <c r="BL225" s="716"/>
      <c r="BM225" s="716"/>
      <c r="BN225" s="716"/>
      <c r="BO225" s="716"/>
      <c r="BP225" s="716"/>
      <c r="BQ225" s="715"/>
      <c r="BR225" s="715"/>
      <c r="BS225" s="715"/>
      <c r="BT225" s="715"/>
      <c r="BU225" s="715"/>
      <c r="BV225" s="715"/>
      <c r="BW225" s="715"/>
      <c r="BX225" s="718"/>
      <c r="BY225" s="718"/>
      <c r="BZ225" s="718"/>
      <c r="CA225" s="729"/>
      <c r="CB225" s="718"/>
      <c r="CC225" s="718"/>
      <c r="CD225" s="718"/>
      <c r="CE225" s="732"/>
      <c r="CF225" s="327"/>
    </row>
    <row r="226" spans="1:84" ht="14.5" outlineLevel="1" x14ac:dyDescent="0.35">
      <c r="A226" s="436"/>
      <c r="B226" s="433">
        <v>102</v>
      </c>
      <c r="C226" s="277" t="s">
        <v>1127</v>
      </c>
      <c r="D226" s="340" t="s">
        <v>242</v>
      </c>
      <c r="E226" s="340" t="s">
        <v>243</v>
      </c>
      <c r="F226" s="340" t="s">
        <v>260</v>
      </c>
      <c r="G226" s="508" t="s">
        <v>1128</v>
      </c>
      <c r="H226" s="509" t="s">
        <v>1129</v>
      </c>
      <c r="I226" s="696" t="s">
        <v>1018</v>
      </c>
      <c r="J226" s="697"/>
      <c r="K226" s="697"/>
      <c r="L226" s="697"/>
      <c r="M226" s="697"/>
      <c r="N226" s="697"/>
      <c r="O226" s="697"/>
      <c r="P226" s="697"/>
      <c r="Q226" s="697"/>
      <c r="R226" s="697"/>
      <c r="S226" s="697"/>
      <c r="T226" s="697"/>
      <c r="U226" s="697"/>
      <c r="V226" s="697"/>
      <c r="W226" s="697"/>
      <c r="X226" s="697"/>
      <c r="Y226" s="697"/>
      <c r="Z226" s="697"/>
      <c r="AA226" s="697"/>
      <c r="AB226" s="697"/>
      <c r="AC226" s="697"/>
      <c r="AD226" s="697"/>
      <c r="AE226" s="696"/>
      <c r="AF226" s="696"/>
      <c r="AG226" s="696"/>
      <c r="AH226" s="696"/>
      <c r="AI226" s="696"/>
      <c r="AJ226" s="696"/>
      <c r="AK226" s="696" t="s">
        <v>1018</v>
      </c>
      <c r="AL226" s="699"/>
      <c r="AM226" s="699"/>
      <c r="AN226" s="699"/>
      <c r="AO226" s="708" t="s">
        <v>1040</v>
      </c>
      <c r="AP226" s="699"/>
      <c r="AQ226" s="699"/>
      <c r="AR226" s="699"/>
      <c r="AS226" s="714"/>
      <c r="AT226" s="711"/>
      <c r="AU226" s="715"/>
      <c r="AV226" s="716"/>
      <c r="AW226" s="716"/>
      <c r="AX226" s="716"/>
      <c r="AY226" s="716"/>
      <c r="AZ226" s="716"/>
      <c r="BA226" s="716"/>
      <c r="BB226" s="716"/>
      <c r="BC226" s="716"/>
      <c r="BD226" s="716"/>
      <c r="BE226" s="716"/>
      <c r="BF226" s="716"/>
      <c r="BG226" s="716"/>
      <c r="BH226" s="716"/>
      <c r="BI226" s="716"/>
      <c r="BJ226" s="716"/>
      <c r="BK226" s="716"/>
      <c r="BL226" s="716"/>
      <c r="BM226" s="716"/>
      <c r="BN226" s="716"/>
      <c r="BO226" s="716"/>
      <c r="BP226" s="716"/>
      <c r="BQ226" s="715"/>
      <c r="BR226" s="715"/>
      <c r="BS226" s="715"/>
      <c r="BT226" s="715"/>
      <c r="BU226" s="715"/>
      <c r="BV226" s="715"/>
      <c r="BW226" s="715"/>
      <c r="BX226" s="718"/>
      <c r="BY226" s="718"/>
      <c r="BZ226" s="718"/>
      <c r="CA226" s="729"/>
      <c r="CB226" s="718"/>
      <c r="CC226" s="718"/>
      <c r="CD226" s="718"/>
      <c r="CE226" s="732"/>
      <c r="CF226" s="327"/>
    </row>
    <row r="227" spans="1:84" ht="14.5" outlineLevel="1" x14ac:dyDescent="0.35">
      <c r="A227" s="436"/>
      <c r="B227" s="433">
        <v>103</v>
      </c>
      <c r="C227" s="277" t="s">
        <v>1130</v>
      </c>
      <c r="D227" s="340" t="s">
        <v>242</v>
      </c>
      <c r="E227" s="340" t="s">
        <v>243</v>
      </c>
      <c r="F227" s="340" t="s">
        <v>260</v>
      </c>
      <c r="G227" s="508" t="s">
        <v>1131</v>
      </c>
      <c r="H227" s="509" t="s">
        <v>1132</v>
      </c>
      <c r="I227" s="696" t="s">
        <v>1018</v>
      </c>
      <c r="J227" s="697"/>
      <c r="K227" s="697"/>
      <c r="L227" s="697"/>
      <c r="M227" s="697"/>
      <c r="N227" s="697"/>
      <c r="O227" s="697"/>
      <c r="P227" s="697"/>
      <c r="Q227" s="697"/>
      <c r="R227" s="697"/>
      <c r="S227" s="697"/>
      <c r="T227" s="697"/>
      <c r="U227" s="697"/>
      <c r="V227" s="697"/>
      <c r="W227" s="697"/>
      <c r="X227" s="697"/>
      <c r="Y227" s="697"/>
      <c r="Z227" s="697"/>
      <c r="AA227" s="697"/>
      <c r="AB227" s="697"/>
      <c r="AC227" s="697"/>
      <c r="AD227" s="697"/>
      <c r="AE227" s="696"/>
      <c r="AF227" s="696"/>
      <c r="AG227" s="696"/>
      <c r="AH227" s="696"/>
      <c r="AI227" s="696"/>
      <c r="AJ227" s="696"/>
      <c r="AK227" s="696" t="s">
        <v>1018</v>
      </c>
      <c r="AL227" s="699"/>
      <c r="AM227" s="699"/>
      <c r="AN227" s="699"/>
      <c r="AO227" s="708" t="s">
        <v>1040</v>
      </c>
      <c r="AP227" s="699"/>
      <c r="AQ227" s="699"/>
      <c r="AR227" s="699"/>
      <c r="AS227" s="714"/>
      <c r="AT227" s="711"/>
      <c r="AU227" s="715"/>
      <c r="AV227" s="716"/>
      <c r="AW227" s="716"/>
      <c r="AX227" s="716"/>
      <c r="AY227" s="716"/>
      <c r="AZ227" s="716"/>
      <c r="BA227" s="716"/>
      <c r="BB227" s="716"/>
      <c r="BC227" s="716"/>
      <c r="BD227" s="716"/>
      <c r="BE227" s="716"/>
      <c r="BF227" s="716"/>
      <c r="BG227" s="716"/>
      <c r="BH227" s="716"/>
      <c r="BI227" s="716"/>
      <c r="BJ227" s="716"/>
      <c r="BK227" s="716"/>
      <c r="BL227" s="716"/>
      <c r="BM227" s="716"/>
      <c r="BN227" s="716"/>
      <c r="BO227" s="716"/>
      <c r="BP227" s="716"/>
      <c r="BQ227" s="715"/>
      <c r="BR227" s="715"/>
      <c r="BS227" s="715"/>
      <c r="BT227" s="715"/>
      <c r="BU227" s="715"/>
      <c r="BV227" s="715"/>
      <c r="BW227" s="715"/>
      <c r="BX227" s="718"/>
      <c r="BY227" s="718"/>
      <c r="BZ227" s="718"/>
      <c r="CA227" s="729"/>
      <c r="CB227" s="718"/>
      <c r="CC227" s="718"/>
      <c r="CD227" s="718"/>
      <c r="CE227" s="732"/>
      <c r="CF227" s="327"/>
    </row>
    <row r="228" spans="1:84" ht="14.5" outlineLevel="1" x14ac:dyDescent="0.35">
      <c r="A228" s="436"/>
      <c r="B228" s="433">
        <v>104</v>
      </c>
      <c r="C228" s="277" t="s">
        <v>1133</v>
      </c>
      <c r="D228" s="340" t="s">
        <v>242</v>
      </c>
      <c r="E228" s="340" t="s">
        <v>243</v>
      </c>
      <c r="F228" s="340" t="s">
        <v>260</v>
      </c>
      <c r="G228" s="508" t="s">
        <v>1134</v>
      </c>
      <c r="H228" s="509" t="s">
        <v>1135</v>
      </c>
      <c r="I228" s="696" t="s">
        <v>1018</v>
      </c>
      <c r="J228" s="697"/>
      <c r="K228" s="697"/>
      <c r="L228" s="697"/>
      <c r="M228" s="697"/>
      <c r="N228" s="697"/>
      <c r="O228" s="697"/>
      <c r="P228" s="697"/>
      <c r="Q228" s="697"/>
      <c r="R228" s="697"/>
      <c r="S228" s="697"/>
      <c r="T228" s="697"/>
      <c r="U228" s="697"/>
      <c r="V228" s="697"/>
      <c r="W228" s="697"/>
      <c r="X228" s="697"/>
      <c r="Y228" s="697"/>
      <c r="Z228" s="697"/>
      <c r="AA228" s="697"/>
      <c r="AB228" s="697"/>
      <c r="AC228" s="697"/>
      <c r="AD228" s="697"/>
      <c r="AE228" s="696"/>
      <c r="AF228" s="696"/>
      <c r="AG228" s="696"/>
      <c r="AH228" s="696"/>
      <c r="AI228" s="696"/>
      <c r="AJ228" s="696"/>
      <c r="AK228" s="696" t="s">
        <v>1018</v>
      </c>
      <c r="AL228" s="699"/>
      <c r="AM228" s="699"/>
      <c r="AN228" s="699"/>
      <c r="AO228" s="708" t="s">
        <v>1040</v>
      </c>
      <c r="AP228" s="699"/>
      <c r="AQ228" s="699"/>
      <c r="AR228" s="699"/>
      <c r="AS228" s="714"/>
      <c r="AT228" s="711"/>
      <c r="AU228" s="715"/>
      <c r="AV228" s="716"/>
      <c r="AW228" s="716"/>
      <c r="AX228" s="716"/>
      <c r="AY228" s="716"/>
      <c r="AZ228" s="716"/>
      <c r="BA228" s="716"/>
      <c r="BB228" s="716"/>
      <c r="BC228" s="716"/>
      <c r="BD228" s="716"/>
      <c r="BE228" s="716"/>
      <c r="BF228" s="716"/>
      <c r="BG228" s="716"/>
      <c r="BH228" s="716"/>
      <c r="BI228" s="716"/>
      <c r="BJ228" s="716"/>
      <c r="BK228" s="716"/>
      <c r="BL228" s="716"/>
      <c r="BM228" s="716"/>
      <c r="BN228" s="716"/>
      <c r="BO228" s="716"/>
      <c r="BP228" s="716"/>
      <c r="BQ228" s="715"/>
      <c r="BR228" s="715"/>
      <c r="BS228" s="715"/>
      <c r="BT228" s="715"/>
      <c r="BU228" s="715"/>
      <c r="BV228" s="715"/>
      <c r="BW228" s="715"/>
      <c r="BX228" s="718"/>
      <c r="BY228" s="718"/>
      <c r="BZ228" s="718"/>
      <c r="CA228" s="729"/>
      <c r="CB228" s="718"/>
      <c r="CC228" s="718"/>
      <c r="CD228" s="718"/>
      <c r="CE228" s="732"/>
      <c r="CF228" s="327"/>
    </row>
    <row r="229" spans="1:84" ht="14.5" outlineLevel="1" x14ac:dyDescent="0.35">
      <c r="A229" s="436"/>
      <c r="B229" s="433">
        <v>105</v>
      </c>
      <c r="C229" s="277" t="s">
        <v>1047</v>
      </c>
      <c r="D229" s="340" t="s">
        <v>242</v>
      </c>
      <c r="E229" s="340" t="s">
        <v>243</v>
      </c>
      <c r="F229" s="340" t="s">
        <v>260</v>
      </c>
      <c r="G229" s="345">
        <v>843.37</v>
      </c>
      <c r="H229" s="461">
        <v>989</v>
      </c>
      <c r="I229" s="696" t="s">
        <v>1018</v>
      </c>
      <c r="J229" s="697"/>
      <c r="K229" s="697"/>
      <c r="L229" s="697"/>
      <c r="M229" s="697"/>
      <c r="N229" s="697"/>
      <c r="O229" s="697"/>
      <c r="P229" s="697"/>
      <c r="Q229" s="697"/>
      <c r="R229" s="697"/>
      <c r="S229" s="697"/>
      <c r="T229" s="697"/>
      <c r="U229" s="697"/>
      <c r="V229" s="697"/>
      <c r="W229" s="697"/>
      <c r="X229" s="697"/>
      <c r="Y229" s="697"/>
      <c r="Z229" s="697"/>
      <c r="AA229" s="697"/>
      <c r="AB229" s="697"/>
      <c r="AC229" s="697"/>
      <c r="AD229" s="697"/>
      <c r="AE229" s="696"/>
      <c r="AF229" s="696"/>
      <c r="AG229" s="696"/>
      <c r="AH229" s="696"/>
      <c r="AI229" s="696"/>
      <c r="AJ229" s="696"/>
      <c r="AK229" s="696" t="s">
        <v>1018</v>
      </c>
      <c r="AL229" s="699"/>
      <c r="AM229" s="699"/>
      <c r="AN229" s="699"/>
      <c r="AO229" s="708" t="s">
        <v>1040</v>
      </c>
      <c r="AP229" s="699"/>
      <c r="AQ229" s="699"/>
      <c r="AR229" s="699"/>
      <c r="AS229" s="714"/>
      <c r="AT229" s="711"/>
      <c r="AU229" s="715"/>
      <c r="AV229" s="716"/>
      <c r="AW229" s="716"/>
      <c r="AX229" s="716"/>
      <c r="AY229" s="716"/>
      <c r="AZ229" s="716"/>
      <c r="BA229" s="716"/>
      <c r="BB229" s="716"/>
      <c r="BC229" s="716"/>
      <c r="BD229" s="716"/>
      <c r="BE229" s="716"/>
      <c r="BF229" s="716"/>
      <c r="BG229" s="716"/>
      <c r="BH229" s="716"/>
      <c r="BI229" s="716"/>
      <c r="BJ229" s="716"/>
      <c r="BK229" s="716"/>
      <c r="BL229" s="716"/>
      <c r="BM229" s="716"/>
      <c r="BN229" s="716"/>
      <c r="BO229" s="716"/>
      <c r="BP229" s="716"/>
      <c r="BQ229" s="715"/>
      <c r="BR229" s="715"/>
      <c r="BS229" s="715"/>
      <c r="BT229" s="715"/>
      <c r="BU229" s="715"/>
      <c r="BV229" s="715"/>
      <c r="BW229" s="715"/>
      <c r="BX229" s="718"/>
      <c r="BY229" s="718"/>
      <c r="BZ229" s="718"/>
      <c r="CA229" s="729"/>
      <c r="CB229" s="718"/>
      <c r="CC229" s="718"/>
      <c r="CD229" s="718"/>
      <c r="CE229" s="732"/>
      <c r="CF229" s="327"/>
    </row>
    <row r="230" spans="1:84" ht="14.5" outlineLevel="1" x14ac:dyDescent="0.35">
      <c r="A230" s="436"/>
      <c r="B230" s="433">
        <v>106</v>
      </c>
      <c r="C230" s="277" t="s">
        <v>1048</v>
      </c>
      <c r="D230" s="340" t="s">
        <v>242</v>
      </c>
      <c r="E230" s="340" t="s">
        <v>243</v>
      </c>
      <c r="F230" s="340" t="s">
        <v>260</v>
      </c>
      <c r="G230" s="345">
        <v>912.32999999999993</v>
      </c>
      <c r="H230" s="461">
        <v>1069</v>
      </c>
      <c r="I230" s="696" t="s">
        <v>1018</v>
      </c>
      <c r="J230" s="697"/>
      <c r="K230" s="697"/>
      <c r="L230" s="697"/>
      <c r="M230" s="697"/>
      <c r="N230" s="697"/>
      <c r="O230" s="697"/>
      <c r="P230" s="697"/>
      <c r="Q230" s="697"/>
      <c r="R230" s="697"/>
      <c r="S230" s="697"/>
      <c r="T230" s="697"/>
      <c r="U230" s="697"/>
      <c r="V230" s="697"/>
      <c r="W230" s="697"/>
      <c r="X230" s="697"/>
      <c r="Y230" s="697"/>
      <c r="Z230" s="697"/>
      <c r="AA230" s="697"/>
      <c r="AB230" s="697"/>
      <c r="AC230" s="697"/>
      <c r="AD230" s="697"/>
      <c r="AE230" s="696"/>
      <c r="AF230" s="696"/>
      <c r="AG230" s="696"/>
      <c r="AH230" s="696"/>
      <c r="AI230" s="696"/>
      <c r="AJ230" s="696"/>
      <c r="AK230" s="696" t="s">
        <v>1018</v>
      </c>
      <c r="AL230" s="699"/>
      <c r="AM230" s="699"/>
      <c r="AN230" s="699"/>
      <c r="AO230" s="708" t="s">
        <v>1040</v>
      </c>
      <c r="AP230" s="699"/>
      <c r="AQ230" s="699"/>
      <c r="AR230" s="699"/>
      <c r="AS230" s="714"/>
      <c r="AT230" s="711"/>
      <c r="AU230" s="715"/>
      <c r="AV230" s="716"/>
      <c r="AW230" s="716"/>
      <c r="AX230" s="716"/>
      <c r="AY230" s="716"/>
      <c r="AZ230" s="716"/>
      <c r="BA230" s="716"/>
      <c r="BB230" s="716"/>
      <c r="BC230" s="716"/>
      <c r="BD230" s="716"/>
      <c r="BE230" s="716"/>
      <c r="BF230" s="716"/>
      <c r="BG230" s="716"/>
      <c r="BH230" s="716"/>
      <c r="BI230" s="716"/>
      <c r="BJ230" s="716"/>
      <c r="BK230" s="716"/>
      <c r="BL230" s="716"/>
      <c r="BM230" s="716"/>
      <c r="BN230" s="716"/>
      <c r="BO230" s="716"/>
      <c r="BP230" s="716"/>
      <c r="BQ230" s="715"/>
      <c r="BR230" s="715"/>
      <c r="BS230" s="715"/>
      <c r="BT230" s="715"/>
      <c r="BU230" s="715"/>
      <c r="BV230" s="715"/>
      <c r="BW230" s="715"/>
      <c r="BX230" s="718"/>
      <c r="BY230" s="718"/>
      <c r="BZ230" s="718"/>
      <c r="CA230" s="729"/>
      <c r="CB230" s="718"/>
      <c r="CC230" s="718"/>
      <c r="CD230" s="718"/>
      <c r="CE230" s="732"/>
      <c r="CF230" s="327"/>
    </row>
    <row r="231" spans="1:84" ht="14.5" outlineLevel="1" x14ac:dyDescent="0.35">
      <c r="A231" s="436"/>
      <c r="B231" s="433">
        <v>107</v>
      </c>
      <c r="C231" s="277" t="s">
        <v>1049</v>
      </c>
      <c r="D231" s="340" t="s">
        <v>242</v>
      </c>
      <c r="E231" s="340" t="s">
        <v>243</v>
      </c>
      <c r="F231" s="340" t="s">
        <v>260</v>
      </c>
      <c r="G231" s="345">
        <v>1097.55</v>
      </c>
      <c r="H231" s="461">
        <v>1288.9992</v>
      </c>
      <c r="I231" s="696" t="s">
        <v>1018</v>
      </c>
      <c r="J231" s="697"/>
      <c r="K231" s="697"/>
      <c r="L231" s="697"/>
      <c r="M231" s="697"/>
      <c r="N231" s="697"/>
      <c r="O231" s="697"/>
      <c r="P231" s="697"/>
      <c r="Q231" s="697"/>
      <c r="R231" s="697"/>
      <c r="S231" s="697"/>
      <c r="T231" s="697"/>
      <c r="U231" s="697"/>
      <c r="V231" s="697"/>
      <c r="W231" s="697"/>
      <c r="X231" s="697"/>
      <c r="Y231" s="697"/>
      <c r="Z231" s="697"/>
      <c r="AA231" s="697"/>
      <c r="AB231" s="697"/>
      <c r="AC231" s="697"/>
      <c r="AD231" s="697"/>
      <c r="AE231" s="696"/>
      <c r="AF231" s="696"/>
      <c r="AG231" s="696"/>
      <c r="AH231" s="696"/>
      <c r="AI231" s="696"/>
      <c r="AJ231" s="696"/>
      <c r="AK231" s="696" t="s">
        <v>1018</v>
      </c>
      <c r="AL231" s="699"/>
      <c r="AM231" s="699"/>
      <c r="AN231" s="699"/>
      <c r="AO231" s="708" t="s">
        <v>1040</v>
      </c>
      <c r="AP231" s="699"/>
      <c r="AQ231" s="699"/>
      <c r="AR231" s="699"/>
      <c r="AS231" s="714"/>
      <c r="AT231" s="711"/>
      <c r="AU231" s="715"/>
      <c r="AV231" s="716"/>
      <c r="AW231" s="716"/>
      <c r="AX231" s="716"/>
      <c r="AY231" s="716"/>
      <c r="AZ231" s="716"/>
      <c r="BA231" s="716"/>
      <c r="BB231" s="716"/>
      <c r="BC231" s="716"/>
      <c r="BD231" s="716"/>
      <c r="BE231" s="716"/>
      <c r="BF231" s="716"/>
      <c r="BG231" s="716"/>
      <c r="BH231" s="716"/>
      <c r="BI231" s="716"/>
      <c r="BJ231" s="716"/>
      <c r="BK231" s="716"/>
      <c r="BL231" s="716"/>
      <c r="BM231" s="716"/>
      <c r="BN231" s="716"/>
      <c r="BO231" s="716"/>
      <c r="BP231" s="716"/>
      <c r="BQ231" s="715"/>
      <c r="BR231" s="715"/>
      <c r="BS231" s="715"/>
      <c r="BT231" s="715"/>
      <c r="BU231" s="715"/>
      <c r="BV231" s="715"/>
      <c r="BW231" s="715"/>
      <c r="BX231" s="718"/>
      <c r="BY231" s="718"/>
      <c r="BZ231" s="718"/>
      <c r="CA231" s="729"/>
      <c r="CB231" s="718"/>
      <c r="CC231" s="718"/>
      <c r="CD231" s="718"/>
      <c r="CE231" s="732"/>
      <c r="CF231" s="327"/>
    </row>
    <row r="232" spans="1:84" ht="14.5" outlineLevel="1" x14ac:dyDescent="0.35">
      <c r="A232" s="436"/>
      <c r="B232" s="433">
        <v>108</v>
      </c>
      <c r="C232" s="277" t="s">
        <v>1050</v>
      </c>
      <c r="D232" s="340" t="s">
        <v>242</v>
      </c>
      <c r="E232" s="340" t="s">
        <v>243</v>
      </c>
      <c r="F232" s="340" t="s">
        <v>260</v>
      </c>
      <c r="G232" s="345">
        <v>1147.94</v>
      </c>
      <c r="H232" s="461">
        <v>1346.9992</v>
      </c>
      <c r="I232" s="696" t="s">
        <v>1018</v>
      </c>
      <c r="J232" s="697"/>
      <c r="K232" s="697"/>
      <c r="L232" s="697"/>
      <c r="M232" s="697"/>
      <c r="N232" s="697"/>
      <c r="O232" s="697"/>
      <c r="P232" s="697"/>
      <c r="Q232" s="697"/>
      <c r="R232" s="697"/>
      <c r="S232" s="697"/>
      <c r="T232" s="697"/>
      <c r="U232" s="697"/>
      <c r="V232" s="697"/>
      <c r="W232" s="697"/>
      <c r="X232" s="697"/>
      <c r="Y232" s="697"/>
      <c r="Z232" s="697"/>
      <c r="AA232" s="697"/>
      <c r="AB232" s="697"/>
      <c r="AC232" s="697"/>
      <c r="AD232" s="697"/>
      <c r="AE232" s="696"/>
      <c r="AF232" s="696"/>
      <c r="AG232" s="696"/>
      <c r="AH232" s="696"/>
      <c r="AI232" s="696"/>
      <c r="AJ232" s="696"/>
      <c r="AK232" s="696" t="s">
        <v>1018</v>
      </c>
      <c r="AL232" s="699"/>
      <c r="AM232" s="699"/>
      <c r="AN232" s="699"/>
      <c r="AO232" s="708" t="s">
        <v>1040</v>
      </c>
      <c r="AP232" s="699"/>
      <c r="AQ232" s="699"/>
      <c r="AR232" s="699"/>
      <c r="AS232" s="714"/>
      <c r="AT232" s="711"/>
      <c r="AU232" s="715"/>
      <c r="AV232" s="716"/>
      <c r="AW232" s="716"/>
      <c r="AX232" s="716"/>
      <c r="AY232" s="716"/>
      <c r="AZ232" s="716"/>
      <c r="BA232" s="716"/>
      <c r="BB232" s="716"/>
      <c r="BC232" s="716"/>
      <c r="BD232" s="716"/>
      <c r="BE232" s="716"/>
      <c r="BF232" s="716"/>
      <c r="BG232" s="716"/>
      <c r="BH232" s="716"/>
      <c r="BI232" s="716"/>
      <c r="BJ232" s="716"/>
      <c r="BK232" s="716"/>
      <c r="BL232" s="716"/>
      <c r="BM232" s="716"/>
      <c r="BN232" s="716"/>
      <c r="BO232" s="716"/>
      <c r="BP232" s="716"/>
      <c r="BQ232" s="715"/>
      <c r="BR232" s="715"/>
      <c r="BS232" s="715"/>
      <c r="BT232" s="715"/>
      <c r="BU232" s="715"/>
      <c r="BV232" s="715"/>
      <c r="BW232" s="715"/>
      <c r="BX232" s="718"/>
      <c r="BY232" s="718"/>
      <c r="BZ232" s="718"/>
      <c r="CA232" s="729"/>
      <c r="CB232" s="718"/>
      <c r="CC232" s="718"/>
      <c r="CD232" s="718"/>
      <c r="CE232" s="732"/>
      <c r="CF232" s="327"/>
    </row>
    <row r="233" spans="1:84" ht="14.5" hidden="1" x14ac:dyDescent="0.35">
      <c r="A233" s="436"/>
      <c r="B233" s="433">
        <v>109</v>
      </c>
      <c r="C233" s="277" t="s">
        <v>252</v>
      </c>
      <c r="D233" s="339" t="s">
        <v>374</v>
      </c>
      <c r="E233" s="339" t="s">
        <v>375</v>
      </c>
      <c r="F233" s="339" t="s">
        <v>1051</v>
      </c>
      <c r="G233" s="345"/>
      <c r="H233" s="345"/>
      <c r="I233" s="345"/>
      <c r="J233" s="345"/>
      <c r="K233" s="345"/>
      <c r="L233" s="345"/>
      <c r="M233" s="345"/>
      <c r="N233" s="345"/>
      <c r="O233" s="345"/>
      <c r="P233" s="345"/>
      <c r="Q233" s="499"/>
      <c r="R233" s="345"/>
      <c r="S233" s="499"/>
      <c r="T233" s="499"/>
      <c r="U233" s="499"/>
      <c r="V233" s="499"/>
      <c r="W233" s="499"/>
      <c r="X233" s="499"/>
      <c r="Y233" s="499"/>
      <c r="Z233" s="499"/>
      <c r="AA233" s="499"/>
      <c r="AB233" s="499"/>
      <c r="AC233" s="499"/>
      <c r="AD233" s="499"/>
      <c r="AE233" s="499"/>
      <c r="AF233" s="499"/>
      <c r="AG233" s="499"/>
      <c r="AH233" s="499"/>
      <c r="AI233" s="499"/>
      <c r="AJ233" s="499"/>
      <c r="AK233" s="345"/>
      <c r="AL233" s="499"/>
      <c r="AM233" s="499"/>
      <c r="AN233" s="499"/>
      <c r="AO233" s="345"/>
      <c r="AP233" s="499"/>
      <c r="AQ233" s="499"/>
      <c r="AR233" s="499"/>
      <c r="AS233" s="502"/>
    </row>
    <row r="234" spans="1:84" x14ac:dyDescent="0.25">
      <c r="C234" s="290" t="s">
        <v>1136</v>
      </c>
      <c r="D234" s="289"/>
      <c r="E234" s="289"/>
      <c r="F234" s="289"/>
    </row>
    <row r="235" spans="1:84" x14ac:dyDescent="0.25">
      <c r="C235" s="262" t="s">
        <v>290</v>
      </c>
    </row>
    <row r="236" spans="1:84" x14ac:dyDescent="0.25">
      <c r="C236" s="120" t="s">
        <v>291</v>
      </c>
    </row>
    <row r="237" spans="1:84" ht="14.5" customHeight="1" outlineLevel="1" x14ac:dyDescent="0.3">
      <c r="C237" s="511" t="s">
        <v>1137</v>
      </c>
    </row>
    <row r="238" spans="1:84" ht="14.5" customHeight="1" outlineLevel="1" x14ac:dyDescent="0.25">
      <c r="C238" s="445" t="s">
        <v>1053</v>
      </c>
    </row>
    <row r="239" spans="1:84" ht="14.5" customHeight="1" outlineLevel="1" x14ac:dyDescent="0.25">
      <c r="C239" s="120"/>
    </row>
    <row r="240" spans="1:84" ht="14.5" customHeight="1" outlineLevel="1" x14ac:dyDescent="0.25">
      <c r="C240" s="37" t="s">
        <v>1138</v>
      </c>
      <c r="E240" s="512"/>
      <c r="F240" s="512"/>
    </row>
    <row r="241" spans="2:11" ht="14.5" customHeight="1" outlineLevel="1" x14ac:dyDescent="0.25">
      <c r="C241" s="126" t="s">
        <v>292</v>
      </c>
    </row>
    <row r="242" spans="2:11" ht="14.5" customHeight="1" outlineLevel="1" x14ac:dyDescent="0.25">
      <c r="C242" s="126" t="s">
        <v>293</v>
      </c>
    </row>
    <row r="243" spans="2:11" ht="14.5" customHeight="1" outlineLevel="1" x14ac:dyDescent="0.25">
      <c r="C243" s="126" t="s">
        <v>294</v>
      </c>
    </row>
    <row r="244" spans="2:11" ht="14.5" customHeight="1" outlineLevel="1" x14ac:dyDescent="0.25">
      <c r="B244" s="120"/>
      <c r="C244" s="126" t="s">
        <v>295</v>
      </c>
      <c r="G244" s="757">
        <v>2021</v>
      </c>
      <c r="H244" s="758"/>
      <c r="I244" s="759">
        <v>2022</v>
      </c>
      <c r="J244" s="758"/>
    </row>
    <row r="245" spans="2:11" outlineLevel="1" x14ac:dyDescent="0.25">
      <c r="B245" s="120"/>
      <c r="C245" s="431" t="s">
        <v>252</v>
      </c>
      <c r="D245" s="431" t="s">
        <v>253</v>
      </c>
      <c r="E245" s="432" t="s">
        <v>254</v>
      </c>
      <c r="F245" s="432" t="s">
        <v>255</v>
      </c>
      <c r="G245" s="437" t="s">
        <v>256</v>
      </c>
      <c r="H245" s="438" t="s">
        <v>257</v>
      </c>
      <c r="I245" s="437" t="s">
        <v>256</v>
      </c>
      <c r="J245" s="438" t="s">
        <v>257</v>
      </c>
      <c r="K245" s="431" t="s">
        <v>258</v>
      </c>
    </row>
    <row r="246" spans="2:11" ht="14.5" outlineLevel="1" x14ac:dyDescent="0.35">
      <c r="B246" s="129">
        <v>1</v>
      </c>
      <c r="C246" s="434" t="s">
        <v>259</v>
      </c>
      <c r="D246" s="340" t="s">
        <v>240</v>
      </c>
      <c r="E246" s="340" t="s">
        <v>174</v>
      </c>
      <c r="F246" s="340" t="s">
        <v>260</v>
      </c>
      <c r="G246" s="444">
        <v>82.86</v>
      </c>
      <c r="H246" s="444">
        <v>99.001127999999994</v>
      </c>
      <c r="I246" s="444">
        <v>82.86</v>
      </c>
      <c r="J246" s="444">
        <v>99.001127999999994</v>
      </c>
      <c r="K246" s="288"/>
    </row>
    <row r="247" spans="2:11" ht="14.5" hidden="1" outlineLevel="1" x14ac:dyDescent="0.35">
      <c r="B247" s="129">
        <v>2</v>
      </c>
      <c r="C247" s="434" t="s">
        <v>261</v>
      </c>
      <c r="D247" s="340" t="s">
        <v>242</v>
      </c>
      <c r="E247" s="340" t="s">
        <v>174</v>
      </c>
      <c r="F247" s="340" t="s">
        <v>260</v>
      </c>
      <c r="G247" s="444">
        <v>82.86</v>
      </c>
      <c r="H247" s="444">
        <v>99.001127999999994</v>
      </c>
      <c r="I247" s="444">
        <v>82.86</v>
      </c>
      <c r="J247" s="444">
        <v>99.001127999999994</v>
      </c>
      <c r="K247" s="288"/>
    </row>
    <row r="248" spans="2:11" ht="14.5" outlineLevel="1" x14ac:dyDescent="0.35">
      <c r="B248" s="129">
        <v>3</v>
      </c>
      <c r="C248" s="434" t="s">
        <v>262</v>
      </c>
      <c r="D248" s="340" t="s">
        <v>263</v>
      </c>
      <c r="E248" s="340" t="s">
        <v>174</v>
      </c>
      <c r="F248" s="340" t="s">
        <v>264</v>
      </c>
      <c r="G248" s="444">
        <v>0.34200000000000003</v>
      </c>
      <c r="H248" s="444">
        <v>0.40860000000000002</v>
      </c>
      <c r="I248" s="444">
        <v>0.34200000000000003</v>
      </c>
      <c r="J248" s="444">
        <v>0.40860000000000002</v>
      </c>
      <c r="K248" s="288"/>
    </row>
    <row r="249" spans="2:11" ht="14.5" outlineLevel="1" x14ac:dyDescent="0.35">
      <c r="B249" s="129">
        <v>4</v>
      </c>
      <c r="C249" s="434" t="s">
        <v>265</v>
      </c>
      <c r="D249" s="340" t="s">
        <v>240</v>
      </c>
      <c r="E249" s="340" t="s">
        <v>174</v>
      </c>
      <c r="F249" s="340" t="s">
        <v>266</v>
      </c>
      <c r="G249" s="444">
        <v>1130</v>
      </c>
      <c r="H249" s="444">
        <v>1310.8</v>
      </c>
      <c r="I249" s="444">
        <v>1130</v>
      </c>
      <c r="J249" s="444">
        <v>1310.8</v>
      </c>
      <c r="K249" s="288" t="s">
        <v>267</v>
      </c>
    </row>
    <row r="250" spans="2:11" ht="14.5" hidden="1" outlineLevel="1" x14ac:dyDescent="0.35">
      <c r="B250" s="129">
        <v>5</v>
      </c>
      <c r="C250" s="434" t="s">
        <v>268</v>
      </c>
      <c r="D250" s="340" t="s">
        <v>242</v>
      </c>
      <c r="E250" s="340" t="s">
        <v>174</v>
      </c>
      <c r="F250" s="340" t="s">
        <v>266</v>
      </c>
      <c r="G250" s="444">
        <v>1130</v>
      </c>
      <c r="H250" s="444">
        <v>1310.8</v>
      </c>
      <c r="I250" s="444">
        <v>1130</v>
      </c>
      <c r="J250" s="444">
        <v>1310.8</v>
      </c>
      <c r="K250" s="288" t="s">
        <v>267</v>
      </c>
    </row>
    <row r="251" spans="2:11" ht="14.5" outlineLevel="1" x14ac:dyDescent="0.35">
      <c r="B251" s="129">
        <v>6</v>
      </c>
      <c r="C251" s="434" t="s">
        <v>269</v>
      </c>
      <c r="D251" s="340" t="s">
        <v>263</v>
      </c>
      <c r="E251" s="340" t="s">
        <v>174</v>
      </c>
      <c r="F251" s="340" t="s">
        <v>266</v>
      </c>
      <c r="G251" s="444">
        <v>1130</v>
      </c>
      <c r="H251" s="444">
        <v>1310.8</v>
      </c>
      <c r="I251" s="444">
        <v>1130</v>
      </c>
      <c r="J251" s="444">
        <v>1310.8</v>
      </c>
      <c r="K251" s="288" t="s">
        <v>267</v>
      </c>
    </row>
    <row r="252" spans="2:11" ht="14.5" hidden="1" outlineLevel="1" x14ac:dyDescent="0.35">
      <c r="B252" s="129">
        <v>7</v>
      </c>
      <c r="C252" s="434" t="s">
        <v>226</v>
      </c>
      <c r="D252" s="340" t="s">
        <v>242</v>
      </c>
      <c r="E252" s="340" t="s">
        <v>174</v>
      </c>
      <c r="F252" s="340" t="s">
        <v>260</v>
      </c>
      <c r="G252" s="444">
        <v>198</v>
      </c>
      <c r="H252" s="444">
        <v>236.57039999999998</v>
      </c>
      <c r="I252" s="444">
        <v>198</v>
      </c>
      <c r="J252" s="444">
        <v>236.57039999999998</v>
      </c>
      <c r="K252" s="288"/>
    </row>
    <row r="253" spans="2:11" ht="14.5" outlineLevel="1" x14ac:dyDescent="0.35">
      <c r="B253" s="129">
        <v>8</v>
      </c>
      <c r="C253" s="434" t="s">
        <v>225</v>
      </c>
      <c r="D253" s="340" t="s">
        <v>240</v>
      </c>
      <c r="E253" s="340" t="s">
        <v>174</v>
      </c>
      <c r="F253" s="340" t="s">
        <v>260</v>
      </c>
      <c r="G253" s="444">
        <v>156.55000000000001</v>
      </c>
      <c r="H253" s="444">
        <v>187.04594000000003</v>
      </c>
      <c r="I253" s="444">
        <v>156.55000000000001</v>
      </c>
      <c r="J253" s="444">
        <v>187.04594000000003</v>
      </c>
      <c r="K253" s="288" t="s">
        <v>1139</v>
      </c>
    </row>
    <row r="254" spans="2:11" ht="14.5" outlineLevel="1" x14ac:dyDescent="0.35">
      <c r="B254" s="129">
        <v>9</v>
      </c>
      <c r="C254" s="434" t="s">
        <v>270</v>
      </c>
      <c r="D254" s="340" t="s">
        <v>263</v>
      </c>
      <c r="E254" s="340" t="s">
        <v>174</v>
      </c>
      <c r="F254" s="340" t="s">
        <v>264</v>
      </c>
      <c r="G254" s="444">
        <v>9.42</v>
      </c>
      <c r="H254" s="444">
        <v>11.255015999999999</v>
      </c>
      <c r="I254" s="444">
        <v>9.42</v>
      </c>
      <c r="J254" s="444">
        <v>11.255015999999999</v>
      </c>
      <c r="K254" s="288"/>
    </row>
    <row r="255" spans="2:11" ht="14.5" customHeight="1" outlineLevel="1" x14ac:dyDescent="0.35">
      <c r="B255" s="129">
        <v>10</v>
      </c>
      <c r="C255" s="434" t="s">
        <v>271</v>
      </c>
      <c r="D255" s="340" t="s">
        <v>263</v>
      </c>
      <c r="E255" s="340" t="s">
        <v>174</v>
      </c>
      <c r="F255" s="340" t="s">
        <v>264</v>
      </c>
      <c r="G255" s="444">
        <v>6.93</v>
      </c>
      <c r="H255" s="444">
        <v>8.2799639999999979</v>
      </c>
      <c r="I255" s="444">
        <v>6.93</v>
      </c>
      <c r="J255" s="444">
        <v>8.2799639999999979</v>
      </c>
      <c r="K255" s="288"/>
    </row>
    <row r="256" spans="2:11" ht="14.5" customHeight="1" outlineLevel="1" x14ac:dyDescent="0.35">
      <c r="B256" s="129">
        <v>11</v>
      </c>
      <c r="C256" s="434" t="s">
        <v>272</v>
      </c>
      <c r="D256" s="340" t="s">
        <v>263</v>
      </c>
      <c r="E256" s="340" t="s">
        <v>174</v>
      </c>
      <c r="F256" s="340" t="s">
        <v>264</v>
      </c>
      <c r="G256" s="444">
        <v>8.34</v>
      </c>
      <c r="H256" s="444">
        <v>9.9646319999999982</v>
      </c>
      <c r="I256" s="444">
        <v>8.34</v>
      </c>
      <c r="J256" s="444">
        <v>9.9646319999999982</v>
      </c>
      <c r="K256" s="288"/>
    </row>
    <row r="257" spans="2:11" ht="14.5" customHeight="1" outlineLevel="1" x14ac:dyDescent="0.35">
      <c r="B257" s="129">
        <v>12</v>
      </c>
      <c r="C257" s="434" t="s">
        <v>273</v>
      </c>
      <c r="D257" s="340" t="s">
        <v>263</v>
      </c>
      <c r="E257" s="340" t="s">
        <v>174</v>
      </c>
      <c r="F257" s="340" t="s">
        <v>264</v>
      </c>
      <c r="G257" s="444">
        <v>6.29</v>
      </c>
      <c r="H257" s="444">
        <v>7.5152919999999996</v>
      </c>
      <c r="I257" s="444">
        <v>6.29</v>
      </c>
      <c r="J257" s="444">
        <v>7.5152919999999996</v>
      </c>
      <c r="K257" s="288"/>
    </row>
    <row r="258" spans="2:11" ht="14.5" customHeight="1" outlineLevel="1" x14ac:dyDescent="0.35">
      <c r="B258" s="129">
        <v>13</v>
      </c>
      <c r="C258" s="434" t="s">
        <v>274</v>
      </c>
      <c r="D258" s="340" t="s">
        <v>263</v>
      </c>
      <c r="E258" s="340" t="s">
        <v>174</v>
      </c>
      <c r="F258" s="340" t="s">
        <v>264</v>
      </c>
      <c r="G258" s="444">
        <v>13.09</v>
      </c>
      <c r="H258" s="444">
        <v>15.639931999999998</v>
      </c>
      <c r="I258" s="444">
        <v>13.09</v>
      </c>
      <c r="J258" s="444">
        <v>15.639931999999998</v>
      </c>
      <c r="K258" s="288"/>
    </row>
    <row r="259" spans="2:11" ht="14.5" customHeight="1" outlineLevel="1" x14ac:dyDescent="0.35">
      <c r="B259" s="129">
        <v>14</v>
      </c>
      <c r="C259" s="434" t="s">
        <v>275</v>
      </c>
      <c r="D259" s="340" t="s">
        <v>263</v>
      </c>
      <c r="E259" s="340" t="s">
        <v>174</v>
      </c>
      <c r="F259" s="340" t="s">
        <v>264</v>
      </c>
      <c r="G259" s="444">
        <v>14.83</v>
      </c>
      <c r="H259" s="444">
        <v>17.718883999999999</v>
      </c>
      <c r="I259" s="444">
        <v>14.83</v>
      </c>
      <c r="J259" s="444">
        <v>17.718883999999999</v>
      </c>
      <c r="K259" s="288"/>
    </row>
    <row r="260" spans="2:11" ht="14.5" customHeight="1" outlineLevel="1" x14ac:dyDescent="0.35">
      <c r="B260" s="129">
        <v>15</v>
      </c>
      <c r="C260" s="434" t="s">
        <v>276</v>
      </c>
      <c r="D260" s="340" t="s">
        <v>263</v>
      </c>
      <c r="E260" s="340" t="s">
        <v>174</v>
      </c>
      <c r="F260" s="340" t="s">
        <v>264</v>
      </c>
      <c r="G260" s="444">
        <v>13.64</v>
      </c>
      <c r="H260" s="444">
        <v>16.297072</v>
      </c>
      <c r="I260" s="444">
        <v>13.64</v>
      </c>
      <c r="J260" s="444">
        <v>16.297072</v>
      </c>
      <c r="K260" s="288"/>
    </row>
    <row r="261" spans="2:11" ht="14.5" customHeight="1" outlineLevel="1" x14ac:dyDescent="0.35">
      <c r="B261" s="129">
        <v>16</v>
      </c>
      <c r="C261" s="434" t="s">
        <v>277</v>
      </c>
      <c r="D261" s="340" t="s">
        <v>263</v>
      </c>
      <c r="E261" s="340" t="s">
        <v>174</v>
      </c>
      <c r="F261" s="340" t="s">
        <v>264</v>
      </c>
      <c r="G261" s="444">
        <v>2</v>
      </c>
      <c r="H261" s="444">
        <v>2.3895999999999997</v>
      </c>
      <c r="I261" s="444">
        <v>2</v>
      </c>
      <c r="J261" s="444">
        <v>2.3895999999999997</v>
      </c>
      <c r="K261" s="288"/>
    </row>
    <row r="262" spans="2:11" ht="14.5" customHeight="1" outlineLevel="1" x14ac:dyDescent="0.35">
      <c r="B262" s="129">
        <v>17</v>
      </c>
      <c r="C262" s="434" t="s">
        <v>279</v>
      </c>
      <c r="D262" s="340" t="s">
        <v>263</v>
      </c>
      <c r="E262" s="340" t="s">
        <v>174</v>
      </c>
      <c r="F262" s="340" t="s">
        <v>278</v>
      </c>
      <c r="G262" s="444">
        <v>0.04</v>
      </c>
      <c r="H262" s="444">
        <v>4.7792000000000001E-2</v>
      </c>
      <c r="I262" s="444">
        <v>0.04</v>
      </c>
      <c r="J262" s="444">
        <v>4.7792000000000001E-2</v>
      </c>
      <c r="K262" s="288"/>
    </row>
    <row r="263" spans="2:11" ht="14.5" customHeight="1" outlineLevel="1" x14ac:dyDescent="0.35">
      <c r="B263" s="129">
        <v>18</v>
      </c>
      <c r="C263" s="434" t="s">
        <v>280</v>
      </c>
      <c r="D263" s="340" t="s">
        <v>263</v>
      </c>
      <c r="E263" s="340" t="s">
        <v>174</v>
      </c>
      <c r="F263" s="340" t="s">
        <v>278</v>
      </c>
      <c r="G263" s="444">
        <v>0.14000000000000001</v>
      </c>
      <c r="H263" s="444">
        <v>0.16727200000000003</v>
      </c>
      <c r="I263" s="444">
        <v>0.14000000000000001</v>
      </c>
      <c r="J263" s="444">
        <v>0.16727200000000003</v>
      </c>
      <c r="K263" s="288"/>
    </row>
    <row r="264" spans="2:11" ht="14.5" customHeight="1" outlineLevel="1" x14ac:dyDescent="0.35">
      <c r="B264" s="129">
        <v>19</v>
      </c>
      <c r="C264" s="434" t="s">
        <v>281</v>
      </c>
      <c r="D264" s="340" t="s">
        <v>263</v>
      </c>
      <c r="E264" s="340" t="s">
        <v>174</v>
      </c>
      <c r="F264" s="340" t="s">
        <v>278</v>
      </c>
      <c r="G264" s="444">
        <v>0.16</v>
      </c>
      <c r="H264" s="444">
        <v>0.191168</v>
      </c>
      <c r="I264" s="444">
        <v>0.16</v>
      </c>
      <c r="J264" s="444">
        <v>0.191168</v>
      </c>
      <c r="K264" s="288"/>
    </row>
    <row r="265" spans="2:11" ht="14.5" customHeight="1" outlineLevel="1" x14ac:dyDescent="0.35">
      <c r="B265" s="129">
        <v>20</v>
      </c>
      <c r="C265" s="434" t="s">
        <v>282</v>
      </c>
      <c r="D265" s="340" t="s">
        <v>263</v>
      </c>
      <c r="E265" s="340" t="s">
        <v>174</v>
      </c>
      <c r="F265" s="340" t="s">
        <v>278</v>
      </c>
      <c r="G265" s="444">
        <v>0.18</v>
      </c>
      <c r="H265" s="444">
        <v>0.21506399999999998</v>
      </c>
      <c r="I265" s="444">
        <v>0.18</v>
      </c>
      <c r="J265" s="444">
        <v>0.21506399999999998</v>
      </c>
      <c r="K265" s="288"/>
    </row>
    <row r="266" spans="2:11" ht="14.5" customHeight="1" outlineLevel="1" x14ac:dyDescent="0.35">
      <c r="B266" s="129">
        <v>21</v>
      </c>
      <c r="C266" s="434" t="s">
        <v>283</v>
      </c>
      <c r="D266" s="340" t="s">
        <v>263</v>
      </c>
      <c r="E266" s="340" t="s">
        <v>174</v>
      </c>
      <c r="F266" s="340" t="s">
        <v>278</v>
      </c>
      <c r="G266" s="444">
        <v>0.25</v>
      </c>
      <c r="H266" s="444">
        <v>0.29869999999999997</v>
      </c>
      <c r="I266" s="444">
        <v>0.25</v>
      </c>
      <c r="J266" s="444">
        <v>0.29869999999999997</v>
      </c>
      <c r="K266" s="288"/>
    </row>
    <row r="267" spans="2:11" ht="14.5" customHeight="1" outlineLevel="1" x14ac:dyDescent="0.35">
      <c r="B267" s="129">
        <v>22</v>
      </c>
      <c r="C267" s="434" t="s">
        <v>284</v>
      </c>
      <c r="D267" s="340" t="s">
        <v>263</v>
      </c>
      <c r="E267" s="340" t="s">
        <v>174</v>
      </c>
      <c r="F267" s="340" t="s">
        <v>278</v>
      </c>
      <c r="G267" s="444">
        <v>0.24</v>
      </c>
      <c r="H267" s="444">
        <v>0.28675200000000001</v>
      </c>
      <c r="I267" s="444">
        <v>0.24</v>
      </c>
      <c r="J267" s="444">
        <v>0.28675200000000001</v>
      </c>
      <c r="K267" s="288"/>
    </row>
    <row r="268" spans="2:11" ht="14.5" customHeight="1" outlineLevel="1" x14ac:dyDescent="0.35">
      <c r="B268" s="129">
        <v>23</v>
      </c>
      <c r="C268" s="434" t="s">
        <v>285</v>
      </c>
      <c r="D268" s="340" t="s">
        <v>263</v>
      </c>
      <c r="E268" s="340" t="s">
        <v>174</v>
      </c>
      <c r="F268" s="340" t="s">
        <v>278</v>
      </c>
      <c r="G268" s="444">
        <v>0.12</v>
      </c>
      <c r="H268" s="444">
        <v>0.143376</v>
      </c>
      <c r="I268" s="444">
        <v>0.12</v>
      </c>
      <c r="J268" s="444">
        <v>0.143376</v>
      </c>
      <c r="K268" s="288"/>
    </row>
    <row r="269" spans="2:11" ht="14.5" customHeight="1" outlineLevel="1" x14ac:dyDescent="0.35">
      <c r="B269" s="129">
        <v>24</v>
      </c>
      <c r="C269" s="434" t="s">
        <v>286</v>
      </c>
      <c r="D269" s="340" t="s">
        <v>263</v>
      </c>
      <c r="E269" s="340" t="s">
        <v>174</v>
      </c>
      <c r="F269" s="340" t="s">
        <v>278</v>
      </c>
      <c r="G269" s="444">
        <v>0.27</v>
      </c>
      <c r="H269" s="444">
        <v>0.32259599999999999</v>
      </c>
      <c r="I269" s="444">
        <v>0.27</v>
      </c>
      <c r="J269" s="444">
        <v>0.32259599999999999</v>
      </c>
      <c r="K269" s="288"/>
    </row>
    <row r="270" spans="2:11" ht="14.5" customHeight="1" outlineLevel="1" x14ac:dyDescent="0.35">
      <c r="B270" s="129">
        <v>25</v>
      </c>
      <c r="C270" s="434" t="s">
        <v>1140</v>
      </c>
      <c r="D270" s="340" t="s">
        <v>263</v>
      </c>
      <c r="E270" s="340" t="s">
        <v>174</v>
      </c>
      <c r="F270" s="340" t="s">
        <v>278</v>
      </c>
      <c r="G270" s="444">
        <v>1.2500000000000001E-2</v>
      </c>
      <c r="H270" s="444">
        <v>1.4934999999999999E-2</v>
      </c>
      <c r="I270" s="444">
        <v>1.2500000000000001E-2</v>
      </c>
      <c r="J270" s="444">
        <v>1.4934999999999999E-2</v>
      </c>
      <c r="K270" s="288"/>
    </row>
    <row r="271" spans="2:11" ht="14.5" hidden="1" customHeight="1" outlineLevel="1" x14ac:dyDescent="0.35">
      <c r="B271" s="129">
        <v>26</v>
      </c>
      <c r="C271" s="434" t="s">
        <v>287</v>
      </c>
      <c r="D271" s="340" t="s">
        <v>242</v>
      </c>
      <c r="E271" s="340" t="s">
        <v>174</v>
      </c>
      <c r="F271" s="340" t="s">
        <v>288</v>
      </c>
      <c r="G271" s="444">
        <v>1.48</v>
      </c>
      <c r="H271" s="444">
        <v>1.7683039999999999</v>
      </c>
      <c r="I271" s="444">
        <v>1.48</v>
      </c>
      <c r="J271" s="444">
        <v>1.7683039999999999</v>
      </c>
      <c r="K271" s="288"/>
    </row>
    <row r="272" spans="2:11" ht="14.5" customHeight="1" outlineLevel="1" x14ac:dyDescent="0.35">
      <c r="B272" s="129">
        <v>27</v>
      </c>
      <c r="C272" s="434" t="s">
        <v>289</v>
      </c>
      <c r="D272" s="340" t="s">
        <v>240</v>
      </c>
      <c r="E272" s="340" t="s">
        <v>174</v>
      </c>
      <c r="F272" s="340" t="s">
        <v>288</v>
      </c>
      <c r="G272" s="444">
        <v>1.48</v>
      </c>
      <c r="H272" s="444">
        <v>1.7683039999999999</v>
      </c>
      <c r="I272" s="444">
        <v>1.48</v>
      </c>
      <c r="J272" s="444">
        <v>1.7683039999999999</v>
      </c>
      <c r="K272" s="288"/>
    </row>
    <row r="273" spans="2:11" ht="14.5" outlineLevel="1" x14ac:dyDescent="0.35">
      <c r="B273" s="129">
        <v>28</v>
      </c>
      <c r="C273" s="439" t="s">
        <v>296</v>
      </c>
      <c r="D273" s="440" t="s">
        <v>240</v>
      </c>
      <c r="E273" s="440" t="s">
        <v>174</v>
      </c>
      <c r="F273" s="440" t="s">
        <v>260</v>
      </c>
      <c r="G273" s="441">
        <v>100</v>
      </c>
      <c r="H273" s="441">
        <v>119.47999999999999</v>
      </c>
      <c r="I273" s="441">
        <v>100</v>
      </c>
      <c r="J273" s="441">
        <v>119.47999999999999</v>
      </c>
      <c r="K273" s="442" t="s">
        <v>808</v>
      </c>
    </row>
    <row r="274" spans="2:11" ht="14.5" outlineLevel="1" x14ac:dyDescent="0.35">
      <c r="B274" s="129">
        <v>29</v>
      </c>
      <c r="C274" s="439" t="s">
        <v>297</v>
      </c>
      <c r="D274" s="440" t="s">
        <v>240</v>
      </c>
      <c r="E274" s="440" t="s">
        <v>174</v>
      </c>
      <c r="F274" s="440" t="s">
        <v>260</v>
      </c>
      <c r="G274" s="441">
        <v>149.82</v>
      </c>
      <c r="H274" s="441">
        <v>179.00493599999999</v>
      </c>
      <c r="I274" s="441">
        <v>149.82</v>
      </c>
      <c r="J274" s="441">
        <v>179.00493599999999</v>
      </c>
      <c r="K274" s="442" t="s">
        <v>808</v>
      </c>
    </row>
    <row r="275" spans="2:11" ht="14.5" outlineLevel="1" x14ac:dyDescent="0.35">
      <c r="B275" s="129">
        <v>30</v>
      </c>
      <c r="C275" s="439" t="s">
        <v>298</v>
      </c>
      <c r="D275" s="440" t="s">
        <v>240</v>
      </c>
      <c r="E275" s="440" t="s">
        <v>174</v>
      </c>
      <c r="F275" s="440" t="s">
        <v>260</v>
      </c>
      <c r="G275" s="441">
        <v>100</v>
      </c>
      <c r="H275" s="441">
        <v>119.47999999999999</v>
      </c>
      <c r="I275" s="441">
        <v>100</v>
      </c>
      <c r="J275" s="441">
        <v>119.47999999999999</v>
      </c>
      <c r="K275" s="442" t="s">
        <v>808</v>
      </c>
    </row>
    <row r="276" spans="2:11" ht="14.5" outlineLevel="1" x14ac:dyDescent="0.35">
      <c r="B276" s="129">
        <v>31</v>
      </c>
      <c r="C276" s="434" t="s">
        <v>964</v>
      </c>
      <c r="D276" s="340" t="s">
        <v>263</v>
      </c>
      <c r="E276" s="340" t="s">
        <v>174</v>
      </c>
      <c r="F276" s="340" t="s">
        <v>264</v>
      </c>
      <c r="G276" s="443"/>
      <c r="H276" s="443"/>
      <c r="I276" s="443"/>
      <c r="J276" s="443"/>
      <c r="K276" s="288" t="s">
        <v>965</v>
      </c>
    </row>
    <row r="277" spans="2:11" ht="14.5" outlineLevel="1" x14ac:dyDescent="0.35">
      <c r="B277" s="129">
        <v>32</v>
      </c>
      <c r="C277" s="439" t="s">
        <v>299</v>
      </c>
      <c r="D277" s="440" t="s">
        <v>240</v>
      </c>
      <c r="E277" s="440" t="s">
        <v>174</v>
      </c>
      <c r="F277" s="440" t="s">
        <v>264</v>
      </c>
      <c r="G277" s="441">
        <v>1.1399999999999999</v>
      </c>
      <c r="H277" s="441">
        <v>1.3620719999999997</v>
      </c>
      <c r="I277" s="441">
        <v>1.1399999999999999</v>
      </c>
      <c r="J277" s="441">
        <v>1.3620719999999997</v>
      </c>
      <c r="K277" s="442" t="s">
        <v>808</v>
      </c>
    </row>
    <row r="278" spans="2:11" ht="14.5" outlineLevel="1" x14ac:dyDescent="0.35">
      <c r="B278" s="129">
        <v>33</v>
      </c>
      <c r="C278" s="439" t="s">
        <v>300</v>
      </c>
      <c r="D278" s="440" t="s">
        <v>240</v>
      </c>
      <c r="E278" s="440" t="s">
        <v>174</v>
      </c>
      <c r="F278" s="440" t="s">
        <v>264</v>
      </c>
      <c r="G278" s="441">
        <v>4.62</v>
      </c>
      <c r="H278" s="441">
        <v>5.5199759999999998</v>
      </c>
      <c r="I278" s="441">
        <v>4.62</v>
      </c>
      <c r="J278" s="441">
        <v>5.5199759999999998</v>
      </c>
      <c r="K278" s="442" t="s">
        <v>808</v>
      </c>
    </row>
    <row r="279" spans="2:11" ht="14.5" outlineLevel="1" x14ac:dyDescent="0.35">
      <c r="B279" s="129">
        <v>34</v>
      </c>
      <c r="C279" s="439" t="s">
        <v>301</v>
      </c>
      <c r="D279" s="440" t="s">
        <v>240</v>
      </c>
      <c r="E279" s="440" t="s">
        <v>174</v>
      </c>
      <c r="F279" s="440" t="s">
        <v>264</v>
      </c>
      <c r="G279" s="441">
        <v>1.5</v>
      </c>
      <c r="H279" s="441">
        <v>1.7921999999999998</v>
      </c>
      <c r="I279" s="441">
        <v>1.5</v>
      </c>
      <c r="J279" s="441">
        <v>1.7921999999999998</v>
      </c>
      <c r="K279" s="442" t="s">
        <v>808</v>
      </c>
    </row>
    <row r="280" spans="2:11" ht="14.5" outlineLevel="1" x14ac:dyDescent="0.35">
      <c r="B280" s="129">
        <v>35</v>
      </c>
      <c r="C280" s="439" t="s">
        <v>302</v>
      </c>
      <c r="D280" s="440" t="s">
        <v>240</v>
      </c>
      <c r="E280" s="440" t="s">
        <v>174</v>
      </c>
      <c r="F280" s="440" t="s">
        <v>264</v>
      </c>
      <c r="G280" s="441">
        <v>3</v>
      </c>
      <c r="H280" s="441">
        <v>3.5843999999999996</v>
      </c>
      <c r="I280" s="441">
        <v>3</v>
      </c>
      <c r="J280" s="441">
        <v>3.5843999999999996</v>
      </c>
      <c r="K280" s="442" t="s">
        <v>808</v>
      </c>
    </row>
    <row r="281" spans="2:11" ht="14.5" hidden="1" outlineLevel="1" x14ac:dyDescent="0.35">
      <c r="B281" s="129">
        <v>36</v>
      </c>
      <c r="C281" s="439" t="s">
        <v>966</v>
      </c>
      <c r="D281" s="440" t="s">
        <v>242</v>
      </c>
      <c r="E281" s="440" t="s">
        <v>174</v>
      </c>
      <c r="F281" s="440" t="s">
        <v>264</v>
      </c>
      <c r="G281" s="441">
        <v>1</v>
      </c>
      <c r="H281" s="441">
        <v>1.1947999999999999</v>
      </c>
      <c r="I281" s="441">
        <v>1</v>
      </c>
      <c r="J281" s="441">
        <v>1.1947999999999999</v>
      </c>
      <c r="K281" s="442"/>
    </row>
    <row r="282" spans="2:11" ht="14.5" hidden="1" outlineLevel="1" x14ac:dyDescent="0.35">
      <c r="B282" s="129">
        <v>37</v>
      </c>
      <c r="C282" s="439" t="s">
        <v>967</v>
      </c>
      <c r="D282" s="440" t="s">
        <v>242</v>
      </c>
      <c r="E282" s="440" t="s">
        <v>174</v>
      </c>
      <c r="F282" s="440" t="s">
        <v>264</v>
      </c>
      <c r="G282" s="441">
        <v>2</v>
      </c>
      <c r="H282" s="441">
        <v>2.3895999999999997</v>
      </c>
      <c r="I282" s="441">
        <v>2</v>
      </c>
      <c r="J282" s="441">
        <v>2.3895999999999997</v>
      </c>
      <c r="K282" s="442"/>
    </row>
    <row r="283" spans="2:11" ht="14.5" outlineLevel="1" x14ac:dyDescent="0.35">
      <c r="B283" s="129">
        <v>38</v>
      </c>
      <c r="C283" s="439" t="s">
        <v>303</v>
      </c>
      <c r="D283" s="440" t="s">
        <v>240</v>
      </c>
      <c r="E283" s="440" t="s">
        <v>174</v>
      </c>
      <c r="F283" s="440" t="s">
        <v>260</v>
      </c>
      <c r="G283" s="441">
        <v>86.96</v>
      </c>
      <c r="H283" s="441">
        <v>103.89980799999998</v>
      </c>
      <c r="I283" s="441">
        <v>86.96</v>
      </c>
      <c r="J283" s="441">
        <v>103.89980799999998</v>
      </c>
      <c r="K283" s="442" t="s">
        <v>808</v>
      </c>
    </row>
    <row r="284" spans="2:11" ht="14.5" outlineLevel="1" x14ac:dyDescent="0.35">
      <c r="B284" s="129">
        <v>39</v>
      </c>
      <c r="C284" s="439" t="s">
        <v>304</v>
      </c>
      <c r="D284" s="440" t="s">
        <v>240</v>
      </c>
      <c r="E284" s="440" t="s">
        <v>174</v>
      </c>
      <c r="F284" s="440" t="s">
        <v>260</v>
      </c>
      <c r="G284" s="441">
        <v>250.25</v>
      </c>
      <c r="H284" s="441">
        <v>298.99869999999999</v>
      </c>
      <c r="I284" s="441">
        <v>250.25</v>
      </c>
      <c r="J284" s="441">
        <v>298.99869999999999</v>
      </c>
      <c r="K284" s="442" t="s">
        <v>808</v>
      </c>
    </row>
    <row r="285" spans="2:11" ht="14.5" outlineLevel="1" x14ac:dyDescent="0.35">
      <c r="B285" s="129">
        <v>40</v>
      </c>
      <c r="C285" s="439" t="s">
        <v>305</v>
      </c>
      <c r="D285" s="440" t="s">
        <v>240</v>
      </c>
      <c r="E285" s="440" t="s">
        <v>174</v>
      </c>
      <c r="F285" s="440" t="s">
        <v>260</v>
      </c>
      <c r="G285" s="441">
        <v>99.6</v>
      </c>
      <c r="H285" s="441">
        <v>119.00207999999999</v>
      </c>
      <c r="I285" s="441">
        <v>99.6</v>
      </c>
      <c r="J285" s="441">
        <v>119.00207999999999</v>
      </c>
      <c r="K285" s="442" t="s">
        <v>808</v>
      </c>
    </row>
    <row r="286" spans="2:11" ht="14.5" hidden="1" outlineLevel="1" x14ac:dyDescent="0.35">
      <c r="B286" s="129">
        <v>41</v>
      </c>
      <c r="C286" s="439" t="s">
        <v>306</v>
      </c>
      <c r="D286" s="440" t="s">
        <v>242</v>
      </c>
      <c r="E286" s="440" t="s">
        <v>174</v>
      </c>
      <c r="F286" s="440" t="s">
        <v>260</v>
      </c>
      <c r="G286" s="441">
        <v>50</v>
      </c>
      <c r="H286" s="441">
        <v>59.739999999999995</v>
      </c>
      <c r="I286" s="441">
        <v>50</v>
      </c>
      <c r="J286" s="441">
        <v>59.739999999999995</v>
      </c>
      <c r="K286" s="442" t="s">
        <v>968</v>
      </c>
    </row>
    <row r="287" spans="2:11" ht="14.5" outlineLevel="1" x14ac:dyDescent="0.35">
      <c r="B287" s="129">
        <v>42</v>
      </c>
      <c r="C287" s="439" t="s">
        <v>307</v>
      </c>
      <c r="D287" s="440" t="s">
        <v>240</v>
      </c>
      <c r="E287" s="440" t="s">
        <v>174</v>
      </c>
      <c r="F287" s="440" t="s">
        <v>260</v>
      </c>
      <c r="G287" s="441">
        <v>58.58</v>
      </c>
      <c r="H287" s="441">
        <v>69.991383999999996</v>
      </c>
      <c r="I287" s="441">
        <v>58.58</v>
      </c>
      <c r="J287" s="441">
        <v>69.991383999999996</v>
      </c>
      <c r="K287" s="442" t="s">
        <v>808</v>
      </c>
    </row>
    <row r="288" spans="2:11" ht="14.5" outlineLevel="1" x14ac:dyDescent="0.35">
      <c r="B288" s="129">
        <v>43</v>
      </c>
      <c r="C288" s="439" t="s">
        <v>308</v>
      </c>
      <c r="D288" s="440" t="s">
        <v>240</v>
      </c>
      <c r="E288" s="440" t="s">
        <v>174</v>
      </c>
      <c r="F288" s="440" t="s">
        <v>260</v>
      </c>
      <c r="G288" s="441">
        <v>41.01</v>
      </c>
      <c r="H288" s="441">
        <v>48.998747999999999</v>
      </c>
      <c r="I288" s="441">
        <v>41.01</v>
      </c>
      <c r="J288" s="441">
        <v>48.998747999999999</v>
      </c>
      <c r="K288" s="442" t="s">
        <v>808</v>
      </c>
    </row>
    <row r="289" spans="2:11" ht="14.5" outlineLevel="1" x14ac:dyDescent="0.35">
      <c r="B289" s="129">
        <v>44</v>
      </c>
      <c r="C289" s="439" t="s">
        <v>309</v>
      </c>
      <c r="D289" s="440" t="s">
        <v>240</v>
      </c>
      <c r="E289" s="440" t="s">
        <v>174</v>
      </c>
      <c r="F289" s="440" t="s">
        <v>260</v>
      </c>
      <c r="G289" s="441">
        <v>125.54</v>
      </c>
      <c r="H289" s="441">
        <v>149.995192</v>
      </c>
      <c r="I289" s="441">
        <v>125.54</v>
      </c>
      <c r="J289" s="441">
        <v>149.995192</v>
      </c>
      <c r="K289" s="442" t="s">
        <v>808</v>
      </c>
    </row>
    <row r="290" spans="2:11" ht="14.5" hidden="1" outlineLevel="1" x14ac:dyDescent="0.35">
      <c r="B290" s="129">
        <v>45</v>
      </c>
      <c r="C290" s="439" t="s">
        <v>310</v>
      </c>
      <c r="D290" s="440" t="s">
        <v>242</v>
      </c>
      <c r="E290" s="440" t="s">
        <v>174</v>
      </c>
      <c r="F290" s="440" t="s">
        <v>260</v>
      </c>
      <c r="G290" s="441">
        <v>83.7</v>
      </c>
      <c r="H290" s="441">
        <v>100.00476</v>
      </c>
      <c r="I290" s="441">
        <v>83.7</v>
      </c>
      <c r="J290" s="441">
        <v>100.00476</v>
      </c>
      <c r="K290" s="442" t="s">
        <v>809</v>
      </c>
    </row>
    <row r="291" spans="2:11" ht="14.5" outlineLevel="1" x14ac:dyDescent="0.35">
      <c r="B291" s="129">
        <v>46</v>
      </c>
      <c r="C291" s="277" t="s">
        <v>311</v>
      </c>
      <c r="D291" s="340" t="s">
        <v>263</v>
      </c>
      <c r="E291" s="340" t="s">
        <v>174</v>
      </c>
      <c r="F291" s="340" t="s">
        <v>264</v>
      </c>
      <c r="G291" s="444">
        <v>1.48</v>
      </c>
      <c r="H291" s="444">
        <v>1.7683039999999999</v>
      </c>
      <c r="I291" s="444">
        <v>1.48</v>
      </c>
      <c r="J291" s="444">
        <v>1.7683039999999999</v>
      </c>
      <c r="K291" s="288"/>
    </row>
    <row r="292" spans="2:11" ht="14.5" outlineLevel="1" x14ac:dyDescent="0.35">
      <c r="B292" s="129">
        <v>47</v>
      </c>
      <c r="C292" s="277" t="s">
        <v>312</v>
      </c>
      <c r="D292" s="340" t="s">
        <v>263</v>
      </c>
      <c r="E292" s="340" t="s">
        <v>174</v>
      </c>
      <c r="F292" s="340" t="s">
        <v>264</v>
      </c>
      <c r="G292" s="444">
        <v>4.57</v>
      </c>
      <c r="H292" s="444">
        <v>5.4602360000000001</v>
      </c>
      <c r="I292" s="444">
        <v>4.57</v>
      </c>
      <c r="J292" s="444">
        <v>5.4602360000000001</v>
      </c>
      <c r="K292" s="288"/>
    </row>
    <row r="293" spans="2:11" ht="14.5" outlineLevel="1" x14ac:dyDescent="0.35">
      <c r="B293" s="129">
        <v>48</v>
      </c>
      <c r="C293" s="277" t="s">
        <v>313</v>
      </c>
      <c r="D293" s="340" t="s">
        <v>263</v>
      </c>
      <c r="E293" s="340" t="s">
        <v>174</v>
      </c>
      <c r="F293" s="340" t="s">
        <v>264</v>
      </c>
      <c r="G293" s="444">
        <v>4.57</v>
      </c>
      <c r="H293" s="444">
        <v>5.4602360000000001</v>
      </c>
      <c r="I293" s="444">
        <v>4.57</v>
      </c>
      <c r="J293" s="444">
        <v>5.4602360000000001</v>
      </c>
      <c r="K293" s="288"/>
    </row>
    <row r="294" spans="2:11" ht="14.5" outlineLevel="1" x14ac:dyDescent="0.35">
      <c r="B294" s="129">
        <v>49</v>
      </c>
      <c r="C294" s="277" t="s">
        <v>314</v>
      </c>
      <c r="D294" s="340" t="s">
        <v>263</v>
      </c>
      <c r="E294" s="340" t="s">
        <v>174</v>
      </c>
      <c r="F294" s="340" t="s">
        <v>264</v>
      </c>
      <c r="G294" s="444">
        <v>5.71</v>
      </c>
      <c r="H294" s="444">
        <v>6.8223079999999996</v>
      </c>
      <c r="I294" s="444">
        <v>5.71</v>
      </c>
      <c r="J294" s="444">
        <v>6.8223079999999996</v>
      </c>
      <c r="K294" s="288"/>
    </row>
    <row r="295" spans="2:11" ht="14.5" outlineLevel="1" x14ac:dyDescent="0.35">
      <c r="B295" s="129">
        <v>50</v>
      </c>
      <c r="C295" s="277" t="s">
        <v>315</v>
      </c>
      <c r="D295" s="340" t="s">
        <v>263</v>
      </c>
      <c r="E295" s="340" t="s">
        <v>174</v>
      </c>
      <c r="F295" s="340" t="s">
        <v>264</v>
      </c>
      <c r="G295" s="444">
        <v>4</v>
      </c>
      <c r="H295" s="444">
        <v>4.7791999999999994</v>
      </c>
      <c r="I295" s="444">
        <v>4</v>
      </c>
      <c r="J295" s="444">
        <v>4.7791999999999994</v>
      </c>
      <c r="K295" s="288"/>
    </row>
    <row r="296" spans="2:11" ht="14.5" outlineLevel="1" x14ac:dyDescent="0.35">
      <c r="B296" s="129">
        <v>51</v>
      </c>
      <c r="C296" s="277" t="s">
        <v>316</v>
      </c>
      <c r="D296" s="340" t="s">
        <v>263</v>
      </c>
      <c r="E296" s="340" t="s">
        <v>174</v>
      </c>
      <c r="F296" s="340" t="s">
        <v>264</v>
      </c>
      <c r="G296" s="444">
        <v>9</v>
      </c>
      <c r="H296" s="444">
        <v>10.7532</v>
      </c>
      <c r="I296" s="444">
        <v>9</v>
      </c>
      <c r="J296" s="444">
        <v>10.7532</v>
      </c>
      <c r="K296" s="288"/>
    </row>
    <row r="297" spans="2:11" ht="14.5" outlineLevel="1" x14ac:dyDescent="0.35">
      <c r="B297" s="129">
        <v>52</v>
      </c>
      <c r="C297" s="277" t="s">
        <v>317</v>
      </c>
      <c r="D297" s="340" t="s">
        <v>263</v>
      </c>
      <c r="E297" s="340" t="s">
        <v>174</v>
      </c>
      <c r="F297" s="340" t="s">
        <v>264</v>
      </c>
      <c r="G297" s="444">
        <v>8</v>
      </c>
      <c r="H297" s="444">
        <v>9.5583999999999989</v>
      </c>
      <c r="I297" s="444">
        <v>8</v>
      </c>
      <c r="J297" s="444">
        <v>9.5583999999999989</v>
      </c>
      <c r="K297" s="288"/>
    </row>
    <row r="298" spans="2:11" ht="14.5" outlineLevel="1" x14ac:dyDescent="0.35">
      <c r="B298" s="129">
        <v>53</v>
      </c>
      <c r="C298" s="277" t="s">
        <v>318</v>
      </c>
      <c r="D298" s="340" t="s">
        <v>263</v>
      </c>
      <c r="E298" s="340" t="s">
        <v>174</v>
      </c>
      <c r="F298" s="340" t="s">
        <v>264</v>
      </c>
      <c r="G298" s="444">
        <v>10</v>
      </c>
      <c r="H298" s="444">
        <v>11.948</v>
      </c>
      <c r="I298" s="444">
        <v>10</v>
      </c>
      <c r="J298" s="444">
        <v>11.948</v>
      </c>
      <c r="K298" s="288"/>
    </row>
    <row r="299" spans="2:11" ht="14.5" hidden="1" outlineLevel="1" x14ac:dyDescent="0.35">
      <c r="B299" s="129">
        <v>54</v>
      </c>
      <c r="C299" s="277" t="s">
        <v>319</v>
      </c>
      <c r="D299" s="340" t="s">
        <v>242</v>
      </c>
      <c r="E299" s="340" t="s">
        <v>174</v>
      </c>
      <c r="F299" s="340" t="s">
        <v>260</v>
      </c>
      <c r="G299" s="444">
        <v>200</v>
      </c>
      <c r="H299" s="444">
        <v>238.96</v>
      </c>
      <c r="I299" s="444">
        <v>200</v>
      </c>
      <c r="J299" s="444">
        <v>238.96</v>
      </c>
      <c r="K299" s="288"/>
    </row>
    <row r="300" spans="2:11" ht="14.5" hidden="1" outlineLevel="1" x14ac:dyDescent="0.35">
      <c r="B300" s="129">
        <v>55</v>
      </c>
      <c r="C300" s="277" t="s">
        <v>320</v>
      </c>
      <c r="D300" s="340" t="s">
        <v>242</v>
      </c>
      <c r="E300" s="340" t="s">
        <v>174</v>
      </c>
      <c r="F300" s="340" t="s">
        <v>260</v>
      </c>
      <c r="G300" s="444">
        <v>500</v>
      </c>
      <c r="H300" s="444">
        <v>597.4</v>
      </c>
      <c r="I300" s="444">
        <v>500</v>
      </c>
      <c r="J300" s="444">
        <v>597.4</v>
      </c>
      <c r="K300" s="288"/>
    </row>
    <row r="301" spans="2:11" ht="14.5" outlineLevel="1" x14ac:dyDescent="0.35">
      <c r="B301" s="129">
        <v>56</v>
      </c>
      <c r="C301" s="439" t="s">
        <v>321</v>
      </c>
      <c r="D301" s="440" t="s">
        <v>240</v>
      </c>
      <c r="E301" s="440" t="s">
        <v>174</v>
      </c>
      <c r="F301" s="440" t="s">
        <v>260</v>
      </c>
      <c r="G301" s="441">
        <v>290</v>
      </c>
      <c r="H301" s="441">
        <v>346.49199999999996</v>
      </c>
      <c r="I301" s="441">
        <v>290</v>
      </c>
      <c r="J301" s="441">
        <v>346.49199999999996</v>
      </c>
      <c r="K301" s="442" t="s">
        <v>810</v>
      </c>
    </row>
    <row r="302" spans="2:11" ht="14.5" outlineLevel="1" x14ac:dyDescent="0.35">
      <c r="B302" s="129">
        <v>57</v>
      </c>
      <c r="C302" s="439" t="s">
        <v>322</v>
      </c>
      <c r="D302" s="440" t="s">
        <v>240</v>
      </c>
      <c r="E302" s="440" t="s">
        <v>174</v>
      </c>
      <c r="F302" s="440" t="s">
        <v>260</v>
      </c>
      <c r="G302" s="441">
        <v>420</v>
      </c>
      <c r="H302" s="441">
        <v>501.81599999999997</v>
      </c>
      <c r="I302" s="441">
        <v>420</v>
      </c>
      <c r="J302" s="441">
        <v>501.81599999999997</v>
      </c>
      <c r="K302" s="442" t="s">
        <v>810</v>
      </c>
    </row>
    <row r="303" spans="2:11" ht="14.5" outlineLevel="1" x14ac:dyDescent="0.35">
      <c r="B303" s="129">
        <v>58</v>
      </c>
      <c r="C303" s="439" t="s">
        <v>323</v>
      </c>
      <c r="D303" s="440" t="s">
        <v>240</v>
      </c>
      <c r="E303" s="440" t="s">
        <v>174</v>
      </c>
      <c r="F303" s="440" t="s">
        <v>260</v>
      </c>
      <c r="G303" s="441">
        <v>540</v>
      </c>
      <c r="H303" s="441">
        <v>645.19200000000001</v>
      </c>
      <c r="I303" s="441">
        <v>540</v>
      </c>
      <c r="J303" s="441">
        <v>645.19200000000001</v>
      </c>
      <c r="K303" s="442" t="s">
        <v>810</v>
      </c>
    </row>
    <row r="304" spans="2:11" ht="14.5" hidden="1" outlineLevel="1" x14ac:dyDescent="0.35">
      <c r="B304" s="129">
        <v>59</v>
      </c>
      <c r="C304" s="277" t="s">
        <v>324</v>
      </c>
      <c r="D304" s="340" t="s">
        <v>242</v>
      </c>
      <c r="E304" s="340" t="s">
        <v>174</v>
      </c>
      <c r="F304" s="340" t="s">
        <v>260</v>
      </c>
      <c r="G304" s="444">
        <v>450</v>
      </c>
      <c r="H304" s="444">
        <v>537.66</v>
      </c>
      <c r="I304" s="444">
        <v>450</v>
      </c>
      <c r="J304" s="444">
        <v>537.66</v>
      </c>
      <c r="K304" s="288"/>
    </row>
    <row r="305" spans="2:11" ht="14.5" hidden="1" outlineLevel="1" x14ac:dyDescent="0.35">
      <c r="B305" s="129">
        <v>60</v>
      </c>
      <c r="C305" s="277" t="s">
        <v>325</v>
      </c>
      <c r="D305" s="340" t="s">
        <v>242</v>
      </c>
      <c r="E305" s="340" t="s">
        <v>174</v>
      </c>
      <c r="F305" s="340" t="s">
        <v>260</v>
      </c>
      <c r="G305" s="444">
        <v>798</v>
      </c>
      <c r="H305" s="444">
        <v>953.45039999999995</v>
      </c>
      <c r="I305" s="444">
        <v>798</v>
      </c>
      <c r="J305" s="444">
        <v>953.45039999999995</v>
      </c>
      <c r="K305" s="288"/>
    </row>
    <row r="306" spans="2:11" ht="14.5" hidden="1" outlineLevel="1" x14ac:dyDescent="0.35">
      <c r="B306" s="129">
        <v>61</v>
      </c>
      <c r="C306" s="277" t="s">
        <v>326</v>
      </c>
      <c r="D306" s="340" t="s">
        <v>242</v>
      </c>
      <c r="E306" s="340" t="s">
        <v>174</v>
      </c>
      <c r="F306" s="340" t="s">
        <v>260</v>
      </c>
      <c r="G306" s="444">
        <v>1198</v>
      </c>
      <c r="H306" s="444">
        <v>1431.3703999999998</v>
      </c>
      <c r="I306" s="444">
        <v>1198</v>
      </c>
      <c r="J306" s="444">
        <v>1431.3703999999998</v>
      </c>
      <c r="K306" s="288"/>
    </row>
    <row r="307" spans="2:11" ht="14.5" outlineLevel="1" x14ac:dyDescent="0.35">
      <c r="B307" s="129">
        <v>62</v>
      </c>
      <c r="C307" s="277" t="s">
        <v>327</v>
      </c>
      <c r="D307" s="340" t="s">
        <v>263</v>
      </c>
      <c r="E307" s="340" t="s">
        <v>174</v>
      </c>
      <c r="F307" s="340" t="s">
        <v>260</v>
      </c>
      <c r="G307" s="444">
        <v>100</v>
      </c>
      <c r="H307" s="444">
        <v>119.47999999999999</v>
      </c>
      <c r="I307" s="444">
        <v>100</v>
      </c>
      <c r="J307" s="444">
        <v>119.47999999999999</v>
      </c>
      <c r="K307" s="288" t="s">
        <v>811</v>
      </c>
    </row>
    <row r="308" spans="2:11" ht="14.5" outlineLevel="1" x14ac:dyDescent="0.35">
      <c r="B308" s="129">
        <v>63</v>
      </c>
      <c r="C308" s="277" t="s">
        <v>328</v>
      </c>
      <c r="D308" s="340" t="s">
        <v>263</v>
      </c>
      <c r="E308" s="340" t="s">
        <v>174</v>
      </c>
      <c r="F308" s="340" t="s">
        <v>260</v>
      </c>
      <c r="G308" s="444">
        <v>150</v>
      </c>
      <c r="H308" s="444">
        <v>179.22</v>
      </c>
      <c r="I308" s="444">
        <v>150</v>
      </c>
      <c r="J308" s="444">
        <v>179.22</v>
      </c>
      <c r="K308" s="288" t="s">
        <v>811</v>
      </c>
    </row>
    <row r="309" spans="2:11" ht="14.5" outlineLevel="1" x14ac:dyDescent="0.35">
      <c r="B309" s="129">
        <v>64</v>
      </c>
      <c r="C309" s="277" t="s">
        <v>329</v>
      </c>
      <c r="D309" s="340" t="s">
        <v>263</v>
      </c>
      <c r="E309" s="340" t="s">
        <v>174</v>
      </c>
      <c r="F309" s="340" t="s">
        <v>260</v>
      </c>
      <c r="G309" s="444">
        <v>300</v>
      </c>
      <c r="H309" s="444">
        <v>358.44</v>
      </c>
      <c r="I309" s="444">
        <v>300</v>
      </c>
      <c r="J309" s="444">
        <v>358.44</v>
      </c>
      <c r="K309" s="288" t="s">
        <v>811</v>
      </c>
    </row>
    <row r="310" spans="2:11" ht="14.5" hidden="1" outlineLevel="1" x14ac:dyDescent="0.35">
      <c r="B310" s="129">
        <v>65</v>
      </c>
      <c r="C310" s="277" t="s">
        <v>330</v>
      </c>
      <c r="D310" s="340" t="s">
        <v>242</v>
      </c>
      <c r="E310" s="340" t="s">
        <v>174</v>
      </c>
      <c r="F310" s="340" t="s">
        <v>260</v>
      </c>
      <c r="G310" s="444">
        <v>149</v>
      </c>
      <c r="H310" s="444">
        <v>178.02519999999998</v>
      </c>
      <c r="I310" s="444">
        <v>149</v>
      </c>
      <c r="J310" s="444">
        <v>178.02519999999998</v>
      </c>
      <c r="K310" s="288"/>
    </row>
    <row r="311" spans="2:11" ht="14.5" outlineLevel="1" x14ac:dyDescent="0.35">
      <c r="B311" s="129">
        <v>66</v>
      </c>
      <c r="C311" s="277" t="s">
        <v>890</v>
      </c>
      <c r="D311" s="340" t="s">
        <v>263</v>
      </c>
      <c r="E311" s="340" t="s">
        <v>241</v>
      </c>
      <c r="F311" s="340" t="s">
        <v>266</v>
      </c>
      <c r="G311" s="444">
        <v>25</v>
      </c>
      <c r="H311" s="444">
        <v>29</v>
      </c>
      <c r="I311" s="444">
        <v>25</v>
      </c>
      <c r="J311" s="444">
        <v>29</v>
      </c>
      <c r="K311" s="288" t="s">
        <v>969</v>
      </c>
    </row>
    <row r="312" spans="2:11" ht="14.5" outlineLevel="1" x14ac:dyDescent="0.35">
      <c r="B312" s="129">
        <v>67</v>
      </c>
      <c r="C312" s="277" t="s">
        <v>891</v>
      </c>
      <c r="D312" s="340" t="s">
        <v>263</v>
      </c>
      <c r="E312" s="340" t="s">
        <v>241</v>
      </c>
      <c r="F312" s="340" t="s">
        <v>266</v>
      </c>
      <c r="G312" s="444">
        <v>102.59</v>
      </c>
      <c r="H312" s="444">
        <v>119</v>
      </c>
      <c r="I312" s="444">
        <v>102.59</v>
      </c>
      <c r="J312" s="444">
        <v>119</v>
      </c>
      <c r="K312" s="288" t="s">
        <v>969</v>
      </c>
    </row>
    <row r="313" spans="2:11" ht="14.5" outlineLevel="1" x14ac:dyDescent="0.35">
      <c r="B313" s="129">
        <v>68</v>
      </c>
      <c r="C313" s="277" t="s">
        <v>892</v>
      </c>
      <c r="D313" s="340" t="s">
        <v>263</v>
      </c>
      <c r="E313" s="340" t="s">
        <v>241</v>
      </c>
      <c r="F313" s="340" t="s">
        <v>266</v>
      </c>
      <c r="G313" s="444">
        <v>180.17</v>
      </c>
      <c r="H313" s="444">
        <v>209</v>
      </c>
      <c r="I313" s="444">
        <v>180.17</v>
      </c>
      <c r="J313" s="444">
        <v>209</v>
      </c>
      <c r="K313" s="288" t="s">
        <v>969</v>
      </c>
    </row>
    <row r="314" spans="2:11" ht="14.5" outlineLevel="1" x14ac:dyDescent="0.35">
      <c r="B314" s="129">
        <v>69</v>
      </c>
      <c r="C314" s="277" t="s">
        <v>893</v>
      </c>
      <c r="D314" s="340" t="s">
        <v>263</v>
      </c>
      <c r="E314" s="340" t="s">
        <v>241</v>
      </c>
      <c r="F314" s="340" t="s">
        <v>266</v>
      </c>
      <c r="G314" s="444">
        <v>42.24</v>
      </c>
      <c r="H314" s="444">
        <v>49</v>
      </c>
      <c r="I314" s="444">
        <v>42.24</v>
      </c>
      <c r="J314" s="444">
        <v>49</v>
      </c>
      <c r="K314" s="288" t="s">
        <v>969</v>
      </c>
    </row>
    <row r="315" spans="2:11" ht="14.5" outlineLevel="1" x14ac:dyDescent="0.35">
      <c r="B315" s="129">
        <v>70</v>
      </c>
      <c r="C315" s="277" t="s">
        <v>894</v>
      </c>
      <c r="D315" s="340" t="s">
        <v>263</v>
      </c>
      <c r="E315" s="340" t="s">
        <v>241</v>
      </c>
      <c r="F315" s="340" t="s">
        <v>266</v>
      </c>
      <c r="G315" s="444">
        <v>128.44999999999999</v>
      </c>
      <c r="H315" s="444">
        <v>149</v>
      </c>
      <c r="I315" s="444">
        <v>128.44999999999999</v>
      </c>
      <c r="J315" s="444">
        <v>149</v>
      </c>
      <c r="K315" s="288" t="s">
        <v>969</v>
      </c>
    </row>
    <row r="316" spans="2:11" ht="14.5" outlineLevel="1" x14ac:dyDescent="0.35">
      <c r="B316" s="129">
        <v>71</v>
      </c>
      <c r="C316" s="277" t="s">
        <v>895</v>
      </c>
      <c r="D316" s="340" t="s">
        <v>263</v>
      </c>
      <c r="E316" s="340" t="s">
        <v>241</v>
      </c>
      <c r="F316" s="340" t="s">
        <v>266</v>
      </c>
      <c r="G316" s="444">
        <v>257.76</v>
      </c>
      <c r="H316" s="444">
        <v>299</v>
      </c>
      <c r="I316" s="444">
        <v>257.76</v>
      </c>
      <c r="J316" s="444">
        <v>299</v>
      </c>
      <c r="K316" s="288" t="s">
        <v>969</v>
      </c>
    </row>
    <row r="317" spans="2:11" ht="14.5" outlineLevel="1" x14ac:dyDescent="0.35">
      <c r="B317" s="129">
        <v>72</v>
      </c>
      <c r="C317" s="277" t="s">
        <v>896</v>
      </c>
      <c r="D317" s="340" t="s">
        <v>263</v>
      </c>
      <c r="E317" s="340" t="s">
        <v>241</v>
      </c>
      <c r="F317" s="340" t="s">
        <v>266</v>
      </c>
      <c r="G317" s="444">
        <v>52.59</v>
      </c>
      <c r="H317" s="444">
        <v>61</v>
      </c>
      <c r="I317" s="444">
        <v>52.59</v>
      </c>
      <c r="J317" s="444">
        <v>61</v>
      </c>
      <c r="K317" s="288" t="s">
        <v>970</v>
      </c>
    </row>
    <row r="318" spans="2:11" ht="14.5" x14ac:dyDescent="0.35">
      <c r="B318" s="129">
        <v>73</v>
      </c>
      <c r="C318" s="277" t="s">
        <v>897</v>
      </c>
      <c r="D318" s="340" t="s">
        <v>263</v>
      </c>
      <c r="E318" s="340" t="s">
        <v>241</v>
      </c>
      <c r="F318" s="340" t="s">
        <v>266</v>
      </c>
      <c r="G318" s="444">
        <v>171.55</v>
      </c>
      <c r="H318" s="444">
        <v>199</v>
      </c>
      <c r="I318" s="444">
        <v>171.55</v>
      </c>
      <c r="J318" s="444">
        <v>199</v>
      </c>
      <c r="K318" s="288" t="s">
        <v>970</v>
      </c>
    </row>
    <row r="319" spans="2:11" ht="14.5" x14ac:dyDescent="0.35">
      <c r="B319" s="129">
        <v>74</v>
      </c>
      <c r="C319" s="277" t="s">
        <v>898</v>
      </c>
      <c r="D319" s="340" t="s">
        <v>263</v>
      </c>
      <c r="E319" s="340" t="s">
        <v>241</v>
      </c>
      <c r="F319" s="340" t="s">
        <v>266</v>
      </c>
      <c r="G319" s="444">
        <v>343.97</v>
      </c>
      <c r="H319" s="444">
        <v>399</v>
      </c>
      <c r="I319" s="444">
        <v>343.97</v>
      </c>
      <c r="J319" s="444">
        <v>399</v>
      </c>
      <c r="K319" s="288" t="s">
        <v>970</v>
      </c>
    </row>
    <row r="320" spans="2:11" ht="14.5" x14ac:dyDescent="0.35">
      <c r="B320" s="129">
        <v>75</v>
      </c>
      <c r="C320" s="277" t="s">
        <v>899</v>
      </c>
      <c r="D320" s="340" t="s">
        <v>240</v>
      </c>
      <c r="E320" s="340" t="s">
        <v>241</v>
      </c>
      <c r="F320" s="340" t="s">
        <v>266</v>
      </c>
      <c r="G320" s="444">
        <v>25</v>
      </c>
      <c r="H320" s="444">
        <v>29</v>
      </c>
      <c r="I320" s="444">
        <v>25</v>
      </c>
      <c r="J320" s="444">
        <v>29</v>
      </c>
      <c r="K320" s="288" t="s">
        <v>971</v>
      </c>
    </row>
    <row r="321" spans="1:143" ht="14.5" x14ac:dyDescent="0.35">
      <c r="B321" s="129">
        <v>76</v>
      </c>
      <c r="C321" s="277" t="s">
        <v>900</v>
      </c>
      <c r="D321" s="340" t="s">
        <v>240</v>
      </c>
      <c r="E321" s="340" t="s">
        <v>241</v>
      </c>
      <c r="F321" s="340" t="s">
        <v>266</v>
      </c>
      <c r="G321" s="444">
        <v>102.59</v>
      </c>
      <c r="H321" s="444">
        <v>119</v>
      </c>
      <c r="I321" s="444">
        <v>102.59</v>
      </c>
      <c r="J321" s="444">
        <v>119</v>
      </c>
      <c r="K321" s="288" t="s">
        <v>971</v>
      </c>
    </row>
    <row r="322" spans="1:143" ht="14.5" x14ac:dyDescent="0.35">
      <c r="B322" s="129">
        <v>77</v>
      </c>
      <c r="C322" s="277" t="s">
        <v>901</v>
      </c>
      <c r="D322" s="340" t="s">
        <v>240</v>
      </c>
      <c r="E322" s="340" t="s">
        <v>241</v>
      </c>
      <c r="F322" s="340" t="s">
        <v>266</v>
      </c>
      <c r="G322" s="444">
        <v>180.17</v>
      </c>
      <c r="H322" s="444">
        <v>209</v>
      </c>
      <c r="I322" s="444">
        <v>180.17</v>
      </c>
      <c r="J322" s="444">
        <v>209</v>
      </c>
      <c r="K322" s="288" t="s">
        <v>971</v>
      </c>
    </row>
    <row r="323" spans="1:143" ht="14.5" x14ac:dyDescent="0.35">
      <c r="B323" s="129">
        <v>78</v>
      </c>
      <c r="C323" s="277" t="s">
        <v>902</v>
      </c>
      <c r="D323" s="340" t="s">
        <v>240</v>
      </c>
      <c r="E323" s="340" t="s">
        <v>241</v>
      </c>
      <c r="F323" s="340" t="s">
        <v>266</v>
      </c>
      <c r="G323" s="444">
        <v>42.24</v>
      </c>
      <c r="H323" s="444">
        <v>49</v>
      </c>
      <c r="I323" s="444">
        <v>42.24</v>
      </c>
      <c r="J323" s="444">
        <v>49</v>
      </c>
      <c r="K323" s="288" t="s">
        <v>971</v>
      </c>
    </row>
    <row r="324" spans="1:143" ht="14.5" x14ac:dyDescent="0.35">
      <c r="B324" s="129">
        <v>79</v>
      </c>
      <c r="C324" s="277" t="s">
        <v>903</v>
      </c>
      <c r="D324" s="340" t="s">
        <v>240</v>
      </c>
      <c r="E324" s="340" t="s">
        <v>241</v>
      </c>
      <c r="F324" s="340" t="s">
        <v>266</v>
      </c>
      <c r="G324" s="444">
        <v>128.44999999999999</v>
      </c>
      <c r="H324" s="444">
        <v>149</v>
      </c>
      <c r="I324" s="444">
        <v>128.44999999999999</v>
      </c>
      <c r="J324" s="444">
        <v>149</v>
      </c>
      <c r="K324" s="288" t="s">
        <v>971</v>
      </c>
    </row>
    <row r="325" spans="1:143" ht="14.5" x14ac:dyDescent="0.35">
      <c r="B325" s="129">
        <v>80</v>
      </c>
      <c r="C325" s="277" t="s">
        <v>904</v>
      </c>
      <c r="D325" s="340" t="s">
        <v>240</v>
      </c>
      <c r="E325" s="340" t="s">
        <v>241</v>
      </c>
      <c r="F325" s="340" t="s">
        <v>266</v>
      </c>
      <c r="G325" s="444">
        <v>257.76</v>
      </c>
      <c r="H325" s="444">
        <v>299</v>
      </c>
      <c r="I325" s="444">
        <v>257.76</v>
      </c>
      <c r="J325" s="444">
        <v>299</v>
      </c>
      <c r="K325" s="288" t="s">
        <v>971</v>
      </c>
    </row>
    <row r="326" spans="1:143" ht="14.5" x14ac:dyDescent="0.35">
      <c r="B326" s="129">
        <v>81</v>
      </c>
      <c r="C326" s="277" t="s">
        <v>905</v>
      </c>
      <c r="D326" s="340" t="s">
        <v>240</v>
      </c>
      <c r="E326" s="340" t="s">
        <v>241</v>
      </c>
      <c r="F326" s="340" t="s">
        <v>266</v>
      </c>
      <c r="G326" s="444">
        <v>52.59</v>
      </c>
      <c r="H326" s="444">
        <v>61</v>
      </c>
      <c r="I326" s="444">
        <v>52.59</v>
      </c>
      <c r="J326" s="444">
        <v>61</v>
      </c>
      <c r="K326" s="288" t="s">
        <v>972</v>
      </c>
    </row>
    <row r="327" spans="1:143" ht="14.5" x14ac:dyDescent="0.35">
      <c r="B327" s="129">
        <v>82</v>
      </c>
      <c r="C327" s="277" t="s">
        <v>906</v>
      </c>
      <c r="D327" s="340" t="s">
        <v>240</v>
      </c>
      <c r="E327" s="340" t="s">
        <v>241</v>
      </c>
      <c r="F327" s="340" t="s">
        <v>266</v>
      </c>
      <c r="G327" s="444">
        <v>171.55</v>
      </c>
      <c r="H327" s="444">
        <v>199</v>
      </c>
      <c r="I327" s="444">
        <v>171.55</v>
      </c>
      <c r="J327" s="444">
        <v>199</v>
      </c>
      <c r="K327" s="288" t="s">
        <v>972</v>
      </c>
    </row>
    <row r="328" spans="1:143" ht="14.5" x14ac:dyDescent="0.35">
      <c r="B328" s="129">
        <v>83</v>
      </c>
      <c r="C328" s="277" t="s">
        <v>907</v>
      </c>
      <c r="D328" s="340" t="s">
        <v>240</v>
      </c>
      <c r="E328" s="340" t="s">
        <v>241</v>
      </c>
      <c r="F328" s="340" t="s">
        <v>266</v>
      </c>
      <c r="G328" s="444">
        <v>343.97</v>
      </c>
      <c r="H328" s="444">
        <v>399</v>
      </c>
      <c r="I328" s="444">
        <v>343.97</v>
      </c>
      <c r="J328" s="444">
        <v>399</v>
      </c>
      <c r="K328" s="288" t="s">
        <v>972</v>
      </c>
    </row>
    <row r="329" spans="1:143" ht="14.5" hidden="1" x14ac:dyDescent="0.35">
      <c r="B329" s="129">
        <v>84</v>
      </c>
      <c r="C329" s="277" t="s">
        <v>252</v>
      </c>
      <c r="D329" s="339" t="s">
        <v>374</v>
      </c>
      <c r="E329" s="339" t="s">
        <v>375</v>
      </c>
      <c r="F329" s="339" t="s">
        <v>1051</v>
      </c>
      <c r="G329" s="345"/>
      <c r="H329" s="345"/>
      <c r="I329" s="345"/>
      <c r="J329" s="345"/>
      <c r="K329" s="345"/>
    </row>
    <row r="330" spans="1:143" s="263" customFormat="1" hidden="1" x14ac:dyDescent="0.25">
      <c r="B330" s="262"/>
      <c r="C330" s="290" t="s">
        <v>1141</v>
      </c>
      <c r="D330" s="289"/>
      <c r="E330" s="289"/>
      <c r="F330" s="262"/>
      <c r="G330" s="262"/>
      <c r="H330" s="262"/>
      <c r="I330" s="262"/>
      <c r="J330" s="262"/>
      <c r="K330" s="262"/>
      <c r="L330" s="262"/>
      <c r="M330" s="262"/>
      <c r="N330" s="262"/>
      <c r="O330" s="262"/>
      <c r="P330" s="262"/>
      <c r="Q330" s="262"/>
      <c r="R330" s="262"/>
      <c r="S330" s="262"/>
      <c r="T330" s="262"/>
      <c r="U330" s="262"/>
      <c r="V330" s="262"/>
      <c r="W330" s="262"/>
      <c r="X330" s="262"/>
      <c r="Y330" s="262"/>
      <c r="Z330" s="262"/>
      <c r="AA330" s="262"/>
      <c r="AB330" s="262"/>
      <c r="AC330" s="262"/>
      <c r="AD330" s="262"/>
      <c r="AE330" s="262"/>
      <c r="AF330" s="262"/>
      <c r="AG330" s="262"/>
      <c r="AH330" s="262"/>
      <c r="AI330" s="262"/>
      <c r="AJ330" s="262"/>
      <c r="AK330" s="262"/>
      <c r="AL330" s="262"/>
      <c r="AM330" s="262"/>
      <c r="AN330" s="262"/>
      <c r="AO330" s="262"/>
      <c r="AP330" s="262"/>
      <c r="AQ330" s="262"/>
      <c r="AR330" s="262"/>
      <c r="AS330" s="262"/>
      <c r="AT330" s="262"/>
      <c r="AU330" s="262"/>
      <c r="AV330" s="262"/>
      <c r="AW330" s="262"/>
      <c r="AX330" s="262"/>
      <c r="AY330" s="262"/>
      <c r="AZ330" s="262"/>
      <c r="BA330" s="262"/>
      <c r="BB330" s="262"/>
      <c r="BC330" s="262"/>
      <c r="BD330" s="262"/>
      <c r="BE330" s="262"/>
      <c r="BF330" s="262"/>
      <c r="BG330" s="262"/>
      <c r="BH330" s="262"/>
      <c r="BI330" s="262"/>
      <c r="BJ330" s="262"/>
      <c r="BK330" s="262"/>
      <c r="BL330" s="262"/>
      <c r="BM330" s="262"/>
      <c r="BN330" s="262"/>
      <c r="BO330" s="262"/>
      <c r="BP330" s="262"/>
      <c r="BQ330" s="262"/>
      <c r="BR330" s="262"/>
      <c r="BS330" s="262"/>
      <c r="BT330" s="262"/>
      <c r="BU330" s="262"/>
      <c r="BV330" s="262"/>
      <c r="BW330" s="262"/>
      <c r="BX330" s="262"/>
      <c r="BY330" s="262"/>
      <c r="BZ330" s="262"/>
      <c r="CA330" s="262"/>
      <c r="CB330" s="262"/>
      <c r="CC330" s="262"/>
      <c r="CD330" s="262"/>
      <c r="CE330" s="262"/>
      <c r="CF330" s="262"/>
      <c r="CG330" s="262"/>
      <c r="CH330" s="430"/>
      <c r="CI330" s="430"/>
      <c r="CJ330" s="430"/>
      <c r="CK330" s="430"/>
      <c r="CL330" s="430"/>
      <c r="CM330" s="430"/>
      <c r="CN330" s="430"/>
      <c r="CO330" s="430"/>
      <c r="CP330" s="430"/>
      <c r="CQ330" s="430"/>
      <c r="CR330" s="430"/>
      <c r="CS330" s="430"/>
      <c r="CT330" s="430"/>
      <c r="CU330" s="430"/>
      <c r="CV330" s="430"/>
      <c r="CW330" s="430"/>
      <c r="CX330" s="430"/>
      <c r="CY330" s="430"/>
      <c r="CZ330" s="430"/>
      <c r="DA330" s="430"/>
      <c r="DB330" s="430"/>
      <c r="DC330" s="430"/>
      <c r="DD330" s="430"/>
      <c r="DE330" s="430"/>
      <c r="DF330" s="430"/>
      <c r="DG330" s="430"/>
      <c r="DH330" s="430"/>
      <c r="DI330" s="430"/>
      <c r="DJ330" s="430"/>
      <c r="DK330" s="430"/>
      <c r="DL330" s="430"/>
      <c r="DM330" s="262"/>
      <c r="DN330" s="262"/>
      <c r="DO330" s="262"/>
      <c r="DP330" s="262"/>
      <c r="DQ330" s="262"/>
      <c r="DR330" s="262"/>
      <c r="DS330" s="262"/>
      <c r="DT330" s="262"/>
      <c r="DU330" s="262"/>
      <c r="DV330" s="262"/>
      <c r="DW330" s="262"/>
      <c r="DX330" s="262"/>
      <c r="DY330" s="262"/>
      <c r="DZ330" s="262"/>
      <c r="EA330" s="262"/>
      <c r="EB330" s="262"/>
      <c r="EC330" s="262"/>
      <c r="ED330" s="262"/>
      <c r="EE330" s="262"/>
      <c r="EF330" s="262"/>
      <c r="EG330" s="262"/>
      <c r="EH330" s="262"/>
      <c r="EI330" s="262"/>
      <c r="EJ330" s="262"/>
      <c r="EK330" s="262"/>
      <c r="EL330" s="262"/>
      <c r="EM330" s="262"/>
    </row>
    <row r="331" spans="1:143" hidden="1" x14ac:dyDescent="0.25">
      <c r="C331" s="262" t="s">
        <v>290</v>
      </c>
    </row>
    <row r="332" spans="1:143" hidden="1" x14ac:dyDescent="0.25">
      <c r="C332" s="120" t="s">
        <v>291</v>
      </c>
    </row>
    <row r="333" spans="1:143" hidden="1" x14ac:dyDescent="0.25">
      <c r="C333" s="445" t="s">
        <v>1142</v>
      </c>
    </row>
    <row r="334" spans="1:143" ht="15.5" hidden="1" x14ac:dyDescent="0.25">
      <c r="A334" s="429">
        <v>2</v>
      </c>
      <c r="B334" s="429" t="s">
        <v>1143</v>
      </c>
      <c r="C334" s="429"/>
      <c r="D334" s="430"/>
      <c r="E334" s="430"/>
      <c r="F334" s="430"/>
      <c r="G334" s="430"/>
      <c r="H334" s="430"/>
      <c r="I334" s="430"/>
      <c r="J334" s="430"/>
      <c r="K334" s="430"/>
      <c r="L334" s="430"/>
      <c r="M334" s="430"/>
      <c r="N334" s="430"/>
      <c r="O334" s="430"/>
      <c r="P334" s="430"/>
      <c r="Q334" s="430"/>
      <c r="R334" s="430"/>
      <c r="S334" s="430"/>
      <c r="T334" s="430"/>
      <c r="U334" s="430"/>
      <c r="V334" s="430"/>
      <c r="W334" s="430"/>
      <c r="X334" s="430"/>
      <c r="Y334" s="430"/>
      <c r="Z334" s="430"/>
      <c r="AA334" s="430"/>
      <c r="AB334" s="430"/>
      <c r="AC334" s="430"/>
      <c r="AD334" s="430"/>
      <c r="AE334" s="430"/>
      <c r="AF334" s="430"/>
      <c r="AG334" s="430"/>
      <c r="AH334" s="430"/>
      <c r="AI334" s="430"/>
      <c r="AJ334" s="430"/>
      <c r="AK334" s="430"/>
      <c r="AL334" s="430"/>
      <c r="AM334" s="430"/>
      <c r="AN334" s="430"/>
      <c r="AO334" s="430"/>
      <c r="AP334" s="430"/>
      <c r="AQ334" s="430"/>
      <c r="AR334" s="430"/>
      <c r="AS334" s="430"/>
      <c r="AT334" s="430"/>
      <c r="AU334" s="430"/>
      <c r="AV334" s="430"/>
      <c r="AW334" s="430"/>
      <c r="AX334" s="430"/>
      <c r="AY334" s="430"/>
      <c r="AZ334" s="430"/>
      <c r="BA334" s="430"/>
      <c r="BB334" s="430"/>
      <c r="BC334" s="430"/>
      <c r="BD334" s="430"/>
      <c r="BE334" s="430"/>
      <c r="BF334" s="430"/>
      <c r="BG334" s="430"/>
      <c r="BH334" s="430"/>
      <c r="BI334" s="430"/>
      <c r="BJ334" s="430"/>
      <c r="BK334" s="430"/>
      <c r="BL334" s="430"/>
      <c r="BM334" s="430"/>
      <c r="BN334" s="430"/>
      <c r="BO334" s="430"/>
      <c r="BP334" s="430"/>
      <c r="BQ334" s="430"/>
      <c r="BR334" s="430"/>
      <c r="BS334" s="430"/>
      <c r="BT334" s="430"/>
      <c r="BU334" s="430"/>
      <c r="BV334" s="430"/>
    </row>
    <row r="335" spans="1:143" collapsed="1" x14ac:dyDescent="0.25">
      <c r="C335" s="120"/>
      <c r="D335" s="120"/>
      <c r="E335" s="120"/>
    </row>
    <row r="336" spans="1:143" ht="14.5" x14ac:dyDescent="0.35">
      <c r="B336" s="129"/>
      <c r="C336" s="120"/>
      <c r="D336" s="120"/>
      <c r="E336" s="120"/>
    </row>
    <row r="337" spans="1:143" ht="15.5" x14ac:dyDescent="0.35">
      <c r="B337" s="129"/>
      <c r="C337" s="37" t="s">
        <v>1144</v>
      </c>
    </row>
    <row r="338" spans="1:143" ht="14.5" x14ac:dyDescent="0.35">
      <c r="B338" s="129"/>
    </row>
    <row r="339" spans="1:143" ht="15.5" x14ac:dyDescent="0.35">
      <c r="B339" s="129"/>
      <c r="C339" s="37" t="s">
        <v>1145</v>
      </c>
    </row>
    <row r="340" spans="1:143" ht="14.5" customHeight="1" outlineLevel="1" x14ac:dyDescent="0.35">
      <c r="B340" s="129"/>
      <c r="C340" s="513" t="s">
        <v>1146</v>
      </c>
      <c r="D340" s="514"/>
      <c r="E340" s="514"/>
      <c r="F340" s="514"/>
      <c r="G340" s="515"/>
      <c r="BW340" s="263"/>
    </row>
    <row r="341" spans="1:143" ht="14.5" customHeight="1" outlineLevel="1" x14ac:dyDescent="0.35">
      <c r="B341" s="129"/>
      <c r="C341" s="513" t="s">
        <v>1147</v>
      </c>
      <c r="D341" s="514"/>
      <c r="E341" s="514"/>
      <c r="F341" s="514"/>
      <c r="G341" s="515"/>
    </row>
    <row r="342" spans="1:143" ht="14.5" customHeight="1" outlineLevel="1" x14ac:dyDescent="0.35">
      <c r="B342" s="129"/>
      <c r="C342" s="513" t="s">
        <v>1148</v>
      </c>
      <c r="D342" s="514"/>
      <c r="E342" s="514"/>
      <c r="F342" s="514"/>
      <c r="G342" s="515"/>
      <c r="BX342" s="263"/>
      <c r="BY342" s="263"/>
      <c r="BZ342" s="263"/>
      <c r="CA342" s="263"/>
      <c r="CB342" s="263"/>
      <c r="CC342" s="263"/>
      <c r="CD342" s="263"/>
      <c r="CE342" s="263"/>
      <c r="CF342" s="263"/>
      <c r="CG342" s="263"/>
    </row>
    <row r="343" spans="1:143" ht="14.5" customHeight="1" outlineLevel="1" x14ac:dyDescent="0.35">
      <c r="B343" s="129"/>
    </row>
    <row r="344" spans="1:143" ht="14.5" customHeight="1" outlineLevel="1" x14ac:dyDescent="0.35">
      <c r="B344" s="129"/>
      <c r="C344" s="102" t="s">
        <v>331</v>
      </c>
      <c r="AS344" s="516"/>
      <c r="AT344" s="516"/>
      <c r="AU344" s="516"/>
      <c r="AV344" s="516"/>
      <c r="AW344" s="516"/>
      <c r="AX344" s="516"/>
      <c r="AY344" s="516"/>
      <c r="AZ344" s="516"/>
      <c r="BA344" s="516"/>
      <c r="BB344" s="516"/>
      <c r="BC344" s="516"/>
      <c r="BD344" s="516"/>
      <c r="BE344" s="516"/>
      <c r="BF344" s="516"/>
      <c r="BG344" s="516"/>
      <c r="BH344" s="516"/>
      <c r="BI344" s="516"/>
      <c r="BJ344" s="516"/>
      <c r="BK344" s="516"/>
      <c r="BL344" s="516"/>
      <c r="BM344" s="516"/>
      <c r="BN344" s="516"/>
      <c r="BO344" s="516"/>
      <c r="CH344" s="263"/>
      <c r="CI344" s="263"/>
      <c r="CJ344" s="263"/>
      <c r="CK344" s="263"/>
      <c r="CL344" s="263"/>
      <c r="CM344" s="263"/>
      <c r="CN344" s="263"/>
      <c r="CO344" s="263"/>
      <c r="CP344" s="263"/>
      <c r="CQ344" s="263"/>
      <c r="CR344" s="263"/>
      <c r="CS344" s="263"/>
      <c r="CT344" s="263"/>
      <c r="CU344" s="263"/>
      <c r="CV344" s="263"/>
      <c r="CW344" s="263"/>
      <c r="CX344" s="263"/>
      <c r="CY344" s="263"/>
      <c r="CZ344" s="263"/>
      <c r="DA344" s="263"/>
      <c r="DB344" s="263"/>
      <c r="DC344" s="263"/>
      <c r="DD344" s="263"/>
      <c r="DE344" s="263"/>
      <c r="DF344" s="263"/>
      <c r="DG344" s="263"/>
      <c r="DH344" s="263"/>
      <c r="DI344" s="263"/>
      <c r="DJ344" s="263"/>
      <c r="DK344" s="263"/>
      <c r="DL344" s="263"/>
      <c r="DM344" s="263"/>
      <c r="DN344" s="263"/>
      <c r="DO344" s="263"/>
      <c r="DP344" s="263"/>
      <c r="DQ344" s="263"/>
      <c r="DR344" s="263"/>
      <c r="DS344" s="263"/>
      <c r="DT344" s="263"/>
      <c r="DU344" s="263"/>
      <c r="DV344" s="263"/>
      <c r="DW344" s="263"/>
      <c r="DX344" s="263"/>
      <c r="DY344" s="263"/>
      <c r="DZ344" s="263"/>
      <c r="EA344" s="263"/>
      <c r="EB344" s="263"/>
      <c r="EC344" s="263"/>
      <c r="ED344" s="263"/>
      <c r="EE344" s="263"/>
      <c r="EF344" s="263"/>
      <c r="EG344" s="263"/>
      <c r="EH344" s="263"/>
      <c r="EI344" s="263"/>
      <c r="EJ344" s="263"/>
      <c r="EK344" s="263"/>
      <c r="EL344" s="263"/>
      <c r="EM344" s="263"/>
    </row>
    <row r="345" spans="1:143" ht="14.5" customHeight="1" outlineLevel="1" x14ac:dyDescent="0.35">
      <c r="B345" s="129"/>
      <c r="C345" s="446">
        <v>2021</v>
      </c>
      <c r="F345" s="127"/>
      <c r="G345" s="127"/>
      <c r="H345" s="127"/>
      <c r="I345" s="127"/>
      <c r="J345" s="127"/>
      <c r="K345" s="127"/>
      <c r="L345" s="127"/>
      <c r="M345" s="127"/>
      <c r="N345" s="127"/>
      <c r="O345" s="127"/>
      <c r="P345" s="127"/>
      <c r="Q345" s="127"/>
      <c r="R345" s="127"/>
      <c r="S345" s="127"/>
      <c r="T345" s="127"/>
      <c r="U345" s="127"/>
      <c r="V345" s="127"/>
      <c r="W345" s="127"/>
      <c r="X345" s="127"/>
      <c r="Y345" s="127"/>
      <c r="Z345" s="127"/>
      <c r="AA345" s="127"/>
      <c r="AB345" s="127"/>
      <c r="AC345" s="127"/>
      <c r="AD345" s="127"/>
      <c r="AE345" s="127"/>
      <c r="AF345" s="127"/>
      <c r="AG345" s="127"/>
      <c r="AH345" s="127"/>
      <c r="AI345" s="127"/>
      <c r="AJ345" s="127"/>
      <c r="AK345" s="127"/>
      <c r="AL345" s="127"/>
      <c r="AM345" s="127"/>
      <c r="AN345" s="127"/>
      <c r="AW345" s="517"/>
      <c r="AX345" s="517"/>
      <c r="AY345" s="517"/>
      <c r="AZ345" s="517"/>
      <c r="BA345" s="517"/>
      <c r="BB345" s="517"/>
      <c r="BC345" s="517"/>
      <c r="BD345" s="517"/>
      <c r="BE345" s="517"/>
      <c r="BF345" s="517"/>
      <c r="BG345" s="517"/>
      <c r="BH345" s="517"/>
      <c r="BI345" s="517"/>
      <c r="BJ345" s="517"/>
      <c r="BK345" s="517"/>
      <c r="BL345" s="517"/>
      <c r="BM345" s="517"/>
      <c r="BN345" s="517"/>
      <c r="BO345" s="517"/>
    </row>
    <row r="346" spans="1:143" ht="14.5" customHeight="1" outlineLevel="1" thickBot="1" x14ac:dyDescent="0.4">
      <c r="B346" s="129"/>
      <c r="C346" s="126"/>
      <c r="F346" s="518" t="s">
        <v>332</v>
      </c>
      <c r="G346" s="519"/>
      <c r="H346" s="519"/>
      <c r="I346" s="519"/>
      <c r="J346" s="519"/>
      <c r="K346" s="519"/>
      <c r="L346" s="519"/>
      <c r="M346" s="519"/>
      <c r="N346" s="519"/>
      <c r="O346" s="519"/>
      <c r="P346" s="519"/>
      <c r="Q346" s="519"/>
      <c r="R346" s="519"/>
      <c r="S346" s="519"/>
      <c r="T346" s="519"/>
      <c r="U346" s="519"/>
      <c r="V346" s="519"/>
      <c r="W346" s="519"/>
      <c r="X346" s="519"/>
      <c r="Y346" s="519"/>
      <c r="Z346" s="519"/>
      <c r="AA346" s="519"/>
      <c r="AB346" s="519"/>
      <c r="AC346" s="519"/>
      <c r="AD346" s="519"/>
      <c r="AE346" s="519"/>
      <c r="AF346" s="519"/>
      <c r="AG346" s="519"/>
      <c r="AH346" s="519"/>
      <c r="AI346" s="519"/>
      <c r="AJ346" s="519"/>
      <c r="AK346" s="519"/>
      <c r="AL346" s="519"/>
      <c r="AM346" s="519"/>
      <c r="AN346" s="519"/>
      <c r="AO346" s="519"/>
      <c r="AP346" s="519"/>
      <c r="AQ346" s="519"/>
      <c r="AR346" s="519"/>
      <c r="AS346" s="519"/>
      <c r="AT346" s="519"/>
      <c r="AU346" s="519"/>
      <c r="AV346" s="519"/>
      <c r="AW346" s="519"/>
      <c r="AX346" s="519"/>
      <c r="AY346" s="520"/>
      <c r="AZ346" s="520"/>
      <c r="BA346" s="520"/>
      <c r="BB346" s="520"/>
      <c r="BC346" s="520"/>
      <c r="BD346" s="520"/>
      <c r="BE346" s="520"/>
      <c r="BF346" s="521"/>
      <c r="BG346" s="521"/>
      <c r="BH346" s="521"/>
      <c r="BI346" s="521"/>
      <c r="BJ346" s="521"/>
      <c r="BK346" s="521"/>
      <c r="BL346" s="521"/>
      <c r="BM346" s="521"/>
      <c r="BN346" s="521"/>
      <c r="BO346" s="521"/>
    </row>
    <row r="347" spans="1:143" ht="20.5" outlineLevel="1" thickBot="1" x14ac:dyDescent="0.4">
      <c r="B347" s="129"/>
      <c r="C347" s="126"/>
      <c r="F347" s="522" t="s">
        <v>987</v>
      </c>
      <c r="G347" s="523"/>
      <c r="H347" s="760" t="s">
        <v>1149</v>
      </c>
      <c r="I347" s="761"/>
      <c r="J347" s="760" t="s">
        <v>623</v>
      </c>
      <c r="K347" s="762"/>
      <c r="L347" s="761"/>
      <c r="M347" s="763" t="s">
        <v>1150</v>
      </c>
      <c r="N347" s="764"/>
      <c r="O347" s="763" t="s">
        <v>1151</v>
      </c>
      <c r="P347" s="764"/>
      <c r="Q347" s="764"/>
      <c r="R347" s="764"/>
      <c r="S347" s="764"/>
      <c r="T347" s="764"/>
      <c r="U347" s="760" t="s">
        <v>1152</v>
      </c>
      <c r="V347" s="762"/>
      <c r="W347" s="762"/>
      <c r="X347" s="762"/>
      <c r="Y347" s="762"/>
      <c r="Z347" s="762"/>
      <c r="AA347" s="762"/>
      <c r="AB347" s="762"/>
      <c r="AC347" s="765"/>
      <c r="AD347" s="766" t="s">
        <v>1153</v>
      </c>
      <c r="AE347" s="767"/>
      <c r="AF347" s="767"/>
      <c r="AG347" s="767"/>
      <c r="AH347" s="767"/>
      <c r="AI347" s="767"/>
      <c r="AJ347" s="767"/>
      <c r="AK347" s="768"/>
      <c r="AL347" s="524"/>
      <c r="AM347" s="525"/>
      <c r="AN347" s="525"/>
      <c r="AO347" s="526"/>
      <c r="AP347" s="526"/>
      <c r="AQ347" s="526"/>
      <c r="AR347" s="526"/>
      <c r="AS347" s="526"/>
      <c r="AT347" s="526"/>
      <c r="AU347" s="524" t="s">
        <v>333</v>
      </c>
      <c r="AV347" s="526"/>
      <c r="AW347" s="526"/>
      <c r="AX347" s="526"/>
      <c r="AY347" s="527" t="s">
        <v>1154</v>
      </c>
      <c r="AZ347" s="528"/>
      <c r="BA347" s="528"/>
      <c r="BB347" s="529"/>
      <c r="BC347" s="530" t="s">
        <v>1155</v>
      </c>
      <c r="BD347" s="531"/>
      <c r="BE347" s="531"/>
      <c r="BF347" s="531"/>
      <c r="BG347" s="531"/>
      <c r="BH347" s="531"/>
      <c r="BI347" s="531"/>
      <c r="BJ347" s="289"/>
      <c r="BK347" s="289"/>
      <c r="BL347" s="289"/>
      <c r="BM347" s="289"/>
      <c r="BN347" s="289"/>
      <c r="BO347" s="289"/>
    </row>
    <row r="348" spans="1:143" ht="57.5" outlineLevel="1" x14ac:dyDescent="0.25">
      <c r="B348" s="532"/>
      <c r="C348" s="533" t="s">
        <v>252</v>
      </c>
      <c r="D348" s="533" t="s">
        <v>253</v>
      </c>
      <c r="E348" s="533" t="s">
        <v>254</v>
      </c>
      <c r="F348" s="534" t="s">
        <v>334</v>
      </c>
      <c r="G348" s="534" t="s">
        <v>335</v>
      </c>
      <c r="H348" s="534" t="s">
        <v>336</v>
      </c>
      <c r="I348" s="534" t="s">
        <v>337</v>
      </c>
      <c r="J348" s="534" t="s">
        <v>338</v>
      </c>
      <c r="K348" s="535" t="s">
        <v>339</v>
      </c>
      <c r="L348" s="535" t="s">
        <v>1156</v>
      </c>
      <c r="M348" s="536" t="s">
        <v>340</v>
      </c>
      <c r="N348" s="535" t="s">
        <v>341</v>
      </c>
      <c r="O348" s="533" t="s">
        <v>605</v>
      </c>
      <c r="P348" s="534" t="s">
        <v>916</v>
      </c>
      <c r="Q348" s="533" t="s">
        <v>1157</v>
      </c>
      <c r="R348" s="534" t="s">
        <v>1158</v>
      </c>
      <c r="S348" s="533" t="s">
        <v>1159</v>
      </c>
      <c r="T348" s="534" t="s">
        <v>1160</v>
      </c>
      <c r="U348" s="534" t="s">
        <v>1161</v>
      </c>
      <c r="V348" s="534" t="s">
        <v>1162</v>
      </c>
      <c r="W348" s="534" t="s">
        <v>1163</v>
      </c>
      <c r="X348" s="534" t="s">
        <v>1164</v>
      </c>
      <c r="Y348" s="534" t="s">
        <v>1162</v>
      </c>
      <c r="Z348" s="534" t="s">
        <v>570</v>
      </c>
      <c r="AA348" s="534" t="s">
        <v>1165</v>
      </c>
      <c r="AB348" s="534" t="s">
        <v>1162</v>
      </c>
      <c r="AC348" s="534" t="s">
        <v>1166</v>
      </c>
      <c r="AD348" s="534" t="s">
        <v>1167</v>
      </c>
      <c r="AE348" s="534" t="s">
        <v>1168</v>
      </c>
      <c r="AF348" s="534" t="s">
        <v>1169</v>
      </c>
      <c r="AG348" s="534" t="s">
        <v>1170</v>
      </c>
      <c r="AH348" s="534" t="s">
        <v>1171</v>
      </c>
      <c r="AI348" s="534" t="s">
        <v>1172</v>
      </c>
      <c r="AJ348" s="534" t="s">
        <v>1173</v>
      </c>
      <c r="AK348" s="534" t="s">
        <v>1174</v>
      </c>
      <c r="AL348" s="534" t="s">
        <v>1175</v>
      </c>
      <c r="AM348" s="534" t="s">
        <v>1176</v>
      </c>
      <c r="AN348" s="534" t="s">
        <v>1177</v>
      </c>
      <c r="AO348" s="534" t="s">
        <v>1178</v>
      </c>
      <c r="AP348" s="534" t="s">
        <v>1179</v>
      </c>
      <c r="AQ348" s="534" t="s">
        <v>1180</v>
      </c>
      <c r="AR348" s="534" t="s">
        <v>1181</v>
      </c>
      <c r="AS348" s="534" t="s">
        <v>973</v>
      </c>
      <c r="AT348" s="534" t="s">
        <v>1182</v>
      </c>
      <c r="AU348" s="534" t="s">
        <v>343</v>
      </c>
      <c r="AV348" s="534" t="s">
        <v>344</v>
      </c>
      <c r="AW348" s="534" t="s">
        <v>345</v>
      </c>
      <c r="AX348" s="537" t="s">
        <v>909</v>
      </c>
      <c r="AY348" s="538" t="s">
        <v>991</v>
      </c>
      <c r="AZ348" s="539" t="s">
        <v>1183</v>
      </c>
      <c r="BA348" s="539" t="s">
        <v>1184</v>
      </c>
      <c r="BB348" s="539" t="s">
        <v>1185</v>
      </c>
      <c r="BC348" s="539" t="s">
        <v>1186</v>
      </c>
      <c r="BD348" s="539" t="s">
        <v>1187</v>
      </c>
      <c r="BE348" s="539" t="s">
        <v>1188</v>
      </c>
      <c r="BF348" s="539" t="s">
        <v>1189</v>
      </c>
      <c r="BG348" s="539" t="s">
        <v>1190</v>
      </c>
      <c r="BH348" s="539" t="s">
        <v>1190</v>
      </c>
      <c r="BI348" s="539" t="s">
        <v>1191</v>
      </c>
      <c r="BJ348" s="540" t="s">
        <v>1192</v>
      </c>
      <c r="BK348" s="540" t="s">
        <v>1193</v>
      </c>
      <c r="BL348" s="539" t="s">
        <v>1194</v>
      </c>
      <c r="BM348" s="540" t="s">
        <v>1195</v>
      </c>
      <c r="BN348" s="540" t="s">
        <v>1196</v>
      </c>
      <c r="BO348" s="540" t="s">
        <v>1197</v>
      </c>
      <c r="BP348" s="263"/>
      <c r="BQ348" s="263"/>
      <c r="BR348" s="263"/>
      <c r="BS348" s="263"/>
      <c r="BT348" s="263"/>
      <c r="BU348" s="263"/>
      <c r="BV348" s="263"/>
      <c r="BW348" s="263"/>
      <c r="BX348" s="263"/>
      <c r="BY348" s="263"/>
      <c r="BZ348" s="263"/>
      <c r="CA348" s="263"/>
      <c r="CB348" s="263"/>
      <c r="CC348" s="263"/>
      <c r="CD348" s="263"/>
      <c r="CE348" s="263"/>
    </row>
    <row r="349" spans="1:143" ht="14.5" outlineLevel="1" x14ac:dyDescent="0.35">
      <c r="A349" s="316"/>
      <c r="B349" s="129">
        <v>1</v>
      </c>
      <c r="C349" s="434" t="s">
        <v>415</v>
      </c>
      <c r="D349" s="340" t="s">
        <v>240</v>
      </c>
      <c r="E349" s="340" t="s">
        <v>241</v>
      </c>
      <c r="F349" s="288">
        <v>300.86</v>
      </c>
      <c r="G349" s="435">
        <v>348.99759999999998</v>
      </c>
      <c r="H349" s="541"/>
      <c r="I349" s="541"/>
      <c r="J349" s="541"/>
      <c r="K349" s="541"/>
      <c r="L349" s="541"/>
      <c r="M349" s="541"/>
      <c r="N349" s="541"/>
      <c r="O349" s="288" t="s">
        <v>353</v>
      </c>
      <c r="P349" s="288" t="s">
        <v>360</v>
      </c>
      <c r="Q349" s="501" t="s">
        <v>1018</v>
      </c>
      <c r="R349" s="345" t="s">
        <v>1198</v>
      </c>
      <c r="S349" s="345">
        <v>30</v>
      </c>
      <c r="T349" s="345"/>
      <c r="U349" s="541"/>
      <c r="V349" s="541"/>
      <c r="W349" s="541"/>
      <c r="X349" s="345" t="s">
        <v>1019</v>
      </c>
      <c r="Y349" s="341" t="s">
        <v>1199</v>
      </c>
      <c r="Z349" s="288" t="s">
        <v>349</v>
      </c>
      <c r="AA349" s="541"/>
      <c r="AB349" s="541"/>
      <c r="AC349" s="541"/>
      <c r="AD349" s="288" t="s">
        <v>347</v>
      </c>
      <c r="AE349" s="541"/>
      <c r="AF349" s="288" t="s">
        <v>910</v>
      </c>
      <c r="AG349" s="288" t="s">
        <v>348</v>
      </c>
      <c r="AH349" s="541"/>
      <c r="AI349" s="288" t="s">
        <v>358</v>
      </c>
      <c r="AJ349" s="288" t="s">
        <v>350</v>
      </c>
      <c r="AK349" s="541"/>
      <c r="AL349" s="541"/>
      <c r="AM349" s="541"/>
      <c r="AN349" s="288"/>
      <c r="AO349" s="288"/>
      <c r="AP349" s="288"/>
      <c r="AQ349" s="288"/>
      <c r="AR349" s="288"/>
      <c r="AS349" s="288"/>
      <c r="AT349" s="541"/>
      <c r="AU349" s="448"/>
      <c r="AV349" s="448"/>
      <c r="AW349" s="448"/>
      <c r="AX349" s="448"/>
      <c r="AY349" s="345" t="s">
        <v>1018</v>
      </c>
      <c r="AZ349" s="288">
        <v>0</v>
      </c>
      <c r="BA349" s="288">
        <v>0</v>
      </c>
      <c r="BB349" s="288">
        <v>0</v>
      </c>
      <c r="BC349" s="288">
        <v>0</v>
      </c>
      <c r="BD349" s="288">
        <v>0</v>
      </c>
      <c r="BE349" s="288">
        <v>0</v>
      </c>
      <c r="BF349" s="288">
        <v>0</v>
      </c>
      <c r="BG349" s="448"/>
      <c r="BH349" s="448"/>
      <c r="BI349" s="345" t="s">
        <v>1018</v>
      </c>
      <c r="BJ349" s="499"/>
      <c r="BK349" s="499"/>
      <c r="BL349" s="345" t="s">
        <v>1018</v>
      </c>
      <c r="BM349" s="499"/>
      <c r="BN349" s="499"/>
      <c r="BO349" s="499"/>
    </row>
    <row r="350" spans="1:143" ht="14.5" outlineLevel="1" x14ac:dyDescent="0.35">
      <c r="A350" s="316"/>
      <c r="B350" s="129">
        <v>2</v>
      </c>
      <c r="C350" s="434" t="s">
        <v>815</v>
      </c>
      <c r="D350" s="340" t="s">
        <v>240</v>
      </c>
      <c r="E350" s="340" t="s">
        <v>241</v>
      </c>
      <c r="F350" s="435">
        <v>775</v>
      </c>
      <c r="G350" s="435">
        <v>898.99999999999989</v>
      </c>
      <c r="H350" s="541"/>
      <c r="I350" s="541"/>
      <c r="J350" s="541"/>
      <c r="K350" s="541"/>
      <c r="L350" s="541"/>
      <c r="M350" s="541"/>
      <c r="N350" s="541"/>
      <c r="O350" s="288" t="s">
        <v>359</v>
      </c>
      <c r="P350" s="288" t="s">
        <v>354</v>
      </c>
      <c r="Q350" s="501" t="s">
        <v>1018</v>
      </c>
      <c r="R350" s="345"/>
      <c r="S350" s="345"/>
      <c r="T350" s="345"/>
      <c r="U350" s="541"/>
      <c r="V350" s="541"/>
      <c r="W350" s="541"/>
      <c r="X350" s="345" t="s">
        <v>1019</v>
      </c>
      <c r="Y350" s="288" t="s">
        <v>910</v>
      </c>
      <c r="Z350" s="288" t="s">
        <v>349</v>
      </c>
      <c r="AA350" s="541"/>
      <c r="AB350" s="541"/>
      <c r="AC350" s="541"/>
      <c r="AD350" s="288" t="s">
        <v>347</v>
      </c>
      <c r="AE350" s="541"/>
      <c r="AF350" s="288" t="s">
        <v>812</v>
      </c>
      <c r="AG350" s="288" t="s">
        <v>348</v>
      </c>
      <c r="AH350" s="541"/>
      <c r="AI350" s="288" t="s">
        <v>358</v>
      </c>
      <c r="AJ350" s="288" t="s">
        <v>350</v>
      </c>
      <c r="AK350" s="541"/>
      <c r="AL350" s="541"/>
      <c r="AM350" s="541"/>
      <c r="AN350" s="288"/>
      <c r="AO350" s="288"/>
      <c r="AP350" s="288"/>
      <c r="AQ350" s="288"/>
      <c r="AR350" s="288"/>
      <c r="AS350" s="288"/>
      <c r="AT350" s="541"/>
      <c r="AU350" s="448"/>
      <c r="AV350" s="448"/>
      <c r="AW350" s="448"/>
      <c r="AX350" s="448"/>
      <c r="AY350" s="345" t="s">
        <v>1018</v>
      </c>
      <c r="AZ350" s="288">
        <v>0</v>
      </c>
      <c r="BA350" s="288">
        <v>0</v>
      </c>
      <c r="BB350" s="288">
        <v>0</v>
      </c>
      <c r="BC350" s="288">
        <v>0</v>
      </c>
      <c r="BD350" s="288">
        <v>0</v>
      </c>
      <c r="BE350" s="288">
        <v>0</v>
      </c>
      <c r="BF350" s="288">
        <v>0</v>
      </c>
      <c r="BG350" s="448"/>
      <c r="BH350" s="448"/>
      <c r="BI350" s="345" t="s">
        <v>1018</v>
      </c>
      <c r="BJ350" s="499"/>
      <c r="BK350" s="499"/>
      <c r="BL350" s="345" t="s">
        <v>1018</v>
      </c>
      <c r="BM350" s="499"/>
      <c r="BN350" s="499"/>
      <c r="BO350" s="499"/>
    </row>
    <row r="351" spans="1:143" ht="14.5" outlineLevel="1" x14ac:dyDescent="0.35">
      <c r="A351" s="316"/>
      <c r="B351" s="129">
        <v>3</v>
      </c>
      <c r="C351" s="434" t="s">
        <v>823</v>
      </c>
      <c r="D351" s="340" t="s">
        <v>240</v>
      </c>
      <c r="E351" s="340" t="s">
        <v>241</v>
      </c>
      <c r="F351" s="288">
        <v>343.97</v>
      </c>
      <c r="G351" s="435">
        <v>398.99520000000001</v>
      </c>
      <c r="H351" s="541"/>
      <c r="I351" s="541"/>
      <c r="J351" s="541"/>
      <c r="K351" s="541"/>
      <c r="L351" s="541"/>
      <c r="M351" s="541"/>
      <c r="N351" s="541"/>
      <c r="O351" s="288" t="s">
        <v>362</v>
      </c>
      <c r="P351" s="288" t="s">
        <v>360</v>
      </c>
      <c r="Q351" s="501" t="s">
        <v>1018</v>
      </c>
      <c r="R351" s="345" t="s">
        <v>1198</v>
      </c>
      <c r="S351" s="345">
        <v>150</v>
      </c>
      <c r="T351" s="345"/>
      <c r="U351" s="541"/>
      <c r="V351" s="541"/>
      <c r="W351" s="541"/>
      <c r="X351" s="345" t="s">
        <v>1019</v>
      </c>
      <c r="Y351" s="288" t="s">
        <v>910</v>
      </c>
      <c r="Z351" s="288" t="s">
        <v>349</v>
      </c>
      <c r="AA351" s="541"/>
      <c r="AB351" s="541"/>
      <c r="AC351" s="541"/>
      <c r="AD351" s="288" t="s">
        <v>347</v>
      </c>
      <c r="AE351" s="541"/>
      <c r="AF351" s="288" t="s">
        <v>812</v>
      </c>
      <c r="AG351" s="288" t="s">
        <v>348</v>
      </c>
      <c r="AH351" s="541"/>
      <c r="AI351" s="288" t="s">
        <v>358</v>
      </c>
      <c r="AJ351" s="288" t="s">
        <v>350</v>
      </c>
      <c r="AK351" s="541"/>
      <c r="AL351" s="541"/>
      <c r="AM351" s="541"/>
      <c r="AN351" s="288"/>
      <c r="AO351" s="288"/>
      <c r="AP351" s="288"/>
      <c r="AQ351" s="288"/>
      <c r="AR351" s="288"/>
      <c r="AS351" s="288"/>
      <c r="AT351" s="541"/>
      <c r="AU351" s="448"/>
      <c r="AV351" s="448"/>
      <c r="AW351" s="448"/>
      <c r="AX351" s="448"/>
      <c r="AY351" s="345" t="s">
        <v>1018</v>
      </c>
      <c r="AZ351" s="288">
        <v>0</v>
      </c>
      <c r="BA351" s="288">
        <v>0</v>
      </c>
      <c r="BB351" s="288">
        <v>0</v>
      </c>
      <c r="BC351" s="288">
        <v>0</v>
      </c>
      <c r="BD351" s="288">
        <v>0</v>
      </c>
      <c r="BE351" s="288">
        <v>0</v>
      </c>
      <c r="BF351" s="288">
        <v>0</v>
      </c>
      <c r="BG351" s="448"/>
      <c r="BH351" s="448"/>
      <c r="BI351" s="345" t="s">
        <v>1018</v>
      </c>
      <c r="BJ351" s="499"/>
      <c r="BK351" s="499"/>
      <c r="BL351" s="345" t="s">
        <v>1018</v>
      </c>
      <c r="BM351" s="499"/>
      <c r="BN351" s="499"/>
      <c r="BO351" s="499"/>
    </row>
    <row r="352" spans="1:143" ht="14.5" outlineLevel="1" x14ac:dyDescent="0.35">
      <c r="A352" s="316"/>
      <c r="B352" s="129">
        <v>4</v>
      </c>
      <c r="C352" s="434" t="s">
        <v>848</v>
      </c>
      <c r="D352" s="340" t="s">
        <v>240</v>
      </c>
      <c r="E352" s="340" t="s">
        <v>241</v>
      </c>
      <c r="F352" s="288">
        <v>473.28</v>
      </c>
      <c r="G352" s="435">
        <v>549</v>
      </c>
      <c r="H352" s="541"/>
      <c r="I352" s="541"/>
      <c r="J352" s="541"/>
      <c r="K352" s="541"/>
      <c r="L352" s="541"/>
      <c r="M352" s="541"/>
      <c r="N352" s="541"/>
      <c r="O352" s="288" t="s">
        <v>364</v>
      </c>
      <c r="P352" s="288" t="s">
        <v>346</v>
      </c>
      <c r="Q352" s="501" t="s">
        <v>1018</v>
      </c>
      <c r="R352" s="345"/>
      <c r="S352" s="345"/>
      <c r="T352" s="345"/>
      <c r="U352" s="541"/>
      <c r="V352" s="541"/>
      <c r="W352" s="541"/>
      <c r="X352" s="345" t="s">
        <v>1019</v>
      </c>
      <c r="Y352" s="288" t="s">
        <v>910</v>
      </c>
      <c r="Z352" s="288" t="s">
        <v>349</v>
      </c>
      <c r="AA352" s="541"/>
      <c r="AB352" s="541"/>
      <c r="AC352" s="541"/>
      <c r="AD352" s="288" t="s">
        <v>347</v>
      </c>
      <c r="AE352" s="541"/>
      <c r="AF352" s="288" t="s">
        <v>812</v>
      </c>
      <c r="AG352" s="288" t="s">
        <v>348</v>
      </c>
      <c r="AH352" s="541"/>
      <c r="AI352" s="288" t="s">
        <v>358</v>
      </c>
      <c r="AJ352" s="288" t="s">
        <v>350</v>
      </c>
      <c r="AK352" s="541"/>
      <c r="AL352" s="541"/>
      <c r="AM352" s="541"/>
      <c r="AN352" s="288"/>
      <c r="AO352" s="288"/>
      <c r="AP352" s="288"/>
      <c r="AQ352" s="288"/>
      <c r="AR352" s="288"/>
      <c r="AS352" s="288"/>
      <c r="AT352" s="541"/>
      <c r="AU352" s="448"/>
      <c r="AV352" s="448"/>
      <c r="AW352" s="448"/>
      <c r="AX352" s="448"/>
      <c r="AY352" s="345" t="s">
        <v>1018</v>
      </c>
      <c r="AZ352" s="288">
        <v>0</v>
      </c>
      <c r="BA352" s="288">
        <v>0</v>
      </c>
      <c r="BB352" s="288">
        <v>0</v>
      </c>
      <c r="BC352" s="288">
        <v>0</v>
      </c>
      <c r="BD352" s="288">
        <v>0</v>
      </c>
      <c r="BE352" s="288">
        <v>0</v>
      </c>
      <c r="BF352" s="288">
        <v>0</v>
      </c>
      <c r="BG352" s="448"/>
      <c r="BH352" s="448"/>
      <c r="BI352" s="345" t="s">
        <v>1018</v>
      </c>
      <c r="BJ352" s="499"/>
      <c r="BK352" s="499"/>
      <c r="BL352" s="345" t="s">
        <v>1018</v>
      </c>
      <c r="BM352" s="499"/>
      <c r="BN352" s="499"/>
      <c r="BO352" s="499"/>
    </row>
    <row r="353" spans="1:67" ht="14.5" outlineLevel="1" x14ac:dyDescent="0.35">
      <c r="A353" s="316"/>
      <c r="B353" s="129">
        <v>5</v>
      </c>
      <c r="C353" s="434" t="s">
        <v>948</v>
      </c>
      <c r="D353" s="340" t="s">
        <v>240</v>
      </c>
      <c r="E353" s="340" t="s">
        <v>241</v>
      </c>
      <c r="F353" s="288">
        <v>240.52</v>
      </c>
      <c r="G353" s="435">
        <v>279</v>
      </c>
      <c r="H353" s="541"/>
      <c r="I353" s="541"/>
      <c r="J353" s="541"/>
      <c r="K353" s="541"/>
      <c r="L353" s="541"/>
      <c r="M353" s="541"/>
      <c r="N353" s="541"/>
      <c r="O353" s="288" t="s">
        <v>362</v>
      </c>
      <c r="P353" s="288" t="s">
        <v>360</v>
      </c>
      <c r="Q353" s="501" t="s">
        <v>1018</v>
      </c>
      <c r="R353" s="345"/>
      <c r="S353" s="345"/>
      <c r="T353" s="345"/>
      <c r="U353" s="541"/>
      <c r="V353" s="541"/>
      <c r="W353" s="541"/>
      <c r="X353" s="345" t="s">
        <v>1018</v>
      </c>
      <c r="Y353" s="541"/>
      <c r="Z353" s="541"/>
      <c r="AA353" s="541"/>
      <c r="AB353" s="541"/>
      <c r="AC353" s="541"/>
      <c r="AD353" s="288" t="s">
        <v>347</v>
      </c>
      <c r="AE353" s="541"/>
      <c r="AF353" s="541"/>
      <c r="AG353" s="541"/>
      <c r="AH353" s="541"/>
      <c r="AI353" s="541"/>
      <c r="AJ353" s="541"/>
      <c r="AK353" s="541"/>
      <c r="AL353" s="541"/>
      <c r="AM353" s="541"/>
      <c r="AN353" s="541"/>
      <c r="AO353" s="541"/>
      <c r="AP353" s="541"/>
      <c r="AQ353" s="541"/>
      <c r="AR353" s="541"/>
      <c r="AS353" s="541"/>
      <c r="AT353" s="541"/>
      <c r="AU353" s="448"/>
      <c r="AV353" s="448"/>
      <c r="AW353" s="448"/>
      <c r="AX353" s="448"/>
      <c r="AY353" s="345" t="s">
        <v>1018</v>
      </c>
      <c r="AZ353" s="288">
        <v>0</v>
      </c>
      <c r="BA353" s="288">
        <v>0</v>
      </c>
      <c r="BB353" s="288">
        <v>0</v>
      </c>
      <c r="BC353" s="288">
        <v>0</v>
      </c>
      <c r="BD353" s="288">
        <v>0</v>
      </c>
      <c r="BE353" s="288">
        <v>0</v>
      </c>
      <c r="BF353" s="288">
        <v>0</v>
      </c>
      <c r="BG353" s="448"/>
      <c r="BH353" s="448"/>
      <c r="BI353" s="345" t="s">
        <v>1018</v>
      </c>
      <c r="BJ353" s="499"/>
      <c r="BK353" s="499"/>
      <c r="BL353" s="345" t="s">
        <v>1018</v>
      </c>
      <c r="BM353" s="499"/>
      <c r="BN353" s="499"/>
      <c r="BO353" s="499"/>
    </row>
    <row r="354" spans="1:67" ht="14.5" outlineLevel="1" x14ac:dyDescent="0.35">
      <c r="A354" s="316"/>
      <c r="B354" s="129">
        <v>6</v>
      </c>
      <c r="C354" s="434" t="s">
        <v>949</v>
      </c>
      <c r="D354" s="340" t="s">
        <v>240</v>
      </c>
      <c r="E354" s="340" t="s">
        <v>241</v>
      </c>
      <c r="F354" s="288">
        <v>257.76</v>
      </c>
      <c r="G354" s="435">
        <v>299</v>
      </c>
      <c r="H354" s="541"/>
      <c r="I354" s="541"/>
      <c r="J354" s="541"/>
      <c r="K354" s="541"/>
      <c r="L354" s="541"/>
      <c r="M354" s="541"/>
      <c r="N354" s="541"/>
      <c r="O354" s="288" t="s">
        <v>357</v>
      </c>
      <c r="P354" s="288" t="s">
        <v>360</v>
      </c>
      <c r="Q354" s="501" t="s">
        <v>1018</v>
      </c>
      <c r="R354" s="345"/>
      <c r="S354" s="345"/>
      <c r="T354" s="345"/>
      <c r="U354" s="541"/>
      <c r="V354" s="541"/>
      <c r="W354" s="541"/>
      <c r="X354" s="345" t="s">
        <v>1018</v>
      </c>
      <c r="Y354" s="541"/>
      <c r="Z354" s="541"/>
      <c r="AA354" s="541"/>
      <c r="AB354" s="541"/>
      <c r="AC354" s="541"/>
      <c r="AD354" s="288" t="s">
        <v>347</v>
      </c>
      <c r="AE354" s="541"/>
      <c r="AF354" s="541"/>
      <c r="AG354" s="541"/>
      <c r="AH354" s="541"/>
      <c r="AI354" s="541"/>
      <c r="AJ354" s="541"/>
      <c r="AK354" s="541"/>
      <c r="AL354" s="541"/>
      <c r="AM354" s="541"/>
      <c r="AN354" s="541"/>
      <c r="AO354" s="541"/>
      <c r="AP354" s="541"/>
      <c r="AQ354" s="541"/>
      <c r="AR354" s="541"/>
      <c r="AS354" s="541"/>
      <c r="AT354" s="541"/>
      <c r="AU354" s="448"/>
      <c r="AV354" s="448"/>
      <c r="AW354" s="448"/>
      <c r="AX354" s="448"/>
      <c r="AY354" s="345" t="s">
        <v>1018</v>
      </c>
      <c r="AZ354" s="288">
        <v>0</v>
      </c>
      <c r="BA354" s="288">
        <v>0</v>
      </c>
      <c r="BB354" s="288">
        <v>0</v>
      </c>
      <c r="BC354" s="288">
        <v>0</v>
      </c>
      <c r="BD354" s="288">
        <v>0</v>
      </c>
      <c r="BE354" s="288">
        <v>0</v>
      </c>
      <c r="BF354" s="288">
        <v>0</v>
      </c>
      <c r="BG354" s="448"/>
      <c r="BH354" s="448"/>
      <c r="BI354" s="345" t="s">
        <v>1018</v>
      </c>
      <c r="BJ354" s="499"/>
      <c r="BK354" s="499"/>
      <c r="BL354" s="345" t="s">
        <v>1018</v>
      </c>
      <c r="BM354" s="499"/>
      <c r="BN354" s="499"/>
      <c r="BO354" s="499"/>
    </row>
    <row r="355" spans="1:67" ht="14.5" outlineLevel="1" x14ac:dyDescent="0.35">
      <c r="A355" s="316"/>
      <c r="B355" s="129">
        <v>7</v>
      </c>
      <c r="C355" s="434" t="s">
        <v>949</v>
      </c>
      <c r="D355" s="340" t="s">
        <v>242</v>
      </c>
      <c r="E355" s="340" t="s">
        <v>241</v>
      </c>
      <c r="F355" s="288">
        <v>257.76</v>
      </c>
      <c r="G355" s="435">
        <v>299</v>
      </c>
      <c r="H355" s="541"/>
      <c r="I355" s="541"/>
      <c r="J355" s="541"/>
      <c r="K355" s="541"/>
      <c r="L355" s="541"/>
      <c r="M355" s="541"/>
      <c r="N355" s="541"/>
      <c r="O355" s="288" t="s">
        <v>357</v>
      </c>
      <c r="P355" s="288" t="s">
        <v>360</v>
      </c>
      <c r="Q355" s="501" t="s">
        <v>1018</v>
      </c>
      <c r="R355" s="345"/>
      <c r="S355" s="345"/>
      <c r="T355" s="345"/>
      <c r="U355" s="541"/>
      <c r="V355" s="541"/>
      <c r="W355" s="541"/>
      <c r="X355" s="345" t="s">
        <v>1018</v>
      </c>
      <c r="Y355" s="541"/>
      <c r="Z355" s="541"/>
      <c r="AA355" s="541"/>
      <c r="AB355" s="541"/>
      <c r="AC355" s="541"/>
      <c r="AD355" s="288" t="s">
        <v>347</v>
      </c>
      <c r="AE355" s="541"/>
      <c r="AF355" s="541"/>
      <c r="AG355" s="542" t="s">
        <v>1200</v>
      </c>
      <c r="AH355" s="541"/>
      <c r="AI355" s="345" t="s">
        <v>1201</v>
      </c>
      <c r="AJ355" s="345"/>
      <c r="AK355" s="541"/>
      <c r="AL355" s="541"/>
      <c r="AM355" s="541"/>
      <c r="AN355" s="541"/>
      <c r="AO355" s="541"/>
      <c r="AP355" s="541"/>
      <c r="AQ355" s="541"/>
      <c r="AR355" s="541"/>
      <c r="AS355" s="541"/>
      <c r="AT355" s="541"/>
      <c r="AU355" s="448"/>
      <c r="AV355" s="448"/>
      <c r="AW355" s="448"/>
      <c r="AX355" s="448"/>
      <c r="AY355" s="345" t="s">
        <v>1018</v>
      </c>
      <c r="AZ355" s="288">
        <v>0</v>
      </c>
      <c r="BA355" s="288">
        <v>0</v>
      </c>
      <c r="BB355" s="288">
        <v>0</v>
      </c>
      <c r="BC355" s="288">
        <v>0</v>
      </c>
      <c r="BD355" s="288">
        <v>0</v>
      </c>
      <c r="BE355" s="288">
        <v>0</v>
      </c>
      <c r="BF355" s="288">
        <v>0</v>
      </c>
      <c r="BG355" s="448"/>
      <c r="BH355" s="448"/>
      <c r="BI355" s="345" t="s">
        <v>1018</v>
      </c>
      <c r="BJ355" s="499"/>
      <c r="BK355" s="499"/>
      <c r="BL355" s="345" t="s">
        <v>1018</v>
      </c>
      <c r="BM355" s="499"/>
      <c r="BN355" s="499"/>
      <c r="BO355" s="499"/>
    </row>
    <row r="356" spans="1:67" ht="14.5" outlineLevel="1" x14ac:dyDescent="0.35">
      <c r="A356" s="316"/>
      <c r="B356" s="129">
        <v>8</v>
      </c>
      <c r="C356" s="434" t="s">
        <v>200</v>
      </c>
      <c r="D356" s="340" t="s">
        <v>242</v>
      </c>
      <c r="E356" s="340" t="s">
        <v>241</v>
      </c>
      <c r="F356" s="435">
        <v>300.86</v>
      </c>
      <c r="G356" s="435">
        <v>349</v>
      </c>
      <c r="H356" s="541"/>
      <c r="I356" s="541"/>
      <c r="J356" s="541"/>
      <c r="K356" s="541"/>
      <c r="L356" s="541"/>
      <c r="M356" s="541"/>
      <c r="N356" s="541"/>
      <c r="O356" s="288" t="s">
        <v>353</v>
      </c>
      <c r="P356" s="288" t="s">
        <v>360</v>
      </c>
      <c r="Q356" s="501" t="s">
        <v>1018</v>
      </c>
      <c r="R356" s="543" t="s">
        <v>1202</v>
      </c>
      <c r="S356" s="345">
        <v>50</v>
      </c>
      <c r="T356" s="345"/>
      <c r="U356" s="541"/>
      <c r="V356" s="541"/>
      <c r="W356" s="541"/>
      <c r="X356" s="345" t="s">
        <v>1018</v>
      </c>
      <c r="Y356" s="541"/>
      <c r="Z356" s="541"/>
      <c r="AA356" s="541"/>
      <c r="AB356" s="541"/>
      <c r="AC356" s="541"/>
      <c r="AD356" s="288" t="s">
        <v>347</v>
      </c>
      <c r="AE356" s="541"/>
      <c r="AF356" s="541"/>
      <c r="AG356" s="542" t="s">
        <v>1200</v>
      </c>
      <c r="AH356" s="541"/>
      <c r="AI356" s="345" t="s">
        <v>1201</v>
      </c>
      <c r="AJ356" s="345"/>
      <c r="AK356" s="345" t="s">
        <v>1203</v>
      </c>
      <c r="AL356" s="541"/>
      <c r="AM356" s="541"/>
      <c r="AN356" s="345"/>
      <c r="AO356" s="345"/>
      <c r="AP356" s="345"/>
      <c r="AQ356" s="345"/>
      <c r="AR356" s="345"/>
      <c r="AS356" s="345"/>
      <c r="AT356" s="541"/>
      <c r="AU356" s="448"/>
      <c r="AV356" s="448"/>
      <c r="AW356" s="448"/>
      <c r="AX356" s="448"/>
      <c r="AY356" s="345" t="s">
        <v>1018</v>
      </c>
      <c r="AZ356" s="288">
        <v>0</v>
      </c>
      <c r="BA356" s="288">
        <v>0</v>
      </c>
      <c r="BB356" s="288">
        <v>0</v>
      </c>
      <c r="BC356" s="288">
        <v>0</v>
      </c>
      <c r="BD356" s="288">
        <v>0</v>
      </c>
      <c r="BE356" s="288">
        <v>0</v>
      </c>
      <c r="BF356" s="288">
        <v>0</v>
      </c>
      <c r="BG356" s="448"/>
      <c r="BH356" s="448"/>
      <c r="BI356" s="345" t="s">
        <v>1018</v>
      </c>
      <c r="BJ356" s="499"/>
      <c r="BK356" s="499"/>
      <c r="BL356" s="345" t="s">
        <v>1018</v>
      </c>
      <c r="BM356" s="499"/>
      <c r="BN356" s="499"/>
      <c r="BO356" s="499"/>
    </row>
    <row r="357" spans="1:67" ht="14.5" outlineLevel="1" x14ac:dyDescent="0.35">
      <c r="A357" s="316"/>
      <c r="B357" s="129">
        <v>9</v>
      </c>
      <c r="C357" s="434" t="s">
        <v>849</v>
      </c>
      <c r="D357" s="340" t="s">
        <v>242</v>
      </c>
      <c r="E357" s="340" t="s">
        <v>241</v>
      </c>
      <c r="F357" s="435">
        <v>343.97</v>
      </c>
      <c r="G357" s="435">
        <v>399</v>
      </c>
      <c r="H357" s="541"/>
      <c r="I357" s="541"/>
      <c r="J357" s="541"/>
      <c r="K357" s="541"/>
      <c r="L357" s="541"/>
      <c r="M357" s="541"/>
      <c r="N357" s="541"/>
      <c r="O357" s="288" t="s">
        <v>362</v>
      </c>
      <c r="P357" s="288" t="s">
        <v>360</v>
      </c>
      <c r="Q357" s="501" t="s">
        <v>1018</v>
      </c>
      <c r="R357" s="345"/>
      <c r="S357" s="345"/>
      <c r="T357" s="345"/>
      <c r="U357" s="541"/>
      <c r="V357" s="541"/>
      <c r="W357" s="541"/>
      <c r="X357" s="345" t="s">
        <v>1018</v>
      </c>
      <c r="Y357" s="541"/>
      <c r="Z357" s="541"/>
      <c r="AA357" s="541"/>
      <c r="AB357" s="541"/>
      <c r="AC357" s="541"/>
      <c r="AD357" s="288" t="s">
        <v>347</v>
      </c>
      <c r="AE357" s="541"/>
      <c r="AF357" s="541"/>
      <c r="AG357" s="542" t="s">
        <v>1200</v>
      </c>
      <c r="AH357" s="541"/>
      <c r="AI357" s="345" t="s">
        <v>1201</v>
      </c>
      <c r="AJ357" s="345"/>
      <c r="AK357" s="345" t="s">
        <v>1203</v>
      </c>
      <c r="AL357" s="541"/>
      <c r="AM357" s="541"/>
      <c r="AN357" s="345"/>
      <c r="AO357" s="345"/>
      <c r="AP357" s="345"/>
      <c r="AQ357" s="345"/>
      <c r="AR357" s="345"/>
      <c r="AS357" s="345"/>
      <c r="AT357" s="541"/>
      <c r="AU357" s="448"/>
      <c r="AV357" s="448"/>
      <c r="AW357" s="448"/>
      <c r="AX357" s="448"/>
      <c r="AY357" s="345" t="s">
        <v>1018</v>
      </c>
      <c r="AZ357" s="288">
        <v>0</v>
      </c>
      <c r="BA357" s="288">
        <v>0</v>
      </c>
      <c r="BB357" s="288">
        <v>0</v>
      </c>
      <c r="BC357" s="288">
        <v>0</v>
      </c>
      <c r="BD357" s="288">
        <v>0</v>
      </c>
      <c r="BE357" s="288">
        <v>0</v>
      </c>
      <c r="BF357" s="288">
        <v>0</v>
      </c>
      <c r="BG357" s="448"/>
      <c r="BH357" s="448"/>
      <c r="BI357" s="345" t="s">
        <v>1018</v>
      </c>
      <c r="BJ357" s="499"/>
      <c r="BK357" s="499"/>
      <c r="BL357" s="345" t="s">
        <v>1018</v>
      </c>
      <c r="BM357" s="499"/>
      <c r="BN357" s="499"/>
      <c r="BO357" s="499"/>
    </row>
    <row r="358" spans="1:67" ht="14.5" outlineLevel="1" x14ac:dyDescent="0.35">
      <c r="A358" s="316"/>
      <c r="B358" s="129">
        <v>10</v>
      </c>
      <c r="C358" s="434" t="s">
        <v>850</v>
      </c>
      <c r="D358" s="340" t="s">
        <v>242</v>
      </c>
      <c r="E358" s="340" t="s">
        <v>241</v>
      </c>
      <c r="F358" s="435">
        <v>473.28</v>
      </c>
      <c r="G358" s="435">
        <v>549</v>
      </c>
      <c r="H358" s="541"/>
      <c r="I358" s="541"/>
      <c r="J358" s="541"/>
      <c r="K358" s="541"/>
      <c r="L358" s="541"/>
      <c r="M358" s="541"/>
      <c r="N358" s="541"/>
      <c r="O358" s="288" t="s">
        <v>364</v>
      </c>
      <c r="P358" s="288" t="s">
        <v>353</v>
      </c>
      <c r="Q358" s="501" t="s">
        <v>1018</v>
      </c>
      <c r="R358" s="345"/>
      <c r="S358" s="345"/>
      <c r="T358" s="345"/>
      <c r="U358" s="541"/>
      <c r="V358" s="541"/>
      <c r="W358" s="541"/>
      <c r="X358" s="345" t="s">
        <v>1018</v>
      </c>
      <c r="Y358" s="541"/>
      <c r="Z358" s="541"/>
      <c r="AA358" s="541"/>
      <c r="AB358" s="541"/>
      <c r="AC358" s="541"/>
      <c r="AD358" s="288" t="s">
        <v>347</v>
      </c>
      <c r="AE358" s="541"/>
      <c r="AF358" s="541"/>
      <c r="AG358" s="542" t="s">
        <v>1200</v>
      </c>
      <c r="AH358" s="541"/>
      <c r="AI358" s="345" t="s">
        <v>1201</v>
      </c>
      <c r="AJ358" s="345"/>
      <c r="AK358" s="345" t="s">
        <v>1203</v>
      </c>
      <c r="AL358" s="541"/>
      <c r="AM358" s="541"/>
      <c r="AN358" s="345"/>
      <c r="AO358" s="345"/>
      <c r="AP358" s="345"/>
      <c r="AQ358" s="345"/>
      <c r="AR358" s="345"/>
      <c r="AS358" s="345"/>
      <c r="AT358" s="541"/>
      <c r="AU358" s="448"/>
      <c r="AV358" s="448"/>
      <c r="AW358" s="448"/>
      <c r="AX358" s="448"/>
      <c r="AY358" s="345" t="s">
        <v>1018</v>
      </c>
      <c r="AZ358" s="288">
        <v>0</v>
      </c>
      <c r="BA358" s="288">
        <v>0</v>
      </c>
      <c r="BB358" s="288">
        <v>0</v>
      </c>
      <c r="BC358" s="288">
        <v>0</v>
      </c>
      <c r="BD358" s="288">
        <v>0</v>
      </c>
      <c r="BE358" s="288">
        <v>0</v>
      </c>
      <c r="BF358" s="288">
        <v>0</v>
      </c>
      <c r="BG358" s="448"/>
      <c r="BH358" s="448"/>
      <c r="BI358" s="345" t="s">
        <v>1018</v>
      </c>
      <c r="BJ358" s="499"/>
      <c r="BK358" s="499"/>
      <c r="BL358" s="345" t="s">
        <v>1018</v>
      </c>
      <c r="BM358" s="499"/>
      <c r="BN358" s="499"/>
      <c r="BO358" s="499"/>
    </row>
    <row r="359" spans="1:67" ht="14.5" outlineLevel="1" x14ac:dyDescent="0.35">
      <c r="A359" s="316"/>
      <c r="B359" s="129">
        <v>11</v>
      </c>
      <c r="C359" s="434" t="s">
        <v>851</v>
      </c>
      <c r="D359" s="340" t="s">
        <v>242</v>
      </c>
      <c r="E359" s="340" t="s">
        <v>241</v>
      </c>
      <c r="F359" s="435">
        <v>775</v>
      </c>
      <c r="G359" s="435">
        <v>899</v>
      </c>
      <c r="H359" s="541"/>
      <c r="I359" s="541"/>
      <c r="J359" s="541"/>
      <c r="K359" s="541"/>
      <c r="L359" s="541"/>
      <c r="M359" s="541"/>
      <c r="N359" s="541"/>
      <c r="O359" s="288" t="s">
        <v>359</v>
      </c>
      <c r="P359" s="288" t="s">
        <v>354</v>
      </c>
      <c r="Q359" s="501" t="s">
        <v>1018</v>
      </c>
      <c r="R359" s="345"/>
      <c r="S359" s="345"/>
      <c r="T359" s="345"/>
      <c r="U359" s="541"/>
      <c r="V359" s="541"/>
      <c r="W359" s="541"/>
      <c r="X359" s="345" t="s">
        <v>1018</v>
      </c>
      <c r="Y359" s="541"/>
      <c r="Z359" s="541"/>
      <c r="AA359" s="541"/>
      <c r="AB359" s="541"/>
      <c r="AC359" s="541"/>
      <c r="AD359" s="288" t="s">
        <v>347</v>
      </c>
      <c r="AE359" s="541"/>
      <c r="AF359" s="541"/>
      <c r="AG359" s="542" t="s">
        <v>1200</v>
      </c>
      <c r="AH359" s="541"/>
      <c r="AI359" s="345" t="s">
        <v>1201</v>
      </c>
      <c r="AJ359" s="345"/>
      <c r="AK359" s="345" t="s">
        <v>1203</v>
      </c>
      <c r="AL359" s="541"/>
      <c r="AM359" s="541"/>
      <c r="AN359" s="345"/>
      <c r="AO359" s="345"/>
      <c r="AP359" s="345"/>
      <c r="AQ359" s="345"/>
      <c r="AR359" s="345"/>
      <c r="AS359" s="345"/>
      <c r="AT359" s="541"/>
      <c r="AU359" s="448"/>
      <c r="AV359" s="448"/>
      <c r="AW359" s="448"/>
      <c r="AX359" s="448"/>
      <c r="AY359" s="345" t="s">
        <v>1018</v>
      </c>
      <c r="AZ359" s="288">
        <v>0</v>
      </c>
      <c r="BA359" s="288">
        <v>0</v>
      </c>
      <c r="BB359" s="288">
        <v>0</v>
      </c>
      <c r="BC359" s="288">
        <v>0</v>
      </c>
      <c r="BD359" s="288">
        <v>0</v>
      </c>
      <c r="BE359" s="288">
        <v>0</v>
      </c>
      <c r="BF359" s="288">
        <v>0</v>
      </c>
      <c r="BG359" s="448"/>
      <c r="BH359" s="448"/>
      <c r="BI359" s="345" t="s">
        <v>1018</v>
      </c>
      <c r="BJ359" s="499"/>
      <c r="BK359" s="499"/>
      <c r="BL359" s="345" t="s">
        <v>1018</v>
      </c>
      <c r="BM359" s="499"/>
      <c r="BN359" s="499"/>
      <c r="BO359" s="499"/>
    </row>
    <row r="360" spans="1:67" ht="14.5" outlineLevel="1" x14ac:dyDescent="0.35">
      <c r="A360" s="316"/>
      <c r="B360" s="129">
        <v>12</v>
      </c>
      <c r="C360" s="434" t="s">
        <v>852</v>
      </c>
      <c r="D360" s="340" t="s">
        <v>240</v>
      </c>
      <c r="E360" s="340" t="s">
        <v>243</v>
      </c>
      <c r="F360" s="288">
        <v>210.24</v>
      </c>
      <c r="G360" s="435">
        <v>249</v>
      </c>
      <c r="H360" s="288">
        <v>1</v>
      </c>
      <c r="I360" s="288">
        <v>100</v>
      </c>
      <c r="J360" s="541"/>
      <c r="K360" s="541"/>
      <c r="L360" s="541"/>
      <c r="M360" s="541"/>
      <c r="N360" s="541"/>
      <c r="O360" s="288" t="s">
        <v>360</v>
      </c>
      <c r="P360" s="288" t="s">
        <v>361</v>
      </c>
      <c r="Q360" s="501" t="s">
        <v>1018</v>
      </c>
      <c r="R360" s="345"/>
      <c r="S360" s="345"/>
      <c r="T360" s="345"/>
      <c r="U360" s="541"/>
      <c r="V360" s="541"/>
      <c r="W360" s="541"/>
      <c r="X360" s="345" t="s">
        <v>1018</v>
      </c>
      <c r="Y360" s="541"/>
      <c r="Z360" s="541"/>
      <c r="AA360" s="541"/>
      <c r="AB360" s="541"/>
      <c r="AC360" s="541"/>
      <c r="AD360" s="288" t="s">
        <v>347</v>
      </c>
      <c r="AE360" s="541"/>
      <c r="AF360" s="541"/>
      <c r="AG360" s="541"/>
      <c r="AH360" s="541"/>
      <c r="AI360" s="541"/>
      <c r="AJ360" s="541"/>
      <c r="AK360" s="541"/>
      <c r="AL360" s="541"/>
      <c r="AM360" s="541"/>
      <c r="AN360" s="541"/>
      <c r="AO360" s="541"/>
      <c r="AP360" s="541"/>
      <c r="AQ360" s="541"/>
      <c r="AR360" s="541"/>
      <c r="AS360" s="541"/>
      <c r="AT360" s="541"/>
      <c r="AU360" s="345">
        <v>1.48</v>
      </c>
      <c r="AV360" s="448"/>
      <c r="AW360" s="448"/>
      <c r="AX360" s="448"/>
      <c r="AY360" s="345" t="s">
        <v>1018</v>
      </c>
      <c r="AZ360" s="288">
        <v>0</v>
      </c>
      <c r="BA360" s="288">
        <v>0</v>
      </c>
      <c r="BB360" s="288">
        <v>0</v>
      </c>
      <c r="BC360" s="288">
        <v>0</v>
      </c>
      <c r="BD360" s="288">
        <v>0</v>
      </c>
      <c r="BE360" s="288">
        <v>0</v>
      </c>
      <c r="BF360" s="288">
        <v>0</v>
      </c>
      <c r="BG360" s="448"/>
      <c r="BH360" s="448"/>
      <c r="BI360" s="345" t="s">
        <v>1018</v>
      </c>
      <c r="BJ360" s="499"/>
      <c r="BK360" s="499"/>
      <c r="BL360" s="345" t="s">
        <v>1018</v>
      </c>
      <c r="BM360" s="499"/>
      <c r="BN360" s="499"/>
      <c r="BO360" s="499"/>
    </row>
    <row r="361" spans="1:67" ht="14.5" outlineLevel="1" x14ac:dyDescent="0.35">
      <c r="A361" s="316"/>
      <c r="B361" s="129">
        <v>13</v>
      </c>
      <c r="C361" s="434" t="s">
        <v>204</v>
      </c>
      <c r="D361" s="340" t="s">
        <v>240</v>
      </c>
      <c r="E361" s="340" t="s">
        <v>243</v>
      </c>
      <c r="F361" s="288">
        <v>244.01</v>
      </c>
      <c r="G361" s="435">
        <v>289</v>
      </c>
      <c r="H361" s="288">
        <v>1</v>
      </c>
      <c r="I361" s="288">
        <v>200</v>
      </c>
      <c r="J361" s="541"/>
      <c r="K361" s="541"/>
      <c r="L361" s="541"/>
      <c r="M361" s="541"/>
      <c r="N361" s="541"/>
      <c r="O361" s="288" t="s">
        <v>360</v>
      </c>
      <c r="P361" s="288" t="s">
        <v>361</v>
      </c>
      <c r="Q361" s="501" t="s">
        <v>1018</v>
      </c>
      <c r="R361" s="345"/>
      <c r="S361" s="345"/>
      <c r="T361" s="345"/>
      <c r="U361" s="541"/>
      <c r="V361" s="541"/>
      <c r="W361" s="541"/>
      <c r="X361" s="345" t="s">
        <v>1018</v>
      </c>
      <c r="Y361" s="541"/>
      <c r="Z361" s="541"/>
      <c r="AA361" s="541"/>
      <c r="AB361" s="541"/>
      <c r="AC361" s="541"/>
      <c r="AD361" s="288" t="s">
        <v>347</v>
      </c>
      <c r="AE361" s="541"/>
      <c r="AF361" s="541"/>
      <c r="AG361" s="541"/>
      <c r="AH361" s="541"/>
      <c r="AI361" s="541"/>
      <c r="AJ361" s="541"/>
      <c r="AK361" s="541"/>
      <c r="AL361" s="541"/>
      <c r="AM361" s="541"/>
      <c r="AN361" s="541"/>
      <c r="AO361" s="541"/>
      <c r="AP361" s="541"/>
      <c r="AQ361" s="541"/>
      <c r="AR361" s="541"/>
      <c r="AS361" s="541"/>
      <c r="AT361" s="541"/>
      <c r="AU361" s="345">
        <v>1.48</v>
      </c>
      <c r="AV361" s="448"/>
      <c r="AW361" s="448"/>
      <c r="AX361" s="448"/>
      <c r="AY361" s="345" t="s">
        <v>1018</v>
      </c>
      <c r="AZ361" s="288">
        <v>0</v>
      </c>
      <c r="BA361" s="288">
        <v>0</v>
      </c>
      <c r="BB361" s="288">
        <v>0</v>
      </c>
      <c r="BC361" s="288">
        <v>0</v>
      </c>
      <c r="BD361" s="288">
        <v>0</v>
      </c>
      <c r="BE361" s="288">
        <v>0</v>
      </c>
      <c r="BF361" s="288">
        <v>0</v>
      </c>
      <c r="BG361" s="448"/>
      <c r="BH361" s="448"/>
      <c r="BI361" s="345" t="s">
        <v>1018</v>
      </c>
      <c r="BJ361" s="499"/>
      <c r="BK361" s="499"/>
      <c r="BL361" s="345" t="s">
        <v>1018</v>
      </c>
      <c r="BM361" s="499"/>
      <c r="BN361" s="499"/>
      <c r="BO361" s="499"/>
    </row>
    <row r="362" spans="1:67" ht="14.5" outlineLevel="1" x14ac:dyDescent="0.35">
      <c r="A362" s="316"/>
      <c r="B362" s="129">
        <v>14</v>
      </c>
      <c r="C362" s="434" t="s">
        <v>797</v>
      </c>
      <c r="D362" s="340" t="s">
        <v>240</v>
      </c>
      <c r="E362" s="340" t="s">
        <v>243</v>
      </c>
      <c r="F362" s="288">
        <v>367.29</v>
      </c>
      <c r="G362" s="435">
        <v>435</v>
      </c>
      <c r="H362" s="288">
        <v>1</v>
      </c>
      <c r="I362" s="288" t="s">
        <v>355</v>
      </c>
      <c r="J362" s="288" t="s">
        <v>356</v>
      </c>
      <c r="K362" s="288" t="s">
        <v>356</v>
      </c>
      <c r="L362" s="288" t="s">
        <v>356</v>
      </c>
      <c r="M362" s="288">
        <v>5</v>
      </c>
      <c r="N362" s="288" t="s">
        <v>911</v>
      </c>
      <c r="O362" s="288" t="s">
        <v>362</v>
      </c>
      <c r="P362" s="288" t="s">
        <v>912</v>
      </c>
      <c r="Q362" s="501" t="s">
        <v>1018</v>
      </c>
      <c r="R362" s="345"/>
      <c r="S362" s="345"/>
      <c r="T362" s="345"/>
      <c r="U362" s="541"/>
      <c r="V362" s="541"/>
      <c r="W362" s="541"/>
      <c r="X362" s="345" t="s">
        <v>1019</v>
      </c>
      <c r="Y362" s="288" t="s">
        <v>910</v>
      </c>
      <c r="Z362" s="288" t="s">
        <v>349</v>
      </c>
      <c r="AA362" s="541"/>
      <c r="AB362" s="541"/>
      <c r="AC362" s="541"/>
      <c r="AD362" s="288" t="s">
        <v>347</v>
      </c>
      <c r="AE362" s="541"/>
      <c r="AF362" s="288" t="s">
        <v>812</v>
      </c>
      <c r="AG362" s="288" t="s">
        <v>348</v>
      </c>
      <c r="AH362" s="541"/>
      <c r="AI362" s="288" t="s">
        <v>358</v>
      </c>
      <c r="AJ362" s="288" t="s">
        <v>350</v>
      </c>
      <c r="AK362" s="541"/>
      <c r="AL362" s="541"/>
      <c r="AM362" s="541"/>
      <c r="AN362" s="288"/>
      <c r="AO362" s="288"/>
      <c r="AP362" s="288"/>
      <c r="AQ362" s="288"/>
      <c r="AR362" s="288"/>
      <c r="AS362" s="288"/>
      <c r="AT362" s="541"/>
      <c r="AU362" s="448"/>
      <c r="AV362" s="448"/>
      <c r="AW362" s="448"/>
      <c r="AX362" s="448"/>
      <c r="AY362" s="345" t="s">
        <v>1018</v>
      </c>
      <c r="AZ362" s="288">
        <v>0</v>
      </c>
      <c r="BA362" s="288">
        <v>0</v>
      </c>
      <c r="BB362" s="288">
        <v>0</v>
      </c>
      <c r="BC362" s="288">
        <v>0</v>
      </c>
      <c r="BD362" s="288">
        <v>0</v>
      </c>
      <c r="BE362" s="288">
        <v>0</v>
      </c>
      <c r="BF362" s="288">
        <v>0</v>
      </c>
      <c r="BG362" s="448"/>
      <c r="BH362" s="448"/>
      <c r="BI362" s="345" t="s">
        <v>1019</v>
      </c>
      <c r="BJ362" s="499" t="s">
        <v>1198</v>
      </c>
      <c r="BK362" s="499" t="s">
        <v>1204</v>
      </c>
      <c r="BL362" s="345" t="s">
        <v>1018</v>
      </c>
      <c r="BM362" s="499"/>
      <c r="BN362" s="499"/>
      <c r="BO362" s="499"/>
    </row>
    <row r="363" spans="1:67" ht="14.5" outlineLevel="1" x14ac:dyDescent="0.35">
      <c r="A363" s="316"/>
      <c r="B363" s="129">
        <v>15</v>
      </c>
      <c r="C363" s="434" t="s">
        <v>798</v>
      </c>
      <c r="D363" s="340" t="s">
        <v>240</v>
      </c>
      <c r="E363" s="340" t="s">
        <v>243</v>
      </c>
      <c r="F363" s="288">
        <v>421.32</v>
      </c>
      <c r="G363" s="435">
        <v>499</v>
      </c>
      <c r="H363" s="288">
        <v>1</v>
      </c>
      <c r="I363" s="288" t="s">
        <v>355</v>
      </c>
      <c r="J363" s="288" t="s">
        <v>356</v>
      </c>
      <c r="K363" s="288" t="s">
        <v>356</v>
      </c>
      <c r="L363" s="288" t="s">
        <v>356</v>
      </c>
      <c r="M363" s="288">
        <v>5</v>
      </c>
      <c r="N363" s="288" t="s">
        <v>911</v>
      </c>
      <c r="O363" s="288" t="s">
        <v>357</v>
      </c>
      <c r="P363" s="288" t="s">
        <v>912</v>
      </c>
      <c r="Q363" s="501" t="s">
        <v>1018</v>
      </c>
      <c r="R363" s="345"/>
      <c r="S363" s="345"/>
      <c r="T363" s="345"/>
      <c r="U363" s="541"/>
      <c r="V363" s="541"/>
      <c r="W363" s="541"/>
      <c r="X363" s="345" t="s">
        <v>1019</v>
      </c>
      <c r="Y363" s="288" t="s">
        <v>910</v>
      </c>
      <c r="Z363" s="288" t="s">
        <v>349</v>
      </c>
      <c r="AA363" s="541"/>
      <c r="AB363" s="541"/>
      <c r="AC363" s="541"/>
      <c r="AD363" s="288" t="s">
        <v>347</v>
      </c>
      <c r="AE363" s="541"/>
      <c r="AF363" s="288" t="s">
        <v>812</v>
      </c>
      <c r="AG363" s="288" t="s">
        <v>348</v>
      </c>
      <c r="AH363" s="541"/>
      <c r="AI363" s="288" t="s">
        <v>358</v>
      </c>
      <c r="AJ363" s="288" t="s">
        <v>350</v>
      </c>
      <c r="AK363" s="541"/>
      <c r="AL363" s="541"/>
      <c r="AM363" s="541"/>
      <c r="AN363" s="288"/>
      <c r="AO363" s="288"/>
      <c r="AP363" s="288"/>
      <c r="AQ363" s="288"/>
      <c r="AR363" s="288"/>
      <c r="AS363" s="288"/>
      <c r="AT363" s="541"/>
      <c r="AU363" s="448"/>
      <c r="AV363" s="448"/>
      <c r="AW363" s="448"/>
      <c r="AX363" s="448"/>
      <c r="AY363" s="345" t="s">
        <v>1018</v>
      </c>
      <c r="AZ363" s="288">
        <v>0</v>
      </c>
      <c r="BA363" s="288">
        <v>0</v>
      </c>
      <c r="BB363" s="288">
        <v>0</v>
      </c>
      <c r="BC363" s="288">
        <v>0</v>
      </c>
      <c r="BD363" s="288">
        <v>0</v>
      </c>
      <c r="BE363" s="288">
        <v>0</v>
      </c>
      <c r="BF363" s="288">
        <v>0</v>
      </c>
      <c r="BG363" s="448"/>
      <c r="BH363" s="448"/>
      <c r="BI363" s="345" t="s">
        <v>1019</v>
      </c>
      <c r="BJ363" s="499" t="s">
        <v>1198</v>
      </c>
      <c r="BK363" s="499" t="s">
        <v>1205</v>
      </c>
      <c r="BL363" s="345" t="s">
        <v>1018</v>
      </c>
      <c r="BM363" s="499"/>
      <c r="BN363" s="499"/>
      <c r="BO363" s="499"/>
    </row>
    <row r="364" spans="1:67" ht="14.5" outlineLevel="1" x14ac:dyDescent="0.35">
      <c r="A364" s="316"/>
      <c r="B364" s="129">
        <v>16</v>
      </c>
      <c r="C364" s="434" t="s">
        <v>205</v>
      </c>
      <c r="D364" s="340" t="s">
        <v>240</v>
      </c>
      <c r="E364" s="340" t="s">
        <v>243</v>
      </c>
      <c r="F364" s="288">
        <v>505.76</v>
      </c>
      <c r="G364" s="435">
        <v>599.00191359999997</v>
      </c>
      <c r="H364" s="288">
        <v>2</v>
      </c>
      <c r="I364" s="288" t="s">
        <v>355</v>
      </c>
      <c r="J364" s="288" t="s">
        <v>356</v>
      </c>
      <c r="K364" s="288" t="s">
        <v>356</v>
      </c>
      <c r="L364" s="288" t="s">
        <v>356</v>
      </c>
      <c r="M364" s="288">
        <v>5</v>
      </c>
      <c r="N364" s="288" t="s">
        <v>911</v>
      </c>
      <c r="O364" s="288" t="s">
        <v>364</v>
      </c>
      <c r="P364" s="288" t="s">
        <v>353</v>
      </c>
      <c r="Q364" s="501" t="s">
        <v>1018</v>
      </c>
      <c r="R364" s="345"/>
      <c r="S364" s="345"/>
      <c r="T364" s="345"/>
      <c r="U364" s="541"/>
      <c r="V364" s="541"/>
      <c r="W364" s="541"/>
      <c r="X364" s="345" t="s">
        <v>1019</v>
      </c>
      <c r="Y364" s="288" t="s">
        <v>910</v>
      </c>
      <c r="Z364" s="288" t="s">
        <v>349</v>
      </c>
      <c r="AA364" s="541"/>
      <c r="AB364" s="541"/>
      <c r="AC364" s="541"/>
      <c r="AD364" s="288" t="s">
        <v>347</v>
      </c>
      <c r="AE364" s="541"/>
      <c r="AF364" s="288" t="s">
        <v>812</v>
      </c>
      <c r="AG364" s="288" t="s">
        <v>348</v>
      </c>
      <c r="AH364" s="541"/>
      <c r="AI364" s="288" t="s">
        <v>358</v>
      </c>
      <c r="AJ364" s="288" t="s">
        <v>350</v>
      </c>
      <c r="AK364" s="541"/>
      <c r="AL364" s="541"/>
      <c r="AM364" s="541"/>
      <c r="AN364" s="288"/>
      <c r="AO364" s="288"/>
      <c r="AP364" s="288"/>
      <c r="AQ364" s="288"/>
      <c r="AR364" s="288"/>
      <c r="AS364" s="288"/>
      <c r="AT364" s="541"/>
      <c r="AU364" s="448"/>
      <c r="AV364" s="448"/>
      <c r="AW364" s="448"/>
      <c r="AX364" s="448"/>
      <c r="AY364" s="345" t="s">
        <v>1018</v>
      </c>
      <c r="AZ364" s="288">
        <v>0</v>
      </c>
      <c r="BA364" s="288">
        <v>0</v>
      </c>
      <c r="BB364" s="288">
        <v>0</v>
      </c>
      <c r="BC364" s="288">
        <v>0</v>
      </c>
      <c r="BD364" s="288">
        <v>0</v>
      </c>
      <c r="BE364" s="288">
        <v>0</v>
      </c>
      <c r="BF364" s="288">
        <v>0</v>
      </c>
      <c r="BG364" s="448"/>
      <c r="BH364" s="448"/>
      <c r="BI364" s="345" t="s">
        <v>1019</v>
      </c>
      <c r="BJ364" s="499" t="s">
        <v>1198</v>
      </c>
      <c r="BK364" s="499" t="s">
        <v>1206</v>
      </c>
      <c r="BL364" s="345" t="s">
        <v>1018</v>
      </c>
      <c r="BM364" s="499"/>
      <c r="BN364" s="499"/>
      <c r="BO364" s="499"/>
    </row>
    <row r="365" spans="1:67" ht="14.5" outlineLevel="1" x14ac:dyDescent="0.35">
      <c r="A365" s="316"/>
      <c r="B365" s="129">
        <v>17</v>
      </c>
      <c r="C365" s="434" t="s">
        <v>708</v>
      </c>
      <c r="D365" s="340" t="s">
        <v>240</v>
      </c>
      <c r="E365" s="340" t="s">
        <v>243</v>
      </c>
      <c r="F365" s="288">
        <v>328.44</v>
      </c>
      <c r="G365" s="435">
        <v>389</v>
      </c>
      <c r="H365" s="288">
        <v>1</v>
      </c>
      <c r="I365" s="288" t="s">
        <v>355</v>
      </c>
      <c r="J365" s="288" t="s">
        <v>356</v>
      </c>
      <c r="K365" s="288" t="s">
        <v>356</v>
      </c>
      <c r="L365" s="288" t="s">
        <v>356</v>
      </c>
      <c r="M365" s="288">
        <v>5</v>
      </c>
      <c r="N365" s="288" t="s">
        <v>911</v>
      </c>
      <c r="O365" s="288" t="s">
        <v>353</v>
      </c>
      <c r="P365" s="288" t="s">
        <v>912</v>
      </c>
      <c r="Q365" s="501" t="s">
        <v>1018</v>
      </c>
      <c r="R365" s="345"/>
      <c r="S365" s="345"/>
      <c r="T365" s="345"/>
      <c r="U365" s="541"/>
      <c r="V365" s="541"/>
      <c r="W365" s="541"/>
      <c r="X365" s="345" t="s">
        <v>1019</v>
      </c>
      <c r="Y365" s="288" t="s">
        <v>910</v>
      </c>
      <c r="Z365" s="288" t="s">
        <v>349</v>
      </c>
      <c r="AA365" s="541"/>
      <c r="AB365" s="541"/>
      <c r="AC365" s="541"/>
      <c r="AD365" s="288" t="s">
        <v>347</v>
      </c>
      <c r="AE365" s="541"/>
      <c r="AF365" s="288" t="s">
        <v>812</v>
      </c>
      <c r="AG365" s="288" t="s">
        <v>348</v>
      </c>
      <c r="AH365" s="541"/>
      <c r="AI365" s="288" t="s">
        <v>358</v>
      </c>
      <c r="AJ365" s="288" t="s">
        <v>350</v>
      </c>
      <c r="AK365" s="541"/>
      <c r="AL365" s="541"/>
      <c r="AM365" s="541"/>
      <c r="AN365" s="288"/>
      <c r="AO365" s="288"/>
      <c r="AP365" s="288"/>
      <c r="AQ365" s="288"/>
      <c r="AR365" s="288"/>
      <c r="AS365" s="288"/>
      <c r="AT365" s="541"/>
      <c r="AU365" s="448"/>
      <c r="AV365" s="448"/>
      <c r="AW365" s="448"/>
      <c r="AX365" s="448"/>
      <c r="AY365" s="345" t="s">
        <v>1018</v>
      </c>
      <c r="AZ365" s="288">
        <v>0</v>
      </c>
      <c r="BA365" s="288">
        <v>0</v>
      </c>
      <c r="BB365" s="288">
        <v>0</v>
      </c>
      <c r="BC365" s="288">
        <v>0</v>
      </c>
      <c r="BD365" s="288">
        <v>0</v>
      </c>
      <c r="BE365" s="288">
        <v>0</v>
      </c>
      <c r="BF365" s="288">
        <v>0</v>
      </c>
      <c r="BG365" s="448"/>
      <c r="BH365" s="448"/>
      <c r="BI365" s="345" t="s">
        <v>1018</v>
      </c>
      <c r="BJ365" s="499"/>
      <c r="BK365" s="499"/>
      <c r="BL365" s="345" t="s">
        <v>1018</v>
      </c>
      <c r="BM365" s="499"/>
      <c r="BN365" s="499"/>
      <c r="BO365" s="499"/>
    </row>
    <row r="366" spans="1:67" ht="14.5" outlineLevel="1" x14ac:dyDescent="0.35">
      <c r="A366" s="316"/>
      <c r="B366" s="129">
        <v>18</v>
      </c>
      <c r="C366" s="434" t="s">
        <v>206</v>
      </c>
      <c r="D366" s="340" t="s">
        <v>242</v>
      </c>
      <c r="E366" s="340" t="s">
        <v>243</v>
      </c>
      <c r="F366" s="288">
        <v>336.9</v>
      </c>
      <c r="G366" s="435">
        <v>399</v>
      </c>
      <c r="H366" s="288">
        <v>1</v>
      </c>
      <c r="I366" s="288" t="s">
        <v>355</v>
      </c>
      <c r="J366" s="288" t="s">
        <v>356</v>
      </c>
      <c r="K366" s="288" t="s">
        <v>356</v>
      </c>
      <c r="L366" s="288" t="s">
        <v>356</v>
      </c>
      <c r="M366" s="288">
        <v>5</v>
      </c>
      <c r="N366" s="288" t="s">
        <v>911</v>
      </c>
      <c r="O366" s="288" t="s">
        <v>353</v>
      </c>
      <c r="P366" s="288" t="s">
        <v>912</v>
      </c>
      <c r="Q366" s="501" t="s">
        <v>1018</v>
      </c>
      <c r="R366" s="345"/>
      <c r="S366" s="345"/>
      <c r="T366" s="345"/>
      <c r="U366" s="541"/>
      <c r="V366" s="541"/>
      <c r="W366" s="541"/>
      <c r="X366" s="345" t="s">
        <v>1018</v>
      </c>
      <c r="Y366" s="541"/>
      <c r="Z366" s="541"/>
      <c r="AA366" s="541"/>
      <c r="AB366" s="541"/>
      <c r="AC366" s="541"/>
      <c r="AD366" s="288" t="s">
        <v>347</v>
      </c>
      <c r="AE366" s="541"/>
      <c r="AF366" s="541"/>
      <c r="AG366" s="542" t="s">
        <v>1200</v>
      </c>
      <c r="AH366" s="541"/>
      <c r="AI366" s="345" t="s">
        <v>1201</v>
      </c>
      <c r="AJ366" s="345"/>
      <c r="AK366" s="345" t="s">
        <v>1203</v>
      </c>
      <c r="AL366" s="345" t="s">
        <v>1207</v>
      </c>
      <c r="AM366" s="345" t="s">
        <v>1208</v>
      </c>
      <c r="AN366" s="345" t="s">
        <v>1209</v>
      </c>
      <c r="AO366" s="345"/>
      <c r="AP366" s="345"/>
      <c r="AQ366" s="345"/>
      <c r="AR366" s="345" t="s">
        <v>1210</v>
      </c>
      <c r="AS366" s="345" t="s">
        <v>1211</v>
      </c>
      <c r="AT366" s="541"/>
      <c r="AU366" s="448"/>
      <c r="AV366" s="448"/>
      <c r="AW366" s="448"/>
      <c r="AX366" s="448"/>
      <c r="AY366" s="345" t="s">
        <v>1018</v>
      </c>
      <c r="AZ366" s="288">
        <v>0</v>
      </c>
      <c r="BA366" s="288">
        <v>0</v>
      </c>
      <c r="BB366" s="288">
        <v>0</v>
      </c>
      <c r="BC366" s="288">
        <v>0</v>
      </c>
      <c r="BD366" s="288">
        <v>0</v>
      </c>
      <c r="BE366" s="288">
        <v>0</v>
      </c>
      <c r="BF366" s="288">
        <v>0</v>
      </c>
      <c r="BG366" s="448"/>
      <c r="BH366" s="448"/>
      <c r="BI366" s="345" t="s">
        <v>1018</v>
      </c>
      <c r="BJ366" s="499"/>
      <c r="BK366" s="499"/>
      <c r="BL366" s="345" t="s">
        <v>1018</v>
      </c>
      <c r="BM366" s="499"/>
      <c r="BN366" s="499"/>
      <c r="BO366" s="499"/>
    </row>
    <row r="367" spans="1:67" ht="14.5" outlineLevel="1" x14ac:dyDescent="0.35">
      <c r="A367" s="316"/>
      <c r="B367" s="129">
        <v>19</v>
      </c>
      <c r="C367" s="434" t="s">
        <v>799</v>
      </c>
      <c r="D367" s="340" t="s">
        <v>240</v>
      </c>
      <c r="E367" s="340" t="s">
        <v>243</v>
      </c>
      <c r="F367" s="435">
        <v>1270.3800000000001</v>
      </c>
      <c r="G367" s="435">
        <v>1499</v>
      </c>
      <c r="H367" s="288">
        <v>6</v>
      </c>
      <c r="I367" s="288" t="s">
        <v>355</v>
      </c>
      <c r="J367" s="288" t="s">
        <v>356</v>
      </c>
      <c r="K367" s="288" t="s">
        <v>356</v>
      </c>
      <c r="L367" s="288" t="s">
        <v>356</v>
      </c>
      <c r="M367" s="288">
        <v>5</v>
      </c>
      <c r="N367" s="288" t="s">
        <v>911</v>
      </c>
      <c r="O367" s="288" t="s">
        <v>913</v>
      </c>
      <c r="P367" s="288" t="s">
        <v>354</v>
      </c>
      <c r="Q367" s="501" t="s">
        <v>1018</v>
      </c>
      <c r="R367" s="345"/>
      <c r="S367" s="345"/>
      <c r="T367" s="345"/>
      <c r="U367" s="345">
        <v>4</v>
      </c>
      <c r="V367" s="288" t="s">
        <v>974</v>
      </c>
      <c r="W367" s="541"/>
      <c r="X367" s="345" t="s">
        <v>1019</v>
      </c>
      <c r="Y367" s="288" t="s">
        <v>910</v>
      </c>
      <c r="Z367" s="288" t="s">
        <v>349</v>
      </c>
      <c r="AA367" s="541"/>
      <c r="AB367" s="541"/>
      <c r="AC367" s="541"/>
      <c r="AD367" s="288" t="s">
        <v>347</v>
      </c>
      <c r="AE367" s="541"/>
      <c r="AF367" s="288" t="s">
        <v>812</v>
      </c>
      <c r="AG367" s="288" t="s">
        <v>348</v>
      </c>
      <c r="AH367" s="541"/>
      <c r="AI367" s="288" t="s">
        <v>358</v>
      </c>
      <c r="AJ367" s="288" t="s">
        <v>350</v>
      </c>
      <c r="AK367" s="541"/>
      <c r="AL367" s="541"/>
      <c r="AM367" s="541"/>
      <c r="AN367" s="288"/>
      <c r="AO367" s="288"/>
      <c r="AP367" s="288"/>
      <c r="AQ367" s="288"/>
      <c r="AR367" s="345"/>
      <c r="AS367" s="288"/>
      <c r="AT367" s="541"/>
      <c r="AU367" s="448"/>
      <c r="AV367" s="448"/>
      <c r="AW367" s="448"/>
      <c r="AX367" s="448"/>
      <c r="AY367" s="345" t="s">
        <v>1018</v>
      </c>
      <c r="AZ367" s="288">
        <v>0</v>
      </c>
      <c r="BA367" s="288">
        <v>0</v>
      </c>
      <c r="BB367" s="499">
        <v>1</v>
      </c>
      <c r="BC367" s="288">
        <v>0</v>
      </c>
      <c r="BD367" s="288">
        <v>0</v>
      </c>
      <c r="BE367" s="288">
        <v>0</v>
      </c>
      <c r="BF367" s="288">
        <v>0</v>
      </c>
      <c r="BG367" s="448"/>
      <c r="BH367" s="448"/>
      <c r="BI367" s="345" t="s">
        <v>1018</v>
      </c>
      <c r="BJ367" s="499"/>
      <c r="BK367" s="499"/>
      <c r="BL367" s="345" t="s">
        <v>1018</v>
      </c>
      <c r="BM367" s="499"/>
      <c r="BN367" s="499"/>
      <c r="BO367" s="499"/>
    </row>
    <row r="368" spans="1:67" ht="14.5" outlineLevel="1" x14ac:dyDescent="0.35">
      <c r="A368" s="316"/>
      <c r="B368" s="129">
        <v>20</v>
      </c>
      <c r="C368" s="434" t="s">
        <v>853</v>
      </c>
      <c r="D368" s="340" t="s">
        <v>240</v>
      </c>
      <c r="E368" s="340" t="s">
        <v>243</v>
      </c>
      <c r="F368" s="435">
        <v>281.16000000000003</v>
      </c>
      <c r="G368" s="435">
        <v>333</v>
      </c>
      <c r="H368" s="288">
        <v>1</v>
      </c>
      <c r="I368" s="288" t="s">
        <v>355</v>
      </c>
      <c r="J368" s="541"/>
      <c r="K368" s="541"/>
      <c r="L368" s="541"/>
      <c r="M368" s="541"/>
      <c r="N368" s="541"/>
      <c r="O368" s="288" t="s">
        <v>360</v>
      </c>
      <c r="P368" s="288" t="s">
        <v>361</v>
      </c>
      <c r="Q368" s="501" t="s">
        <v>1018</v>
      </c>
      <c r="R368" s="345"/>
      <c r="S368" s="345"/>
      <c r="T368" s="345"/>
      <c r="U368" s="541"/>
      <c r="V368" s="541"/>
      <c r="W368" s="541"/>
      <c r="X368" s="345" t="s">
        <v>1018</v>
      </c>
      <c r="Y368" s="541"/>
      <c r="Z368" s="541"/>
      <c r="AA368" s="541"/>
      <c r="AB368" s="541"/>
      <c r="AC368" s="541"/>
      <c r="AD368" s="288" t="s">
        <v>347</v>
      </c>
      <c r="AE368" s="541"/>
      <c r="AF368" s="541"/>
      <c r="AG368" s="541"/>
      <c r="AH368" s="541"/>
      <c r="AI368" s="541"/>
      <c r="AJ368" s="541"/>
      <c r="AK368" s="541"/>
      <c r="AL368" s="541"/>
      <c r="AM368" s="541"/>
      <c r="AN368" s="541"/>
      <c r="AO368" s="541"/>
      <c r="AP368" s="541"/>
      <c r="AQ368" s="541"/>
      <c r="AR368" s="541"/>
      <c r="AS368" s="541"/>
      <c r="AT368" s="541"/>
      <c r="AU368" s="448"/>
      <c r="AV368" s="448"/>
      <c r="AW368" s="448"/>
      <c r="AX368" s="448"/>
      <c r="AY368" s="345" t="s">
        <v>1018</v>
      </c>
      <c r="AZ368" s="288">
        <v>0</v>
      </c>
      <c r="BA368" s="288">
        <v>0</v>
      </c>
      <c r="BB368" s="288">
        <v>0</v>
      </c>
      <c r="BC368" s="288">
        <v>0</v>
      </c>
      <c r="BD368" s="288">
        <v>0</v>
      </c>
      <c r="BE368" s="288">
        <v>0</v>
      </c>
      <c r="BF368" s="288">
        <v>0</v>
      </c>
      <c r="BG368" s="448"/>
      <c r="BH368" s="448"/>
      <c r="BI368" s="345" t="s">
        <v>1018</v>
      </c>
      <c r="BJ368" s="499"/>
      <c r="BK368" s="499"/>
      <c r="BL368" s="345" t="s">
        <v>1018</v>
      </c>
      <c r="BM368" s="499"/>
      <c r="BN368" s="499"/>
      <c r="BO368" s="499"/>
    </row>
    <row r="369" spans="1:67" ht="14.5" outlineLevel="1" x14ac:dyDescent="0.35">
      <c r="A369" s="316"/>
      <c r="B369" s="129">
        <v>21</v>
      </c>
      <c r="C369" s="434" t="s">
        <v>207</v>
      </c>
      <c r="D369" s="340" t="s">
        <v>242</v>
      </c>
      <c r="E369" s="340" t="s">
        <v>243</v>
      </c>
      <c r="F369" s="435">
        <v>463.55</v>
      </c>
      <c r="G369" s="435">
        <v>549</v>
      </c>
      <c r="H369" s="288">
        <v>2</v>
      </c>
      <c r="I369" s="288" t="s">
        <v>355</v>
      </c>
      <c r="J369" s="288" t="s">
        <v>355</v>
      </c>
      <c r="K369" s="288" t="s">
        <v>356</v>
      </c>
      <c r="L369" s="288" t="s">
        <v>356</v>
      </c>
      <c r="M369" s="288">
        <v>5</v>
      </c>
      <c r="N369" s="288" t="s">
        <v>911</v>
      </c>
      <c r="O369" s="288" t="s">
        <v>354</v>
      </c>
      <c r="P369" s="288" t="s">
        <v>346</v>
      </c>
      <c r="Q369" s="501" t="s">
        <v>1018</v>
      </c>
      <c r="R369" s="345"/>
      <c r="S369" s="345"/>
      <c r="T369" s="345"/>
      <c r="U369" s="541"/>
      <c r="V369" s="541"/>
      <c r="W369" s="541"/>
      <c r="X369" s="345" t="s">
        <v>1018</v>
      </c>
      <c r="Y369" s="541"/>
      <c r="Z369" s="541"/>
      <c r="AA369" s="541"/>
      <c r="AB369" s="541"/>
      <c r="AC369" s="541"/>
      <c r="AD369" s="288" t="s">
        <v>347</v>
      </c>
      <c r="AE369" s="541"/>
      <c r="AF369" s="541"/>
      <c r="AG369" s="542" t="s">
        <v>1200</v>
      </c>
      <c r="AH369" s="541"/>
      <c r="AI369" s="345" t="s">
        <v>1201</v>
      </c>
      <c r="AJ369" s="345"/>
      <c r="AK369" s="345" t="s">
        <v>1203</v>
      </c>
      <c r="AL369" s="345" t="s">
        <v>1207</v>
      </c>
      <c r="AM369" s="345" t="s">
        <v>1208</v>
      </c>
      <c r="AN369" s="345" t="s">
        <v>1209</v>
      </c>
      <c r="AO369" s="345"/>
      <c r="AP369" s="345"/>
      <c r="AQ369" s="345"/>
      <c r="AR369" s="345" t="s">
        <v>1210</v>
      </c>
      <c r="AS369" s="345" t="s">
        <v>1211</v>
      </c>
      <c r="AT369" s="541"/>
      <c r="AU369" s="448"/>
      <c r="AV369" s="448"/>
      <c r="AW369" s="448"/>
      <c r="AX369" s="448"/>
      <c r="AY369" s="345" t="s">
        <v>1018</v>
      </c>
      <c r="AZ369" s="288">
        <v>0</v>
      </c>
      <c r="BA369" s="288">
        <v>0</v>
      </c>
      <c r="BB369" s="288">
        <v>0</v>
      </c>
      <c r="BC369" s="288">
        <v>0</v>
      </c>
      <c r="BD369" s="288">
        <v>0</v>
      </c>
      <c r="BE369" s="288">
        <v>0</v>
      </c>
      <c r="BF369" s="288">
        <v>0</v>
      </c>
      <c r="BG369" s="448"/>
      <c r="BH369" s="448"/>
      <c r="BI369" s="345" t="s">
        <v>1018</v>
      </c>
      <c r="BJ369" s="499"/>
      <c r="BK369" s="499"/>
      <c r="BL369" s="345" t="s">
        <v>1018</v>
      </c>
      <c r="BM369" s="499"/>
      <c r="BN369" s="499"/>
      <c r="BO369" s="499"/>
    </row>
    <row r="370" spans="1:67" ht="14.5" outlineLevel="1" x14ac:dyDescent="0.35">
      <c r="A370" s="316"/>
      <c r="B370" s="129">
        <v>22</v>
      </c>
      <c r="C370" s="434" t="s">
        <v>367</v>
      </c>
      <c r="D370" s="340" t="s">
        <v>242</v>
      </c>
      <c r="E370" s="340" t="s">
        <v>243</v>
      </c>
      <c r="F370" s="435">
        <v>674.64</v>
      </c>
      <c r="G370" s="435">
        <v>799</v>
      </c>
      <c r="H370" s="288">
        <v>2</v>
      </c>
      <c r="I370" s="288" t="s">
        <v>355</v>
      </c>
      <c r="J370" s="288" t="s">
        <v>356</v>
      </c>
      <c r="K370" s="288" t="s">
        <v>356</v>
      </c>
      <c r="L370" s="288" t="s">
        <v>356</v>
      </c>
      <c r="M370" s="288">
        <v>5</v>
      </c>
      <c r="N370" s="288" t="s">
        <v>911</v>
      </c>
      <c r="O370" s="288" t="s">
        <v>364</v>
      </c>
      <c r="P370" s="288" t="s">
        <v>353</v>
      </c>
      <c r="Q370" s="501" t="s">
        <v>1018</v>
      </c>
      <c r="R370" s="345"/>
      <c r="S370" s="345"/>
      <c r="T370" s="345"/>
      <c r="U370" s="541"/>
      <c r="V370" s="541"/>
      <c r="W370" s="541"/>
      <c r="X370" s="345" t="s">
        <v>1018</v>
      </c>
      <c r="Y370" s="541"/>
      <c r="Z370" s="541"/>
      <c r="AA370" s="541"/>
      <c r="AB370" s="541"/>
      <c r="AC370" s="541"/>
      <c r="AD370" s="288" t="s">
        <v>347</v>
      </c>
      <c r="AE370" s="541"/>
      <c r="AF370" s="541"/>
      <c r="AG370" s="542" t="s">
        <v>1200</v>
      </c>
      <c r="AH370" s="541"/>
      <c r="AI370" s="345" t="s">
        <v>1201</v>
      </c>
      <c r="AJ370" s="345"/>
      <c r="AK370" s="345" t="s">
        <v>1203</v>
      </c>
      <c r="AL370" s="345" t="s">
        <v>1207</v>
      </c>
      <c r="AM370" s="345" t="s">
        <v>1208</v>
      </c>
      <c r="AN370" s="345" t="s">
        <v>1209</v>
      </c>
      <c r="AO370" s="345"/>
      <c r="AP370" s="345" t="s">
        <v>1212</v>
      </c>
      <c r="AQ370" s="345"/>
      <c r="AR370" s="345" t="s">
        <v>1210</v>
      </c>
      <c r="AS370" s="345" t="s">
        <v>1211</v>
      </c>
      <c r="AT370" s="541"/>
      <c r="AU370" s="448"/>
      <c r="AV370" s="448"/>
      <c r="AW370" s="448"/>
      <c r="AX370" s="448"/>
      <c r="AY370" s="345" t="s">
        <v>1018</v>
      </c>
      <c r="AZ370" s="288">
        <v>0</v>
      </c>
      <c r="BA370" s="288">
        <v>0</v>
      </c>
      <c r="BB370" s="288">
        <v>0</v>
      </c>
      <c r="BC370" s="288">
        <v>0</v>
      </c>
      <c r="BD370" s="288">
        <v>0</v>
      </c>
      <c r="BE370" s="288">
        <v>0</v>
      </c>
      <c r="BF370" s="288">
        <v>0</v>
      </c>
      <c r="BG370" s="448"/>
      <c r="BH370" s="448"/>
      <c r="BI370" s="345" t="s">
        <v>1018</v>
      </c>
      <c r="BJ370" s="499"/>
      <c r="BK370" s="499"/>
      <c r="BL370" s="345" t="s">
        <v>1018</v>
      </c>
      <c r="BM370" s="499"/>
      <c r="BN370" s="499"/>
      <c r="BO370" s="499"/>
    </row>
    <row r="371" spans="1:67" ht="14.5" outlineLevel="1" x14ac:dyDescent="0.35">
      <c r="A371" s="316"/>
      <c r="B371" s="129">
        <v>23</v>
      </c>
      <c r="C371" s="434" t="s">
        <v>208</v>
      </c>
      <c r="D371" s="340" t="s">
        <v>240</v>
      </c>
      <c r="E371" s="340" t="s">
        <v>243</v>
      </c>
      <c r="F371" s="435">
        <v>843.5</v>
      </c>
      <c r="G371" s="435">
        <v>999</v>
      </c>
      <c r="H371" s="288">
        <v>3</v>
      </c>
      <c r="I371" s="288" t="s">
        <v>355</v>
      </c>
      <c r="J371" s="288" t="s">
        <v>355</v>
      </c>
      <c r="K371" s="288" t="s">
        <v>356</v>
      </c>
      <c r="L371" s="288" t="s">
        <v>356</v>
      </c>
      <c r="M371" s="288">
        <v>5</v>
      </c>
      <c r="N371" s="288" t="s">
        <v>911</v>
      </c>
      <c r="O371" s="288" t="s">
        <v>359</v>
      </c>
      <c r="P371" s="288" t="s">
        <v>354</v>
      </c>
      <c r="Q371" s="501" t="s">
        <v>1018</v>
      </c>
      <c r="R371" s="345"/>
      <c r="S371" s="345"/>
      <c r="T371" s="345"/>
      <c r="U371" s="541"/>
      <c r="V371" s="541"/>
      <c r="W371" s="541"/>
      <c r="X371" s="345" t="s">
        <v>1019</v>
      </c>
      <c r="Y371" s="288" t="s">
        <v>910</v>
      </c>
      <c r="Z371" s="288" t="s">
        <v>349</v>
      </c>
      <c r="AA371" s="541"/>
      <c r="AB371" s="541"/>
      <c r="AC371" s="541"/>
      <c r="AD371" s="288" t="s">
        <v>347</v>
      </c>
      <c r="AE371" s="541"/>
      <c r="AF371" s="288" t="s">
        <v>812</v>
      </c>
      <c r="AG371" s="288" t="s">
        <v>348</v>
      </c>
      <c r="AH371" s="541"/>
      <c r="AI371" s="288" t="s">
        <v>358</v>
      </c>
      <c r="AJ371" s="288" t="s">
        <v>350</v>
      </c>
      <c r="AK371" s="541"/>
      <c r="AL371" s="541"/>
      <c r="AM371" s="541"/>
      <c r="AN371" s="288"/>
      <c r="AO371" s="288"/>
      <c r="AP371" s="288"/>
      <c r="AQ371" s="288"/>
      <c r="AR371" s="288"/>
      <c r="AS371" s="288"/>
      <c r="AT371" s="541"/>
      <c r="AU371" s="448"/>
      <c r="AV371" s="448"/>
      <c r="AW371" s="448"/>
      <c r="AX371" s="448"/>
      <c r="AY371" s="345" t="s">
        <v>1018</v>
      </c>
      <c r="AZ371" s="288">
        <v>0</v>
      </c>
      <c r="BA371" s="288">
        <v>0</v>
      </c>
      <c r="BB371" s="288">
        <v>0</v>
      </c>
      <c r="BC371" s="288">
        <v>0</v>
      </c>
      <c r="BD371" s="288">
        <v>0</v>
      </c>
      <c r="BE371" s="288">
        <v>0</v>
      </c>
      <c r="BF371" s="288">
        <v>0</v>
      </c>
      <c r="BG371" s="448"/>
      <c r="BH371" s="448"/>
      <c r="BI371" s="345" t="s">
        <v>1018</v>
      </c>
      <c r="BJ371" s="499"/>
      <c r="BK371" s="499"/>
      <c r="BL371" s="345" t="s">
        <v>1018</v>
      </c>
      <c r="BM371" s="499"/>
      <c r="BN371" s="499"/>
      <c r="BO371" s="499"/>
    </row>
    <row r="372" spans="1:67" ht="14.5" outlineLevel="1" x14ac:dyDescent="0.35">
      <c r="A372" s="316"/>
      <c r="B372" s="129">
        <v>24</v>
      </c>
      <c r="C372" s="434" t="s">
        <v>800</v>
      </c>
      <c r="D372" s="340" t="s">
        <v>242</v>
      </c>
      <c r="E372" s="340" t="s">
        <v>243</v>
      </c>
      <c r="F372" s="544">
        <v>1301.6199999999999</v>
      </c>
      <c r="G372" s="449">
        <v>1536</v>
      </c>
      <c r="H372" s="288">
        <v>2</v>
      </c>
      <c r="I372" s="288" t="s">
        <v>355</v>
      </c>
      <c r="J372" s="288" t="s">
        <v>355</v>
      </c>
      <c r="K372" s="288" t="s">
        <v>356</v>
      </c>
      <c r="L372" s="288" t="s">
        <v>356</v>
      </c>
      <c r="M372" s="288">
        <v>5</v>
      </c>
      <c r="N372" s="288" t="s">
        <v>911</v>
      </c>
      <c r="O372" s="288" t="s">
        <v>914</v>
      </c>
      <c r="P372" s="288" t="s">
        <v>354</v>
      </c>
      <c r="Q372" s="501" t="s">
        <v>1018</v>
      </c>
      <c r="R372" s="345"/>
      <c r="S372" s="345"/>
      <c r="T372" s="345"/>
      <c r="U372" s="345">
        <v>4</v>
      </c>
      <c r="V372" s="345" t="s">
        <v>974</v>
      </c>
      <c r="W372" s="541"/>
      <c r="X372" s="345" t="s">
        <v>1018</v>
      </c>
      <c r="Y372" s="541"/>
      <c r="Z372" s="541"/>
      <c r="AA372" s="541"/>
      <c r="AB372" s="541"/>
      <c r="AC372" s="541"/>
      <c r="AD372" s="288" t="s">
        <v>347</v>
      </c>
      <c r="AE372" s="541"/>
      <c r="AF372" s="541"/>
      <c r="AG372" s="542" t="s">
        <v>1200</v>
      </c>
      <c r="AH372" s="541"/>
      <c r="AI372" s="345" t="s">
        <v>1201</v>
      </c>
      <c r="AJ372" s="345"/>
      <c r="AK372" s="345" t="s">
        <v>1203</v>
      </c>
      <c r="AL372" s="345" t="s">
        <v>1207</v>
      </c>
      <c r="AM372" s="345" t="s">
        <v>1208</v>
      </c>
      <c r="AN372" s="345"/>
      <c r="AO372" s="345" t="s">
        <v>1213</v>
      </c>
      <c r="AP372" s="345" t="s">
        <v>1212</v>
      </c>
      <c r="AQ372" s="345" t="s">
        <v>1214</v>
      </c>
      <c r="AR372" s="345" t="s">
        <v>1210</v>
      </c>
      <c r="AS372" s="345" t="s">
        <v>1211</v>
      </c>
      <c r="AT372" s="541"/>
      <c r="AU372" s="448"/>
      <c r="AV372" s="448"/>
      <c r="AW372" s="448"/>
      <c r="AX372" s="448"/>
      <c r="AY372" s="345" t="s">
        <v>1018</v>
      </c>
      <c r="AZ372" s="288">
        <v>0</v>
      </c>
      <c r="BA372" s="288">
        <v>0</v>
      </c>
      <c r="BB372" s="499">
        <v>1</v>
      </c>
      <c r="BC372" s="288">
        <v>0</v>
      </c>
      <c r="BD372" s="288">
        <v>0</v>
      </c>
      <c r="BE372" s="288">
        <v>0</v>
      </c>
      <c r="BF372" s="288">
        <v>0</v>
      </c>
      <c r="BG372" s="448"/>
      <c r="BH372" s="448"/>
      <c r="BI372" s="345" t="s">
        <v>1018</v>
      </c>
      <c r="BJ372" s="499"/>
      <c r="BK372" s="499"/>
      <c r="BL372" s="345" t="s">
        <v>1018</v>
      </c>
      <c r="BM372" s="499"/>
      <c r="BN372" s="499"/>
      <c r="BO372" s="499"/>
    </row>
    <row r="373" spans="1:67" ht="14.5" outlineLevel="1" x14ac:dyDescent="0.35">
      <c r="A373" s="316"/>
      <c r="B373" s="129">
        <v>25</v>
      </c>
      <c r="C373" s="434" t="s">
        <v>801</v>
      </c>
      <c r="D373" s="340" t="s">
        <v>242</v>
      </c>
      <c r="E373" s="340" t="s">
        <v>243</v>
      </c>
      <c r="F373" s="544">
        <v>1546.48</v>
      </c>
      <c r="G373" s="449">
        <v>1826</v>
      </c>
      <c r="H373" s="288">
        <v>4</v>
      </c>
      <c r="I373" s="288" t="s">
        <v>355</v>
      </c>
      <c r="J373" s="288" t="s">
        <v>355</v>
      </c>
      <c r="K373" s="288" t="s">
        <v>356</v>
      </c>
      <c r="L373" s="288" t="s">
        <v>356</v>
      </c>
      <c r="M373" s="288">
        <v>5</v>
      </c>
      <c r="N373" s="288" t="s">
        <v>911</v>
      </c>
      <c r="O373" s="288" t="s">
        <v>913</v>
      </c>
      <c r="P373" s="288" t="s">
        <v>354</v>
      </c>
      <c r="Q373" s="501" t="s">
        <v>1018</v>
      </c>
      <c r="R373" s="345"/>
      <c r="S373" s="345"/>
      <c r="T373" s="345"/>
      <c r="U373" s="345">
        <v>4</v>
      </c>
      <c r="V373" s="345" t="s">
        <v>974</v>
      </c>
      <c r="W373" s="541"/>
      <c r="X373" s="345" t="s">
        <v>1018</v>
      </c>
      <c r="Y373" s="541"/>
      <c r="Z373" s="541"/>
      <c r="AA373" s="541"/>
      <c r="AB373" s="541"/>
      <c r="AC373" s="541"/>
      <c r="AD373" s="288" t="s">
        <v>347</v>
      </c>
      <c r="AE373" s="541"/>
      <c r="AF373" s="541"/>
      <c r="AG373" s="542" t="s">
        <v>1200</v>
      </c>
      <c r="AH373" s="541"/>
      <c r="AI373" s="345" t="s">
        <v>1201</v>
      </c>
      <c r="AJ373" s="345"/>
      <c r="AK373" s="345" t="s">
        <v>1203</v>
      </c>
      <c r="AL373" s="345" t="s">
        <v>1207</v>
      </c>
      <c r="AM373" s="345" t="s">
        <v>1208</v>
      </c>
      <c r="AN373" s="345"/>
      <c r="AO373" s="345" t="s">
        <v>1213</v>
      </c>
      <c r="AP373" s="345" t="s">
        <v>1212</v>
      </c>
      <c r="AQ373" s="345" t="s">
        <v>1214</v>
      </c>
      <c r="AR373" s="345" t="s">
        <v>1210</v>
      </c>
      <c r="AS373" s="345" t="s">
        <v>1211</v>
      </c>
      <c r="AT373" s="541"/>
      <c r="AU373" s="448"/>
      <c r="AV373" s="448"/>
      <c r="AW373" s="448"/>
      <c r="AX373" s="448"/>
      <c r="AY373" s="345" t="s">
        <v>1018</v>
      </c>
      <c r="AZ373" s="288">
        <v>0</v>
      </c>
      <c r="BA373" s="288">
        <v>0</v>
      </c>
      <c r="BB373" s="499">
        <v>1</v>
      </c>
      <c r="BC373" s="288">
        <v>0</v>
      </c>
      <c r="BD373" s="288">
        <v>0</v>
      </c>
      <c r="BE373" s="288">
        <v>0</v>
      </c>
      <c r="BF373" s="288">
        <v>0</v>
      </c>
      <c r="BG373" s="448"/>
      <c r="BH373" s="448"/>
      <c r="BI373" s="345" t="s">
        <v>1018</v>
      </c>
      <c r="BJ373" s="499"/>
      <c r="BK373" s="499"/>
      <c r="BL373" s="345" t="s">
        <v>1018</v>
      </c>
      <c r="BM373" s="499"/>
      <c r="BN373" s="499"/>
      <c r="BO373" s="499"/>
    </row>
    <row r="374" spans="1:67" ht="14.5" outlineLevel="1" x14ac:dyDescent="0.35">
      <c r="A374" s="316"/>
      <c r="B374" s="129">
        <v>26</v>
      </c>
      <c r="C374" s="434" t="s">
        <v>830</v>
      </c>
      <c r="D374" s="340" t="s">
        <v>242</v>
      </c>
      <c r="E374" s="340" t="s">
        <v>243</v>
      </c>
      <c r="F374" s="544">
        <v>1968.65</v>
      </c>
      <c r="G374" s="449">
        <v>2326</v>
      </c>
      <c r="H374" s="288">
        <v>6</v>
      </c>
      <c r="I374" s="288" t="s">
        <v>355</v>
      </c>
      <c r="J374" s="288" t="s">
        <v>355</v>
      </c>
      <c r="K374" s="288" t="s">
        <v>356</v>
      </c>
      <c r="L374" s="288" t="s">
        <v>356</v>
      </c>
      <c r="M374" s="288">
        <v>5</v>
      </c>
      <c r="N374" s="288" t="s">
        <v>911</v>
      </c>
      <c r="O374" s="288" t="s">
        <v>913</v>
      </c>
      <c r="P374" s="288" t="s">
        <v>354</v>
      </c>
      <c r="Q374" s="501" t="s">
        <v>1018</v>
      </c>
      <c r="R374" s="345"/>
      <c r="S374" s="345"/>
      <c r="T374" s="345"/>
      <c r="U374" s="345">
        <v>4</v>
      </c>
      <c r="V374" s="345" t="s">
        <v>974</v>
      </c>
      <c r="W374" s="541"/>
      <c r="X374" s="345" t="s">
        <v>1018</v>
      </c>
      <c r="Y374" s="541"/>
      <c r="Z374" s="541"/>
      <c r="AA374" s="541"/>
      <c r="AB374" s="541"/>
      <c r="AC374" s="541"/>
      <c r="AD374" s="288" t="s">
        <v>347</v>
      </c>
      <c r="AE374" s="541"/>
      <c r="AF374" s="541"/>
      <c r="AG374" s="542" t="s">
        <v>1200</v>
      </c>
      <c r="AH374" s="541"/>
      <c r="AI374" s="345" t="s">
        <v>1201</v>
      </c>
      <c r="AJ374" s="345"/>
      <c r="AK374" s="345" t="s">
        <v>1203</v>
      </c>
      <c r="AL374" s="345" t="s">
        <v>1207</v>
      </c>
      <c r="AM374" s="345" t="s">
        <v>1208</v>
      </c>
      <c r="AN374" s="345"/>
      <c r="AO374" s="345" t="s">
        <v>1213</v>
      </c>
      <c r="AP374" s="345" t="s">
        <v>1212</v>
      </c>
      <c r="AQ374" s="345" t="s">
        <v>1214</v>
      </c>
      <c r="AR374" s="345" t="s">
        <v>1210</v>
      </c>
      <c r="AS374" s="345" t="s">
        <v>1211</v>
      </c>
      <c r="AT374" s="541"/>
      <c r="AU374" s="448"/>
      <c r="AV374" s="448"/>
      <c r="AW374" s="448"/>
      <c r="AX374" s="448"/>
      <c r="AY374" s="345" t="s">
        <v>1018</v>
      </c>
      <c r="AZ374" s="288">
        <v>0</v>
      </c>
      <c r="BA374" s="288">
        <v>0</v>
      </c>
      <c r="BB374" s="499">
        <v>1</v>
      </c>
      <c r="BC374" s="288">
        <v>0</v>
      </c>
      <c r="BD374" s="288">
        <v>0</v>
      </c>
      <c r="BE374" s="288">
        <v>0</v>
      </c>
      <c r="BF374" s="288">
        <v>0</v>
      </c>
      <c r="BG374" s="448"/>
      <c r="BH374" s="448"/>
      <c r="BI374" s="345" t="s">
        <v>1018</v>
      </c>
      <c r="BJ374" s="499"/>
      <c r="BK374" s="499"/>
      <c r="BL374" s="345" t="s">
        <v>1018</v>
      </c>
      <c r="BM374" s="499"/>
      <c r="BN374" s="499"/>
      <c r="BO374" s="499"/>
    </row>
    <row r="375" spans="1:67" ht="14.5" outlineLevel="1" x14ac:dyDescent="0.35">
      <c r="A375" s="316"/>
      <c r="B375" s="129">
        <v>27</v>
      </c>
      <c r="C375" s="434" t="s">
        <v>201</v>
      </c>
      <c r="D375" s="340" t="s">
        <v>242</v>
      </c>
      <c r="E375" s="340" t="s">
        <v>954</v>
      </c>
      <c r="F375" s="435">
        <v>349</v>
      </c>
      <c r="G375" s="288">
        <v>404.84</v>
      </c>
      <c r="H375" s="541"/>
      <c r="I375" s="541"/>
      <c r="J375" s="541"/>
      <c r="K375" s="541"/>
      <c r="L375" s="541"/>
      <c r="M375" s="541"/>
      <c r="N375" s="541"/>
      <c r="O375" s="288" t="s">
        <v>362</v>
      </c>
      <c r="P375" s="288" t="s">
        <v>352</v>
      </c>
      <c r="Q375" s="501" t="s">
        <v>1018</v>
      </c>
      <c r="R375" s="345"/>
      <c r="S375" s="345"/>
      <c r="T375" s="345"/>
      <c r="U375" s="541"/>
      <c r="V375" s="541"/>
      <c r="W375" s="541"/>
      <c r="X375" s="345" t="s">
        <v>1018</v>
      </c>
      <c r="Y375" s="541"/>
      <c r="Z375" s="541"/>
      <c r="AA375" s="541"/>
      <c r="AB375" s="541"/>
      <c r="AC375" s="541"/>
      <c r="AD375" s="288" t="s">
        <v>347</v>
      </c>
      <c r="AE375" s="541"/>
      <c r="AF375" s="345" t="s">
        <v>1215</v>
      </c>
      <c r="AG375" s="345"/>
      <c r="AH375" s="541"/>
      <c r="AI375" s="345" t="s">
        <v>1201</v>
      </c>
      <c r="AJ375" s="345"/>
      <c r="AK375" s="541"/>
      <c r="AL375" s="541"/>
      <c r="AM375" s="541"/>
      <c r="AN375" s="541"/>
      <c r="AO375" s="541"/>
      <c r="AP375" s="541"/>
      <c r="AQ375" s="541"/>
      <c r="AR375" s="541"/>
      <c r="AS375" s="541"/>
      <c r="AT375" s="541"/>
      <c r="AU375" s="448"/>
      <c r="AV375" s="448"/>
      <c r="AW375" s="448"/>
      <c r="AX375" s="448"/>
      <c r="AY375" s="345" t="s">
        <v>1018</v>
      </c>
      <c r="AZ375" s="288">
        <v>0</v>
      </c>
      <c r="BA375" s="288">
        <v>0</v>
      </c>
      <c r="BB375" s="288">
        <v>0</v>
      </c>
      <c r="BC375" s="288">
        <v>0</v>
      </c>
      <c r="BD375" s="288">
        <v>0</v>
      </c>
      <c r="BE375" s="288">
        <v>0</v>
      </c>
      <c r="BF375" s="288">
        <v>0</v>
      </c>
      <c r="BG375" s="448"/>
      <c r="BH375" s="448"/>
      <c r="BI375" s="345" t="s">
        <v>1018</v>
      </c>
      <c r="BJ375" s="499"/>
      <c r="BK375" s="499"/>
      <c r="BL375" s="345" t="s">
        <v>1018</v>
      </c>
      <c r="BM375" s="499"/>
      <c r="BN375" s="499"/>
      <c r="BO375" s="499"/>
    </row>
    <row r="376" spans="1:67" ht="14.5" outlineLevel="1" x14ac:dyDescent="0.35">
      <c r="A376" s="316"/>
      <c r="B376" s="129">
        <v>28</v>
      </c>
      <c r="C376" s="434" t="s">
        <v>202</v>
      </c>
      <c r="D376" s="340" t="s">
        <v>242</v>
      </c>
      <c r="E376" s="340" t="s">
        <v>954</v>
      </c>
      <c r="F376" s="435">
        <v>608.69000000000005</v>
      </c>
      <c r="G376" s="288">
        <v>706.08</v>
      </c>
      <c r="H376" s="541"/>
      <c r="I376" s="541"/>
      <c r="J376" s="541"/>
      <c r="K376" s="541"/>
      <c r="L376" s="541"/>
      <c r="M376" s="541"/>
      <c r="N376" s="541"/>
      <c r="O376" s="288" t="s">
        <v>354</v>
      </c>
      <c r="P376" s="288" t="s">
        <v>352</v>
      </c>
      <c r="Q376" s="501" t="s">
        <v>1018</v>
      </c>
      <c r="R376" s="345"/>
      <c r="S376" s="345"/>
      <c r="T376" s="345"/>
      <c r="U376" s="541"/>
      <c r="V376" s="541"/>
      <c r="W376" s="541"/>
      <c r="X376" s="345" t="s">
        <v>1018</v>
      </c>
      <c r="Y376" s="541"/>
      <c r="Z376" s="541"/>
      <c r="AA376" s="541"/>
      <c r="AB376" s="541"/>
      <c r="AC376" s="541"/>
      <c r="AD376" s="288" t="s">
        <v>347</v>
      </c>
      <c r="AE376" s="541"/>
      <c r="AF376" s="345" t="s">
        <v>1215</v>
      </c>
      <c r="AG376" s="345"/>
      <c r="AH376" s="541"/>
      <c r="AI376" s="345" t="s">
        <v>1201</v>
      </c>
      <c r="AJ376" s="345"/>
      <c r="AK376" s="541"/>
      <c r="AL376" s="541"/>
      <c r="AM376" s="541"/>
      <c r="AN376" s="541"/>
      <c r="AO376" s="541"/>
      <c r="AP376" s="541"/>
      <c r="AQ376" s="541"/>
      <c r="AR376" s="541"/>
      <c r="AS376" s="541"/>
      <c r="AT376" s="541"/>
      <c r="AU376" s="448"/>
      <c r="AV376" s="448"/>
      <c r="AW376" s="448"/>
      <c r="AX376" s="448"/>
      <c r="AY376" s="345" t="s">
        <v>1018</v>
      </c>
      <c r="AZ376" s="288">
        <v>0</v>
      </c>
      <c r="BA376" s="288">
        <v>0</v>
      </c>
      <c r="BB376" s="288">
        <v>0</v>
      </c>
      <c r="BC376" s="288">
        <v>0</v>
      </c>
      <c r="BD376" s="288">
        <v>0</v>
      </c>
      <c r="BE376" s="288">
        <v>0</v>
      </c>
      <c r="BF376" s="288">
        <v>0</v>
      </c>
      <c r="BG376" s="448"/>
      <c r="BH376" s="448"/>
      <c r="BI376" s="345" t="s">
        <v>1018</v>
      </c>
      <c r="BJ376" s="499"/>
      <c r="BK376" s="499"/>
      <c r="BL376" s="345" t="s">
        <v>1018</v>
      </c>
      <c r="BM376" s="499"/>
      <c r="BN376" s="499"/>
      <c r="BO376" s="499"/>
    </row>
    <row r="377" spans="1:67" ht="14.5" outlineLevel="1" x14ac:dyDescent="0.35">
      <c r="A377" s="316"/>
      <c r="B377" s="129">
        <v>29</v>
      </c>
      <c r="C377" s="434" t="s">
        <v>203</v>
      </c>
      <c r="D377" s="340" t="s">
        <v>242</v>
      </c>
      <c r="E377" s="340" t="s">
        <v>954</v>
      </c>
      <c r="F377" s="435">
        <v>1042.5999999999999</v>
      </c>
      <c r="G377" s="288">
        <v>1209.42</v>
      </c>
      <c r="H377" s="541"/>
      <c r="I377" s="541"/>
      <c r="J377" s="541"/>
      <c r="K377" s="541"/>
      <c r="L377" s="541"/>
      <c r="M377" s="541"/>
      <c r="N377" s="541"/>
      <c r="O377" s="288" t="s">
        <v>351</v>
      </c>
      <c r="P377" s="288" t="s">
        <v>352</v>
      </c>
      <c r="Q377" s="501" t="s">
        <v>1018</v>
      </c>
      <c r="R377" s="345"/>
      <c r="S377" s="345"/>
      <c r="T377" s="345"/>
      <c r="U377" s="541"/>
      <c r="V377" s="541"/>
      <c r="W377" s="541"/>
      <c r="X377" s="345" t="s">
        <v>1018</v>
      </c>
      <c r="Y377" s="541"/>
      <c r="Z377" s="541"/>
      <c r="AA377" s="541"/>
      <c r="AB377" s="541"/>
      <c r="AC377" s="541"/>
      <c r="AD377" s="288" t="s">
        <v>347</v>
      </c>
      <c r="AE377" s="541"/>
      <c r="AF377" s="345" t="s">
        <v>1215</v>
      </c>
      <c r="AG377" s="345"/>
      <c r="AH377" s="541"/>
      <c r="AI377" s="345" t="s">
        <v>1201</v>
      </c>
      <c r="AJ377" s="345"/>
      <c r="AK377" s="541"/>
      <c r="AL377" s="541"/>
      <c r="AM377" s="541"/>
      <c r="AN377" s="541"/>
      <c r="AO377" s="541"/>
      <c r="AP377" s="541"/>
      <c r="AQ377" s="541"/>
      <c r="AR377" s="541"/>
      <c r="AS377" s="541"/>
      <c r="AT377" s="541"/>
      <c r="AU377" s="448"/>
      <c r="AV377" s="448"/>
      <c r="AW377" s="448"/>
      <c r="AX377" s="448"/>
      <c r="AY377" s="345" t="s">
        <v>1018</v>
      </c>
      <c r="AZ377" s="288">
        <v>0</v>
      </c>
      <c r="BA377" s="288">
        <v>0</v>
      </c>
      <c r="BB377" s="288">
        <v>0</v>
      </c>
      <c r="BC377" s="288">
        <v>0</v>
      </c>
      <c r="BD377" s="288">
        <v>0</v>
      </c>
      <c r="BE377" s="288">
        <v>0</v>
      </c>
      <c r="BF377" s="288">
        <v>0</v>
      </c>
      <c r="BG377" s="448"/>
      <c r="BH377" s="448"/>
      <c r="BI377" s="345" t="s">
        <v>1018</v>
      </c>
      <c r="BJ377" s="499"/>
      <c r="BK377" s="499"/>
      <c r="BL377" s="345" t="s">
        <v>1018</v>
      </c>
      <c r="BM377" s="499"/>
      <c r="BN377" s="499"/>
      <c r="BO377" s="499"/>
    </row>
    <row r="378" spans="1:67" ht="14.5" outlineLevel="1" x14ac:dyDescent="0.35">
      <c r="A378" s="316"/>
      <c r="B378" s="129">
        <v>30</v>
      </c>
      <c r="C378" s="434" t="s">
        <v>854</v>
      </c>
      <c r="D378" s="340" t="s">
        <v>240</v>
      </c>
      <c r="E378" s="340" t="s">
        <v>243</v>
      </c>
      <c r="F378" s="435">
        <v>432.23</v>
      </c>
      <c r="G378" s="435">
        <v>509</v>
      </c>
      <c r="H378" s="288">
        <v>1</v>
      </c>
      <c r="I378" s="288" t="s">
        <v>355</v>
      </c>
      <c r="J378" s="288" t="s">
        <v>356</v>
      </c>
      <c r="K378" s="288" t="s">
        <v>356</v>
      </c>
      <c r="L378" s="288" t="s">
        <v>356</v>
      </c>
      <c r="M378" s="288">
        <v>5</v>
      </c>
      <c r="N378" s="288" t="s">
        <v>911</v>
      </c>
      <c r="O378" s="288" t="s">
        <v>353</v>
      </c>
      <c r="P378" s="288" t="s">
        <v>912</v>
      </c>
      <c r="Q378" s="501" t="s">
        <v>1018</v>
      </c>
      <c r="R378" s="345"/>
      <c r="S378" s="345"/>
      <c r="T378" s="345"/>
      <c r="U378" s="345">
        <v>1</v>
      </c>
      <c r="V378" s="288" t="s">
        <v>974</v>
      </c>
      <c r="W378" s="541"/>
      <c r="X378" s="345" t="s">
        <v>1019</v>
      </c>
      <c r="Y378" s="288" t="s">
        <v>910</v>
      </c>
      <c r="Z378" s="288" t="s">
        <v>349</v>
      </c>
      <c r="AA378" s="541"/>
      <c r="AB378" s="541"/>
      <c r="AC378" s="541"/>
      <c r="AD378" s="288" t="s">
        <v>347</v>
      </c>
      <c r="AE378" s="541"/>
      <c r="AF378" s="288" t="s">
        <v>812</v>
      </c>
      <c r="AG378" s="288" t="s">
        <v>348</v>
      </c>
      <c r="AH378" s="541"/>
      <c r="AI378" s="288" t="s">
        <v>358</v>
      </c>
      <c r="AJ378" s="288" t="s">
        <v>350</v>
      </c>
      <c r="AK378" s="541"/>
      <c r="AL378" s="541"/>
      <c r="AM378" s="541"/>
      <c r="AN378" s="288"/>
      <c r="AO378" s="288"/>
      <c r="AP378" s="288"/>
      <c r="AQ378" s="288"/>
      <c r="AR378" s="288"/>
      <c r="AS378" s="288"/>
      <c r="AT378" s="541"/>
      <c r="AU378" s="448"/>
      <c r="AV378" s="448"/>
      <c r="AW378" s="448"/>
      <c r="AX378" s="448"/>
      <c r="AY378" s="345" t="s">
        <v>1018</v>
      </c>
      <c r="AZ378" s="499">
        <v>1</v>
      </c>
      <c r="BA378" s="288">
        <v>0</v>
      </c>
      <c r="BB378" s="288">
        <v>0</v>
      </c>
      <c r="BC378" s="288">
        <v>0</v>
      </c>
      <c r="BD378" s="499">
        <v>1</v>
      </c>
      <c r="BE378" s="288">
        <v>0</v>
      </c>
      <c r="BF378" s="288">
        <v>0</v>
      </c>
      <c r="BG378" s="448"/>
      <c r="BH378" s="448"/>
      <c r="BI378" s="345" t="s">
        <v>1018</v>
      </c>
      <c r="BJ378" s="499"/>
      <c r="BK378" s="499"/>
      <c r="BL378" s="345" t="s">
        <v>1018</v>
      </c>
      <c r="BM378" s="499"/>
      <c r="BN378" s="499"/>
      <c r="BO378" s="499"/>
    </row>
    <row r="379" spans="1:67" ht="14.5" outlineLevel="1" x14ac:dyDescent="0.35">
      <c r="A379" s="316"/>
      <c r="B379" s="129">
        <v>31</v>
      </c>
      <c r="C379" s="434" t="s">
        <v>855</v>
      </c>
      <c r="D379" s="340" t="s">
        <v>240</v>
      </c>
      <c r="E379" s="340" t="s">
        <v>243</v>
      </c>
      <c r="F379" s="435">
        <v>481.37</v>
      </c>
      <c r="G379" s="435">
        <v>566</v>
      </c>
      <c r="H379" s="288">
        <v>1</v>
      </c>
      <c r="I379" s="288" t="s">
        <v>355</v>
      </c>
      <c r="J379" s="288" t="s">
        <v>356</v>
      </c>
      <c r="K379" s="288" t="s">
        <v>356</v>
      </c>
      <c r="L379" s="288" t="s">
        <v>356</v>
      </c>
      <c r="M379" s="288">
        <v>5</v>
      </c>
      <c r="N379" s="288" t="s">
        <v>911</v>
      </c>
      <c r="O379" s="288" t="s">
        <v>353</v>
      </c>
      <c r="P379" s="288" t="s">
        <v>912</v>
      </c>
      <c r="Q379" s="501" t="s">
        <v>1018</v>
      </c>
      <c r="R379" s="345"/>
      <c r="S379" s="345"/>
      <c r="T379" s="345"/>
      <c r="U379" s="345">
        <v>2</v>
      </c>
      <c r="V379" s="288" t="s">
        <v>974</v>
      </c>
      <c r="W379" s="541"/>
      <c r="X379" s="345" t="s">
        <v>1019</v>
      </c>
      <c r="Y379" s="288" t="s">
        <v>910</v>
      </c>
      <c r="Z379" s="288" t="s">
        <v>349</v>
      </c>
      <c r="AA379" s="541"/>
      <c r="AB379" s="541"/>
      <c r="AC379" s="541"/>
      <c r="AD379" s="288" t="s">
        <v>347</v>
      </c>
      <c r="AE379" s="541"/>
      <c r="AF379" s="288" t="s">
        <v>812</v>
      </c>
      <c r="AG379" s="288" t="s">
        <v>348</v>
      </c>
      <c r="AH379" s="541"/>
      <c r="AI379" s="288" t="s">
        <v>358</v>
      </c>
      <c r="AJ379" s="288" t="s">
        <v>350</v>
      </c>
      <c r="AK379" s="541"/>
      <c r="AL379" s="541"/>
      <c r="AM379" s="541"/>
      <c r="AN379" s="288"/>
      <c r="AO379" s="288"/>
      <c r="AP379" s="288"/>
      <c r="AQ379" s="288"/>
      <c r="AR379" s="288"/>
      <c r="AS379" s="288"/>
      <c r="AT379" s="541"/>
      <c r="AU379" s="448"/>
      <c r="AV379" s="448"/>
      <c r="AW379" s="448"/>
      <c r="AX379" s="448"/>
      <c r="AY379" s="345" t="s">
        <v>1018</v>
      </c>
      <c r="AZ379" s="288">
        <v>0</v>
      </c>
      <c r="BA379" s="499">
        <v>1</v>
      </c>
      <c r="BB379" s="288">
        <v>0</v>
      </c>
      <c r="BC379" s="288">
        <v>0</v>
      </c>
      <c r="BD379" s="499">
        <v>1</v>
      </c>
      <c r="BE379" s="288">
        <v>0</v>
      </c>
      <c r="BF379" s="288">
        <v>0</v>
      </c>
      <c r="BG379" s="448"/>
      <c r="BH379" s="448"/>
      <c r="BI379" s="345" t="s">
        <v>1018</v>
      </c>
      <c r="BJ379" s="499"/>
      <c r="BK379" s="499"/>
      <c r="BL379" s="345" t="s">
        <v>1018</v>
      </c>
      <c r="BM379" s="499"/>
      <c r="BN379" s="499"/>
      <c r="BO379" s="499"/>
    </row>
    <row r="380" spans="1:67" ht="14.5" outlineLevel="1" x14ac:dyDescent="0.35">
      <c r="A380" s="316"/>
      <c r="B380" s="129">
        <v>32</v>
      </c>
      <c r="C380" s="434" t="s">
        <v>856</v>
      </c>
      <c r="D380" s="340" t="s">
        <v>240</v>
      </c>
      <c r="E380" s="340" t="s">
        <v>243</v>
      </c>
      <c r="F380" s="435">
        <v>541.71</v>
      </c>
      <c r="G380" s="435">
        <v>636</v>
      </c>
      <c r="H380" s="288">
        <v>1</v>
      </c>
      <c r="I380" s="288" t="s">
        <v>355</v>
      </c>
      <c r="J380" s="288" t="s">
        <v>356</v>
      </c>
      <c r="K380" s="288" t="s">
        <v>356</v>
      </c>
      <c r="L380" s="288" t="s">
        <v>356</v>
      </c>
      <c r="M380" s="288">
        <v>5</v>
      </c>
      <c r="N380" s="288" t="s">
        <v>911</v>
      </c>
      <c r="O380" s="288" t="s">
        <v>353</v>
      </c>
      <c r="P380" s="288" t="s">
        <v>912</v>
      </c>
      <c r="Q380" s="501" t="s">
        <v>1018</v>
      </c>
      <c r="R380" s="345"/>
      <c r="S380" s="345"/>
      <c r="T380" s="345"/>
      <c r="U380" s="345">
        <v>4</v>
      </c>
      <c r="V380" s="288" t="s">
        <v>974</v>
      </c>
      <c r="W380" s="541"/>
      <c r="X380" s="345" t="s">
        <v>1019</v>
      </c>
      <c r="Y380" s="288" t="s">
        <v>910</v>
      </c>
      <c r="Z380" s="288" t="s">
        <v>349</v>
      </c>
      <c r="AA380" s="541"/>
      <c r="AB380" s="541"/>
      <c r="AC380" s="541"/>
      <c r="AD380" s="288" t="s">
        <v>347</v>
      </c>
      <c r="AE380" s="541"/>
      <c r="AF380" s="288" t="s">
        <v>812</v>
      </c>
      <c r="AG380" s="288" t="s">
        <v>348</v>
      </c>
      <c r="AH380" s="541"/>
      <c r="AI380" s="288" t="s">
        <v>358</v>
      </c>
      <c r="AJ380" s="288" t="s">
        <v>350</v>
      </c>
      <c r="AK380" s="541"/>
      <c r="AL380" s="541"/>
      <c r="AM380" s="541"/>
      <c r="AN380" s="288"/>
      <c r="AO380" s="288"/>
      <c r="AP380" s="288"/>
      <c r="AQ380" s="288"/>
      <c r="AR380" s="288"/>
      <c r="AS380" s="288"/>
      <c r="AT380" s="541"/>
      <c r="AU380" s="448"/>
      <c r="AV380" s="448"/>
      <c r="AW380" s="448"/>
      <c r="AX380" s="448"/>
      <c r="AY380" s="345" t="s">
        <v>1018</v>
      </c>
      <c r="AZ380" s="288">
        <v>0</v>
      </c>
      <c r="BA380" s="288">
        <v>0</v>
      </c>
      <c r="BB380" s="499">
        <v>1</v>
      </c>
      <c r="BC380" s="288">
        <v>0</v>
      </c>
      <c r="BD380" s="499">
        <v>1</v>
      </c>
      <c r="BE380" s="288">
        <v>0</v>
      </c>
      <c r="BF380" s="288">
        <v>0</v>
      </c>
      <c r="BG380" s="448"/>
      <c r="BH380" s="448"/>
      <c r="BI380" s="345" t="s">
        <v>1018</v>
      </c>
      <c r="BJ380" s="499"/>
      <c r="BK380" s="499"/>
      <c r="BL380" s="345" t="s">
        <v>1018</v>
      </c>
      <c r="BM380" s="499"/>
      <c r="BN380" s="499"/>
      <c r="BO380" s="499"/>
    </row>
    <row r="381" spans="1:67" ht="14.5" outlineLevel="1" x14ac:dyDescent="0.35">
      <c r="A381" s="316"/>
      <c r="B381" s="129">
        <v>33</v>
      </c>
      <c r="C381" s="434" t="s">
        <v>857</v>
      </c>
      <c r="D381" s="340" t="s">
        <v>240</v>
      </c>
      <c r="E381" s="340" t="s">
        <v>243</v>
      </c>
      <c r="F381" s="435">
        <v>515.15</v>
      </c>
      <c r="G381" s="435">
        <v>606</v>
      </c>
      <c r="H381" s="288">
        <v>1</v>
      </c>
      <c r="I381" s="288" t="s">
        <v>355</v>
      </c>
      <c r="J381" s="288" t="s">
        <v>356</v>
      </c>
      <c r="K381" s="288" t="s">
        <v>356</v>
      </c>
      <c r="L381" s="288" t="s">
        <v>356</v>
      </c>
      <c r="M381" s="288">
        <v>5</v>
      </c>
      <c r="N381" s="288" t="s">
        <v>911</v>
      </c>
      <c r="O381" s="288" t="s">
        <v>362</v>
      </c>
      <c r="P381" s="288" t="s">
        <v>912</v>
      </c>
      <c r="Q381" s="501" t="s">
        <v>1018</v>
      </c>
      <c r="R381" s="345"/>
      <c r="S381" s="345"/>
      <c r="T381" s="345"/>
      <c r="U381" s="345">
        <v>2</v>
      </c>
      <c r="V381" s="288" t="s">
        <v>974</v>
      </c>
      <c r="W381" s="541"/>
      <c r="X381" s="345" t="s">
        <v>1019</v>
      </c>
      <c r="Y381" s="288" t="s">
        <v>910</v>
      </c>
      <c r="Z381" s="288" t="s">
        <v>349</v>
      </c>
      <c r="AA381" s="541"/>
      <c r="AB381" s="541"/>
      <c r="AC381" s="541"/>
      <c r="AD381" s="288" t="s">
        <v>347</v>
      </c>
      <c r="AE381" s="541"/>
      <c r="AF381" s="288" t="s">
        <v>812</v>
      </c>
      <c r="AG381" s="288" t="s">
        <v>348</v>
      </c>
      <c r="AH381" s="541"/>
      <c r="AI381" s="288" t="s">
        <v>358</v>
      </c>
      <c r="AJ381" s="288" t="s">
        <v>350</v>
      </c>
      <c r="AK381" s="541"/>
      <c r="AL381" s="541"/>
      <c r="AM381" s="541"/>
      <c r="AN381" s="288"/>
      <c r="AO381" s="288"/>
      <c r="AP381" s="288"/>
      <c r="AQ381" s="288"/>
      <c r="AR381" s="288"/>
      <c r="AS381" s="288"/>
      <c r="AT381" s="541"/>
      <c r="AU381" s="448"/>
      <c r="AV381" s="448"/>
      <c r="AW381" s="448"/>
      <c r="AX381" s="448"/>
      <c r="AY381" s="345" t="s">
        <v>1018</v>
      </c>
      <c r="AZ381" s="288">
        <v>0</v>
      </c>
      <c r="BA381" s="499">
        <v>1</v>
      </c>
      <c r="BB381" s="288">
        <v>0</v>
      </c>
      <c r="BC381" s="288">
        <v>0</v>
      </c>
      <c r="BD381" s="499">
        <v>1</v>
      </c>
      <c r="BE381" s="288">
        <v>0</v>
      </c>
      <c r="BF381" s="288">
        <v>0</v>
      </c>
      <c r="BG381" s="448"/>
      <c r="BH381" s="448"/>
      <c r="BI381" s="345" t="s">
        <v>1018</v>
      </c>
      <c r="BJ381" s="499"/>
      <c r="BK381" s="499"/>
      <c r="BL381" s="345" t="s">
        <v>1018</v>
      </c>
      <c r="BM381" s="499"/>
      <c r="BN381" s="499"/>
      <c r="BO381" s="499"/>
    </row>
    <row r="382" spans="1:67" ht="14.5" outlineLevel="1" x14ac:dyDescent="0.35">
      <c r="A382" s="316"/>
      <c r="B382" s="129">
        <v>34</v>
      </c>
      <c r="C382" s="434" t="s">
        <v>858</v>
      </c>
      <c r="D382" s="340" t="s">
        <v>240</v>
      </c>
      <c r="E382" s="340" t="s">
        <v>243</v>
      </c>
      <c r="F382" s="435">
        <v>575.49</v>
      </c>
      <c r="G382" s="435">
        <v>676</v>
      </c>
      <c r="H382" s="288">
        <v>1</v>
      </c>
      <c r="I382" s="288" t="s">
        <v>355</v>
      </c>
      <c r="J382" s="288" t="s">
        <v>356</v>
      </c>
      <c r="K382" s="288" t="s">
        <v>356</v>
      </c>
      <c r="L382" s="288" t="s">
        <v>356</v>
      </c>
      <c r="M382" s="288">
        <v>5</v>
      </c>
      <c r="N382" s="288" t="s">
        <v>911</v>
      </c>
      <c r="O382" s="288" t="s">
        <v>362</v>
      </c>
      <c r="P382" s="288" t="s">
        <v>912</v>
      </c>
      <c r="Q382" s="501" t="s">
        <v>1018</v>
      </c>
      <c r="R382" s="345"/>
      <c r="S382" s="345"/>
      <c r="T382" s="345"/>
      <c r="U382" s="345">
        <v>4</v>
      </c>
      <c r="V382" s="288" t="s">
        <v>974</v>
      </c>
      <c r="W382" s="541"/>
      <c r="X382" s="345" t="s">
        <v>1019</v>
      </c>
      <c r="Y382" s="288" t="s">
        <v>910</v>
      </c>
      <c r="Z382" s="288" t="s">
        <v>349</v>
      </c>
      <c r="AA382" s="541"/>
      <c r="AB382" s="541"/>
      <c r="AC382" s="541"/>
      <c r="AD382" s="288" t="s">
        <v>347</v>
      </c>
      <c r="AE382" s="541"/>
      <c r="AF382" s="288" t="s">
        <v>812</v>
      </c>
      <c r="AG382" s="288" t="s">
        <v>348</v>
      </c>
      <c r="AH382" s="541"/>
      <c r="AI382" s="288" t="s">
        <v>358</v>
      </c>
      <c r="AJ382" s="288" t="s">
        <v>350</v>
      </c>
      <c r="AK382" s="541"/>
      <c r="AL382" s="541"/>
      <c r="AM382" s="541"/>
      <c r="AN382" s="288"/>
      <c r="AO382" s="288"/>
      <c r="AP382" s="288"/>
      <c r="AQ382" s="288"/>
      <c r="AR382" s="288"/>
      <c r="AS382" s="288"/>
      <c r="AT382" s="541"/>
      <c r="AU382" s="448"/>
      <c r="AV382" s="448"/>
      <c r="AW382" s="448"/>
      <c r="AX382" s="448"/>
      <c r="AY382" s="345" t="s">
        <v>1018</v>
      </c>
      <c r="AZ382" s="288">
        <v>0</v>
      </c>
      <c r="BA382" s="288">
        <v>0</v>
      </c>
      <c r="BB382" s="499">
        <v>1</v>
      </c>
      <c r="BC382" s="288">
        <v>0</v>
      </c>
      <c r="BD382" s="499">
        <v>1</v>
      </c>
      <c r="BE382" s="288">
        <v>0</v>
      </c>
      <c r="BF382" s="288">
        <v>0</v>
      </c>
      <c r="BG382" s="448"/>
      <c r="BH382" s="448"/>
      <c r="BI382" s="345" t="s">
        <v>1018</v>
      </c>
      <c r="BJ382" s="499"/>
      <c r="BK382" s="499"/>
      <c r="BL382" s="345" t="s">
        <v>1018</v>
      </c>
      <c r="BM382" s="499"/>
      <c r="BN382" s="499"/>
      <c r="BO382" s="499"/>
    </row>
    <row r="383" spans="1:67" ht="14.5" outlineLevel="1" x14ac:dyDescent="0.35">
      <c r="A383" s="316"/>
      <c r="B383" s="129">
        <v>35</v>
      </c>
      <c r="C383" s="434" t="s">
        <v>859</v>
      </c>
      <c r="D383" s="340" t="s">
        <v>240</v>
      </c>
      <c r="E383" s="340" t="s">
        <v>243</v>
      </c>
      <c r="F383" s="435">
        <v>565.80999999999995</v>
      </c>
      <c r="G383" s="435">
        <v>666</v>
      </c>
      <c r="H383" s="288">
        <v>1</v>
      </c>
      <c r="I383" s="288" t="s">
        <v>355</v>
      </c>
      <c r="J383" s="288" t="s">
        <v>356</v>
      </c>
      <c r="K383" s="288" t="s">
        <v>356</v>
      </c>
      <c r="L383" s="288" t="s">
        <v>356</v>
      </c>
      <c r="M383" s="288">
        <v>5</v>
      </c>
      <c r="N383" s="288" t="s">
        <v>911</v>
      </c>
      <c r="O383" s="288" t="s">
        <v>357</v>
      </c>
      <c r="P383" s="288" t="s">
        <v>912</v>
      </c>
      <c r="Q383" s="501" t="s">
        <v>1018</v>
      </c>
      <c r="R383" s="345"/>
      <c r="S383" s="345"/>
      <c r="T383" s="345"/>
      <c r="U383" s="345">
        <v>2</v>
      </c>
      <c r="V383" s="288" t="s">
        <v>974</v>
      </c>
      <c r="W383" s="541"/>
      <c r="X383" s="345" t="s">
        <v>1019</v>
      </c>
      <c r="Y383" s="288" t="s">
        <v>910</v>
      </c>
      <c r="Z383" s="288" t="s">
        <v>349</v>
      </c>
      <c r="AA383" s="541"/>
      <c r="AB383" s="541"/>
      <c r="AC383" s="541"/>
      <c r="AD383" s="288" t="s">
        <v>347</v>
      </c>
      <c r="AE383" s="541"/>
      <c r="AF383" s="288" t="s">
        <v>812</v>
      </c>
      <c r="AG383" s="288" t="s">
        <v>348</v>
      </c>
      <c r="AH383" s="541"/>
      <c r="AI383" s="288" t="s">
        <v>358</v>
      </c>
      <c r="AJ383" s="288" t="s">
        <v>350</v>
      </c>
      <c r="AK383" s="541"/>
      <c r="AL383" s="541"/>
      <c r="AM383" s="541"/>
      <c r="AN383" s="288"/>
      <c r="AO383" s="288"/>
      <c r="AP383" s="288"/>
      <c r="AQ383" s="288"/>
      <c r="AR383" s="288"/>
      <c r="AS383" s="288"/>
      <c r="AT383" s="541"/>
      <c r="AU383" s="448"/>
      <c r="AV383" s="448"/>
      <c r="AW383" s="448"/>
      <c r="AX383" s="448"/>
      <c r="AY383" s="345" t="s">
        <v>1018</v>
      </c>
      <c r="AZ383" s="288">
        <v>0</v>
      </c>
      <c r="BA383" s="499">
        <v>1</v>
      </c>
      <c r="BB383" s="288">
        <v>0</v>
      </c>
      <c r="BC383" s="288">
        <v>0</v>
      </c>
      <c r="BD383" s="499">
        <v>1</v>
      </c>
      <c r="BE383" s="288">
        <v>0</v>
      </c>
      <c r="BF383" s="288">
        <v>0</v>
      </c>
      <c r="BG383" s="448"/>
      <c r="BH383" s="448"/>
      <c r="BI383" s="345" t="s">
        <v>1018</v>
      </c>
      <c r="BJ383" s="499"/>
      <c r="BK383" s="499"/>
      <c r="BL383" s="345" t="s">
        <v>1018</v>
      </c>
      <c r="BM383" s="499"/>
      <c r="BN383" s="499"/>
      <c r="BO383" s="499"/>
    </row>
    <row r="384" spans="1:67" ht="14.5" outlineLevel="1" x14ac:dyDescent="0.35">
      <c r="A384" s="316"/>
      <c r="B384" s="129">
        <v>36</v>
      </c>
      <c r="C384" s="434" t="s">
        <v>860</v>
      </c>
      <c r="D384" s="340" t="s">
        <v>240</v>
      </c>
      <c r="E384" s="340" t="s">
        <v>243</v>
      </c>
      <c r="F384" s="435">
        <v>626.15</v>
      </c>
      <c r="G384" s="435">
        <v>736</v>
      </c>
      <c r="H384" s="288">
        <v>1</v>
      </c>
      <c r="I384" s="288" t="s">
        <v>355</v>
      </c>
      <c r="J384" s="288" t="s">
        <v>356</v>
      </c>
      <c r="K384" s="288" t="s">
        <v>356</v>
      </c>
      <c r="L384" s="288" t="s">
        <v>356</v>
      </c>
      <c r="M384" s="288">
        <v>5</v>
      </c>
      <c r="N384" s="288" t="s">
        <v>911</v>
      </c>
      <c r="O384" s="288" t="s">
        <v>357</v>
      </c>
      <c r="P384" s="288" t="s">
        <v>912</v>
      </c>
      <c r="Q384" s="501" t="s">
        <v>1018</v>
      </c>
      <c r="R384" s="345"/>
      <c r="S384" s="345"/>
      <c r="T384" s="345"/>
      <c r="U384" s="345">
        <v>4</v>
      </c>
      <c r="V384" s="288" t="s">
        <v>974</v>
      </c>
      <c r="W384" s="541"/>
      <c r="X384" s="345" t="s">
        <v>1019</v>
      </c>
      <c r="Y384" s="288" t="s">
        <v>910</v>
      </c>
      <c r="Z384" s="288" t="s">
        <v>349</v>
      </c>
      <c r="AA384" s="541"/>
      <c r="AB384" s="541"/>
      <c r="AC384" s="541"/>
      <c r="AD384" s="288" t="s">
        <v>347</v>
      </c>
      <c r="AE384" s="541"/>
      <c r="AF384" s="288" t="s">
        <v>812</v>
      </c>
      <c r="AG384" s="288" t="s">
        <v>348</v>
      </c>
      <c r="AH384" s="541"/>
      <c r="AI384" s="288" t="s">
        <v>358</v>
      </c>
      <c r="AJ384" s="288" t="s">
        <v>350</v>
      </c>
      <c r="AK384" s="541"/>
      <c r="AL384" s="541"/>
      <c r="AM384" s="541"/>
      <c r="AN384" s="288"/>
      <c r="AO384" s="288"/>
      <c r="AP384" s="288"/>
      <c r="AQ384" s="288"/>
      <c r="AR384" s="288"/>
      <c r="AS384" s="288"/>
      <c r="AT384" s="541"/>
      <c r="AU384" s="448"/>
      <c r="AV384" s="448"/>
      <c r="AW384" s="448"/>
      <c r="AX384" s="448"/>
      <c r="AY384" s="345" t="s">
        <v>1018</v>
      </c>
      <c r="AZ384" s="288">
        <v>0</v>
      </c>
      <c r="BA384" s="288">
        <v>0</v>
      </c>
      <c r="BB384" s="499">
        <v>1</v>
      </c>
      <c r="BC384" s="288">
        <v>0</v>
      </c>
      <c r="BD384" s="499">
        <v>1</v>
      </c>
      <c r="BE384" s="288">
        <v>0</v>
      </c>
      <c r="BF384" s="288">
        <v>0</v>
      </c>
      <c r="BG384" s="448"/>
      <c r="BH384" s="448"/>
      <c r="BI384" s="345" t="s">
        <v>1018</v>
      </c>
      <c r="BJ384" s="499"/>
      <c r="BK384" s="499"/>
      <c r="BL384" s="345" t="s">
        <v>1018</v>
      </c>
      <c r="BM384" s="499"/>
      <c r="BN384" s="499"/>
      <c r="BO384" s="499"/>
    </row>
    <row r="385" spans="1:67" ht="14.5" outlineLevel="1" x14ac:dyDescent="0.35">
      <c r="A385" s="316"/>
      <c r="B385" s="129">
        <v>37</v>
      </c>
      <c r="C385" s="434" t="s">
        <v>861</v>
      </c>
      <c r="D385" s="340" t="s">
        <v>240</v>
      </c>
      <c r="E385" s="340" t="s">
        <v>243</v>
      </c>
      <c r="F385" s="435">
        <v>692.01</v>
      </c>
      <c r="G385" s="435">
        <v>814</v>
      </c>
      <c r="H385" s="288">
        <v>2</v>
      </c>
      <c r="I385" s="288" t="s">
        <v>355</v>
      </c>
      <c r="J385" s="288" t="s">
        <v>356</v>
      </c>
      <c r="K385" s="288" t="s">
        <v>356</v>
      </c>
      <c r="L385" s="288" t="s">
        <v>356</v>
      </c>
      <c r="M385" s="288">
        <v>5</v>
      </c>
      <c r="N385" s="288" t="s">
        <v>911</v>
      </c>
      <c r="O385" s="288" t="s">
        <v>364</v>
      </c>
      <c r="P385" s="288" t="s">
        <v>353</v>
      </c>
      <c r="Q385" s="501" t="s">
        <v>1018</v>
      </c>
      <c r="R385" s="345"/>
      <c r="S385" s="345"/>
      <c r="T385" s="345"/>
      <c r="U385" s="345">
        <v>4</v>
      </c>
      <c r="V385" s="288" t="s">
        <v>974</v>
      </c>
      <c r="W385" s="541"/>
      <c r="X385" s="345" t="s">
        <v>1019</v>
      </c>
      <c r="Y385" s="288" t="s">
        <v>910</v>
      </c>
      <c r="Z385" s="288" t="s">
        <v>349</v>
      </c>
      <c r="AA385" s="541"/>
      <c r="AB385" s="541"/>
      <c r="AC385" s="541"/>
      <c r="AD385" s="288" t="s">
        <v>347</v>
      </c>
      <c r="AE385" s="541"/>
      <c r="AF385" s="288" t="s">
        <v>812</v>
      </c>
      <c r="AG385" s="288" t="s">
        <v>348</v>
      </c>
      <c r="AH385" s="541"/>
      <c r="AI385" s="288" t="s">
        <v>358</v>
      </c>
      <c r="AJ385" s="288" t="s">
        <v>350</v>
      </c>
      <c r="AK385" s="541"/>
      <c r="AL385" s="541"/>
      <c r="AM385" s="541"/>
      <c r="AN385" s="288"/>
      <c r="AO385" s="288"/>
      <c r="AP385" s="288"/>
      <c r="AQ385" s="288"/>
      <c r="AR385" s="288"/>
      <c r="AS385" s="288"/>
      <c r="AT385" s="541"/>
      <c r="AU385" s="448"/>
      <c r="AV385" s="448"/>
      <c r="AW385" s="448"/>
      <c r="AX385" s="448"/>
      <c r="AY385" s="345" t="s">
        <v>1018</v>
      </c>
      <c r="AZ385" s="288">
        <v>0</v>
      </c>
      <c r="BA385" s="288">
        <v>0</v>
      </c>
      <c r="BB385" s="499">
        <v>1</v>
      </c>
      <c r="BC385" s="288">
        <v>0</v>
      </c>
      <c r="BD385" s="499">
        <v>1</v>
      </c>
      <c r="BE385" s="288">
        <v>0</v>
      </c>
      <c r="BF385" s="288">
        <v>0</v>
      </c>
      <c r="BG385" s="448"/>
      <c r="BH385" s="448"/>
      <c r="BI385" s="345" t="s">
        <v>1018</v>
      </c>
      <c r="BJ385" s="499"/>
      <c r="BK385" s="499"/>
      <c r="BL385" s="345" t="s">
        <v>1018</v>
      </c>
      <c r="BM385" s="499"/>
      <c r="BN385" s="499"/>
      <c r="BO385" s="499"/>
    </row>
    <row r="386" spans="1:67" ht="14.5" outlineLevel="1" x14ac:dyDescent="0.35">
      <c r="A386" s="316"/>
      <c r="B386" s="129">
        <v>38</v>
      </c>
      <c r="C386" s="434" t="s">
        <v>862</v>
      </c>
      <c r="D386" s="340" t="s">
        <v>240</v>
      </c>
      <c r="E386" s="340" t="s">
        <v>243</v>
      </c>
      <c r="F386" s="435">
        <v>650.24</v>
      </c>
      <c r="G386" s="435">
        <v>766</v>
      </c>
      <c r="H386" s="288">
        <v>2</v>
      </c>
      <c r="I386" s="288" t="s">
        <v>355</v>
      </c>
      <c r="J386" s="288" t="s">
        <v>356</v>
      </c>
      <c r="K386" s="288" t="s">
        <v>356</v>
      </c>
      <c r="L386" s="288" t="s">
        <v>356</v>
      </c>
      <c r="M386" s="288">
        <v>5</v>
      </c>
      <c r="N386" s="288" t="s">
        <v>911</v>
      </c>
      <c r="O386" s="288" t="s">
        <v>364</v>
      </c>
      <c r="P386" s="288" t="s">
        <v>353</v>
      </c>
      <c r="Q386" s="501" t="s">
        <v>1018</v>
      </c>
      <c r="R386" s="345"/>
      <c r="S386" s="345"/>
      <c r="T386" s="345"/>
      <c r="U386" s="345">
        <v>2</v>
      </c>
      <c r="V386" s="288" t="s">
        <v>974</v>
      </c>
      <c r="W386" s="541"/>
      <c r="X386" s="345" t="s">
        <v>1019</v>
      </c>
      <c r="Y386" s="288" t="s">
        <v>910</v>
      </c>
      <c r="Z386" s="288" t="s">
        <v>349</v>
      </c>
      <c r="AA386" s="541"/>
      <c r="AB386" s="541"/>
      <c r="AC386" s="541"/>
      <c r="AD386" s="288" t="s">
        <v>347</v>
      </c>
      <c r="AE386" s="541"/>
      <c r="AF386" s="288" t="s">
        <v>812</v>
      </c>
      <c r="AG386" s="288" t="s">
        <v>348</v>
      </c>
      <c r="AH386" s="541"/>
      <c r="AI386" s="288" t="s">
        <v>358</v>
      </c>
      <c r="AJ386" s="288" t="s">
        <v>350</v>
      </c>
      <c r="AK386" s="541"/>
      <c r="AL386" s="541"/>
      <c r="AM386" s="541"/>
      <c r="AN386" s="288"/>
      <c r="AO386" s="288"/>
      <c r="AP386" s="288"/>
      <c r="AQ386" s="288"/>
      <c r="AR386" s="288"/>
      <c r="AS386" s="288"/>
      <c r="AT386" s="541"/>
      <c r="AU386" s="448"/>
      <c r="AV386" s="448"/>
      <c r="AW386" s="448"/>
      <c r="AX386" s="448"/>
      <c r="AY386" s="345" t="s">
        <v>1018</v>
      </c>
      <c r="AZ386" s="288">
        <v>0</v>
      </c>
      <c r="BA386" s="499">
        <v>1</v>
      </c>
      <c r="BB386" s="288">
        <v>0</v>
      </c>
      <c r="BC386" s="288">
        <v>0</v>
      </c>
      <c r="BD386" s="499">
        <v>1</v>
      </c>
      <c r="BE386" s="288">
        <v>0</v>
      </c>
      <c r="BF386" s="288">
        <v>0</v>
      </c>
      <c r="BG386" s="448"/>
      <c r="BH386" s="448"/>
      <c r="BI386" s="345" t="s">
        <v>1018</v>
      </c>
      <c r="BJ386" s="499"/>
      <c r="BK386" s="499"/>
      <c r="BL386" s="345" t="s">
        <v>1018</v>
      </c>
      <c r="BM386" s="499"/>
      <c r="BN386" s="499"/>
      <c r="BO386" s="499"/>
    </row>
    <row r="387" spans="1:67" ht="14.5" outlineLevel="1" x14ac:dyDescent="0.35">
      <c r="A387" s="316"/>
      <c r="B387" s="129">
        <v>39</v>
      </c>
      <c r="C387" s="434" t="s">
        <v>863</v>
      </c>
      <c r="D387" s="340" t="s">
        <v>240</v>
      </c>
      <c r="E387" s="340" t="s">
        <v>243</v>
      </c>
      <c r="F387" s="435">
        <v>1006.1</v>
      </c>
      <c r="G387" s="435">
        <v>1186</v>
      </c>
      <c r="H387" s="288">
        <v>3</v>
      </c>
      <c r="I387" s="288" t="s">
        <v>355</v>
      </c>
      <c r="J387" s="288" t="s">
        <v>363</v>
      </c>
      <c r="K387" s="288" t="s">
        <v>356</v>
      </c>
      <c r="L387" s="288" t="s">
        <v>356</v>
      </c>
      <c r="M387" s="288">
        <v>5</v>
      </c>
      <c r="N387" s="288" t="s">
        <v>911</v>
      </c>
      <c r="O387" s="288" t="s">
        <v>359</v>
      </c>
      <c r="P387" s="288" t="s">
        <v>354</v>
      </c>
      <c r="Q387" s="501" t="s">
        <v>1018</v>
      </c>
      <c r="R387" s="345"/>
      <c r="S387" s="345"/>
      <c r="T387" s="345"/>
      <c r="U387" s="345">
        <v>4</v>
      </c>
      <c r="V387" s="288" t="s">
        <v>974</v>
      </c>
      <c r="W387" s="541"/>
      <c r="X387" s="345" t="s">
        <v>1019</v>
      </c>
      <c r="Y387" s="288" t="s">
        <v>910</v>
      </c>
      <c r="Z387" s="288" t="s">
        <v>349</v>
      </c>
      <c r="AA387" s="541"/>
      <c r="AB387" s="541"/>
      <c r="AC387" s="541"/>
      <c r="AD387" s="288" t="s">
        <v>347</v>
      </c>
      <c r="AE387" s="541"/>
      <c r="AF387" s="288" t="s">
        <v>812</v>
      </c>
      <c r="AG387" s="288" t="s">
        <v>348</v>
      </c>
      <c r="AH387" s="541"/>
      <c r="AI387" s="288" t="s">
        <v>358</v>
      </c>
      <c r="AJ387" s="288" t="s">
        <v>350</v>
      </c>
      <c r="AK387" s="541"/>
      <c r="AL387" s="541"/>
      <c r="AM387" s="541"/>
      <c r="AN387" s="288"/>
      <c r="AO387" s="288"/>
      <c r="AP387" s="288"/>
      <c r="AQ387" s="288"/>
      <c r="AR387" s="288"/>
      <c r="AS387" s="288"/>
      <c r="AT387" s="541"/>
      <c r="AU387" s="448"/>
      <c r="AV387" s="448"/>
      <c r="AW387" s="448"/>
      <c r="AX387" s="448"/>
      <c r="AY387" s="345" t="s">
        <v>1018</v>
      </c>
      <c r="AZ387" s="288">
        <v>0</v>
      </c>
      <c r="BA387" s="288">
        <v>0</v>
      </c>
      <c r="BB387" s="499">
        <v>1</v>
      </c>
      <c r="BC387" s="288">
        <v>0</v>
      </c>
      <c r="BD387" s="499">
        <v>1</v>
      </c>
      <c r="BE387" s="288">
        <v>0</v>
      </c>
      <c r="BF387" s="288">
        <v>0</v>
      </c>
      <c r="BG387" s="448"/>
      <c r="BH387" s="448"/>
      <c r="BI387" s="345" t="s">
        <v>1018</v>
      </c>
      <c r="BJ387" s="499"/>
      <c r="BK387" s="499"/>
      <c r="BL387" s="345" t="s">
        <v>1018</v>
      </c>
      <c r="BM387" s="499"/>
      <c r="BN387" s="499"/>
      <c r="BO387" s="499"/>
    </row>
    <row r="388" spans="1:67" ht="14.5" outlineLevel="1" x14ac:dyDescent="0.35">
      <c r="A388" s="316"/>
      <c r="B388" s="129">
        <v>40</v>
      </c>
      <c r="C388" s="434" t="s">
        <v>864</v>
      </c>
      <c r="D388" s="340" t="s">
        <v>240</v>
      </c>
      <c r="E388" s="340" t="s">
        <v>243</v>
      </c>
      <c r="F388" s="435">
        <v>969.4</v>
      </c>
      <c r="G388" s="435">
        <v>1144</v>
      </c>
      <c r="H388" s="288">
        <v>3</v>
      </c>
      <c r="I388" s="288" t="s">
        <v>355</v>
      </c>
      <c r="J388" s="288" t="s">
        <v>363</v>
      </c>
      <c r="K388" s="288" t="s">
        <v>356</v>
      </c>
      <c r="L388" s="288" t="s">
        <v>356</v>
      </c>
      <c r="M388" s="288">
        <v>5</v>
      </c>
      <c r="N388" s="288" t="s">
        <v>911</v>
      </c>
      <c r="O388" s="288" t="s">
        <v>359</v>
      </c>
      <c r="P388" s="288" t="s">
        <v>354</v>
      </c>
      <c r="Q388" s="501" t="s">
        <v>1018</v>
      </c>
      <c r="R388" s="345"/>
      <c r="S388" s="345"/>
      <c r="T388" s="345"/>
      <c r="U388" s="345">
        <v>2</v>
      </c>
      <c r="V388" s="288" t="s">
        <v>974</v>
      </c>
      <c r="W388" s="541"/>
      <c r="X388" s="345" t="s">
        <v>1019</v>
      </c>
      <c r="Y388" s="288" t="s">
        <v>910</v>
      </c>
      <c r="Z388" s="288" t="s">
        <v>349</v>
      </c>
      <c r="AA388" s="541"/>
      <c r="AB388" s="541"/>
      <c r="AC388" s="541"/>
      <c r="AD388" s="288" t="s">
        <v>347</v>
      </c>
      <c r="AE388" s="541"/>
      <c r="AF388" s="288" t="s">
        <v>812</v>
      </c>
      <c r="AG388" s="288" t="s">
        <v>348</v>
      </c>
      <c r="AH388" s="541"/>
      <c r="AI388" s="288" t="s">
        <v>358</v>
      </c>
      <c r="AJ388" s="288" t="s">
        <v>350</v>
      </c>
      <c r="AK388" s="541"/>
      <c r="AL388" s="541"/>
      <c r="AM388" s="541"/>
      <c r="AN388" s="288"/>
      <c r="AO388" s="288"/>
      <c r="AP388" s="288"/>
      <c r="AQ388" s="288"/>
      <c r="AR388" s="288"/>
      <c r="AS388" s="288"/>
      <c r="AT388" s="541"/>
      <c r="AU388" s="448"/>
      <c r="AV388" s="448"/>
      <c r="AW388" s="448"/>
      <c r="AX388" s="448"/>
      <c r="AY388" s="345" t="s">
        <v>1018</v>
      </c>
      <c r="AZ388" s="288">
        <v>0</v>
      </c>
      <c r="BA388" s="499">
        <v>1</v>
      </c>
      <c r="BB388" s="288">
        <v>0</v>
      </c>
      <c r="BC388" s="288">
        <v>0</v>
      </c>
      <c r="BD388" s="499">
        <v>1</v>
      </c>
      <c r="BE388" s="288">
        <v>0</v>
      </c>
      <c r="BF388" s="288">
        <v>0</v>
      </c>
      <c r="BG388" s="448"/>
      <c r="BH388" s="448"/>
      <c r="BI388" s="345" t="s">
        <v>1018</v>
      </c>
      <c r="BJ388" s="499"/>
      <c r="BK388" s="499"/>
      <c r="BL388" s="345" t="s">
        <v>1018</v>
      </c>
      <c r="BM388" s="499"/>
      <c r="BN388" s="499"/>
      <c r="BO388" s="499"/>
    </row>
    <row r="389" spans="1:67" ht="14.5" outlineLevel="1" x14ac:dyDescent="0.35">
      <c r="A389" s="316"/>
      <c r="B389" s="129">
        <v>41</v>
      </c>
      <c r="C389" s="434" t="s">
        <v>865</v>
      </c>
      <c r="D389" s="340" t="s">
        <v>240</v>
      </c>
      <c r="E389" s="340" t="s">
        <v>241</v>
      </c>
      <c r="F389" s="435">
        <v>404.31</v>
      </c>
      <c r="G389" s="435">
        <v>469</v>
      </c>
      <c r="H389" s="541"/>
      <c r="I389" s="541"/>
      <c r="J389" s="541"/>
      <c r="K389" s="541"/>
      <c r="L389" s="541"/>
      <c r="M389" s="541"/>
      <c r="N389" s="541"/>
      <c r="O389" s="288" t="s">
        <v>353</v>
      </c>
      <c r="P389" s="288" t="s">
        <v>360</v>
      </c>
      <c r="Q389" s="501" t="s">
        <v>1018</v>
      </c>
      <c r="R389" s="345"/>
      <c r="S389" s="345"/>
      <c r="T389" s="345"/>
      <c r="U389" s="345">
        <v>1</v>
      </c>
      <c r="V389" s="288" t="s">
        <v>974</v>
      </c>
      <c r="W389" s="541"/>
      <c r="X389" s="345" t="s">
        <v>1019</v>
      </c>
      <c r="Y389" s="288" t="s">
        <v>910</v>
      </c>
      <c r="Z389" s="288" t="s">
        <v>349</v>
      </c>
      <c r="AA389" s="541"/>
      <c r="AB389" s="541"/>
      <c r="AC389" s="541"/>
      <c r="AD389" s="288" t="s">
        <v>347</v>
      </c>
      <c r="AE389" s="541"/>
      <c r="AF389" s="288" t="s">
        <v>812</v>
      </c>
      <c r="AG389" s="288" t="s">
        <v>348</v>
      </c>
      <c r="AH389" s="541"/>
      <c r="AI389" s="288" t="s">
        <v>358</v>
      </c>
      <c r="AJ389" s="288" t="s">
        <v>350</v>
      </c>
      <c r="AK389" s="541"/>
      <c r="AL389" s="541"/>
      <c r="AM389" s="541"/>
      <c r="AN389" s="288"/>
      <c r="AO389" s="288"/>
      <c r="AP389" s="288"/>
      <c r="AQ389" s="288"/>
      <c r="AR389" s="288"/>
      <c r="AS389" s="288"/>
      <c r="AT389" s="541"/>
      <c r="AU389" s="448"/>
      <c r="AV389" s="448"/>
      <c r="AW389" s="448"/>
      <c r="AX389" s="448"/>
      <c r="AY389" s="345" t="s">
        <v>1018</v>
      </c>
      <c r="AZ389" s="499">
        <v>1</v>
      </c>
      <c r="BA389" s="288">
        <v>0</v>
      </c>
      <c r="BB389" s="288">
        <v>0</v>
      </c>
      <c r="BC389" s="288">
        <v>0</v>
      </c>
      <c r="BD389" s="499">
        <v>1</v>
      </c>
      <c r="BE389" s="288">
        <v>0</v>
      </c>
      <c r="BF389" s="288">
        <v>0</v>
      </c>
      <c r="BG389" s="448"/>
      <c r="BH389" s="448"/>
      <c r="BI389" s="345" t="s">
        <v>1018</v>
      </c>
      <c r="BJ389" s="499"/>
      <c r="BK389" s="499"/>
      <c r="BL389" s="345" t="s">
        <v>1018</v>
      </c>
      <c r="BM389" s="499"/>
      <c r="BN389" s="499"/>
      <c r="BO389" s="499"/>
    </row>
    <row r="390" spans="1:67" ht="14.5" outlineLevel="1" x14ac:dyDescent="0.35">
      <c r="A390" s="316"/>
      <c r="B390" s="129">
        <v>42</v>
      </c>
      <c r="C390" s="434" t="s">
        <v>866</v>
      </c>
      <c r="D390" s="340" t="s">
        <v>240</v>
      </c>
      <c r="E390" s="340" t="s">
        <v>241</v>
      </c>
      <c r="F390" s="435">
        <v>453.45</v>
      </c>
      <c r="G390" s="435">
        <v>526</v>
      </c>
      <c r="H390" s="541"/>
      <c r="I390" s="541"/>
      <c r="J390" s="541"/>
      <c r="K390" s="541"/>
      <c r="L390" s="541"/>
      <c r="M390" s="541"/>
      <c r="N390" s="541"/>
      <c r="O390" s="288" t="s">
        <v>353</v>
      </c>
      <c r="P390" s="288" t="s">
        <v>360</v>
      </c>
      <c r="Q390" s="501" t="s">
        <v>1018</v>
      </c>
      <c r="R390" s="345"/>
      <c r="S390" s="345"/>
      <c r="T390" s="345"/>
      <c r="U390" s="345">
        <v>2</v>
      </c>
      <c r="V390" s="288" t="s">
        <v>974</v>
      </c>
      <c r="W390" s="541"/>
      <c r="X390" s="345" t="s">
        <v>1019</v>
      </c>
      <c r="Y390" s="288" t="s">
        <v>910</v>
      </c>
      <c r="Z390" s="288" t="s">
        <v>349</v>
      </c>
      <c r="AA390" s="541"/>
      <c r="AB390" s="541"/>
      <c r="AC390" s="541"/>
      <c r="AD390" s="288" t="s">
        <v>347</v>
      </c>
      <c r="AE390" s="541"/>
      <c r="AF390" s="288" t="s">
        <v>812</v>
      </c>
      <c r="AG390" s="288" t="s">
        <v>348</v>
      </c>
      <c r="AH390" s="541"/>
      <c r="AI390" s="288" t="s">
        <v>358</v>
      </c>
      <c r="AJ390" s="288" t="s">
        <v>350</v>
      </c>
      <c r="AK390" s="541"/>
      <c r="AL390" s="541"/>
      <c r="AM390" s="541"/>
      <c r="AN390" s="288"/>
      <c r="AO390" s="288"/>
      <c r="AP390" s="288"/>
      <c r="AQ390" s="288"/>
      <c r="AR390" s="288"/>
      <c r="AS390" s="288"/>
      <c r="AT390" s="541"/>
      <c r="AU390" s="448"/>
      <c r="AV390" s="448"/>
      <c r="AW390" s="448"/>
      <c r="AX390" s="448"/>
      <c r="AY390" s="345" t="s">
        <v>1018</v>
      </c>
      <c r="AZ390" s="288">
        <v>0</v>
      </c>
      <c r="BA390" s="499">
        <v>1</v>
      </c>
      <c r="BB390" s="288">
        <v>0</v>
      </c>
      <c r="BC390" s="288">
        <v>0</v>
      </c>
      <c r="BD390" s="499">
        <v>1</v>
      </c>
      <c r="BE390" s="288">
        <v>0</v>
      </c>
      <c r="BF390" s="288">
        <v>0</v>
      </c>
      <c r="BG390" s="448"/>
      <c r="BH390" s="448"/>
      <c r="BI390" s="345" t="s">
        <v>1018</v>
      </c>
      <c r="BJ390" s="499"/>
      <c r="BK390" s="499"/>
      <c r="BL390" s="345" t="s">
        <v>1018</v>
      </c>
      <c r="BM390" s="499"/>
      <c r="BN390" s="499"/>
      <c r="BO390" s="499"/>
    </row>
    <row r="391" spans="1:67" ht="14.5" outlineLevel="1" x14ac:dyDescent="0.35">
      <c r="A391" s="316"/>
      <c r="B391" s="129">
        <v>43</v>
      </c>
      <c r="C391" s="434" t="s">
        <v>867</v>
      </c>
      <c r="D391" s="340" t="s">
        <v>240</v>
      </c>
      <c r="E391" s="340" t="s">
        <v>241</v>
      </c>
      <c r="F391" s="435">
        <v>513.79</v>
      </c>
      <c r="G391" s="435">
        <v>596</v>
      </c>
      <c r="H391" s="541"/>
      <c r="I391" s="541"/>
      <c r="J391" s="541"/>
      <c r="K391" s="541"/>
      <c r="L391" s="541"/>
      <c r="M391" s="541"/>
      <c r="N391" s="541"/>
      <c r="O391" s="288" t="s">
        <v>353</v>
      </c>
      <c r="P391" s="288" t="s">
        <v>360</v>
      </c>
      <c r="Q391" s="501" t="s">
        <v>1018</v>
      </c>
      <c r="R391" s="345"/>
      <c r="S391" s="345"/>
      <c r="T391" s="345"/>
      <c r="U391" s="345">
        <v>4</v>
      </c>
      <c r="V391" s="288" t="s">
        <v>974</v>
      </c>
      <c r="W391" s="541"/>
      <c r="X391" s="345" t="s">
        <v>1019</v>
      </c>
      <c r="Y391" s="288" t="s">
        <v>910</v>
      </c>
      <c r="Z391" s="288" t="s">
        <v>349</v>
      </c>
      <c r="AA391" s="541"/>
      <c r="AB391" s="541"/>
      <c r="AC391" s="541"/>
      <c r="AD391" s="288" t="s">
        <v>347</v>
      </c>
      <c r="AE391" s="541"/>
      <c r="AF391" s="288" t="s">
        <v>812</v>
      </c>
      <c r="AG391" s="288" t="s">
        <v>348</v>
      </c>
      <c r="AH391" s="541"/>
      <c r="AI391" s="288" t="s">
        <v>358</v>
      </c>
      <c r="AJ391" s="288" t="s">
        <v>350</v>
      </c>
      <c r="AK391" s="541"/>
      <c r="AL391" s="541"/>
      <c r="AM391" s="541"/>
      <c r="AN391" s="288"/>
      <c r="AO391" s="288"/>
      <c r="AP391" s="288"/>
      <c r="AQ391" s="288"/>
      <c r="AR391" s="288"/>
      <c r="AS391" s="288"/>
      <c r="AT391" s="541"/>
      <c r="AU391" s="448"/>
      <c r="AV391" s="448"/>
      <c r="AW391" s="448"/>
      <c r="AX391" s="448"/>
      <c r="AY391" s="345" t="s">
        <v>1018</v>
      </c>
      <c r="AZ391" s="288">
        <v>0</v>
      </c>
      <c r="BA391" s="288">
        <v>0</v>
      </c>
      <c r="BB391" s="499">
        <v>1</v>
      </c>
      <c r="BC391" s="288">
        <v>0</v>
      </c>
      <c r="BD391" s="499">
        <v>1</v>
      </c>
      <c r="BE391" s="288">
        <v>0</v>
      </c>
      <c r="BF391" s="288">
        <v>0</v>
      </c>
      <c r="BG391" s="448"/>
      <c r="BH391" s="448"/>
      <c r="BI391" s="345" t="s">
        <v>1018</v>
      </c>
      <c r="BJ391" s="499"/>
      <c r="BK391" s="499"/>
      <c r="BL391" s="345" t="s">
        <v>1018</v>
      </c>
      <c r="BM391" s="499"/>
      <c r="BN391" s="499"/>
      <c r="BO391" s="499"/>
    </row>
    <row r="392" spans="1:67" ht="14.5" outlineLevel="1" x14ac:dyDescent="0.35">
      <c r="A392" s="316"/>
      <c r="B392" s="129">
        <v>44</v>
      </c>
      <c r="C392" s="434" t="s">
        <v>868</v>
      </c>
      <c r="D392" s="340" t="s">
        <v>240</v>
      </c>
      <c r="E392" s="340" t="s">
        <v>241</v>
      </c>
      <c r="F392" s="435">
        <v>491.38</v>
      </c>
      <c r="G392" s="435">
        <v>570</v>
      </c>
      <c r="H392" s="541"/>
      <c r="I392" s="541"/>
      <c r="J392" s="541"/>
      <c r="K392" s="541"/>
      <c r="L392" s="541"/>
      <c r="M392" s="541"/>
      <c r="N392" s="541"/>
      <c r="O392" s="288" t="s">
        <v>362</v>
      </c>
      <c r="P392" s="288" t="s">
        <v>360</v>
      </c>
      <c r="Q392" s="501" t="s">
        <v>1018</v>
      </c>
      <c r="R392" s="345"/>
      <c r="S392" s="345"/>
      <c r="T392" s="345"/>
      <c r="U392" s="345">
        <v>2</v>
      </c>
      <c r="V392" s="288" t="s">
        <v>974</v>
      </c>
      <c r="W392" s="541"/>
      <c r="X392" s="345" t="s">
        <v>1019</v>
      </c>
      <c r="Y392" s="288" t="s">
        <v>910</v>
      </c>
      <c r="Z392" s="288" t="s">
        <v>349</v>
      </c>
      <c r="AA392" s="541"/>
      <c r="AB392" s="541"/>
      <c r="AC392" s="541"/>
      <c r="AD392" s="288" t="s">
        <v>347</v>
      </c>
      <c r="AE392" s="541"/>
      <c r="AF392" s="288" t="s">
        <v>812</v>
      </c>
      <c r="AG392" s="288" t="s">
        <v>348</v>
      </c>
      <c r="AH392" s="541"/>
      <c r="AI392" s="288" t="s">
        <v>358</v>
      </c>
      <c r="AJ392" s="288" t="s">
        <v>350</v>
      </c>
      <c r="AK392" s="541"/>
      <c r="AL392" s="541"/>
      <c r="AM392" s="541"/>
      <c r="AN392" s="288"/>
      <c r="AO392" s="288"/>
      <c r="AP392" s="288"/>
      <c r="AQ392" s="288"/>
      <c r="AR392" s="288"/>
      <c r="AS392" s="288"/>
      <c r="AT392" s="541"/>
      <c r="AU392" s="448"/>
      <c r="AV392" s="448"/>
      <c r="AW392" s="448"/>
      <c r="AX392" s="448"/>
      <c r="AY392" s="345" t="s">
        <v>1018</v>
      </c>
      <c r="AZ392" s="288">
        <v>0</v>
      </c>
      <c r="BA392" s="499">
        <v>1</v>
      </c>
      <c r="BB392" s="288">
        <v>0</v>
      </c>
      <c r="BC392" s="288">
        <v>0</v>
      </c>
      <c r="BD392" s="499">
        <v>1</v>
      </c>
      <c r="BE392" s="288">
        <v>0</v>
      </c>
      <c r="BF392" s="288">
        <v>0</v>
      </c>
      <c r="BG392" s="448"/>
      <c r="BH392" s="448"/>
      <c r="BI392" s="345" t="s">
        <v>1018</v>
      </c>
      <c r="BJ392" s="499"/>
      <c r="BK392" s="499"/>
      <c r="BL392" s="345" t="s">
        <v>1018</v>
      </c>
      <c r="BM392" s="499"/>
      <c r="BN392" s="499"/>
      <c r="BO392" s="499"/>
    </row>
    <row r="393" spans="1:67" ht="14.5" outlineLevel="1" x14ac:dyDescent="0.35">
      <c r="A393" s="316"/>
      <c r="B393" s="129">
        <v>45</v>
      </c>
      <c r="C393" s="434" t="s">
        <v>869</v>
      </c>
      <c r="D393" s="340" t="s">
        <v>240</v>
      </c>
      <c r="E393" s="340" t="s">
        <v>241</v>
      </c>
      <c r="F393" s="435">
        <v>551.72</v>
      </c>
      <c r="G393" s="435">
        <v>640</v>
      </c>
      <c r="H393" s="541"/>
      <c r="I393" s="541"/>
      <c r="J393" s="541"/>
      <c r="K393" s="541"/>
      <c r="L393" s="541"/>
      <c r="M393" s="541"/>
      <c r="N393" s="541"/>
      <c r="O393" s="288" t="s">
        <v>362</v>
      </c>
      <c r="P393" s="288" t="s">
        <v>360</v>
      </c>
      <c r="Q393" s="501" t="s">
        <v>1018</v>
      </c>
      <c r="R393" s="345"/>
      <c r="S393" s="345"/>
      <c r="T393" s="345"/>
      <c r="U393" s="345">
        <v>4</v>
      </c>
      <c r="V393" s="288" t="s">
        <v>974</v>
      </c>
      <c r="W393" s="541"/>
      <c r="X393" s="345" t="s">
        <v>1019</v>
      </c>
      <c r="Y393" s="288" t="s">
        <v>910</v>
      </c>
      <c r="Z393" s="288" t="s">
        <v>349</v>
      </c>
      <c r="AA393" s="541"/>
      <c r="AB393" s="541"/>
      <c r="AC393" s="541"/>
      <c r="AD393" s="288" t="s">
        <v>347</v>
      </c>
      <c r="AE393" s="541"/>
      <c r="AF393" s="288" t="s">
        <v>812</v>
      </c>
      <c r="AG393" s="288" t="s">
        <v>348</v>
      </c>
      <c r="AH393" s="541"/>
      <c r="AI393" s="288" t="s">
        <v>358</v>
      </c>
      <c r="AJ393" s="288" t="s">
        <v>350</v>
      </c>
      <c r="AK393" s="541"/>
      <c r="AL393" s="541"/>
      <c r="AM393" s="541"/>
      <c r="AN393" s="288"/>
      <c r="AO393" s="288"/>
      <c r="AP393" s="288"/>
      <c r="AQ393" s="288"/>
      <c r="AR393" s="288"/>
      <c r="AS393" s="288"/>
      <c r="AT393" s="541"/>
      <c r="AU393" s="448"/>
      <c r="AV393" s="448"/>
      <c r="AW393" s="448"/>
      <c r="AX393" s="448"/>
      <c r="AY393" s="345" t="s">
        <v>1018</v>
      </c>
      <c r="AZ393" s="288">
        <v>0</v>
      </c>
      <c r="BA393" s="288">
        <v>0</v>
      </c>
      <c r="BB393" s="499">
        <v>1</v>
      </c>
      <c r="BC393" s="288">
        <v>0</v>
      </c>
      <c r="BD393" s="499">
        <v>1</v>
      </c>
      <c r="BE393" s="288">
        <v>0</v>
      </c>
      <c r="BF393" s="288">
        <v>0</v>
      </c>
      <c r="BG393" s="448"/>
      <c r="BH393" s="448"/>
      <c r="BI393" s="345" t="s">
        <v>1018</v>
      </c>
      <c r="BJ393" s="499"/>
      <c r="BK393" s="499"/>
      <c r="BL393" s="345" t="s">
        <v>1018</v>
      </c>
      <c r="BM393" s="499"/>
      <c r="BN393" s="499"/>
      <c r="BO393" s="499"/>
    </row>
    <row r="394" spans="1:67" ht="14.5" outlineLevel="1" x14ac:dyDescent="0.35">
      <c r="A394" s="316"/>
      <c r="B394" s="129">
        <v>46</v>
      </c>
      <c r="C394" s="434" t="s">
        <v>870</v>
      </c>
      <c r="D394" s="340" t="s">
        <v>240</v>
      </c>
      <c r="E394" s="340" t="s">
        <v>241</v>
      </c>
      <c r="F394" s="435">
        <v>658.62</v>
      </c>
      <c r="G394" s="435">
        <v>764</v>
      </c>
      <c r="H394" s="541"/>
      <c r="I394" s="541"/>
      <c r="J394" s="541"/>
      <c r="K394" s="541"/>
      <c r="L394" s="541"/>
      <c r="M394" s="541"/>
      <c r="N394" s="541"/>
      <c r="O394" s="288" t="s">
        <v>364</v>
      </c>
      <c r="P394" s="288" t="s">
        <v>346</v>
      </c>
      <c r="Q394" s="501" t="s">
        <v>1018</v>
      </c>
      <c r="R394" s="345"/>
      <c r="S394" s="345"/>
      <c r="T394" s="345"/>
      <c r="U394" s="345">
        <v>4</v>
      </c>
      <c r="V394" s="288" t="s">
        <v>974</v>
      </c>
      <c r="W394" s="541"/>
      <c r="X394" s="345" t="s">
        <v>1019</v>
      </c>
      <c r="Y394" s="288" t="s">
        <v>910</v>
      </c>
      <c r="Z394" s="288" t="s">
        <v>349</v>
      </c>
      <c r="AA394" s="541"/>
      <c r="AB394" s="541"/>
      <c r="AC394" s="541"/>
      <c r="AD394" s="288" t="s">
        <v>347</v>
      </c>
      <c r="AE394" s="541"/>
      <c r="AF394" s="288" t="s">
        <v>812</v>
      </c>
      <c r="AG394" s="288" t="s">
        <v>348</v>
      </c>
      <c r="AH394" s="541"/>
      <c r="AI394" s="288" t="s">
        <v>358</v>
      </c>
      <c r="AJ394" s="288" t="s">
        <v>350</v>
      </c>
      <c r="AK394" s="541"/>
      <c r="AL394" s="541"/>
      <c r="AM394" s="541"/>
      <c r="AN394" s="288"/>
      <c r="AO394" s="288"/>
      <c r="AP394" s="288"/>
      <c r="AQ394" s="288"/>
      <c r="AR394" s="288"/>
      <c r="AS394" s="288"/>
      <c r="AT394" s="541"/>
      <c r="AU394" s="448"/>
      <c r="AV394" s="448"/>
      <c r="AW394" s="448"/>
      <c r="AX394" s="448"/>
      <c r="AY394" s="345" t="s">
        <v>1018</v>
      </c>
      <c r="AZ394" s="288">
        <v>0</v>
      </c>
      <c r="BA394" s="288">
        <v>0</v>
      </c>
      <c r="BB394" s="499">
        <v>1</v>
      </c>
      <c r="BC394" s="288">
        <v>0</v>
      </c>
      <c r="BD394" s="499">
        <v>1</v>
      </c>
      <c r="BE394" s="288">
        <v>0</v>
      </c>
      <c r="BF394" s="288">
        <v>0</v>
      </c>
      <c r="BG394" s="448"/>
      <c r="BH394" s="448"/>
      <c r="BI394" s="345" t="s">
        <v>1018</v>
      </c>
      <c r="BJ394" s="499"/>
      <c r="BK394" s="499"/>
      <c r="BL394" s="345" t="s">
        <v>1018</v>
      </c>
      <c r="BM394" s="499"/>
      <c r="BN394" s="499"/>
      <c r="BO394" s="499"/>
    </row>
    <row r="395" spans="1:67" ht="14.5" outlineLevel="1" x14ac:dyDescent="0.35">
      <c r="A395" s="316"/>
      <c r="B395" s="129">
        <v>47</v>
      </c>
      <c r="C395" s="434" t="s">
        <v>871</v>
      </c>
      <c r="D395" s="340" t="s">
        <v>240</v>
      </c>
      <c r="E395" s="340" t="s">
        <v>241</v>
      </c>
      <c r="F395" s="435">
        <v>617.25</v>
      </c>
      <c r="G395" s="435">
        <v>716</v>
      </c>
      <c r="H395" s="541"/>
      <c r="I395" s="541"/>
      <c r="J395" s="541"/>
      <c r="K395" s="541"/>
      <c r="L395" s="541"/>
      <c r="M395" s="541"/>
      <c r="N395" s="541"/>
      <c r="O395" s="288" t="s">
        <v>364</v>
      </c>
      <c r="P395" s="288" t="s">
        <v>346</v>
      </c>
      <c r="Q395" s="501" t="s">
        <v>1018</v>
      </c>
      <c r="R395" s="345"/>
      <c r="S395" s="345"/>
      <c r="T395" s="345"/>
      <c r="U395" s="345">
        <v>2</v>
      </c>
      <c r="V395" s="288" t="s">
        <v>974</v>
      </c>
      <c r="W395" s="541"/>
      <c r="X395" s="345" t="s">
        <v>1019</v>
      </c>
      <c r="Y395" s="288" t="s">
        <v>910</v>
      </c>
      <c r="Z395" s="288" t="s">
        <v>349</v>
      </c>
      <c r="AA395" s="541"/>
      <c r="AB395" s="541"/>
      <c r="AC395" s="541"/>
      <c r="AD395" s="288" t="s">
        <v>347</v>
      </c>
      <c r="AE395" s="541"/>
      <c r="AF395" s="288" t="s">
        <v>812</v>
      </c>
      <c r="AG395" s="288" t="s">
        <v>348</v>
      </c>
      <c r="AH395" s="541"/>
      <c r="AI395" s="288" t="s">
        <v>358</v>
      </c>
      <c r="AJ395" s="288" t="s">
        <v>350</v>
      </c>
      <c r="AK395" s="541"/>
      <c r="AL395" s="541"/>
      <c r="AM395" s="541"/>
      <c r="AN395" s="288"/>
      <c r="AO395" s="288"/>
      <c r="AP395" s="288"/>
      <c r="AQ395" s="288"/>
      <c r="AR395" s="288"/>
      <c r="AS395" s="288"/>
      <c r="AT395" s="541"/>
      <c r="AU395" s="448"/>
      <c r="AV395" s="448"/>
      <c r="AW395" s="448"/>
      <c r="AX395" s="448"/>
      <c r="AY395" s="345" t="s">
        <v>1018</v>
      </c>
      <c r="AZ395" s="288">
        <v>0</v>
      </c>
      <c r="BA395" s="499">
        <v>1</v>
      </c>
      <c r="BB395" s="288">
        <v>0</v>
      </c>
      <c r="BC395" s="288">
        <v>0</v>
      </c>
      <c r="BD395" s="499">
        <v>1</v>
      </c>
      <c r="BE395" s="288">
        <v>0</v>
      </c>
      <c r="BF395" s="288">
        <v>0</v>
      </c>
      <c r="BG395" s="448"/>
      <c r="BH395" s="448"/>
      <c r="BI395" s="345" t="s">
        <v>1018</v>
      </c>
      <c r="BJ395" s="499"/>
      <c r="BK395" s="499"/>
      <c r="BL395" s="345" t="s">
        <v>1018</v>
      </c>
      <c r="BM395" s="499"/>
      <c r="BN395" s="499"/>
      <c r="BO395" s="499"/>
    </row>
    <row r="396" spans="1:67" ht="14.5" outlineLevel="1" x14ac:dyDescent="0.35">
      <c r="A396" s="316"/>
      <c r="B396" s="129">
        <v>48</v>
      </c>
      <c r="C396" s="434" t="s">
        <v>872</v>
      </c>
      <c r="D396" s="340" t="s">
        <v>240</v>
      </c>
      <c r="E396" s="340" t="s">
        <v>241</v>
      </c>
      <c r="F396" s="435">
        <v>936.21</v>
      </c>
      <c r="G396" s="435">
        <v>1086</v>
      </c>
      <c r="H396" s="541"/>
      <c r="I396" s="541"/>
      <c r="J396" s="541"/>
      <c r="K396" s="541"/>
      <c r="L396" s="541"/>
      <c r="M396" s="541"/>
      <c r="N396" s="541"/>
      <c r="O396" s="288" t="s">
        <v>359</v>
      </c>
      <c r="P396" s="288" t="s">
        <v>354</v>
      </c>
      <c r="Q396" s="501" t="s">
        <v>1018</v>
      </c>
      <c r="R396" s="345"/>
      <c r="S396" s="345"/>
      <c r="T396" s="345"/>
      <c r="U396" s="345">
        <v>4</v>
      </c>
      <c r="V396" s="288" t="s">
        <v>974</v>
      </c>
      <c r="W396" s="541"/>
      <c r="X396" s="345" t="s">
        <v>1019</v>
      </c>
      <c r="Y396" s="288" t="s">
        <v>910</v>
      </c>
      <c r="Z396" s="288" t="s">
        <v>349</v>
      </c>
      <c r="AA396" s="541"/>
      <c r="AB396" s="541"/>
      <c r="AC396" s="541"/>
      <c r="AD396" s="288" t="s">
        <v>347</v>
      </c>
      <c r="AE396" s="541"/>
      <c r="AF396" s="288" t="s">
        <v>812</v>
      </c>
      <c r="AG396" s="288" t="s">
        <v>348</v>
      </c>
      <c r="AH396" s="541"/>
      <c r="AI396" s="288" t="s">
        <v>358</v>
      </c>
      <c r="AJ396" s="288" t="s">
        <v>350</v>
      </c>
      <c r="AK396" s="541"/>
      <c r="AL396" s="541"/>
      <c r="AM396" s="541"/>
      <c r="AN396" s="288"/>
      <c r="AO396" s="288"/>
      <c r="AP396" s="288"/>
      <c r="AQ396" s="288"/>
      <c r="AR396" s="288"/>
      <c r="AS396" s="288"/>
      <c r="AT396" s="541"/>
      <c r="AU396" s="448"/>
      <c r="AV396" s="448"/>
      <c r="AW396" s="448"/>
      <c r="AX396" s="448"/>
      <c r="AY396" s="345" t="s">
        <v>1018</v>
      </c>
      <c r="AZ396" s="288">
        <v>0</v>
      </c>
      <c r="BA396" s="288">
        <v>0</v>
      </c>
      <c r="BB396" s="499">
        <v>1</v>
      </c>
      <c r="BC396" s="288">
        <v>0</v>
      </c>
      <c r="BD396" s="499">
        <v>1</v>
      </c>
      <c r="BE396" s="288">
        <v>0</v>
      </c>
      <c r="BF396" s="288">
        <v>0</v>
      </c>
      <c r="BG396" s="448"/>
      <c r="BH396" s="448"/>
      <c r="BI396" s="345" t="s">
        <v>1018</v>
      </c>
      <c r="BJ396" s="499"/>
      <c r="BK396" s="499"/>
      <c r="BL396" s="345" t="s">
        <v>1018</v>
      </c>
      <c r="BM396" s="499"/>
      <c r="BN396" s="499"/>
      <c r="BO396" s="499"/>
    </row>
    <row r="397" spans="1:67" ht="14.5" outlineLevel="1" x14ac:dyDescent="0.35">
      <c r="A397" s="316"/>
      <c r="B397" s="129">
        <v>49</v>
      </c>
      <c r="C397" s="434" t="s">
        <v>873</v>
      </c>
      <c r="D397" s="340" t="s">
        <v>240</v>
      </c>
      <c r="E397" s="340" t="s">
        <v>241</v>
      </c>
      <c r="F397" s="435">
        <v>900</v>
      </c>
      <c r="G397" s="435">
        <v>1044</v>
      </c>
      <c r="H397" s="541"/>
      <c r="I397" s="541"/>
      <c r="J397" s="541"/>
      <c r="K397" s="541"/>
      <c r="L397" s="541"/>
      <c r="M397" s="541"/>
      <c r="N397" s="541"/>
      <c r="O397" s="288" t="s">
        <v>359</v>
      </c>
      <c r="P397" s="288" t="s">
        <v>354</v>
      </c>
      <c r="Q397" s="501" t="s">
        <v>1018</v>
      </c>
      <c r="R397" s="345"/>
      <c r="S397" s="345"/>
      <c r="T397" s="345"/>
      <c r="U397" s="345">
        <v>2</v>
      </c>
      <c r="V397" s="288" t="s">
        <v>974</v>
      </c>
      <c r="W397" s="541"/>
      <c r="X397" s="345" t="s">
        <v>1019</v>
      </c>
      <c r="Y397" s="288" t="s">
        <v>910</v>
      </c>
      <c r="Z397" s="288" t="s">
        <v>349</v>
      </c>
      <c r="AA397" s="541"/>
      <c r="AB397" s="541"/>
      <c r="AC397" s="541"/>
      <c r="AD397" s="288" t="s">
        <v>347</v>
      </c>
      <c r="AE397" s="541"/>
      <c r="AF397" s="288" t="s">
        <v>812</v>
      </c>
      <c r="AG397" s="288" t="s">
        <v>348</v>
      </c>
      <c r="AH397" s="541"/>
      <c r="AI397" s="288" t="s">
        <v>358</v>
      </c>
      <c r="AJ397" s="288" t="s">
        <v>350</v>
      </c>
      <c r="AK397" s="541"/>
      <c r="AL397" s="541"/>
      <c r="AM397" s="541"/>
      <c r="AN397" s="288"/>
      <c r="AO397" s="288"/>
      <c r="AP397" s="288"/>
      <c r="AQ397" s="288"/>
      <c r="AR397" s="288"/>
      <c r="AS397" s="288"/>
      <c r="AT397" s="541"/>
      <c r="AU397" s="448"/>
      <c r="AV397" s="448"/>
      <c r="AW397" s="448"/>
      <c r="AX397" s="448"/>
      <c r="AY397" s="345" t="s">
        <v>1018</v>
      </c>
      <c r="AZ397" s="288">
        <v>0</v>
      </c>
      <c r="BA397" s="499">
        <v>1</v>
      </c>
      <c r="BB397" s="288">
        <v>0</v>
      </c>
      <c r="BC397" s="288">
        <v>0</v>
      </c>
      <c r="BD397" s="499">
        <v>1</v>
      </c>
      <c r="BE397" s="288">
        <v>0</v>
      </c>
      <c r="BF397" s="288">
        <v>0</v>
      </c>
      <c r="BG397" s="448"/>
      <c r="BH397" s="448"/>
      <c r="BI397" s="345" t="s">
        <v>1018</v>
      </c>
      <c r="BJ397" s="499"/>
      <c r="BK397" s="499"/>
      <c r="BL397" s="345" t="s">
        <v>1018</v>
      </c>
      <c r="BM397" s="499"/>
      <c r="BN397" s="499"/>
      <c r="BO397" s="499"/>
    </row>
    <row r="398" spans="1:67" ht="14.5" outlineLevel="1" x14ac:dyDescent="0.35">
      <c r="A398" s="316"/>
      <c r="B398" s="129">
        <v>50</v>
      </c>
      <c r="C398" s="434" t="s">
        <v>874</v>
      </c>
      <c r="D398" s="340" t="s">
        <v>242</v>
      </c>
      <c r="E398" s="340" t="s">
        <v>243</v>
      </c>
      <c r="F398" s="435">
        <v>440.68</v>
      </c>
      <c r="G398" s="435">
        <v>519</v>
      </c>
      <c r="H398" s="288">
        <v>1</v>
      </c>
      <c r="I398" s="288" t="s">
        <v>355</v>
      </c>
      <c r="J398" s="288" t="s">
        <v>356</v>
      </c>
      <c r="K398" s="288" t="s">
        <v>356</v>
      </c>
      <c r="L398" s="288" t="s">
        <v>356</v>
      </c>
      <c r="M398" s="288">
        <v>5</v>
      </c>
      <c r="N398" s="288" t="s">
        <v>911</v>
      </c>
      <c r="O398" s="288" t="s">
        <v>353</v>
      </c>
      <c r="P398" s="288" t="s">
        <v>912</v>
      </c>
      <c r="Q398" s="501" t="s">
        <v>1018</v>
      </c>
      <c r="R398" s="345"/>
      <c r="S398" s="345"/>
      <c r="T398" s="345"/>
      <c r="U398" s="345">
        <v>1</v>
      </c>
      <c r="V398" s="345" t="s">
        <v>974</v>
      </c>
      <c r="W398" s="541"/>
      <c r="X398" s="345" t="s">
        <v>1018</v>
      </c>
      <c r="Y398" s="541"/>
      <c r="Z398" s="541"/>
      <c r="AA398" s="541"/>
      <c r="AB398" s="541"/>
      <c r="AC398" s="541"/>
      <c r="AD398" s="288" t="s">
        <v>347</v>
      </c>
      <c r="AE398" s="541"/>
      <c r="AF398" s="541"/>
      <c r="AG398" s="542" t="s">
        <v>1200</v>
      </c>
      <c r="AH398" s="541"/>
      <c r="AI398" s="345" t="s">
        <v>1201</v>
      </c>
      <c r="AJ398" s="345"/>
      <c r="AK398" s="345" t="s">
        <v>1203</v>
      </c>
      <c r="AL398" s="345" t="s">
        <v>1207</v>
      </c>
      <c r="AM398" s="345" t="s">
        <v>1208</v>
      </c>
      <c r="AN398" s="345" t="s">
        <v>1209</v>
      </c>
      <c r="AO398" s="345"/>
      <c r="AP398" s="345"/>
      <c r="AQ398" s="345"/>
      <c r="AR398" s="345" t="s">
        <v>1210</v>
      </c>
      <c r="AS398" s="345" t="s">
        <v>1211</v>
      </c>
      <c r="AT398" s="541"/>
      <c r="AU398" s="448"/>
      <c r="AV398" s="448"/>
      <c r="AW398" s="448"/>
      <c r="AX398" s="448"/>
      <c r="AY398" s="345" t="s">
        <v>1018</v>
      </c>
      <c r="AZ398" s="499">
        <v>1</v>
      </c>
      <c r="BA398" s="288">
        <v>0</v>
      </c>
      <c r="BB398" s="288">
        <v>0</v>
      </c>
      <c r="BC398" s="288">
        <v>0</v>
      </c>
      <c r="BD398" s="288">
        <v>0</v>
      </c>
      <c r="BE398" s="288">
        <v>0</v>
      </c>
      <c r="BF398" s="288">
        <v>0</v>
      </c>
      <c r="BG398" s="448"/>
      <c r="BH398" s="448"/>
      <c r="BI398" s="345" t="s">
        <v>1018</v>
      </c>
      <c r="BJ398" s="499"/>
      <c r="BK398" s="499"/>
      <c r="BL398" s="345" t="s">
        <v>1018</v>
      </c>
      <c r="BM398" s="499"/>
      <c r="BN398" s="499"/>
      <c r="BO398" s="499"/>
    </row>
    <row r="399" spans="1:67" ht="14.5" outlineLevel="1" x14ac:dyDescent="0.35">
      <c r="A399" s="316"/>
      <c r="B399" s="129">
        <v>51</v>
      </c>
      <c r="C399" s="434" t="s">
        <v>875</v>
      </c>
      <c r="D399" s="340" t="s">
        <v>242</v>
      </c>
      <c r="E399" s="340" t="s">
        <v>243</v>
      </c>
      <c r="F399" s="435">
        <v>489.81</v>
      </c>
      <c r="G399" s="435">
        <v>576</v>
      </c>
      <c r="H399" s="288">
        <v>1</v>
      </c>
      <c r="I399" s="288" t="s">
        <v>355</v>
      </c>
      <c r="J399" s="288" t="s">
        <v>356</v>
      </c>
      <c r="K399" s="288" t="s">
        <v>356</v>
      </c>
      <c r="L399" s="288" t="s">
        <v>356</v>
      </c>
      <c r="M399" s="288">
        <v>5</v>
      </c>
      <c r="N399" s="288" t="s">
        <v>911</v>
      </c>
      <c r="O399" s="288" t="s">
        <v>353</v>
      </c>
      <c r="P399" s="288" t="s">
        <v>912</v>
      </c>
      <c r="Q399" s="501" t="s">
        <v>1018</v>
      </c>
      <c r="R399" s="345"/>
      <c r="S399" s="345"/>
      <c r="T399" s="345"/>
      <c r="U399" s="345">
        <v>2</v>
      </c>
      <c r="V399" s="345" t="s">
        <v>974</v>
      </c>
      <c r="W399" s="541"/>
      <c r="X399" s="345" t="s">
        <v>1018</v>
      </c>
      <c r="Y399" s="541"/>
      <c r="Z399" s="541"/>
      <c r="AA399" s="541"/>
      <c r="AB399" s="541"/>
      <c r="AC399" s="541"/>
      <c r="AD399" s="288" t="s">
        <v>347</v>
      </c>
      <c r="AE399" s="541"/>
      <c r="AF399" s="541"/>
      <c r="AG399" s="542" t="s">
        <v>1200</v>
      </c>
      <c r="AH399" s="541"/>
      <c r="AI399" s="345" t="s">
        <v>1201</v>
      </c>
      <c r="AJ399" s="345"/>
      <c r="AK399" s="345" t="s">
        <v>1203</v>
      </c>
      <c r="AL399" s="345" t="s">
        <v>1207</v>
      </c>
      <c r="AM399" s="345" t="s">
        <v>1208</v>
      </c>
      <c r="AN399" s="345" t="s">
        <v>1209</v>
      </c>
      <c r="AO399" s="345"/>
      <c r="AP399" s="345"/>
      <c r="AQ399" s="345"/>
      <c r="AR399" s="345" t="s">
        <v>1210</v>
      </c>
      <c r="AS399" s="345" t="s">
        <v>1211</v>
      </c>
      <c r="AT399" s="541"/>
      <c r="AU399" s="448"/>
      <c r="AV399" s="448"/>
      <c r="AW399" s="448"/>
      <c r="AX399" s="448"/>
      <c r="AY399" s="345" t="s">
        <v>1018</v>
      </c>
      <c r="AZ399" s="288">
        <v>0</v>
      </c>
      <c r="BA399" s="499">
        <v>1</v>
      </c>
      <c r="BB399" s="288">
        <v>0</v>
      </c>
      <c r="BC399" s="288">
        <v>0</v>
      </c>
      <c r="BD399" s="288">
        <v>0</v>
      </c>
      <c r="BE399" s="288">
        <v>0</v>
      </c>
      <c r="BF399" s="288">
        <v>0</v>
      </c>
      <c r="BG399" s="448"/>
      <c r="BH399" s="448"/>
      <c r="BI399" s="345" t="s">
        <v>1018</v>
      </c>
      <c r="BJ399" s="499"/>
      <c r="BK399" s="499"/>
      <c r="BL399" s="345" t="s">
        <v>1018</v>
      </c>
      <c r="BM399" s="499"/>
      <c r="BN399" s="499"/>
      <c r="BO399" s="499"/>
    </row>
    <row r="400" spans="1:67" ht="14.5" outlineLevel="1" x14ac:dyDescent="0.35">
      <c r="A400" s="316"/>
      <c r="B400" s="129">
        <v>52</v>
      </c>
      <c r="C400" s="434" t="s">
        <v>876</v>
      </c>
      <c r="D400" s="340" t="s">
        <v>242</v>
      </c>
      <c r="E400" s="340" t="s">
        <v>243</v>
      </c>
      <c r="F400" s="435">
        <v>550.16</v>
      </c>
      <c r="G400" s="435">
        <v>646</v>
      </c>
      <c r="H400" s="288">
        <v>1</v>
      </c>
      <c r="I400" s="288" t="s">
        <v>355</v>
      </c>
      <c r="J400" s="288" t="s">
        <v>356</v>
      </c>
      <c r="K400" s="288" t="s">
        <v>356</v>
      </c>
      <c r="L400" s="288" t="s">
        <v>356</v>
      </c>
      <c r="M400" s="288">
        <v>5</v>
      </c>
      <c r="N400" s="288" t="s">
        <v>911</v>
      </c>
      <c r="O400" s="288" t="s">
        <v>353</v>
      </c>
      <c r="P400" s="288" t="s">
        <v>912</v>
      </c>
      <c r="Q400" s="501" t="s">
        <v>1018</v>
      </c>
      <c r="R400" s="345"/>
      <c r="S400" s="345"/>
      <c r="T400" s="345"/>
      <c r="U400" s="345">
        <v>4</v>
      </c>
      <c r="V400" s="345" t="s">
        <v>974</v>
      </c>
      <c r="W400" s="541"/>
      <c r="X400" s="345" t="s">
        <v>1018</v>
      </c>
      <c r="Y400" s="541"/>
      <c r="Z400" s="541"/>
      <c r="AA400" s="541"/>
      <c r="AB400" s="541"/>
      <c r="AC400" s="541"/>
      <c r="AD400" s="288" t="s">
        <v>347</v>
      </c>
      <c r="AE400" s="541"/>
      <c r="AF400" s="541"/>
      <c r="AG400" s="542" t="s">
        <v>1200</v>
      </c>
      <c r="AH400" s="541"/>
      <c r="AI400" s="345" t="s">
        <v>1201</v>
      </c>
      <c r="AJ400" s="345"/>
      <c r="AK400" s="345" t="s">
        <v>1203</v>
      </c>
      <c r="AL400" s="345" t="s">
        <v>1207</v>
      </c>
      <c r="AM400" s="345" t="s">
        <v>1208</v>
      </c>
      <c r="AN400" s="345" t="s">
        <v>1209</v>
      </c>
      <c r="AO400" s="345"/>
      <c r="AP400" s="345"/>
      <c r="AQ400" s="345"/>
      <c r="AR400" s="345" t="s">
        <v>1210</v>
      </c>
      <c r="AS400" s="345" t="s">
        <v>1211</v>
      </c>
      <c r="AT400" s="541"/>
      <c r="AU400" s="448"/>
      <c r="AV400" s="448"/>
      <c r="AW400" s="448"/>
      <c r="AX400" s="448"/>
      <c r="AY400" s="345" t="s">
        <v>1018</v>
      </c>
      <c r="AZ400" s="288">
        <v>0</v>
      </c>
      <c r="BA400" s="288">
        <v>0</v>
      </c>
      <c r="BB400" s="499">
        <v>1</v>
      </c>
      <c r="BC400" s="288">
        <v>0</v>
      </c>
      <c r="BD400" s="288">
        <v>0</v>
      </c>
      <c r="BE400" s="288">
        <v>0</v>
      </c>
      <c r="BF400" s="288">
        <v>0</v>
      </c>
      <c r="BG400" s="448"/>
      <c r="BH400" s="448"/>
      <c r="BI400" s="345" t="s">
        <v>1018</v>
      </c>
      <c r="BJ400" s="499"/>
      <c r="BK400" s="499"/>
      <c r="BL400" s="345" t="s">
        <v>1018</v>
      </c>
      <c r="BM400" s="499"/>
      <c r="BN400" s="499"/>
      <c r="BO400" s="499"/>
    </row>
    <row r="401" spans="1:67" ht="14.5" outlineLevel="1" x14ac:dyDescent="0.35">
      <c r="A401" s="316"/>
      <c r="B401" s="129">
        <v>53</v>
      </c>
      <c r="C401" s="434" t="s">
        <v>877</v>
      </c>
      <c r="D401" s="340" t="s">
        <v>242</v>
      </c>
      <c r="E401" s="340" t="s">
        <v>243</v>
      </c>
      <c r="F401" s="435">
        <v>608.88</v>
      </c>
      <c r="G401" s="435">
        <v>716</v>
      </c>
      <c r="H401" s="288">
        <v>2</v>
      </c>
      <c r="I401" s="288" t="s">
        <v>355</v>
      </c>
      <c r="J401" s="288" t="s">
        <v>355</v>
      </c>
      <c r="K401" s="288" t="s">
        <v>356</v>
      </c>
      <c r="L401" s="288" t="s">
        <v>356</v>
      </c>
      <c r="M401" s="288">
        <v>5</v>
      </c>
      <c r="N401" s="288" t="s">
        <v>911</v>
      </c>
      <c r="O401" s="288" t="s">
        <v>354</v>
      </c>
      <c r="P401" s="288" t="s">
        <v>346</v>
      </c>
      <c r="Q401" s="501" t="s">
        <v>1018</v>
      </c>
      <c r="R401" s="345"/>
      <c r="S401" s="345"/>
      <c r="T401" s="345"/>
      <c r="U401" s="345">
        <v>2</v>
      </c>
      <c r="V401" s="345" t="s">
        <v>974</v>
      </c>
      <c r="W401" s="541"/>
      <c r="X401" s="345" t="s">
        <v>1018</v>
      </c>
      <c r="Y401" s="541"/>
      <c r="Z401" s="541"/>
      <c r="AA401" s="541"/>
      <c r="AB401" s="541"/>
      <c r="AC401" s="541"/>
      <c r="AD401" s="288" t="s">
        <v>347</v>
      </c>
      <c r="AE401" s="541"/>
      <c r="AF401" s="541"/>
      <c r="AG401" s="542" t="s">
        <v>1200</v>
      </c>
      <c r="AH401" s="541"/>
      <c r="AI401" s="345" t="s">
        <v>1201</v>
      </c>
      <c r="AJ401" s="345"/>
      <c r="AK401" s="345" t="s">
        <v>1203</v>
      </c>
      <c r="AL401" s="345" t="s">
        <v>1207</v>
      </c>
      <c r="AM401" s="345" t="s">
        <v>1208</v>
      </c>
      <c r="AN401" s="345" t="s">
        <v>1209</v>
      </c>
      <c r="AO401" s="345"/>
      <c r="AP401" s="345"/>
      <c r="AQ401" s="345"/>
      <c r="AR401" s="345" t="s">
        <v>1210</v>
      </c>
      <c r="AS401" s="345" t="s">
        <v>1211</v>
      </c>
      <c r="AT401" s="541"/>
      <c r="AU401" s="448"/>
      <c r="AV401" s="448"/>
      <c r="AW401" s="448"/>
      <c r="AX401" s="448"/>
      <c r="AY401" s="345" t="s">
        <v>1018</v>
      </c>
      <c r="AZ401" s="288">
        <v>0</v>
      </c>
      <c r="BA401" s="499">
        <v>1</v>
      </c>
      <c r="BB401" s="288">
        <v>0</v>
      </c>
      <c r="BC401" s="288">
        <v>0</v>
      </c>
      <c r="BD401" s="288">
        <v>0</v>
      </c>
      <c r="BE401" s="288">
        <v>0</v>
      </c>
      <c r="BF401" s="288">
        <v>0</v>
      </c>
      <c r="BG401" s="448"/>
      <c r="BH401" s="448"/>
      <c r="BI401" s="345" t="s">
        <v>1018</v>
      </c>
      <c r="BJ401" s="499"/>
      <c r="BK401" s="499"/>
      <c r="BL401" s="345" t="s">
        <v>1018</v>
      </c>
      <c r="BM401" s="499"/>
      <c r="BN401" s="499"/>
      <c r="BO401" s="499"/>
    </row>
    <row r="402" spans="1:67" ht="14.5" outlineLevel="1" x14ac:dyDescent="0.35">
      <c r="A402" s="316"/>
      <c r="B402" s="129">
        <v>54</v>
      </c>
      <c r="C402" s="434" t="s">
        <v>878</v>
      </c>
      <c r="D402" s="340" t="s">
        <v>242</v>
      </c>
      <c r="E402" s="340" t="s">
        <v>243</v>
      </c>
      <c r="F402" s="435">
        <v>668.37</v>
      </c>
      <c r="G402" s="435">
        <v>786</v>
      </c>
      <c r="H402" s="288">
        <v>2</v>
      </c>
      <c r="I402" s="288" t="s">
        <v>355</v>
      </c>
      <c r="J402" s="288" t="s">
        <v>355</v>
      </c>
      <c r="K402" s="288" t="s">
        <v>356</v>
      </c>
      <c r="L402" s="288" t="s">
        <v>356</v>
      </c>
      <c r="M402" s="288">
        <v>5</v>
      </c>
      <c r="N402" s="288" t="s">
        <v>911</v>
      </c>
      <c r="O402" s="288" t="s">
        <v>354</v>
      </c>
      <c r="P402" s="288" t="s">
        <v>346</v>
      </c>
      <c r="Q402" s="501" t="s">
        <v>1018</v>
      </c>
      <c r="R402" s="345"/>
      <c r="S402" s="345"/>
      <c r="T402" s="345"/>
      <c r="U402" s="345">
        <v>4</v>
      </c>
      <c r="V402" s="345" t="s">
        <v>974</v>
      </c>
      <c r="W402" s="541"/>
      <c r="X402" s="345" t="s">
        <v>1018</v>
      </c>
      <c r="Y402" s="541"/>
      <c r="Z402" s="541"/>
      <c r="AA402" s="541"/>
      <c r="AB402" s="541"/>
      <c r="AC402" s="541"/>
      <c r="AD402" s="288" t="s">
        <v>347</v>
      </c>
      <c r="AE402" s="541"/>
      <c r="AF402" s="541"/>
      <c r="AG402" s="542" t="s">
        <v>1200</v>
      </c>
      <c r="AH402" s="541"/>
      <c r="AI402" s="345" t="s">
        <v>1201</v>
      </c>
      <c r="AJ402" s="345"/>
      <c r="AK402" s="345" t="s">
        <v>1203</v>
      </c>
      <c r="AL402" s="345" t="s">
        <v>1207</v>
      </c>
      <c r="AM402" s="345" t="s">
        <v>1208</v>
      </c>
      <c r="AN402" s="345" t="s">
        <v>1209</v>
      </c>
      <c r="AO402" s="345"/>
      <c r="AP402" s="345"/>
      <c r="AQ402" s="345"/>
      <c r="AR402" s="345" t="s">
        <v>1210</v>
      </c>
      <c r="AS402" s="345" t="s">
        <v>1211</v>
      </c>
      <c r="AT402" s="541"/>
      <c r="AU402" s="448"/>
      <c r="AV402" s="448"/>
      <c r="AW402" s="448"/>
      <c r="AX402" s="448"/>
      <c r="AY402" s="345" t="s">
        <v>1018</v>
      </c>
      <c r="AZ402" s="288">
        <v>0</v>
      </c>
      <c r="BA402" s="288">
        <v>0</v>
      </c>
      <c r="BB402" s="499">
        <v>1</v>
      </c>
      <c r="BC402" s="288">
        <v>0</v>
      </c>
      <c r="BD402" s="288">
        <v>0</v>
      </c>
      <c r="BE402" s="288">
        <v>0</v>
      </c>
      <c r="BF402" s="288">
        <v>0</v>
      </c>
      <c r="BG402" s="448"/>
      <c r="BH402" s="448"/>
      <c r="BI402" s="345" t="s">
        <v>1018</v>
      </c>
      <c r="BJ402" s="499"/>
      <c r="BK402" s="499"/>
      <c r="BL402" s="345" t="s">
        <v>1018</v>
      </c>
      <c r="BM402" s="499"/>
      <c r="BN402" s="499"/>
      <c r="BO402" s="499"/>
    </row>
    <row r="403" spans="1:67" ht="14.5" outlineLevel="1" x14ac:dyDescent="0.35">
      <c r="A403" s="316"/>
      <c r="B403" s="129">
        <v>55</v>
      </c>
      <c r="C403" s="434" t="s">
        <v>879</v>
      </c>
      <c r="D403" s="340" t="s">
        <v>242</v>
      </c>
      <c r="E403" s="340" t="s">
        <v>243</v>
      </c>
      <c r="F403" s="435">
        <v>819.11</v>
      </c>
      <c r="G403" s="435">
        <v>966</v>
      </c>
      <c r="H403" s="288">
        <v>2</v>
      </c>
      <c r="I403" s="288" t="s">
        <v>355</v>
      </c>
      <c r="J403" s="288" t="s">
        <v>356</v>
      </c>
      <c r="K403" s="288" t="s">
        <v>356</v>
      </c>
      <c r="L403" s="288" t="s">
        <v>356</v>
      </c>
      <c r="M403" s="288">
        <v>5</v>
      </c>
      <c r="N403" s="288" t="s">
        <v>911</v>
      </c>
      <c r="O403" s="288" t="s">
        <v>364</v>
      </c>
      <c r="P403" s="288" t="s">
        <v>353</v>
      </c>
      <c r="Q403" s="501" t="s">
        <v>1018</v>
      </c>
      <c r="R403" s="345"/>
      <c r="S403" s="345"/>
      <c r="T403" s="345"/>
      <c r="U403" s="345">
        <v>2</v>
      </c>
      <c r="V403" s="345" t="s">
        <v>974</v>
      </c>
      <c r="W403" s="541"/>
      <c r="X403" s="345" t="s">
        <v>1018</v>
      </c>
      <c r="Y403" s="541"/>
      <c r="Z403" s="541"/>
      <c r="AA403" s="541"/>
      <c r="AB403" s="541"/>
      <c r="AC403" s="541"/>
      <c r="AD403" s="288" t="s">
        <v>347</v>
      </c>
      <c r="AE403" s="541"/>
      <c r="AF403" s="541"/>
      <c r="AG403" s="542" t="s">
        <v>1200</v>
      </c>
      <c r="AH403" s="541"/>
      <c r="AI403" s="345" t="s">
        <v>1201</v>
      </c>
      <c r="AJ403" s="345"/>
      <c r="AK403" s="345" t="s">
        <v>1203</v>
      </c>
      <c r="AL403" s="345" t="s">
        <v>1207</v>
      </c>
      <c r="AM403" s="345" t="s">
        <v>1208</v>
      </c>
      <c r="AN403" s="345" t="s">
        <v>1209</v>
      </c>
      <c r="AO403" s="345"/>
      <c r="AP403" s="345" t="s">
        <v>1212</v>
      </c>
      <c r="AQ403" s="345"/>
      <c r="AR403" s="345" t="s">
        <v>1210</v>
      </c>
      <c r="AS403" s="345" t="s">
        <v>1211</v>
      </c>
      <c r="AT403" s="541"/>
      <c r="AU403" s="448"/>
      <c r="AV403" s="448"/>
      <c r="AW403" s="448"/>
      <c r="AX403" s="448"/>
      <c r="AY403" s="345" t="s">
        <v>1018</v>
      </c>
      <c r="AZ403" s="288">
        <v>0</v>
      </c>
      <c r="BA403" s="499">
        <v>1</v>
      </c>
      <c r="BB403" s="288">
        <v>0</v>
      </c>
      <c r="BC403" s="288">
        <v>0</v>
      </c>
      <c r="BD403" s="288">
        <v>0</v>
      </c>
      <c r="BE403" s="288">
        <v>0</v>
      </c>
      <c r="BF403" s="288">
        <v>0</v>
      </c>
      <c r="BG403" s="448"/>
      <c r="BH403" s="448"/>
      <c r="BI403" s="345" t="s">
        <v>1018</v>
      </c>
      <c r="BJ403" s="499"/>
      <c r="BK403" s="499"/>
      <c r="BL403" s="345" t="s">
        <v>1018</v>
      </c>
      <c r="BM403" s="499"/>
      <c r="BN403" s="499"/>
      <c r="BO403" s="499"/>
    </row>
    <row r="404" spans="1:67" ht="14.5" outlineLevel="1" x14ac:dyDescent="0.35">
      <c r="A404" s="316"/>
      <c r="B404" s="129">
        <v>56</v>
      </c>
      <c r="C404" s="434" t="s">
        <v>880</v>
      </c>
      <c r="D404" s="340" t="s">
        <v>242</v>
      </c>
      <c r="E404" s="340" t="s">
        <v>243</v>
      </c>
      <c r="F404" s="435">
        <v>860.88</v>
      </c>
      <c r="G404" s="435">
        <v>1014</v>
      </c>
      <c r="H404" s="288">
        <v>2</v>
      </c>
      <c r="I404" s="288" t="s">
        <v>355</v>
      </c>
      <c r="J404" s="288" t="s">
        <v>356</v>
      </c>
      <c r="K404" s="288" t="s">
        <v>356</v>
      </c>
      <c r="L404" s="288" t="s">
        <v>356</v>
      </c>
      <c r="M404" s="288">
        <v>5</v>
      </c>
      <c r="N404" s="288" t="s">
        <v>911</v>
      </c>
      <c r="O404" s="288" t="s">
        <v>364</v>
      </c>
      <c r="P404" s="288" t="s">
        <v>353</v>
      </c>
      <c r="Q404" s="501" t="s">
        <v>1018</v>
      </c>
      <c r="R404" s="345"/>
      <c r="S404" s="345"/>
      <c r="T404" s="345"/>
      <c r="U404" s="345">
        <v>4</v>
      </c>
      <c r="V404" s="345" t="s">
        <v>974</v>
      </c>
      <c r="W404" s="541"/>
      <c r="X404" s="345" t="s">
        <v>1018</v>
      </c>
      <c r="Y404" s="541"/>
      <c r="Z404" s="541"/>
      <c r="AA404" s="541"/>
      <c r="AB404" s="541"/>
      <c r="AC404" s="541"/>
      <c r="AD404" s="288" t="s">
        <v>347</v>
      </c>
      <c r="AE404" s="541"/>
      <c r="AF404" s="541"/>
      <c r="AG404" s="542" t="s">
        <v>1200</v>
      </c>
      <c r="AH404" s="541"/>
      <c r="AI404" s="345" t="s">
        <v>1201</v>
      </c>
      <c r="AJ404" s="345"/>
      <c r="AK404" s="345" t="s">
        <v>1203</v>
      </c>
      <c r="AL404" s="345" t="s">
        <v>1207</v>
      </c>
      <c r="AM404" s="345" t="s">
        <v>1208</v>
      </c>
      <c r="AN404" s="345" t="s">
        <v>1209</v>
      </c>
      <c r="AO404" s="345"/>
      <c r="AP404" s="345" t="s">
        <v>1212</v>
      </c>
      <c r="AQ404" s="345"/>
      <c r="AR404" s="345" t="s">
        <v>1210</v>
      </c>
      <c r="AS404" s="345" t="s">
        <v>1211</v>
      </c>
      <c r="AT404" s="541"/>
      <c r="AU404" s="448"/>
      <c r="AV404" s="448"/>
      <c r="AW404" s="448"/>
      <c r="AX404" s="448"/>
      <c r="AY404" s="345" t="s">
        <v>1018</v>
      </c>
      <c r="AZ404" s="288">
        <v>0</v>
      </c>
      <c r="BA404" s="288">
        <v>0</v>
      </c>
      <c r="BB404" s="499">
        <v>1</v>
      </c>
      <c r="BC404" s="288">
        <v>0</v>
      </c>
      <c r="BD404" s="288">
        <v>0</v>
      </c>
      <c r="BE404" s="288">
        <v>0</v>
      </c>
      <c r="BF404" s="288">
        <v>0</v>
      </c>
      <c r="BG404" s="448"/>
      <c r="BH404" s="448"/>
      <c r="BI404" s="345" t="s">
        <v>1018</v>
      </c>
      <c r="BJ404" s="499"/>
      <c r="BK404" s="499"/>
      <c r="BL404" s="345" t="s">
        <v>1018</v>
      </c>
      <c r="BM404" s="499"/>
      <c r="BN404" s="499"/>
      <c r="BO404" s="499"/>
    </row>
    <row r="405" spans="1:67" ht="14.5" outlineLevel="1" x14ac:dyDescent="0.35">
      <c r="A405" s="316"/>
      <c r="B405" s="129">
        <v>57</v>
      </c>
      <c r="C405" s="434" t="s">
        <v>881</v>
      </c>
      <c r="D405" s="340" t="s">
        <v>242</v>
      </c>
      <c r="E405" s="340" t="s">
        <v>241</v>
      </c>
      <c r="F405" s="288">
        <v>404.31</v>
      </c>
      <c r="G405" s="435">
        <v>469</v>
      </c>
      <c r="H405" s="541"/>
      <c r="I405" s="541"/>
      <c r="J405" s="541"/>
      <c r="K405" s="541"/>
      <c r="L405" s="541"/>
      <c r="M405" s="541"/>
      <c r="N405" s="541"/>
      <c r="O405" s="288" t="s">
        <v>353</v>
      </c>
      <c r="P405" s="288" t="s">
        <v>360</v>
      </c>
      <c r="Q405" s="501" t="s">
        <v>1018</v>
      </c>
      <c r="R405" s="345"/>
      <c r="S405" s="345"/>
      <c r="T405" s="345"/>
      <c r="U405" s="345">
        <v>1</v>
      </c>
      <c r="V405" s="345" t="s">
        <v>974</v>
      </c>
      <c r="W405" s="541"/>
      <c r="X405" s="345" t="s">
        <v>1018</v>
      </c>
      <c r="Y405" s="541"/>
      <c r="Z405" s="541"/>
      <c r="AA405" s="541"/>
      <c r="AB405" s="541"/>
      <c r="AC405" s="541"/>
      <c r="AD405" s="288" t="s">
        <v>347</v>
      </c>
      <c r="AE405" s="541"/>
      <c r="AF405" s="541"/>
      <c r="AG405" s="542" t="s">
        <v>1200</v>
      </c>
      <c r="AH405" s="541"/>
      <c r="AI405" s="345" t="s">
        <v>1201</v>
      </c>
      <c r="AJ405" s="345"/>
      <c r="AK405" s="345" t="s">
        <v>1203</v>
      </c>
      <c r="AL405" s="541"/>
      <c r="AM405" s="541"/>
      <c r="AN405" s="345"/>
      <c r="AO405" s="345"/>
      <c r="AP405" s="345"/>
      <c r="AQ405" s="345"/>
      <c r="AR405" s="345"/>
      <c r="AS405" s="345"/>
      <c r="AT405" s="541"/>
      <c r="AU405" s="448"/>
      <c r="AV405" s="448"/>
      <c r="AW405" s="448"/>
      <c r="AX405" s="448"/>
      <c r="AY405" s="345" t="s">
        <v>1018</v>
      </c>
      <c r="AZ405" s="499">
        <v>1</v>
      </c>
      <c r="BA405" s="288">
        <v>0</v>
      </c>
      <c r="BB405" s="288">
        <v>0</v>
      </c>
      <c r="BC405" s="288">
        <v>0</v>
      </c>
      <c r="BD405" s="288">
        <v>0</v>
      </c>
      <c r="BE405" s="288">
        <v>0</v>
      </c>
      <c r="BF405" s="288">
        <v>0</v>
      </c>
      <c r="BG405" s="448"/>
      <c r="BH405" s="448"/>
      <c r="BI405" s="345" t="s">
        <v>1018</v>
      </c>
      <c r="BJ405" s="499"/>
      <c r="BK405" s="499"/>
      <c r="BL405" s="345" t="s">
        <v>1018</v>
      </c>
      <c r="BM405" s="499"/>
      <c r="BN405" s="499"/>
      <c r="BO405" s="499"/>
    </row>
    <row r="406" spans="1:67" ht="14.5" outlineLevel="1" x14ac:dyDescent="0.35">
      <c r="A406" s="316"/>
      <c r="B406" s="129">
        <v>58</v>
      </c>
      <c r="C406" s="434" t="s">
        <v>882</v>
      </c>
      <c r="D406" s="340" t="s">
        <v>242</v>
      </c>
      <c r="E406" s="340" t="s">
        <v>241</v>
      </c>
      <c r="F406" s="288">
        <v>453.45</v>
      </c>
      <c r="G406" s="435">
        <v>526</v>
      </c>
      <c r="H406" s="541"/>
      <c r="I406" s="541"/>
      <c r="J406" s="541"/>
      <c r="K406" s="541"/>
      <c r="L406" s="541"/>
      <c r="M406" s="541"/>
      <c r="N406" s="541"/>
      <c r="O406" s="288" t="s">
        <v>353</v>
      </c>
      <c r="P406" s="288" t="s">
        <v>360</v>
      </c>
      <c r="Q406" s="501" t="s">
        <v>1018</v>
      </c>
      <c r="R406" s="345"/>
      <c r="S406" s="345"/>
      <c r="T406" s="345"/>
      <c r="U406" s="345">
        <v>2</v>
      </c>
      <c r="V406" s="345" t="s">
        <v>974</v>
      </c>
      <c r="W406" s="541"/>
      <c r="X406" s="345" t="s">
        <v>1018</v>
      </c>
      <c r="Y406" s="541"/>
      <c r="Z406" s="541"/>
      <c r="AA406" s="541"/>
      <c r="AB406" s="541"/>
      <c r="AC406" s="541"/>
      <c r="AD406" s="288" t="s">
        <v>347</v>
      </c>
      <c r="AE406" s="541"/>
      <c r="AF406" s="541"/>
      <c r="AG406" s="542" t="s">
        <v>1200</v>
      </c>
      <c r="AH406" s="541"/>
      <c r="AI406" s="345" t="s">
        <v>1201</v>
      </c>
      <c r="AJ406" s="345"/>
      <c r="AK406" s="345" t="s">
        <v>1203</v>
      </c>
      <c r="AL406" s="541"/>
      <c r="AM406" s="541"/>
      <c r="AN406" s="345"/>
      <c r="AO406" s="345"/>
      <c r="AP406" s="345"/>
      <c r="AQ406" s="345"/>
      <c r="AR406" s="345"/>
      <c r="AS406" s="345"/>
      <c r="AT406" s="541"/>
      <c r="AU406" s="448"/>
      <c r="AV406" s="448"/>
      <c r="AW406" s="448"/>
      <c r="AX406" s="448"/>
      <c r="AY406" s="345" t="s">
        <v>1018</v>
      </c>
      <c r="AZ406" s="288">
        <v>0</v>
      </c>
      <c r="BA406" s="499">
        <v>1</v>
      </c>
      <c r="BB406" s="288">
        <v>0</v>
      </c>
      <c r="BC406" s="288">
        <v>0</v>
      </c>
      <c r="BD406" s="288">
        <v>0</v>
      </c>
      <c r="BE406" s="288">
        <v>0</v>
      </c>
      <c r="BF406" s="288">
        <v>0</v>
      </c>
      <c r="BG406" s="448"/>
      <c r="BH406" s="448"/>
      <c r="BI406" s="345" t="s">
        <v>1018</v>
      </c>
      <c r="BJ406" s="499"/>
      <c r="BK406" s="499"/>
      <c r="BL406" s="345" t="s">
        <v>1018</v>
      </c>
      <c r="BM406" s="499"/>
      <c r="BN406" s="499"/>
      <c r="BO406" s="499"/>
    </row>
    <row r="407" spans="1:67" ht="14.5" outlineLevel="1" x14ac:dyDescent="0.35">
      <c r="A407" s="316"/>
      <c r="B407" s="129">
        <v>59</v>
      </c>
      <c r="C407" s="434" t="s">
        <v>883</v>
      </c>
      <c r="D407" s="340" t="s">
        <v>242</v>
      </c>
      <c r="E407" s="340" t="s">
        <v>241</v>
      </c>
      <c r="F407" s="288">
        <v>513.79</v>
      </c>
      <c r="G407" s="435">
        <v>596</v>
      </c>
      <c r="H407" s="541"/>
      <c r="I407" s="541"/>
      <c r="J407" s="541"/>
      <c r="K407" s="541"/>
      <c r="L407" s="541"/>
      <c r="M407" s="541"/>
      <c r="N407" s="541"/>
      <c r="O407" s="288" t="s">
        <v>353</v>
      </c>
      <c r="P407" s="288" t="s">
        <v>360</v>
      </c>
      <c r="Q407" s="501" t="s">
        <v>1018</v>
      </c>
      <c r="R407" s="345"/>
      <c r="S407" s="345"/>
      <c r="T407" s="345"/>
      <c r="U407" s="345">
        <v>4</v>
      </c>
      <c r="V407" s="345" t="s">
        <v>974</v>
      </c>
      <c r="W407" s="541"/>
      <c r="X407" s="345" t="s">
        <v>1018</v>
      </c>
      <c r="Y407" s="541"/>
      <c r="Z407" s="541"/>
      <c r="AA407" s="541"/>
      <c r="AB407" s="541"/>
      <c r="AC407" s="541"/>
      <c r="AD407" s="288" t="s">
        <v>347</v>
      </c>
      <c r="AE407" s="541"/>
      <c r="AF407" s="541"/>
      <c r="AG407" s="542" t="s">
        <v>1200</v>
      </c>
      <c r="AH407" s="541"/>
      <c r="AI407" s="345" t="s">
        <v>1201</v>
      </c>
      <c r="AJ407" s="345"/>
      <c r="AK407" s="345" t="s">
        <v>1203</v>
      </c>
      <c r="AL407" s="541"/>
      <c r="AM407" s="541"/>
      <c r="AN407" s="345"/>
      <c r="AO407" s="345"/>
      <c r="AP407" s="345"/>
      <c r="AQ407" s="345"/>
      <c r="AR407" s="345"/>
      <c r="AS407" s="345"/>
      <c r="AT407" s="541"/>
      <c r="AU407" s="448"/>
      <c r="AV407" s="448"/>
      <c r="AW407" s="448"/>
      <c r="AX407" s="448"/>
      <c r="AY407" s="345" t="s">
        <v>1018</v>
      </c>
      <c r="AZ407" s="288">
        <v>0</v>
      </c>
      <c r="BA407" s="288">
        <v>0</v>
      </c>
      <c r="BB407" s="499">
        <v>1</v>
      </c>
      <c r="BC407" s="288">
        <v>0</v>
      </c>
      <c r="BD407" s="288">
        <v>0</v>
      </c>
      <c r="BE407" s="288">
        <v>0</v>
      </c>
      <c r="BF407" s="288">
        <v>0</v>
      </c>
      <c r="BG407" s="448"/>
      <c r="BH407" s="448"/>
      <c r="BI407" s="345" t="s">
        <v>1018</v>
      </c>
      <c r="BJ407" s="499"/>
      <c r="BK407" s="499"/>
      <c r="BL407" s="345" t="s">
        <v>1018</v>
      </c>
      <c r="BM407" s="499"/>
      <c r="BN407" s="499"/>
      <c r="BO407" s="499"/>
    </row>
    <row r="408" spans="1:67" ht="14.5" outlineLevel="1" x14ac:dyDescent="0.35">
      <c r="A408" s="316"/>
      <c r="B408" s="129">
        <v>60</v>
      </c>
      <c r="C408" s="434" t="s">
        <v>884</v>
      </c>
      <c r="D408" s="340" t="s">
        <v>242</v>
      </c>
      <c r="E408" s="340" t="s">
        <v>241</v>
      </c>
      <c r="F408" s="288">
        <v>491.38</v>
      </c>
      <c r="G408" s="435">
        <v>570</v>
      </c>
      <c r="H408" s="541"/>
      <c r="I408" s="541"/>
      <c r="J408" s="541"/>
      <c r="K408" s="541"/>
      <c r="L408" s="541"/>
      <c r="M408" s="541"/>
      <c r="N408" s="541"/>
      <c r="O408" s="288" t="s">
        <v>362</v>
      </c>
      <c r="P408" s="288" t="s">
        <v>360</v>
      </c>
      <c r="Q408" s="501" t="s">
        <v>1018</v>
      </c>
      <c r="R408" s="345"/>
      <c r="S408" s="345"/>
      <c r="T408" s="345"/>
      <c r="U408" s="345">
        <v>2</v>
      </c>
      <c r="V408" s="345" t="s">
        <v>974</v>
      </c>
      <c r="W408" s="541"/>
      <c r="X408" s="345" t="s">
        <v>1018</v>
      </c>
      <c r="Y408" s="541"/>
      <c r="Z408" s="541"/>
      <c r="AA408" s="541"/>
      <c r="AB408" s="541"/>
      <c r="AC408" s="541"/>
      <c r="AD408" s="288" t="s">
        <v>347</v>
      </c>
      <c r="AE408" s="541"/>
      <c r="AF408" s="541"/>
      <c r="AG408" s="542" t="s">
        <v>1200</v>
      </c>
      <c r="AH408" s="541"/>
      <c r="AI408" s="345" t="s">
        <v>1201</v>
      </c>
      <c r="AJ408" s="345"/>
      <c r="AK408" s="345" t="s">
        <v>1203</v>
      </c>
      <c r="AL408" s="541"/>
      <c r="AM408" s="541"/>
      <c r="AN408" s="345"/>
      <c r="AO408" s="345"/>
      <c r="AP408" s="345"/>
      <c r="AQ408" s="345"/>
      <c r="AR408" s="345"/>
      <c r="AS408" s="345"/>
      <c r="AT408" s="541"/>
      <c r="AU408" s="448"/>
      <c r="AV408" s="448"/>
      <c r="AW408" s="448"/>
      <c r="AX408" s="448"/>
      <c r="AY408" s="345" t="s">
        <v>1018</v>
      </c>
      <c r="AZ408" s="288">
        <v>0</v>
      </c>
      <c r="BA408" s="499">
        <v>1</v>
      </c>
      <c r="BB408" s="288">
        <v>0</v>
      </c>
      <c r="BC408" s="288">
        <v>0</v>
      </c>
      <c r="BD408" s="288">
        <v>0</v>
      </c>
      <c r="BE408" s="288">
        <v>0</v>
      </c>
      <c r="BF408" s="288">
        <v>0</v>
      </c>
      <c r="BG408" s="448"/>
      <c r="BH408" s="448"/>
      <c r="BI408" s="345" t="s">
        <v>1018</v>
      </c>
      <c r="BJ408" s="499"/>
      <c r="BK408" s="499"/>
      <c r="BL408" s="345" t="s">
        <v>1018</v>
      </c>
      <c r="BM408" s="499"/>
      <c r="BN408" s="499"/>
      <c r="BO408" s="499"/>
    </row>
    <row r="409" spans="1:67" ht="14.5" outlineLevel="1" x14ac:dyDescent="0.35">
      <c r="A409" s="316"/>
      <c r="B409" s="129">
        <v>61</v>
      </c>
      <c r="C409" s="434" t="s">
        <v>885</v>
      </c>
      <c r="D409" s="340" t="s">
        <v>242</v>
      </c>
      <c r="E409" s="340" t="s">
        <v>241</v>
      </c>
      <c r="F409" s="288">
        <v>551.72</v>
      </c>
      <c r="G409" s="435">
        <v>640</v>
      </c>
      <c r="H409" s="541"/>
      <c r="I409" s="541"/>
      <c r="J409" s="541"/>
      <c r="K409" s="541"/>
      <c r="L409" s="541"/>
      <c r="M409" s="541"/>
      <c r="N409" s="541"/>
      <c r="O409" s="288" t="s">
        <v>362</v>
      </c>
      <c r="P409" s="288" t="s">
        <v>360</v>
      </c>
      <c r="Q409" s="501" t="s">
        <v>1018</v>
      </c>
      <c r="R409" s="345"/>
      <c r="S409" s="345"/>
      <c r="T409" s="345"/>
      <c r="U409" s="345">
        <v>4</v>
      </c>
      <c r="V409" s="345" t="s">
        <v>974</v>
      </c>
      <c r="W409" s="541"/>
      <c r="X409" s="345" t="s">
        <v>1018</v>
      </c>
      <c r="Y409" s="541"/>
      <c r="Z409" s="541"/>
      <c r="AA409" s="541"/>
      <c r="AB409" s="541"/>
      <c r="AC409" s="541"/>
      <c r="AD409" s="288" t="s">
        <v>347</v>
      </c>
      <c r="AE409" s="541"/>
      <c r="AF409" s="541"/>
      <c r="AG409" s="542" t="s">
        <v>1200</v>
      </c>
      <c r="AH409" s="541"/>
      <c r="AI409" s="345" t="s">
        <v>1201</v>
      </c>
      <c r="AJ409" s="345"/>
      <c r="AK409" s="345" t="s">
        <v>1203</v>
      </c>
      <c r="AL409" s="541"/>
      <c r="AM409" s="541"/>
      <c r="AN409" s="345"/>
      <c r="AO409" s="345"/>
      <c r="AP409" s="345"/>
      <c r="AQ409" s="345"/>
      <c r="AR409" s="345"/>
      <c r="AS409" s="345"/>
      <c r="AT409" s="541"/>
      <c r="AU409" s="448"/>
      <c r="AV409" s="448"/>
      <c r="AW409" s="448"/>
      <c r="AX409" s="448"/>
      <c r="AY409" s="345" t="s">
        <v>1018</v>
      </c>
      <c r="AZ409" s="288">
        <v>0</v>
      </c>
      <c r="BA409" s="288">
        <v>0</v>
      </c>
      <c r="BB409" s="499">
        <v>1</v>
      </c>
      <c r="BC409" s="288">
        <v>0</v>
      </c>
      <c r="BD409" s="288">
        <v>0</v>
      </c>
      <c r="BE409" s="288">
        <v>0</v>
      </c>
      <c r="BF409" s="288">
        <v>0</v>
      </c>
      <c r="BG409" s="448"/>
      <c r="BH409" s="448"/>
      <c r="BI409" s="345" t="s">
        <v>1018</v>
      </c>
      <c r="BJ409" s="499"/>
      <c r="BK409" s="499"/>
      <c r="BL409" s="345" t="s">
        <v>1018</v>
      </c>
      <c r="BM409" s="499"/>
      <c r="BN409" s="499"/>
      <c r="BO409" s="499"/>
    </row>
    <row r="410" spans="1:67" ht="14.5" x14ac:dyDescent="0.35">
      <c r="A410" s="316"/>
      <c r="B410" s="129">
        <v>62</v>
      </c>
      <c r="C410" s="434" t="s">
        <v>886</v>
      </c>
      <c r="D410" s="340" t="s">
        <v>242</v>
      </c>
      <c r="E410" s="340" t="s">
        <v>241</v>
      </c>
      <c r="F410" s="288">
        <v>658.62</v>
      </c>
      <c r="G410" s="435">
        <v>764</v>
      </c>
      <c r="H410" s="541"/>
      <c r="I410" s="541"/>
      <c r="J410" s="541"/>
      <c r="K410" s="541"/>
      <c r="L410" s="541"/>
      <c r="M410" s="541"/>
      <c r="N410" s="541"/>
      <c r="O410" s="288" t="s">
        <v>364</v>
      </c>
      <c r="P410" s="288" t="s">
        <v>353</v>
      </c>
      <c r="Q410" s="501" t="s">
        <v>1018</v>
      </c>
      <c r="R410" s="345"/>
      <c r="S410" s="345"/>
      <c r="T410" s="345"/>
      <c r="U410" s="345">
        <v>4</v>
      </c>
      <c r="V410" s="345" t="s">
        <v>974</v>
      </c>
      <c r="W410" s="541"/>
      <c r="X410" s="345" t="s">
        <v>1018</v>
      </c>
      <c r="Y410" s="541"/>
      <c r="Z410" s="541"/>
      <c r="AA410" s="541"/>
      <c r="AB410" s="541"/>
      <c r="AC410" s="541"/>
      <c r="AD410" s="288" t="s">
        <v>347</v>
      </c>
      <c r="AE410" s="541"/>
      <c r="AF410" s="541"/>
      <c r="AG410" s="542" t="s">
        <v>1200</v>
      </c>
      <c r="AH410" s="541"/>
      <c r="AI410" s="345" t="s">
        <v>1201</v>
      </c>
      <c r="AJ410" s="345"/>
      <c r="AK410" s="345" t="s">
        <v>1203</v>
      </c>
      <c r="AL410" s="541"/>
      <c r="AM410" s="541"/>
      <c r="AN410" s="345"/>
      <c r="AO410" s="345"/>
      <c r="AP410" s="345"/>
      <c r="AQ410" s="345"/>
      <c r="AR410" s="345"/>
      <c r="AS410" s="345"/>
      <c r="AT410" s="541"/>
      <c r="AU410" s="448"/>
      <c r="AV410" s="448"/>
      <c r="AW410" s="448"/>
      <c r="AX410" s="448"/>
      <c r="AY410" s="345" t="s">
        <v>1018</v>
      </c>
      <c r="AZ410" s="288">
        <v>0</v>
      </c>
      <c r="BA410" s="288">
        <v>0</v>
      </c>
      <c r="BB410" s="499">
        <v>1</v>
      </c>
      <c r="BC410" s="288">
        <v>0</v>
      </c>
      <c r="BD410" s="288">
        <v>0</v>
      </c>
      <c r="BE410" s="288">
        <v>0</v>
      </c>
      <c r="BF410" s="288">
        <v>0</v>
      </c>
      <c r="BG410" s="448"/>
      <c r="BH410" s="448"/>
      <c r="BI410" s="345" t="s">
        <v>1018</v>
      </c>
      <c r="BJ410" s="499"/>
      <c r="BK410" s="499"/>
      <c r="BL410" s="345" t="s">
        <v>1018</v>
      </c>
      <c r="BM410" s="499"/>
      <c r="BN410" s="499"/>
      <c r="BO410" s="499"/>
    </row>
    <row r="411" spans="1:67" ht="14.5" x14ac:dyDescent="0.35">
      <c r="A411" s="316"/>
      <c r="B411" s="129">
        <v>63</v>
      </c>
      <c r="C411" s="434" t="s">
        <v>887</v>
      </c>
      <c r="D411" s="340" t="s">
        <v>242</v>
      </c>
      <c r="E411" s="340" t="s">
        <v>241</v>
      </c>
      <c r="F411" s="288">
        <v>617.25</v>
      </c>
      <c r="G411" s="435">
        <v>716</v>
      </c>
      <c r="H411" s="541"/>
      <c r="I411" s="541"/>
      <c r="J411" s="541"/>
      <c r="K411" s="541"/>
      <c r="L411" s="541"/>
      <c r="M411" s="541"/>
      <c r="N411" s="541"/>
      <c r="O411" s="288" t="s">
        <v>364</v>
      </c>
      <c r="P411" s="288" t="s">
        <v>353</v>
      </c>
      <c r="Q411" s="501" t="s">
        <v>1018</v>
      </c>
      <c r="R411" s="345"/>
      <c r="S411" s="345"/>
      <c r="T411" s="345"/>
      <c r="U411" s="345">
        <v>2</v>
      </c>
      <c r="V411" s="345" t="s">
        <v>974</v>
      </c>
      <c r="W411" s="541"/>
      <c r="X411" s="345" t="s">
        <v>1018</v>
      </c>
      <c r="Y411" s="541"/>
      <c r="Z411" s="541"/>
      <c r="AA411" s="541"/>
      <c r="AB411" s="541"/>
      <c r="AC411" s="541"/>
      <c r="AD411" s="345" t="s">
        <v>347</v>
      </c>
      <c r="AE411" s="541"/>
      <c r="AF411" s="541"/>
      <c r="AG411" s="542" t="s">
        <v>1200</v>
      </c>
      <c r="AH411" s="541"/>
      <c r="AI411" s="345" t="s">
        <v>1201</v>
      </c>
      <c r="AJ411" s="345"/>
      <c r="AK411" s="345" t="s">
        <v>1203</v>
      </c>
      <c r="AL411" s="541"/>
      <c r="AM411" s="541"/>
      <c r="AN411" s="345"/>
      <c r="AO411" s="345"/>
      <c r="AP411" s="345"/>
      <c r="AQ411" s="345"/>
      <c r="AR411" s="345"/>
      <c r="AS411" s="345"/>
      <c r="AT411" s="541"/>
      <c r="AU411" s="448"/>
      <c r="AV411" s="448"/>
      <c r="AW411" s="448"/>
      <c r="AX411" s="448"/>
      <c r="AY411" s="345" t="s">
        <v>1018</v>
      </c>
      <c r="AZ411" s="288">
        <v>0</v>
      </c>
      <c r="BA411" s="499">
        <v>1</v>
      </c>
      <c r="BB411" s="288">
        <v>0</v>
      </c>
      <c r="BC411" s="288">
        <v>0</v>
      </c>
      <c r="BD411" s="288">
        <v>0</v>
      </c>
      <c r="BE411" s="288">
        <v>0</v>
      </c>
      <c r="BF411" s="288">
        <v>0</v>
      </c>
      <c r="BG411" s="448"/>
      <c r="BH411" s="448"/>
      <c r="BI411" s="345" t="s">
        <v>1018</v>
      </c>
      <c r="BJ411" s="499"/>
      <c r="BK411" s="499"/>
      <c r="BL411" s="345" t="s">
        <v>1018</v>
      </c>
      <c r="BM411" s="499"/>
      <c r="BN411" s="499"/>
      <c r="BO411" s="499"/>
    </row>
    <row r="412" spans="1:67" ht="14.5" x14ac:dyDescent="0.35">
      <c r="A412" s="316"/>
      <c r="B412" s="129">
        <v>64</v>
      </c>
      <c r="C412" s="434" t="s">
        <v>888</v>
      </c>
      <c r="D412" s="340" t="s">
        <v>242</v>
      </c>
      <c r="E412" s="340" t="s">
        <v>241</v>
      </c>
      <c r="F412" s="288">
        <v>936.21</v>
      </c>
      <c r="G412" s="435">
        <v>1086</v>
      </c>
      <c r="H412" s="541"/>
      <c r="I412" s="541"/>
      <c r="J412" s="541"/>
      <c r="K412" s="541"/>
      <c r="L412" s="541"/>
      <c r="M412" s="541"/>
      <c r="N412" s="541"/>
      <c r="O412" s="288" t="s">
        <v>359</v>
      </c>
      <c r="P412" s="288" t="s">
        <v>354</v>
      </c>
      <c r="Q412" s="501" t="s">
        <v>1018</v>
      </c>
      <c r="R412" s="345"/>
      <c r="S412" s="345"/>
      <c r="T412" s="345"/>
      <c r="U412" s="345">
        <v>4</v>
      </c>
      <c r="V412" s="345" t="s">
        <v>974</v>
      </c>
      <c r="W412" s="541"/>
      <c r="X412" s="345" t="s">
        <v>1018</v>
      </c>
      <c r="Y412" s="541"/>
      <c r="Z412" s="541"/>
      <c r="AA412" s="541"/>
      <c r="AB412" s="541"/>
      <c r="AC412" s="541"/>
      <c r="AD412" s="288" t="s">
        <v>347</v>
      </c>
      <c r="AE412" s="541"/>
      <c r="AF412" s="541"/>
      <c r="AG412" s="542" t="s">
        <v>1200</v>
      </c>
      <c r="AH412" s="541"/>
      <c r="AI412" s="345" t="s">
        <v>1201</v>
      </c>
      <c r="AJ412" s="345"/>
      <c r="AK412" s="345" t="s">
        <v>1203</v>
      </c>
      <c r="AL412" s="541"/>
      <c r="AM412" s="541"/>
      <c r="AN412" s="345"/>
      <c r="AO412" s="345"/>
      <c r="AP412" s="345"/>
      <c r="AQ412" s="345"/>
      <c r="AR412" s="345"/>
      <c r="AS412" s="345"/>
      <c r="AT412" s="541"/>
      <c r="AU412" s="448"/>
      <c r="AV412" s="448"/>
      <c r="AW412" s="448"/>
      <c r="AX412" s="448"/>
      <c r="AY412" s="345" t="s">
        <v>1018</v>
      </c>
      <c r="AZ412" s="288">
        <v>0</v>
      </c>
      <c r="BA412" s="288">
        <v>0</v>
      </c>
      <c r="BB412" s="499">
        <v>1</v>
      </c>
      <c r="BC412" s="288">
        <v>0</v>
      </c>
      <c r="BD412" s="288">
        <v>0</v>
      </c>
      <c r="BE412" s="288">
        <v>0</v>
      </c>
      <c r="BF412" s="288">
        <v>0</v>
      </c>
      <c r="BG412" s="448"/>
      <c r="BH412" s="448"/>
      <c r="BI412" s="345" t="s">
        <v>1018</v>
      </c>
      <c r="BJ412" s="499"/>
      <c r="BK412" s="499"/>
      <c r="BL412" s="345" t="s">
        <v>1018</v>
      </c>
      <c r="BM412" s="499"/>
      <c r="BN412" s="499"/>
      <c r="BO412" s="499"/>
    </row>
    <row r="413" spans="1:67" ht="14.5" x14ac:dyDescent="0.35">
      <c r="A413" s="316"/>
      <c r="B413" s="129">
        <v>65</v>
      </c>
      <c r="C413" s="434" t="s">
        <v>889</v>
      </c>
      <c r="D413" s="340" t="s">
        <v>242</v>
      </c>
      <c r="E413" s="340" t="s">
        <v>241</v>
      </c>
      <c r="F413" s="435">
        <v>900</v>
      </c>
      <c r="G413" s="435">
        <v>1044</v>
      </c>
      <c r="H413" s="541"/>
      <c r="I413" s="541"/>
      <c r="J413" s="541"/>
      <c r="K413" s="541"/>
      <c r="L413" s="541"/>
      <c r="M413" s="541"/>
      <c r="N413" s="541"/>
      <c r="O413" s="288" t="s">
        <v>359</v>
      </c>
      <c r="P413" s="288" t="s">
        <v>354</v>
      </c>
      <c r="Q413" s="501" t="s">
        <v>1018</v>
      </c>
      <c r="R413" s="345"/>
      <c r="S413" s="345"/>
      <c r="T413" s="345"/>
      <c r="U413" s="345">
        <v>2</v>
      </c>
      <c r="V413" s="345" t="s">
        <v>974</v>
      </c>
      <c r="W413" s="541"/>
      <c r="X413" s="345" t="s">
        <v>1018</v>
      </c>
      <c r="Y413" s="541"/>
      <c r="Z413" s="541"/>
      <c r="AA413" s="541"/>
      <c r="AB413" s="541"/>
      <c r="AC413" s="541"/>
      <c r="AD413" s="288" t="s">
        <v>347</v>
      </c>
      <c r="AE413" s="541"/>
      <c r="AF413" s="541"/>
      <c r="AG413" s="542" t="s">
        <v>1200</v>
      </c>
      <c r="AH413" s="541"/>
      <c r="AI413" s="345" t="s">
        <v>1201</v>
      </c>
      <c r="AJ413" s="345"/>
      <c r="AK413" s="345" t="s">
        <v>1203</v>
      </c>
      <c r="AL413" s="541"/>
      <c r="AM413" s="541"/>
      <c r="AN413" s="345"/>
      <c r="AO413" s="345"/>
      <c r="AP413" s="345"/>
      <c r="AQ413" s="345"/>
      <c r="AR413" s="345"/>
      <c r="AS413" s="345"/>
      <c r="AT413" s="541"/>
      <c r="AU413" s="448"/>
      <c r="AV413" s="448"/>
      <c r="AW413" s="448"/>
      <c r="AX413" s="448"/>
      <c r="AY413" s="345" t="s">
        <v>1018</v>
      </c>
      <c r="AZ413" s="288">
        <v>0</v>
      </c>
      <c r="BA413" s="499">
        <v>1</v>
      </c>
      <c r="BB413" s="288">
        <v>0</v>
      </c>
      <c r="BC413" s="288">
        <v>0</v>
      </c>
      <c r="BD413" s="288">
        <v>0</v>
      </c>
      <c r="BE413" s="288">
        <v>0</v>
      </c>
      <c r="BF413" s="288">
        <v>0</v>
      </c>
      <c r="BG413" s="448"/>
      <c r="BH413" s="448"/>
      <c r="BI413" s="345" t="s">
        <v>1018</v>
      </c>
      <c r="BJ413" s="499"/>
      <c r="BK413" s="499"/>
      <c r="BL413" s="345" t="s">
        <v>1018</v>
      </c>
      <c r="BM413" s="499"/>
      <c r="BN413" s="499"/>
      <c r="BO413" s="499"/>
    </row>
    <row r="414" spans="1:67" ht="14.5" x14ac:dyDescent="0.35">
      <c r="A414" s="316"/>
      <c r="B414" s="129">
        <v>66</v>
      </c>
      <c r="C414" s="434" t="s">
        <v>955</v>
      </c>
      <c r="D414" s="340" t="s">
        <v>240</v>
      </c>
      <c r="E414" s="340" t="s">
        <v>243</v>
      </c>
      <c r="F414" s="288">
        <v>367.29</v>
      </c>
      <c r="G414" s="435">
        <v>435</v>
      </c>
      <c r="H414" s="288">
        <v>1</v>
      </c>
      <c r="I414" s="288" t="s">
        <v>355</v>
      </c>
      <c r="J414" s="288" t="s">
        <v>355</v>
      </c>
      <c r="K414" s="288" t="s">
        <v>356</v>
      </c>
      <c r="L414" s="288" t="s">
        <v>356</v>
      </c>
      <c r="M414" s="288">
        <v>5</v>
      </c>
      <c r="N414" s="288" t="s">
        <v>911</v>
      </c>
      <c r="O414" s="288" t="s">
        <v>362</v>
      </c>
      <c r="P414" s="288" t="s">
        <v>360</v>
      </c>
      <c r="Q414" s="501" t="s">
        <v>1018</v>
      </c>
      <c r="R414" s="345"/>
      <c r="S414" s="345"/>
      <c r="T414" s="345"/>
      <c r="U414" s="541"/>
      <c r="V414" s="541"/>
      <c r="W414" s="541"/>
      <c r="X414" s="345" t="s">
        <v>1019</v>
      </c>
      <c r="Y414" s="288" t="s">
        <v>910</v>
      </c>
      <c r="Z414" s="288" t="s">
        <v>349</v>
      </c>
      <c r="AA414" s="541"/>
      <c r="AB414" s="541"/>
      <c r="AC414" s="541"/>
      <c r="AD414" s="288" t="s">
        <v>347</v>
      </c>
      <c r="AE414" s="541"/>
      <c r="AF414" s="288" t="s">
        <v>812</v>
      </c>
      <c r="AG414" s="288" t="s">
        <v>348</v>
      </c>
      <c r="AH414" s="541"/>
      <c r="AI414" s="288" t="s">
        <v>358</v>
      </c>
      <c r="AJ414" s="288" t="s">
        <v>350</v>
      </c>
      <c r="AK414" s="541"/>
      <c r="AL414" s="541"/>
      <c r="AM414" s="541"/>
      <c r="AN414" s="288"/>
      <c r="AO414" s="288"/>
      <c r="AP414" s="288"/>
      <c r="AQ414" s="288"/>
      <c r="AR414" s="288"/>
      <c r="AS414" s="288"/>
      <c r="AT414" s="541"/>
      <c r="AU414" s="448"/>
      <c r="AV414" s="448"/>
      <c r="AW414" s="448"/>
      <c r="AX414" s="448"/>
      <c r="AY414" s="345" t="s">
        <v>1019</v>
      </c>
      <c r="AZ414" s="288">
        <v>0</v>
      </c>
      <c r="BA414" s="288">
        <v>0</v>
      </c>
      <c r="BB414" s="288">
        <v>0</v>
      </c>
      <c r="BC414" s="288">
        <v>0</v>
      </c>
      <c r="BD414" s="499">
        <v>1</v>
      </c>
      <c r="BE414" s="499">
        <v>0</v>
      </c>
      <c r="BF414" s="499">
        <v>0</v>
      </c>
      <c r="BG414" s="448"/>
      <c r="BH414" s="448"/>
      <c r="BI414" s="345" t="s">
        <v>1018</v>
      </c>
      <c r="BJ414" s="499"/>
      <c r="BK414" s="499"/>
      <c r="BL414" s="345" t="s">
        <v>1018</v>
      </c>
      <c r="BM414" s="499"/>
      <c r="BN414" s="499"/>
      <c r="BO414" s="499"/>
    </row>
    <row r="415" spans="1:67" ht="14.5" x14ac:dyDescent="0.35">
      <c r="A415" s="316"/>
      <c r="B415" s="129">
        <v>67</v>
      </c>
      <c r="C415" s="434" t="s">
        <v>956</v>
      </c>
      <c r="D415" s="340" t="s">
        <v>240</v>
      </c>
      <c r="E415" s="340" t="s">
        <v>243</v>
      </c>
      <c r="F415" s="288">
        <v>388.4</v>
      </c>
      <c r="G415" s="435">
        <v>460</v>
      </c>
      <c r="H415" s="288">
        <v>1</v>
      </c>
      <c r="I415" s="288" t="s">
        <v>355</v>
      </c>
      <c r="J415" s="288" t="s">
        <v>355</v>
      </c>
      <c r="K415" s="288" t="s">
        <v>356</v>
      </c>
      <c r="L415" s="288" t="s">
        <v>356</v>
      </c>
      <c r="M415" s="288">
        <v>5</v>
      </c>
      <c r="N415" s="288" t="s">
        <v>911</v>
      </c>
      <c r="O415" s="288" t="s">
        <v>357</v>
      </c>
      <c r="P415" s="288" t="s">
        <v>912</v>
      </c>
      <c r="Q415" s="501" t="s">
        <v>1018</v>
      </c>
      <c r="R415" s="345"/>
      <c r="S415" s="345"/>
      <c r="T415" s="345"/>
      <c r="U415" s="541"/>
      <c r="V415" s="541"/>
      <c r="W415" s="541"/>
      <c r="X415" s="345" t="s">
        <v>1019</v>
      </c>
      <c r="Y415" s="288" t="s">
        <v>910</v>
      </c>
      <c r="Z415" s="288" t="s">
        <v>349</v>
      </c>
      <c r="AA415" s="541"/>
      <c r="AB415" s="541"/>
      <c r="AC415" s="541"/>
      <c r="AD415" s="288" t="s">
        <v>347</v>
      </c>
      <c r="AE415" s="541"/>
      <c r="AF415" s="288" t="s">
        <v>812</v>
      </c>
      <c r="AG415" s="288" t="s">
        <v>348</v>
      </c>
      <c r="AH415" s="541"/>
      <c r="AI415" s="288" t="s">
        <v>358</v>
      </c>
      <c r="AJ415" s="288" t="s">
        <v>350</v>
      </c>
      <c r="AK415" s="541"/>
      <c r="AL415" s="541"/>
      <c r="AM415" s="541"/>
      <c r="AN415" s="288"/>
      <c r="AO415" s="288"/>
      <c r="AP415" s="288"/>
      <c r="AQ415" s="288"/>
      <c r="AR415" s="288"/>
      <c r="AS415" s="288"/>
      <c r="AT415" s="541"/>
      <c r="AU415" s="448"/>
      <c r="AV415" s="448"/>
      <c r="AW415" s="448"/>
      <c r="AX415" s="448"/>
      <c r="AY415" s="345" t="s">
        <v>1019</v>
      </c>
      <c r="AZ415" s="288">
        <v>0</v>
      </c>
      <c r="BA415" s="288">
        <v>0</v>
      </c>
      <c r="BB415" s="288">
        <v>0</v>
      </c>
      <c r="BC415" s="288">
        <v>0</v>
      </c>
      <c r="BD415" s="499">
        <v>1</v>
      </c>
      <c r="BE415" s="499">
        <v>0</v>
      </c>
      <c r="BF415" s="499">
        <v>0</v>
      </c>
      <c r="BG415" s="448"/>
      <c r="BH415" s="448"/>
      <c r="BI415" s="345" t="s">
        <v>1018</v>
      </c>
      <c r="BJ415" s="499"/>
      <c r="BK415" s="499"/>
      <c r="BL415" s="345" t="s">
        <v>1018</v>
      </c>
      <c r="BM415" s="499"/>
      <c r="BN415" s="499"/>
      <c r="BO415" s="499"/>
    </row>
    <row r="416" spans="1:67" ht="14.5" x14ac:dyDescent="0.35">
      <c r="A416" s="316"/>
      <c r="B416" s="129">
        <v>68</v>
      </c>
      <c r="C416" s="434" t="s">
        <v>957</v>
      </c>
      <c r="D416" s="340" t="s">
        <v>240</v>
      </c>
      <c r="E416" s="340" t="s">
        <v>243</v>
      </c>
      <c r="F416" s="288">
        <v>463.54</v>
      </c>
      <c r="G416" s="435">
        <v>549</v>
      </c>
      <c r="H416" s="288">
        <v>1</v>
      </c>
      <c r="I416" s="288" t="s">
        <v>355</v>
      </c>
      <c r="J416" s="288" t="s">
        <v>355</v>
      </c>
      <c r="K416" s="288" t="s">
        <v>356</v>
      </c>
      <c r="L416" s="288" t="s">
        <v>356</v>
      </c>
      <c r="M416" s="288">
        <v>5</v>
      </c>
      <c r="N416" s="288" t="s">
        <v>911</v>
      </c>
      <c r="O416" s="288" t="s">
        <v>354</v>
      </c>
      <c r="P416" s="288" t="s">
        <v>346</v>
      </c>
      <c r="Q416" s="501" t="s">
        <v>1018</v>
      </c>
      <c r="R416" s="345"/>
      <c r="S416" s="345"/>
      <c r="T416" s="345"/>
      <c r="U416" s="541"/>
      <c r="V416" s="541"/>
      <c r="W416" s="541"/>
      <c r="X416" s="345" t="s">
        <v>1019</v>
      </c>
      <c r="Y416" s="288" t="s">
        <v>910</v>
      </c>
      <c r="Z416" s="288" t="s">
        <v>349</v>
      </c>
      <c r="AA416" s="541"/>
      <c r="AB416" s="541"/>
      <c r="AC416" s="541"/>
      <c r="AD416" s="288" t="s">
        <v>347</v>
      </c>
      <c r="AE416" s="541"/>
      <c r="AF416" s="288" t="s">
        <v>812</v>
      </c>
      <c r="AG416" s="288" t="s">
        <v>348</v>
      </c>
      <c r="AH416" s="541"/>
      <c r="AI416" s="288" t="s">
        <v>358</v>
      </c>
      <c r="AJ416" s="288" t="s">
        <v>350</v>
      </c>
      <c r="AK416" s="541"/>
      <c r="AL416" s="541"/>
      <c r="AM416" s="541"/>
      <c r="AN416" s="288"/>
      <c r="AO416" s="288"/>
      <c r="AP416" s="288"/>
      <c r="AQ416" s="288"/>
      <c r="AR416" s="288"/>
      <c r="AS416" s="288"/>
      <c r="AT416" s="541"/>
      <c r="AU416" s="448"/>
      <c r="AV416" s="448"/>
      <c r="AW416" s="448"/>
      <c r="AX416" s="448"/>
      <c r="AY416" s="345" t="s">
        <v>1019</v>
      </c>
      <c r="AZ416" s="288">
        <v>0</v>
      </c>
      <c r="BA416" s="288">
        <v>0</v>
      </c>
      <c r="BB416" s="288">
        <v>0</v>
      </c>
      <c r="BC416" s="288">
        <v>0</v>
      </c>
      <c r="BD416" s="499">
        <v>1</v>
      </c>
      <c r="BE416" s="499">
        <v>0</v>
      </c>
      <c r="BF416" s="499">
        <v>0</v>
      </c>
      <c r="BG416" s="448"/>
      <c r="BH416" s="448"/>
      <c r="BI416" s="345" t="s">
        <v>1018</v>
      </c>
      <c r="BJ416" s="499"/>
      <c r="BK416" s="499"/>
      <c r="BL416" s="345" t="s">
        <v>1018</v>
      </c>
      <c r="BM416" s="499"/>
      <c r="BN416" s="499"/>
      <c r="BO416" s="499"/>
    </row>
    <row r="417" spans="1:152" ht="14.5" x14ac:dyDescent="0.35">
      <c r="A417" s="316"/>
      <c r="B417" s="129">
        <v>69</v>
      </c>
      <c r="C417" s="434" t="s">
        <v>958</v>
      </c>
      <c r="D417" s="340" t="s">
        <v>240</v>
      </c>
      <c r="E417" s="340" t="s">
        <v>243</v>
      </c>
      <c r="F417" s="288">
        <v>607.08000000000004</v>
      </c>
      <c r="G417" s="435">
        <v>719</v>
      </c>
      <c r="H417" s="288">
        <v>2</v>
      </c>
      <c r="I417" s="288" t="s">
        <v>355</v>
      </c>
      <c r="J417" s="288" t="s">
        <v>355</v>
      </c>
      <c r="K417" s="288" t="s">
        <v>356</v>
      </c>
      <c r="L417" s="288" t="s">
        <v>356</v>
      </c>
      <c r="M417" s="288">
        <v>5</v>
      </c>
      <c r="N417" s="288" t="s">
        <v>911</v>
      </c>
      <c r="O417" s="288" t="s">
        <v>359</v>
      </c>
      <c r="P417" s="288" t="s">
        <v>354</v>
      </c>
      <c r="Q417" s="501" t="s">
        <v>1018</v>
      </c>
      <c r="R417" s="345"/>
      <c r="S417" s="345"/>
      <c r="T417" s="345"/>
      <c r="U417" s="541"/>
      <c r="V417" s="541"/>
      <c r="W417" s="541"/>
      <c r="X417" s="345" t="s">
        <v>1019</v>
      </c>
      <c r="Y417" s="288" t="s">
        <v>910</v>
      </c>
      <c r="Z417" s="288" t="s">
        <v>349</v>
      </c>
      <c r="AA417" s="541"/>
      <c r="AB417" s="541"/>
      <c r="AC417" s="541"/>
      <c r="AD417" s="288" t="s">
        <v>347</v>
      </c>
      <c r="AE417" s="541"/>
      <c r="AF417" s="288" t="s">
        <v>812</v>
      </c>
      <c r="AG417" s="288" t="s">
        <v>348</v>
      </c>
      <c r="AH417" s="541"/>
      <c r="AI417" s="288" t="s">
        <v>358</v>
      </c>
      <c r="AJ417" s="288" t="s">
        <v>350</v>
      </c>
      <c r="AK417" s="541"/>
      <c r="AL417" s="541"/>
      <c r="AM417" s="541"/>
      <c r="AN417" s="288"/>
      <c r="AO417" s="288"/>
      <c r="AP417" s="288"/>
      <c r="AQ417" s="288"/>
      <c r="AR417" s="288"/>
      <c r="AS417" s="288"/>
      <c r="AT417" s="541"/>
      <c r="AU417" s="448"/>
      <c r="AV417" s="448"/>
      <c r="AW417" s="448"/>
      <c r="AX417" s="448"/>
      <c r="AY417" s="345" t="s">
        <v>1019</v>
      </c>
      <c r="AZ417" s="288">
        <v>0</v>
      </c>
      <c r="BA417" s="288">
        <v>0</v>
      </c>
      <c r="BB417" s="288">
        <v>0</v>
      </c>
      <c r="BC417" s="288">
        <v>0</v>
      </c>
      <c r="BD417" s="499">
        <v>1</v>
      </c>
      <c r="BE417" s="499">
        <v>0</v>
      </c>
      <c r="BF417" s="499">
        <v>0</v>
      </c>
      <c r="BG417" s="448"/>
      <c r="BH417" s="448"/>
      <c r="BI417" s="345" t="s">
        <v>1018</v>
      </c>
      <c r="BJ417" s="499"/>
      <c r="BK417" s="499"/>
      <c r="BL417" s="345" t="s">
        <v>1018</v>
      </c>
      <c r="BM417" s="499"/>
      <c r="BN417" s="499"/>
      <c r="BO417" s="499"/>
    </row>
    <row r="418" spans="1:152" ht="14.5" x14ac:dyDescent="0.35">
      <c r="A418" s="316"/>
      <c r="B418" s="129">
        <v>70</v>
      </c>
      <c r="C418" s="434" t="s">
        <v>959</v>
      </c>
      <c r="D418" s="340" t="s">
        <v>240</v>
      </c>
      <c r="E418" s="340" t="s">
        <v>243</v>
      </c>
      <c r="F418" s="288">
        <v>1037.69</v>
      </c>
      <c r="G418" s="435">
        <v>1229</v>
      </c>
      <c r="H418" s="288">
        <v>3</v>
      </c>
      <c r="I418" s="288" t="s">
        <v>355</v>
      </c>
      <c r="J418" s="288" t="s">
        <v>355</v>
      </c>
      <c r="K418" s="288" t="s">
        <v>356</v>
      </c>
      <c r="L418" s="288" t="s">
        <v>356</v>
      </c>
      <c r="M418" s="288">
        <v>5</v>
      </c>
      <c r="N418" s="288" t="s">
        <v>911</v>
      </c>
      <c r="O418" s="288" t="s">
        <v>922</v>
      </c>
      <c r="P418" s="288" t="s">
        <v>354</v>
      </c>
      <c r="Q418" s="501" t="s">
        <v>1018</v>
      </c>
      <c r="R418" s="345"/>
      <c r="S418" s="345"/>
      <c r="T418" s="345"/>
      <c r="U418" s="541"/>
      <c r="V418" s="541"/>
      <c r="W418" s="541"/>
      <c r="X418" s="345" t="s">
        <v>1019</v>
      </c>
      <c r="Y418" s="288" t="s">
        <v>910</v>
      </c>
      <c r="Z418" s="288" t="s">
        <v>349</v>
      </c>
      <c r="AA418" s="541"/>
      <c r="AB418" s="541"/>
      <c r="AC418" s="541"/>
      <c r="AD418" s="288" t="s">
        <v>347</v>
      </c>
      <c r="AE418" s="541"/>
      <c r="AF418" s="288" t="s">
        <v>812</v>
      </c>
      <c r="AG418" s="288" t="s">
        <v>348</v>
      </c>
      <c r="AH418" s="541"/>
      <c r="AI418" s="288" t="s">
        <v>358</v>
      </c>
      <c r="AJ418" s="288" t="s">
        <v>350</v>
      </c>
      <c r="AK418" s="541"/>
      <c r="AL418" s="541"/>
      <c r="AM418" s="541"/>
      <c r="AN418" s="288"/>
      <c r="AO418" s="288"/>
      <c r="AP418" s="288"/>
      <c r="AQ418" s="288"/>
      <c r="AR418" s="288"/>
      <c r="AS418" s="288"/>
      <c r="AT418" s="541"/>
      <c r="AU418" s="448"/>
      <c r="AV418" s="448"/>
      <c r="AW418" s="448"/>
      <c r="AX418" s="448"/>
      <c r="AY418" s="345" t="s">
        <v>1019</v>
      </c>
      <c r="AZ418" s="288">
        <v>0</v>
      </c>
      <c r="BA418" s="288">
        <v>0</v>
      </c>
      <c r="BB418" s="288">
        <v>0</v>
      </c>
      <c r="BC418" s="288">
        <v>0</v>
      </c>
      <c r="BD418" s="499">
        <v>1</v>
      </c>
      <c r="BE418" s="499">
        <v>0</v>
      </c>
      <c r="BF418" s="499">
        <v>0</v>
      </c>
      <c r="BG418" s="448"/>
      <c r="BH418" s="448"/>
      <c r="BI418" s="345" t="s">
        <v>1018</v>
      </c>
      <c r="BJ418" s="499"/>
      <c r="BK418" s="499"/>
      <c r="BL418" s="345" t="s">
        <v>1018</v>
      </c>
      <c r="BM418" s="499"/>
      <c r="BN418" s="499"/>
      <c r="BO418" s="499"/>
    </row>
    <row r="419" spans="1:152" ht="14.5" x14ac:dyDescent="0.35">
      <c r="A419" s="316"/>
      <c r="B419" s="129">
        <v>71</v>
      </c>
      <c r="C419" s="434" t="s">
        <v>960</v>
      </c>
      <c r="D419" s="340" t="s">
        <v>240</v>
      </c>
      <c r="E419" s="340" t="s">
        <v>241</v>
      </c>
      <c r="F419" s="288">
        <v>322.41000000000003</v>
      </c>
      <c r="G419" s="435">
        <v>374</v>
      </c>
      <c r="H419" s="541"/>
      <c r="I419" s="541"/>
      <c r="J419" s="541"/>
      <c r="K419" s="541"/>
      <c r="L419" s="541"/>
      <c r="M419" s="541"/>
      <c r="N419" s="541"/>
      <c r="O419" s="288" t="s">
        <v>362</v>
      </c>
      <c r="P419" s="288" t="s">
        <v>360</v>
      </c>
      <c r="Q419" s="501" t="s">
        <v>1018</v>
      </c>
      <c r="R419" s="345"/>
      <c r="S419" s="345"/>
      <c r="T419" s="345"/>
      <c r="U419" s="541"/>
      <c r="V419" s="541"/>
      <c r="W419" s="541"/>
      <c r="X419" s="345" t="s">
        <v>1019</v>
      </c>
      <c r="Y419" s="288" t="s">
        <v>910</v>
      </c>
      <c r="Z419" s="288" t="s">
        <v>349</v>
      </c>
      <c r="AA419" s="541"/>
      <c r="AB419" s="541"/>
      <c r="AC419" s="541"/>
      <c r="AD419" s="288" t="s">
        <v>347</v>
      </c>
      <c r="AE419" s="541"/>
      <c r="AF419" s="288" t="s">
        <v>812</v>
      </c>
      <c r="AG419" s="288" t="s">
        <v>348</v>
      </c>
      <c r="AH419" s="541"/>
      <c r="AI419" s="288" t="s">
        <v>358</v>
      </c>
      <c r="AJ419" s="288" t="s">
        <v>350</v>
      </c>
      <c r="AK419" s="541"/>
      <c r="AL419" s="541"/>
      <c r="AM419" s="541"/>
      <c r="AN419" s="288"/>
      <c r="AO419" s="288"/>
      <c r="AP419" s="288"/>
      <c r="AQ419" s="288"/>
      <c r="AR419" s="288"/>
      <c r="AS419" s="288"/>
      <c r="AT419" s="541"/>
      <c r="AU419" s="448"/>
      <c r="AV419" s="448"/>
      <c r="AW419" s="448"/>
      <c r="AX419" s="448"/>
      <c r="AY419" s="345" t="s">
        <v>1019</v>
      </c>
      <c r="AZ419" s="288">
        <v>0</v>
      </c>
      <c r="BA419" s="288">
        <v>0</v>
      </c>
      <c r="BB419" s="288">
        <v>0</v>
      </c>
      <c r="BC419" s="288">
        <v>0</v>
      </c>
      <c r="BD419" s="499">
        <v>1</v>
      </c>
      <c r="BE419" s="499">
        <v>0</v>
      </c>
      <c r="BF419" s="499">
        <v>0</v>
      </c>
      <c r="BG419" s="448"/>
      <c r="BH419" s="448"/>
      <c r="BI419" s="345" t="s">
        <v>1018</v>
      </c>
      <c r="BJ419" s="499"/>
      <c r="BK419" s="499"/>
      <c r="BL419" s="345" t="s">
        <v>1018</v>
      </c>
      <c r="BM419" s="499"/>
      <c r="BN419" s="499"/>
      <c r="BO419" s="499"/>
    </row>
    <row r="420" spans="1:152" ht="14.5" x14ac:dyDescent="0.35">
      <c r="A420" s="316"/>
      <c r="B420" s="129">
        <v>72</v>
      </c>
      <c r="C420" s="434" t="s">
        <v>961</v>
      </c>
      <c r="D420" s="340" t="s">
        <v>240</v>
      </c>
      <c r="E420" s="340" t="s">
        <v>241</v>
      </c>
      <c r="F420" s="288">
        <v>365.52</v>
      </c>
      <c r="G420" s="435">
        <v>424</v>
      </c>
      <c r="H420" s="541"/>
      <c r="I420" s="541"/>
      <c r="J420" s="541"/>
      <c r="K420" s="541"/>
      <c r="L420" s="541"/>
      <c r="M420" s="541"/>
      <c r="N420" s="541"/>
      <c r="O420" s="288" t="s">
        <v>357</v>
      </c>
      <c r="P420" s="288" t="s">
        <v>912</v>
      </c>
      <c r="Q420" s="501" t="s">
        <v>1018</v>
      </c>
      <c r="R420" s="345"/>
      <c r="S420" s="345"/>
      <c r="T420" s="345"/>
      <c r="U420" s="541"/>
      <c r="V420" s="541"/>
      <c r="W420" s="541"/>
      <c r="X420" s="345" t="s">
        <v>1019</v>
      </c>
      <c r="Y420" s="288" t="s">
        <v>910</v>
      </c>
      <c r="Z420" s="288" t="s">
        <v>349</v>
      </c>
      <c r="AA420" s="541"/>
      <c r="AB420" s="541"/>
      <c r="AC420" s="541"/>
      <c r="AD420" s="288" t="s">
        <v>347</v>
      </c>
      <c r="AE420" s="541"/>
      <c r="AF420" s="288" t="s">
        <v>812</v>
      </c>
      <c r="AG420" s="288" t="s">
        <v>348</v>
      </c>
      <c r="AH420" s="541"/>
      <c r="AI420" s="288" t="s">
        <v>358</v>
      </c>
      <c r="AJ420" s="288" t="s">
        <v>350</v>
      </c>
      <c r="AK420" s="541"/>
      <c r="AL420" s="541"/>
      <c r="AM420" s="541"/>
      <c r="AN420" s="288"/>
      <c r="AO420" s="288"/>
      <c r="AP420" s="288"/>
      <c r="AQ420" s="288"/>
      <c r="AR420" s="288"/>
      <c r="AS420" s="288"/>
      <c r="AT420" s="541"/>
      <c r="AU420" s="448"/>
      <c r="AV420" s="448"/>
      <c r="AW420" s="448"/>
      <c r="AX420" s="448"/>
      <c r="AY420" s="345" t="s">
        <v>1019</v>
      </c>
      <c r="AZ420" s="288">
        <v>0</v>
      </c>
      <c r="BA420" s="288">
        <v>0</v>
      </c>
      <c r="BB420" s="288">
        <v>0</v>
      </c>
      <c r="BC420" s="288">
        <v>0</v>
      </c>
      <c r="BD420" s="499">
        <v>1</v>
      </c>
      <c r="BE420" s="499">
        <v>0</v>
      </c>
      <c r="BF420" s="499">
        <v>0</v>
      </c>
      <c r="BG420" s="448"/>
      <c r="BH420" s="448"/>
      <c r="BI420" s="345" t="s">
        <v>1018</v>
      </c>
      <c r="BJ420" s="499"/>
      <c r="BK420" s="499"/>
      <c r="BL420" s="345" t="s">
        <v>1018</v>
      </c>
      <c r="BM420" s="499"/>
      <c r="BN420" s="499"/>
      <c r="BO420" s="499"/>
    </row>
    <row r="421" spans="1:152" ht="14.5" x14ac:dyDescent="0.35">
      <c r="A421" s="316"/>
      <c r="B421" s="129">
        <v>73</v>
      </c>
      <c r="C421" s="434" t="s">
        <v>962</v>
      </c>
      <c r="D421" s="340" t="s">
        <v>240</v>
      </c>
      <c r="E421" s="340" t="s">
        <v>241</v>
      </c>
      <c r="F421" s="288">
        <v>585.34</v>
      </c>
      <c r="G421" s="435">
        <v>679</v>
      </c>
      <c r="H421" s="541"/>
      <c r="I421" s="541"/>
      <c r="J421" s="541"/>
      <c r="K421" s="541"/>
      <c r="L421" s="541"/>
      <c r="M421" s="541"/>
      <c r="N421" s="541"/>
      <c r="O421" s="288" t="s">
        <v>359</v>
      </c>
      <c r="P421" s="288" t="s">
        <v>354</v>
      </c>
      <c r="Q421" s="501" t="s">
        <v>1018</v>
      </c>
      <c r="R421" s="345"/>
      <c r="S421" s="345"/>
      <c r="T421" s="345"/>
      <c r="U421" s="541"/>
      <c r="V421" s="541"/>
      <c r="W421" s="541"/>
      <c r="X421" s="345" t="s">
        <v>1019</v>
      </c>
      <c r="Y421" s="288" t="s">
        <v>910</v>
      </c>
      <c r="Z421" s="288" t="s">
        <v>349</v>
      </c>
      <c r="AA421" s="541"/>
      <c r="AB421" s="541"/>
      <c r="AC421" s="541"/>
      <c r="AD421" s="288" t="s">
        <v>347</v>
      </c>
      <c r="AE421" s="541"/>
      <c r="AF421" s="288" t="s">
        <v>812</v>
      </c>
      <c r="AG421" s="288" t="s">
        <v>348</v>
      </c>
      <c r="AH421" s="541"/>
      <c r="AI421" s="288" t="s">
        <v>358</v>
      </c>
      <c r="AJ421" s="288" t="s">
        <v>350</v>
      </c>
      <c r="AK421" s="541"/>
      <c r="AL421" s="541"/>
      <c r="AM421" s="541"/>
      <c r="AN421" s="288"/>
      <c r="AO421" s="288"/>
      <c r="AP421" s="288"/>
      <c r="AQ421" s="288"/>
      <c r="AR421" s="288"/>
      <c r="AS421" s="288"/>
      <c r="AT421" s="541"/>
      <c r="AU421" s="448"/>
      <c r="AV421" s="448"/>
      <c r="AW421" s="448"/>
      <c r="AX421" s="448"/>
      <c r="AY421" s="345" t="s">
        <v>1019</v>
      </c>
      <c r="AZ421" s="288">
        <v>0</v>
      </c>
      <c r="BA421" s="288">
        <v>0</v>
      </c>
      <c r="BB421" s="288">
        <v>0</v>
      </c>
      <c r="BC421" s="288">
        <v>0</v>
      </c>
      <c r="BD421" s="499">
        <v>1</v>
      </c>
      <c r="BE421" s="499">
        <v>0</v>
      </c>
      <c r="BF421" s="499">
        <v>0</v>
      </c>
      <c r="BG421" s="448"/>
      <c r="BH421" s="448"/>
      <c r="BI421" s="345" t="s">
        <v>1018</v>
      </c>
      <c r="BJ421" s="499"/>
      <c r="BK421" s="499"/>
      <c r="BL421" s="345" t="s">
        <v>1018</v>
      </c>
      <c r="BM421" s="499"/>
      <c r="BN421" s="499"/>
      <c r="BO421" s="499"/>
    </row>
    <row r="422" spans="1:152" ht="14.5" x14ac:dyDescent="0.35">
      <c r="A422" s="316"/>
      <c r="B422" s="129">
        <v>74</v>
      </c>
      <c r="C422" s="434" t="s">
        <v>963</v>
      </c>
      <c r="D422" s="340" t="s">
        <v>240</v>
      </c>
      <c r="E422" s="340" t="s">
        <v>241</v>
      </c>
      <c r="F422" s="288">
        <v>973.28</v>
      </c>
      <c r="G422" s="435">
        <v>1129</v>
      </c>
      <c r="H422" s="541"/>
      <c r="I422" s="541"/>
      <c r="J422" s="541"/>
      <c r="K422" s="541"/>
      <c r="L422" s="541"/>
      <c r="M422" s="541"/>
      <c r="N422" s="541"/>
      <c r="O422" s="288" t="s">
        <v>922</v>
      </c>
      <c r="P422" s="288" t="s">
        <v>354</v>
      </c>
      <c r="Q422" s="501" t="s">
        <v>1018</v>
      </c>
      <c r="R422" s="345"/>
      <c r="S422" s="345"/>
      <c r="T422" s="345"/>
      <c r="U422" s="541"/>
      <c r="V422" s="541"/>
      <c r="W422" s="541"/>
      <c r="X422" s="345" t="s">
        <v>1019</v>
      </c>
      <c r="Y422" s="288" t="s">
        <v>910</v>
      </c>
      <c r="Z422" s="288" t="s">
        <v>349</v>
      </c>
      <c r="AA422" s="541"/>
      <c r="AB422" s="541"/>
      <c r="AC422" s="541"/>
      <c r="AD422" s="288" t="s">
        <v>347</v>
      </c>
      <c r="AE422" s="541"/>
      <c r="AF422" s="288" t="s">
        <v>812</v>
      </c>
      <c r="AG422" s="288" t="s">
        <v>348</v>
      </c>
      <c r="AH422" s="541"/>
      <c r="AI422" s="288" t="s">
        <v>358</v>
      </c>
      <c r="AJ422" s="288" t="s">
        <v>350</v>
      </c>
      <c r="AK422" s="541"/>
      <c r="AL422" s="541"/>
      <c r="AM422" s="541"/>
      <c r="AN422" s="288"/>
      <c r="AO422" s="288"/>
      <c r="AP422" s="288"/>
      <c r="AQ422" s="288"/>
      <c r="AR422" s="288"/>
      <c r="AS422" s="288"/>
      <c r="AT422" s="541"/>
      <c r="AU422" s="448"/>
      <c r="AV422" s="448"/>
      <c r="AW422" s="448"/>
      <c r="AX422" s="448"/>
      <c r="AY422" s="345" t="s">
        <v>1019</v>
      </c>
      <c r="AZ422" s="288">
        <v>0</v>
      </c>
      <c r="BA422" s="288">
        <v>0</v>
      </c>
      <c r="BB422" s="288">
        <v>0</v>
      </c>
      <c r="BC422" s="288">
        <v>0</v>
      </c>
      <c r="BD422" s="499">
        <v>1</v>
      </c>
      <c r="BE422" s="499">
        <v>0</v>
      </c>
      <c r="BF422" s="499">
        <v>0</v>
      </c>
      <c r="BG422" s="448"/>
      <c r="BH422" s="448"/>
      <c r="BI422" s="345" t="s">
        <v>1018</v>
      </c>
      <c r="BJ422" s="499"/>
      <c r="BK422" s="499"/>
      <c r="BL422" s="345" t="s">
        <v>1018</v>
      </c>
      <c r="BM422" s="499"/>
      <c r="BN422" s="499"/>
      <c r="BO422" s="499"/>
    </row>
    <row r="423" spans="1:152" ht="14.5" x14ac:dyDescent="0.35">
      <c r="A423" s="316"/>
      <c r="B423" s="129">
        <v>75</v>
      </c>
      <c r="C423" s="277" t="s">
        <v>1020</v>
      </c>
      <c r="D423" s="340" t="s">
        <v>240</v>
      </c>
      <c r="E423" s="340" t="s">
        <v>243</v>
      </c>
      <c r="F423" s="288">
        <v>453.34</v>
      </c>
      <c r="G423" s="435">
        <v>534</v>
      </c>
      <c r="H423" s="345">
        <v>1</v>
      </c>
      <c r="I423" s="288" t="s">
        <v>355</v>
      </c>
      <c r="J423" s="288" t="s">
        <v>355</v>
      </c>
      <c r="K423" s="288" t="s">
        <v>356</v>
      </c>
      <c r="L423" s="288" t="s">
        <v>356</v>
      </c>
      <c r="M423" s="288">
        <v>5</v>
      </c>
      <c r="N423" s="288" t="s">
        <v>911</v>
      </c>
      <c r="O423" s="288" t="s">
        <v>362</v>
      </c>
      <c r="P423" s="288" t="s">
        <v>360</v>
      </c>
      <c r="Q423" s="501" t="s">
        <v>1018</v>
      </c>
      <c r="R423" s="345"/>
      <c r="S423" s="345"/>
      <c r="T423" s="345"/>
      <c r="U423" s="345">
        <v>1</v>
      </c>
      <c r="V423" s="288" t="s">
        <v>974</v>
      </c>
      <c r="W423" s="541"/>
      <c r="X423" s="345" t="s">
        <v>1019</v>
      </c>
      <c r="Y423" s="288" t="s">
        <v>910</v>
      </c>
      <c r="Z423" s="288" t="s">
        <v>349</v>
      </c>
      <c r="AA423" s="541"/>
      <c r="AB423" s="541"/>
      <c r="AC423" s="541"/>
      <c r="AD423" s="288" t="s">
        <v>347</v>
      </c>
      <c r="AE423" s="541"/>
      <c r="AF423" s="288" t="s">
        <v>812</v>
      </c>
      <c r="AG423" s="288" t="s">
        <v>348</v>
      </c>
      <c r="AH423" s="541"/>
      <c r="AI423" s="288" t="s">
        <v>358</v>
      </c>
      <c r="AJ423" s="288" t="s">
        <v>350</v>
      </c>
      <c r="AK423" s="541"/>
      <c r="AL423" s="541"/>
      <c r="AM423" s="541"/>
      <c r="AN423" s="288"/>
      <c r="AO423" s="288"/>
      <c r="AP423" s="288"/>
      <c r="AQ423" s="288"/>
      <c r="AR423" s="288"/>
      <c r="AS423" s="288"/>
      <c r="AT423" s="541"/>
      <c r="AU423" s="448"/>
      <c r="AV423" s="448"/>
      <c r="AW423" s="448"/>
      <c r="AX423" s="448"/>
      <c r="AY423" s="345" t="s">
        <v>1019</v>
      </c>
      <c r="AZ423" s="499">
        <v>1</v>
      </c>
      <c r="BA423" s="288">
        <v>0</v>
      </c>
      <c r="BB423" s="288">
        <v>0</v>
      </c>
      <c r="BC423" s="288">
        <v>0</v>
      </c>
      <c r="BD423" s="499">
        <v>1</v>
      </c>
      <c r="BE423" s="499">
        <v>0</v>
      </c>
      <c r="BF423" s="499">
        <v>0</v>
      </c>
      <c r="BG423" s="448"/>
      <c r="BH423" s="448"/>
      <c r="BI423" s="345" t="s">
        <v>1018</v>
      </c>
      <c r="BJ423" s="499"/>
      <c r="BK423" s="499"/>
      <c r="BL423" s="345" t="s">
        <v>1018</v>
      </c>
      <c r="BM423" s="499"/>
      <c r="BN423" s="499"/>
      <c r="BO423" s="499"/>
    </row>
    <row r="424" spans="1:152" ht="14.5" x14ac:dyDescent="0.35">
      <c r="A424" s="316"/>
      <c r="B424" s="129">
        <v>76</v>
      </c>
      <c r="C424" s="277" t="s">
        <v>1021</v>
      </c>
      <c r="D424" s="340" t="s">
        <v>240</v>
      </c>
      <c r="E424" s="340" t="s">
        <v>243</v>
      </c>
      <c r="F424" s="288">
        <v>500.79</v>
      </c>
      <c r="G424" s="435">
        <v>589</v>
      </c>
      <c r="H424" s="345">
        <v>1</v>
      </c>
      <c r="I424" s="288" t="s">
        <v>355</v>
      </c>
      <c r="J424" s="288" t="s">
        <v>355</v>
      </c>
      <c r="K424" s="288" t="s">
        <v>356</v>
      </c>
      <c r="L424" s="288" t="s">
        <v>356</v>
      </c>
      <c r="M424" s="288">
        <v>5</v>
      </c>
      <c r="N424" s="288" t="s">
        <v>911</v>
      </c>
      <c r="O424" s="288" t="s">
        <v>362</v>
      </c>
      <c r="P424" s="288" t="s">
        <v>360</v>
      </c>
      <c r="Q424" s="501" t="s">
        <v>1018</v>
      </c>
      <c r="R424" s="345"/>
      <c r="S424" s="345"/>
      <c r="T424" s="345"/>
      <c r="U424" s="345">
        <v>2</v>
      </c>
      <c r="V424" s="288" t="s">
        <v>974</v>
      </c>
      <c r="W424" s="541"/>
      <c r="X424" s="345" t="s">
        <v>1019</v>
      </c>
      <c r="Y424" s="288" t="s">
        <v>910</v>
      </c>
      <c r="Z424" s="288" t="s">
        <v>349</v>
      </c>
      <c r="AA424" s="541"/>
      <c r="AB424" s="541"/>
      <c r="AC424" s="541"/>
      <c r="AD424" s="288" t="s">
        <v>347</v>
      </c>
      <c r="AE424" s="541"/>
      <c r="AF424" s="288" t="s">
        <v>812</v>
      </c>
      <c r="AG424" s="288" t="s">
        <v>348</v>
      </c>
      <c r="AH424" s="541"/>
      <c r="AI424" s="288" t="s">
        <v>358</v>
      </c>
      <c r="AJ424" s="288" t="s">
        <v>350</v>
      </c>
      <c r="AK424" s="541"/>
      <c r="AL424" s="541"/>
      <c r="AM424" s="541"/>
      <c r="AN424" s="288"/>
      <c r="AO424" s="288"/>
      <c r="AP424" s="288"/>
      <c r="AQ424" s="288"/>
      <c r="AR424" s="288"/>
      <c r="AS424" s="288"/>
      <c r="AT424" s="541"/>
      <c r="AU424" s="448"/>
      <c r="AV424" s="448"/>
      <c r="AW424" s="448"/>
      <c r="AX424" s="448"/>
      <c r="AY424" s="345" t="s">
        <v>1019</v>
      </c>
      <c r="AZ424" s="288">
        <v>0</v>
      </c>
      <c r="BA424" s="499">
        <v>1</v>
      </c>
      <c r="BB424" s="288">
        <v>0</v>
      </c>
      <c r="BC424" s="288">
        <v>0</v>
      </c>
      <c r="BD424" s="499">
        <v>1</v>
      </c>
      <c r="BE424" s="499">
        <v>0</v>
      </c>
      <c r="BF424" s="499">
        <v>0</v>
      </c>
      <c r="BG424" s="448"/>
      <c r="BH424" s="448"/>
      <c r="BI424" s="345" t="s">
        <v>1018</v>
      </c>
      <c r="BJ424" s="499"/>
      <c r="BK424" s="499"/>
      <c r="BL424" s="345" t="s">
        <v>1018</v>
      </c>
      <c r="BM424" s="499"/>
      <c r="BN424" s="499"/>
      <c r="BO424" s="499"/>
    </row>
    <row r="425" spans="1:152" s="263" customFormat="1" ht="14.5" x14ac:dyDescent="0.35">
      <c r="A425" s="316"/>
      <c r="B425" s="129">
        <v>77</v>
      </c>
      <c r="C425" s="277" t="s">
        <v>1022</v>
      </c>
      <c r="D425" s="340" t="s">
        <v>240</v>
      </c>
      <c r="E425" s="340" t="s">
        <v>243</v>
      </c>
      <c r="F425" s="288">
        <v>561.14</v>
      </c>
      <c r="G425" s="435">
        <v>659</v>
      </c>
      <c r="H425" s="345">
        <v>1</v>
      </c>
      <c r="I425" s="288" t="s">
        <v>355</v>
      </c>
      <c r="J425" s="288" t="s">
        <v>355</v>
      </c>
      <c r="K425" s="288" t="s">
        <v>356</v>
      </c>
      <c r="L425" s="288" t="s">
        <v>356</v>
      </c>
      <c r="M425" s="288">
        <v>5</v>
      </c>
      <c r="N425" s="288" t="s">
        <v>911</v>
      </c>
      <c r="O425" s="288" t="s">
        <v>362</v>
      </c>
      <c r="P425" s="288" t="s">
        <v>360</v>
      </c>
      <c r="Q425" s="501" t="s">
        <v>1018</v>
      </c>
      <c r="R425" s="345"/>
      <c r="S425" s="345"/>
      <c r="T425" s="345"/>
      <c r="U425" s="345">
        <v>4</v>
      </c>
      <c r="V425" s="288" t="s">
        <v>974</v>
      </c>
      <c r="W425" s="541"/>
      <c r="X425" s="345" t="s">
        <v>1019</v>
      </c>
      <c r="Y425" s="288" t="s">
        <v>910</v>
      </c>
      <c r="Z425" s="288" t="s">
        <v>349</v>
      </c>
      <c r="AA425" s="541"/>
      <c r="AB425" s="541"/>
      <c r="AC425" s="541"/>
      <c r="AD425" s="288" t="s">
        <v>347</v>
      </c>
      <c r="AE425" s="541"/>
      <c r="AF425" s="288" t="s">
        <v>812</v>
      </c>
      <c r="AG425" s="288" t="s">
        <v>348</v>
      </c>
      <c r="AH425" s="541"/>
      <c r="AI425" s="288" t="s">
        <v>358</v>
      </c>
      <c r="AJ425" s="288" t="s">
        <v>350</v>
      </c>
      <c r="AK425" s="541"/>
      <c r="AL425" s="541"/>
      <c r="AM425" s="541"/>
      <c r="AN425" s="288"/>
      <c r="AO425" s="288"/>
      <c r="AP425" s="288"/>
      <c r="AQ425" s="288"/>
      <c r="AR425" s="288"/>
      <c r="AS425" s="288"/>
      <c r="AT425" s="541"/>
      <c r="AU425" s="448"/>
      <c r="AV425" s="448"/>
      <c r="AW425" s="448"/>
      <c r="AX425" s="448"/>
      <c r="AY425" s="345" t="s">
        <v>1019</v>
      </c>
      <c r="AZ425" s="288">
        <v>0</v>
      </c>
      <c r="BA425" s="288">
        <v>0</v>
      </c>
      <c r="BB425" s="499">
        <v>1</v>
      </c>
      <c r="BC425" s="288">
        <v>0</v>
      </c>
      <c r="BD425" s="499">
        <v>1</v>
      </c>
      <c r="BE425" s="499">
        <v>0</v>
      </c>
      <c r="BF425" s="499">
        <v>0</v>
      </c>
      <c r="BG425" s="448"/>
      <c r="BH425" s="448"/>
      <c r="BI425" s="345" t="s">
        <v>1018</v>
      </c>
      <c r="BJ425" s="499"/>
      <c r="BK425" s="499"/>
      <c r="BL425" s="345" t="s">
        <v>1018</v>
      </c>
      <c r="BM425" s="499"/>
      <c r="BN425" s="499"/>
      <c r="BO425" s="499"/>
      <c r="BP425" s="262"/>
      <c r="BQ425" s="262"/>
      <c r="BR425" s="262"/>
      <c r="BS425" s="262"/>
      <c r="BT425" s="262"/>
      <c r="BU425" s="262"/>
      <c r="BV425" s="262"/>
      <c r="BW425" s="262"/>
      <c r="BX425" s="262"/>
      <c r="BY425" s="262"/>
      <c r="BZ425" s="262"/>
      <c r="CA425" s="262"/>
      <c r="CB425" s="262"/>
      <c r="CC425" s="262"/>
      <c r="CD425" s="262"/>
      <c r="CE425" s="262"/>
      <c r="CF425" s="262"/>
      <c r="CG425" s="262"/>
      <c r="CH425" s="262"/>
      <c r="CI425" s="262"/>
      <c r="CJ425" s="262"/>
      <c r="CK425" s="262"/>
      <c r="CL425" s="262"/>
      <c r="CM425" s="262"/>
      <c r="CN425" s="262"/>
      <c r="CO425" s="262"/>
      <c r="CP425" s="262"/>
      <c r="CQ425" s="262"/>
      <c r="CR425" s="262"/>
      <c r="CS425" s="262"/>
      <c r="CT425" s="262"/>
      <c r="CU425" s="262"/>
      <c r="CV425" s="262"/>
      <c r="CW425" s="262"/>
      <c r="CX425" s="262"/>
      <c r="CY425" s="262"/>
      <c r="CZ425" s="262"/>
      <c r="DA425" s="262"/>
      <c r="DB425" s="262"/>
      <c r="DC425" s="262"/>
      <c r="DD425" s="262"/>
      <c r="DE425" s="262"/>
      <c r="DF425" s="262"/>
      <c r="DG425" s="262"/>
      <c r="DH425" s="262"/>
      <c r="DI425" s="262"/>
      <c r="DJ425" s="262"/>
      <c r="DK425" s="262"/>
      <c r="DL425" s="262"/>
      <c r="DM425" s="262"/>
      <c r="DN425" s="262"/>
      <c r="DO425" s="262"/>
      <c r="DP425" s="262"/>
      <c r="DQ425" s="262"/>
      <c r="DR425" s="262"/>
      <c r="DS425" s="262"/>
      <c r="DT425" s="262"/>
      <c r="DU425" s="262"/>
      <c r="DV425" s="262"/>
      <c r="DW425" s="262"/>
      <c r="DX425" s="262"/>
      <c r="DY425" s="262"/>
      <c r="DZ425" s="262"/>
      <c r="EA425" s="262"/>
      <c r="EB425" s="262"/>
      <c r="EC425" s="262"/>
      <c r="ED425" s="262"/>
      <c r="EE425" s="262"/>
      <c r="EF425" s="262"/>
      <c r="EG425" s="262"/>
      <c r="EH425" s="262"/>
      <c r="EI425" s="262"/>
      <c r="EJ425" s="262"/>
      <c r="EK425" s="262"/>
      <c r="EL425" s="262"/>
      <c r="EM425" s="262"/>
      <c r="EN425" s="262"/>
      <c r="EO425" s="262"/>
      <c r="EP425" s="262"/>
      <c r="EQ425" s="262"/>
      <c r="ER425" s="262"/>
      <c r="ES425" s="262"/>
      <c r="ET425" s="262"/>
      <c r="EU425" s="262"/>
      <c r="EV425" s="262"/>
    </row>
    <row r="426" spans="1:152" ht="14.5" x14ac:dyDescent="0.35">
      <c r="A426" s="316"/>
      <c r="B426" s="129">
        <v>78</v>
      </c>
      <c r="C426" s="277" t="s">
        <v>1023</v>
      </c>
      <c r="D426" s="340" t="s">
        <v>240</v>
      </c>
      <c r="E426" s="340" t="s">
        <v>243</v>
      </c>
      <c r="F426" s="288">
        <v>534.55999999999995</v>
      </c>
      <c r="G426" s="435">
        <v>629</v>
      </c>
      <c r="H426" s="345">
        <v>1</v>
      </c>
      <c r="I426" s="288" t="s">
        <v>355</v>
      </c>
      <c r="J426" s="288" t="s">
        <v>355</v>
      </c>
      <c r="K426" s="288" t="s">
        <v>356</v>
      </c>
      <c r="L426" s="288" t="s">
        <v>356</v>
      </c>
      <c r="M426" s="288">
        <v>5</v>
      </c>
      <c r="N426" s="288" t="s">
        <v>911</v>
      </c>
      <c r="O426" s="288" t="s">
        <v>357</v>
      </c>
      <c r="P426" s="288" t="s">
        <v>912</v>
      </c>
      <c r="Q426" s="501" t="s">
        <v>1018</v>
      </c>
      <c r="R426" s="345"/>
      <c r="S426" s="345"/>
      <c r="T426" s="345"/>
      <c r="U426" s="345">
        <v>2</v>
      </c>
      <c r="V426" s="288" t="s">
        <v>974</v>
      </c>
      <c r="W426" s="541"/>
      <c r="X426" s="345" t="s">
        <v>1019</v>
      </c>
      <c r="Y426" s="288" t="s">
        <v>910</v>
      </c>
      <c r="Z426" s="288" t="s">
        <v>349</v>
      </c>
      <c r="AA426" s="541"/>
      <c r="AB426" s="541"/>
      <c r="AC426" s="541"/>
      <c r="AD426" s="288" t="s">
        <v>347</v>
      </c>
      <c r="AE426" s="541"/>
      <c r="AF426" s="288" t="s">
        <v>812</v>
      </c>
      <c r="AG426" s="288" t="s">
        <v>348</v>
      </c>
      <c r="AH426" s="541"/>
      <c r="AI426" s="288" t="s">
        <v>358</v>
      </c>
      <c r="AJ426" s="288" t="s">
        <v>350</v>
      </c>
      <c r="AK426" s="541"/>
      <c r="AL426" s="541"/>
      <c r="AM426" s="541"/>
      <c r="AN426" s="288"/>
      <c r="AO426" s="288"/>
      <c r="AP426" s="288"/>
      <c r="AQ426" s="288"/>
      <c r="AR426" s="288"/>
      <c r="AS426" s="288"/>
      <c r="AT426" s="541"/>
      <c r="AU426" s="448"/>
      <c r="AV426" s="448"/>
      <c r="AW426" s="448"/>
      <c r="AX426" s="448"/>
      <c r="AY426" s="345" t="s">
        <v>1019</v>
      </c>
      <c r="AZ426" s="288">
        <v>0</v>
      </c>
      <c r="BA426" s="499">
        <v>1</v>
      </c>
      <c r="BB426" s="288">
        <v>0</v>
      </c>
      <c r="BC426" s="288">
        <v>0</v>
      </c>
      <c r="BD426" s="499">
        <v>1</v>
      </c>
      <c r="BE426" s="499">
        <v>0</v>
      </c>
      <c r="BF426" s="499">
        <v>0</v>
      </c>
      <c r="BG426" s="448"/>
      <c r="BH426" s="448"/>
      <c r="BI426" s="345" t="s">
        <v>1018</v>
      </c>
      <c r="BJ426" s="499"/>
      <c r="BK426" s="499"/>
      <c r="BL426" s="345" t="s">
        <v>1018</v>
      </c>
      <c r="BM426" s="499"/>
      <c r="BN426" s="499"/>
      <c r="BO426" s="499"/>
    </row>
    <row r="427" spans="1:152" ht="14.5" x14ac:dyDescent="0.35">
      <c r="A427" s="316"/>
      <c r="B427" s="129">
        <v>79</v>
      </c>
      <c r="C427" s="277" t="s">
        <v>1024</v>
      </c>
      <c r="D427" s="340" t="s">
        <v>240</v>
      </c>
      <c r="E427" s="340" t="s">
        <v>243</v>
      </c>
      <c r="F427" s="288">
        <v>594.91</v>
      </c>
      <c r="G427" s="435">
        <v>699</v>
      </c>
      <c r="H427" s="345">
        <v>1</v>
      </c>
      <c r="I427" s="288" t="s">
        <v>355</v>
      </c>
      <c r="J427" s="288" t="s">
        <v>355</v>
      </c>
      <c r="K427" s="288" t="s">
        <v>356</v>
      </c>
      <c r="L427" s="288" t="s">
        <v>356</v>
      </c>
      <c r="M427" s="288">
        <v>5</v>
      </c>
      <c r="N427" s="288" t="s">
        <v>911</v>
      </c>
      <c r="O427" s="288" t="s">
        <v>357</v>
      </c>
      <c r="P427" s="288" t="s">
        <v>912</v>
      </c>
      <c r="Q427" s="501" t="s">
        <v>1018</v>
      </c>
      <c r="R427" s="345"/>
      <c r="S427" s="345"/>
      <c r="T427" s="345"/>
      <c r="U427" s="345">
        <v>4</v>
      </c>
      <c r="V427" s="288" t="s">
        <v>974</v>
      </c>
      <c r="W427" s="541"/>
      <c r="X427" s="345" t="s">
        <v>1019</v>
      </c>
      <c r="Y427" s="288" t="s">
        <v>910</v>
      </c>
      <c r="Z427" s="288" t="s">
        <v>349</v>
      </c>
      <c r="AA427" s="541"/>
      <c r="AB427" s="541"/>
      <c r="AC427" s="541"/>
      <c r="AD427" s="288" t="s">
        <v>347</v>
      </c>
      <c r="AE427" s="541"/>
      <c r="AF427" s="288" t="s">
        <v>812</v>
      </c>
      <c r="AG427" s="288" t="s">
        <v>348</v>
      </c>
      <c r="AH427" s="541"/>
      <c r="AI427" s="288" t="s">
        <v>358</v>
      </c>
      <c r="AJ427" s="288" t="s">
        <v>350</v>
      </c>
      <c r="AK427" s="541"/>
      <c r="AL427" s="541"/>
      <c r="AM427" s="541"/>
      <c r="AN427" s="288"/>
      <c r="AO427" s="288"/>
      <c r="AP427" s="288"/>
      <c r="AQ427" s="288"/>
      <c r="AR427" s="288"/>
      <c r="AS427" s="288"/>
      <c r="AT427" s="541"/>
      <c r="AU427" s="448"/>
      <c r="AV427" s="448"/>
      <c r="AW427" s="448"/>
      <c r="AX427" s="448"/>
      <c r="AY427" s="345" t="s">
        <v>1019</v>
      </c>
      <c r="AZ427" s="288">
        <v>0</v>
      </c>
      <c r="BA427" s="288">
        <v>0</v>
      </c>
      <c r="BB427" s="499">
        <v>1</v>
      </c>
      <c r="BC427" s="288">
        <v>0</v>
      </c>
      <c r="BD427" s="499">
        <v>1</v>
      </c>
      <c r="BE427" s="499">
        <v>0</v>
      </c>
      <c r="BF427" s="499">
        <v>0</v>
      </c>
      <c r="BG427" s="448"/>
      <c r="BH427" s="448"/>
      <c r="BI427" s="345" t="s">
        <v>1018</v>
      </c>
      <c r="BJ427" s="499"/>
      <c r="BK427" s="499"/>
      <c r="BL427" s="345" t="s">
        <v>1018</v>
      </c>
      <c r="BM427" s="499"/>
      <c r="BN427" s="499"/>
      <c r="BO427" s="499"/>
    </row>
    <row r="428" spans="1:152" ht="14.5" x14ac:dyDescent="0.35">
      <c r="A428" s="316"/>
      <c r="B428" s="129">
        <v>80</v>
      </c>
      <c r="C428" s="277" t="s">
        <v>1025</v>
      </c>
      <c r="D428" s="340" t="s">
        <v>240</v>
      </c>
      <c r="E428" s="340" t="s">
        <v>243</v>
      </c>
      <c r="F428" s="288">
        <v>607.17999999999995</v>
      </c>
      <c r="G428" s="435">
        <v>715</v>
      </c>
      <c r="H428" s="345">
        <v>1</v>
      </c>
      <c r="I428" s="288" t="s">
        <v>355</v>
      </c>
      <c r="J428" s="288" t="s">
        <v>355</v>
      </c>
      <c r="K428" s="288" t="s">
        <v>356</v>
      </c>
      <c r="L428" s="288" t="s">
        <v>356</v>
      </c>
      <c r="M428" s="288">
        <v>5</v>
      </c>
      <c r="N428" s="288" t="s">
        <v>911</v>
      </c>
      <c r="O428" s="288" t="s">
        <v>354</v>
      </c>
      <c r="P428" s="288" t="s">
        <v>346</v>
      </c>
      <c r="Q428" s="501" t="s">
        <v>1018</v>
      </c>
      <c r="R428" s="345"/>
      <c r="S428" s="345"/>
      <c r="T428" s="345"/>
      <c r="U428" s="345">
        <v>2</v>
      </c>
      <c r="V428" s="288" t="s">
        <v>974</v>
      </c>
      <c r="W428" s="541"/>
      <c r="X428" s="345" t="s">
        <v>1019</v>
      </c>
      <c r="Y428" s="288" t="s">
        <v>910</v>
      </c>
      <c r="Z428" s="288" t="s">
        <v>349</v>
      </c>
      <c r="AA428" s="541"/>
      <c r="AB428" s="541"/>
      <c r="AC428" s="541"/>
      <c r="AD428" s="288" t="s">
        <v>347</v>
      </c>
      <c r="AE428" s="541"/>
      <c r="AF428" s="288" t="s">
        <v>812</v>
      </c>
      <c r="AG428" s="288" t="s">
        <v>348</v>
      </c>
      <c r="AH428" s="541"/>
      <c r="AI428" s="288" t="s">
        <v>358</v>
      </c>
      <c r="AJ428" s="288" t="s">
        <v>350</v>
      </c>
      <c r="AK428" s="541"/>
      <c r="AL428" s="541"/>
      <c r="AM428" s="541"/>
      <c r="AN428" s="288"/>
      <c r="AO428" s="288"/>
      <c r="AP428" s="288"/>
      <c r="AQ428" s="288"/>
      <c r="AR428" s="288"/>
      <c r="AS428" s="288"/>
      <c r="AT428" s="541"/>
      <c r="AU428" s="448"/>
      <c r="AV428" s="448"/>
      <c r="AW428" s="448"/>
      <c r="AX428" s="448"/>
      <c r="AY428" s="345" t="s">
        <v>1019</v>
      </c>
      <c r="AZ428" s="288">
        <v>0</v>
      </c>
      <c r="BA428" s="499">
        <v>1</v>
      </c>
      <c r="BB428" s="288">
        <v>0</v>
      </c>
      <c r="BC428" s="288">
        <v>0</v>
      </c>
      <c r="BD428" s="499">
        <v>1</v>
      </c>
      <c r="BE428" s="499">
        <v>0</v>
      </c>
      <c r="BF428" s="499">
        <v>0</v>
      </c>
      <c r="BG428" s="448"/>
      <c r="BH428" s="448"/>
      <c r="BI428" s="345" t="s">
        <v>1018</v>
      </c>
      <c r="BJ428" s="499"/>
      <c r="BK428" s="499"/>
      <c r="BL428" s="345" t="s">
        <v>1018</v>
      </c>
      <c r="BM428" s="499"/>
      <c r="BN428" s="499"/>
      <c r="BO428" s="499"/>
    </row>
    <row r="429" spans="1:152" ht="14.5" x14ac:dyDescent="0.35">
      <c r="A429" s="316"/>
      <c r="B429" s="129">
        <v>81</v>
      </c>
      <c r="C429" s="277" t="s">
        <v>1026</v>
      </c>
      <c r="D429" s="340" t="s">
        <v>240</v>
      </c>
      <c r="E429" s="340" t="s">
        <v>243</v>
      </c>
      <c r="F429" s="288">
        <v>666.68</v>
      </c>
      <c r="G429" s="435">
        <v>784</v>
      </c>
      <c r="H429" s="345">
        <v>1</v>
      </c>
      <c r="I429" s="288" t="s">
        <v>355</v>
      </c>
      <c r="J429" s="288" t="s">
        <v>355</v>
      </c>
      <c r="K429" s="288" t="s">
        <v>356</v>
      </c>
      <c r="L429" s="288" t="s">
        <v>356</v>
      </c>
      <c r="M429" s="288">
        <v>5</v>
      </c>
      <c r="N429" s="288" t="s">
        <v>911</v>
      </c>
      <c r="O429" s="288" t="s">
        <v>354</v>
      </c>
      <c r="P429" s="288" t="s">
        <v>346</v>
      </c>
      <c r="Q429" s="501" t="s">
        <v>1018</v>
      </c>
      <c r="R429" s="345"/>
      <c r="S429" s="345"/>
      <c r="T429" s="345"/>
      <c r="U429" s="345">
        <v>4</v>
      </c>
      <c r="V429" s="288" t="s">
        <v>974</v>
      </c>
      <c r="W429" s="541"/>
      <c r="X429" s="345" t="s">
        <v>1019</v>
      </c>
      <c r="Y429" s="288" t="s">
        <v>910</v>
      </c>
      <c r="Z429" s="288" t="s">
        <v>349</v>
      </c>
      <c r="AA429" s="541"/>
      <c r="AB429" s="541"/>
      <c r="AC429" s="541"/>
      <c r="AD429" s="288" t="s">
        <v>347</v>
      </c>
      <c r="AE429" s="541"/>
      <c r="AF429" s="288" t="s">
        <v>812</v>
      </c>
      <c r="AG429" s="288" t="s">
        <v>348</v>
      </c>
      <c r="AH429" s="541"/>
      <c r="AI429" s="288" t="s">
        <v>358</v>
      </c>
      <c r="AJ429" s="288" t="s">
        <v>350</v>
      </c>
      <c r="AK429" s="541"/>
      <c r="AL429" s="541"/>
      <c r="AM429" s="541"/>
      <c r="AN429" s="288"/>
      <c r="AO429" s="288"/>
      <c r="AP429" s="288"/>
      <c r="AQ429" s="288"/>
      <c r="AR429" s="288"/>
      <c r="AS429" s="288"/>
      <c r="AT429" s="541"/>
      <c r="AU429" s="448"/>
      <c r="AV429" s="448"/>
      <c r="AW429" s="448"/>
      <c r="AX429" s="448"/>
      <c r="AY429" s="345" t="s">
        <v>1019</v>
      </c>
      <c r="AZ429" s="288">
        <v>0</v>
      </c>
      <c r="BA429" s="288">
        <v>0</v>
      </c>
      <c r="BB429" s="499">
        <v>1</v>
      </c>
      <c r="BC429" s="288">
        <v>0</v>
      </c>
      <c r="BD429" s="499">
        <v>1</v>
      </c>
      <c r="BE429" s="499">
        <v>0</v>
      </c>
      <c r="BF429" s="499">
        <v>0</v>
      </c>
      <c r="BG429" s="448"/>
      <c r="BH429" s="448"/>
      <c r="BI429" s="345" t="s">
        <v>1018</v>
      </c>
      <c r="BJ429" s="499"/>
      <c r="BK429" s="499"/>
      <c r="BL429" s="345" t="s">
        <v>1018</v>
      </c>
      <c r="BM429" s="499"/>
      <c r="BN429" s="499"/>
      <c r="BO429" s="499"/>
    </row>
    <row r="430" spans="1:152" ht="14.5" x14ac:dyDescent="0.35">
      <c r="A430" s="316"/>
      <c r="B430" s="129">
        <v>82</v>
      </c>
      <c r="C430" s="277" t="s">
        <v>1027</v>
      </c>
      <c r="D430" s="340" t="s">
        <v>240</v>
      </c>
      <c r="E430" s="340" t="s">
        <v>243</v>
      </c>
      <c r="F430" s="288">
        <v>789.11</v>
      </c>
      <c r="G430" s="435">
        <v>929</v>
      </c>
      <c r="H430" s="345">
        <v>2</v>
      </c>
      <c r="I430" s="288" t="s">
        <v>355</v>
      </c>
      <c r="J430" s="288" t="s">
        <v>355</v>
      </c>
      <c r="K430" s="288" t="s">
        <v>356</v>
      </c>
      <c r="L430" s="288" t="s">
        <v>356</v>
      </c>
      <c r="M430" s="288">
        <v>5</v>
      </c>
      <c r="N430" s="288" t="s">
        <v>911</v>
      </c>
      <c r="O430" s="288" t="s">
        <v>359</v>
      </c>
      <c r="P430" s="288" t="s">
        <v>354</v>
      </c>
      <c r="Q430" s="501" t="s">
        <v>1018</v>
      </c>
      <c r="R430" s="345"/>
      <c r="S430" s="345"/>
      <c r="T430" s="345"/>
      <c r="U430" s="345">
        <v>4</v>
      </c>
      <c r="V430" s="288" t="s">
        <v>974</v>
      </c>
      <c r="W430" s="541"/>
      <c r="X430" s="345" t="s">
        <v>1019</v>
      </c>
      <c r="Y430" s="288" t="s">
        <v>910</v>
      </c>
      <c r="Z430" s="288" t="s">
        <v>349</v>
      </c>
      <c r="AA430" s="541"/>
      <c r="AB430" s="541"/>
      <c r="AC430" s="541"/>
      <c r="AD430" s="288" t="s">
        <v>347</v>
      </c>
      <c r="AE430" s="541"/>
      <c r="AF430" s="288" t="s">
        <v>812</v>
      </c>
      <c r="AG430" s="288" t="s">
        <v>348</v>
      </c>
      <c r="AH430" s="541"/>
      <c r="AI430" s="288" t="s">
        <v>358</v>
      </c>
      <c r="AJ430" s="288" t="s">
        <v>350</v>
      </c>
      <c r="AK430" s="541"/>
      <c r="AL430" s="541"/>
      <c r="AM430" s="541"/>
      <c r="AN430" s="288"/>
      <c r="AO430" s="288"/>
      <c r="AP430" s="288"/>
      <c r="AQ430" s="288"/>
      <c r="AR430" s="288"/>
      <c r="AS430" s="288"/>
      <c r="AT430" s="541"/>
      <c r="AU430" s="448"/>
      <c r="AV430" s="448"/>
      <c r="AW430" s="448"/>
      <c r="AX430" s="448"/>
      <c r="AY430" s="345" t="s">
        <v>1019</v>
      </c>
      <c r="AZ430" s="288">
        <v>0</v>
      </c>
      <c r="BA430" s="288">
        <v>0</v>
      </c>
      <c r="BB430" s="499">
        <v>1</v>
      </c>
      <c r="BC430" s="288">
        <v>0</v>
      </c>
      <c r="BD430" s="499">
        <v>1</v>
      </c>
      <c r="BE430" s="499">
        <v>0</v>
      </c>
      <c r="BF430" s="499">
        <v>0</v>
      </c>
      <c r="BG430" s="448"/>
      <c r="BH430" s="448"/>
      <c r="BI430" s="345" t="s">
        <v>1018</v>
      </c>
      <c r="BJ430" s="499"/>
      <c r="BK430" s="499"/>
      <c r="BL430" s="345" t="s">
        <v>1018</v>
      </c>
      <c r="BM430" s="499"/>
      <c r="BN430" s="499"/>
      <c r="BO430" s="499"/>
    </row>
    <row r="431" spans="1:152" ht="14.5" x14ac:dyDescent="0.35">
      <c r="A431" s="316"/>
      <c r="B431" s="129">
        <v>83</v>
      </c>
      <c r="C431" s="277" t="s">
        <v>1028</v>
      </c>
      <c r="D431" s="340" t="s">
        <v>240</v>
      </c>
      <c r="E431" s="340" t="s">
        <v>243</v>
      </c>
      <c r="F431" s="288">
        <v>746.49</v>
      </c>
      <c r="G431" s="435">
        <v>880</v>
      </c>
      <c r="H431" s="345">
        <v>2</v>
      </c>
      <c r="I431" s="288" t="s">
        <v>355</v>
      </c>
      <c r="J431" s="288" t="s">
        <v>355</v>
      </c>
      <c r="K431" s="288" t="s">
        <v>356</v>
      </c>
      <c r="L431" s="288" t="s">
        <v>356</v>
      </c>
      <c r="M431" s="288">
        <v>5</v>
      </c>
      <c r="N431" s="288" t="s">
        <v>911</v>
      </c>
      <c r="O431" s="288" t="s">
        <v>359</v>
      </c>
      <c r="P431" s="288" t="s">
        <v>354</v>
      </c>
      <c r="Q431" s="501" t="s">
        <v>1018</v>
      </c>
      <c r="R431" s="345"/>
      <c r="S431" s="345"/>
      <c r="T431" s="345"/>
      <c r="U431" s="345">
        <v>2</v>
      </c>
      <c r="V431" s="288" t="s">
        <v>974</v>
      </c>
      <c r="W431" s="541"/>
      <c r="X431" s="345" t="s">
        <v>1019</v>
      </c>
      <c r="Y431" s="288" t="s">
        <v>910</v>
      </c>
      <c r="Z431" s="288" t="s">
        <v>349</v>
      </c>
      <c r="AA431" s="541"/>
      <c r="AB431" s="541"/>
      <c r="AC431" s="541"/>
      <c r="AD431" s="288" t="s">
        <v>347</v>
      </c>
      <c r="AE431" s="541"/>
      <c r="AF431" s="288" t="s">
        <v>812</v>
      </c>
      <c r="AG431" s="288" t="s">
        <v>348</v>
      </c>
      <c r="AH431" s="541"/>
      <c r="AI431" s="288" t="s">
        <v>358</v>
      </c>
      <c r="AJ431" s="288" t="s">
        <v>350</v>
      </c>
      <c r="AK431" s="541"/>
      <c r="AL431" s="541"/>
      <c r="AM431" s="541"/>
      <c r="AN431" s="288"/>
      <c r="AO431" s="288"/>
      <c r="AP431" s="288"/>
      <c r="AQ431" s="288"/>
      <c r="AR431" s="288"/>
      <c r="AS431" s="288"/>
      <c r="AT431" s="541"/>
      <c r="AU431" s="448"/>
      <c r="AV431" s="448"/>
      <c r="AW431" s="448"/>
      <c r="AX431" s="448"/>
      <c r="AY431" s="345" t="s">
        <v>1019</v>
      </c>
      <c r="AZ431" s="288">
        <v>0</v>
      </c>
      <c r="BA431" s="499">
        <v>1</v>
      </c>
      <c r="BB431" s="288">
        <v>0</v>
      </c>
      <c r="BC431" s="288">
        <v>0</v>
      </c>
      <c r="BD431" s="499">
        <v>1</v>
      </c>
      <c r="BE431" s="499">
        <v>0</v>
      </c>
      <c r="BF431" s="499">
        <v>0</v>
      </c>
      <c r="BG431" s="448"/>
      <c r="BH431" s="448"/>
      <c r="BI431" s="345" t="s">
        <v>1018</v>
      </c>
      <c r="BJ431" s="499"/>
      <c r="BK431" s="499"/>
      <c r="BL431" s="345" t="s">
        <v>1018</v>
      </c>
      <c r="BM431" s="499"/>
      <c r="BN431" s="499"/>
      <c r="BO431" s="499"/>
    </row>
    <row r="432" spans="1:152" ht="14.5" x14ac:dyDescent="0.35">
      <c r="A432" s="316"/>
      <c r="B432" s="129">
        <v>84</v>
      </c>
      <c r="C432" s="277" t="s">
        <v>1029</v>
      </c>
      <c r="D432" s="340" t="s">
        <v>240</v>
      </c>
      <c r="E432" s="340" t="s">
        <v>243</v>
      </c>
      <c r="F432" s="288">
        <v>1202.83</v>
      </c>
      <c r="G432" s="435">
        <v>1419</v>
      </c>
      <c r="H432" s="345">
        <v>3</v>
      </c>
      <c r="I432" s="288" t="s">
        <v>355</v>
      </c>
      <c r="J432" s="288" t="s">
        <v>355</v>
      </c>
      <c r="K432" s="288" t="s">
        <v>356</v>
      </c>
      <c r="L432" s="288" t="s">
        <v>356</v>
      </c>
      <c r="M432" s="288">
        <v>5</v>
      </c>
      <c r="N432" s="288" t="s">
        <v>911</v>
      </c>
      <c r="O432" s="288" t="s">
        <v>922</v>
      </c>
      <c r="P432" s="288" t="s">
        <v>354</v>
      </c>
      <c r="Q432" s="501" t="s">
        <v>1018</v>
      </c>
      <c r="R432" s="345"/>
      <c r="S432" s="345"/>
      <c r="T432" s="345"/>
      <c r="U432" s="345">
        <v>4</v>
      </c>
      <c r="V432" s="288" t="s">
        <v>974</v>
      </c>
      <c r="W432" s="541"/>
      <c r="X432" s="345" t="s">
        <v>1019</v>
      </c>
      <c r="Y432" s="288" t="s">
        <v>910</v>
      </c>
      <c r="Z432" s="288" t="s">
        <v>349</v>
      </c>
      <c r="AA432" s="541"/>
      <c r="AB432" s="541"/>
      <c r="AC432" s="541"/>
      <c r="AD432" s="288" t="s">
        <v>347</v>
      </c>
      <c r="AE432" s="541"/>
      <c r="AF432" s="288" t="s">
        <v>812</v>
      </c>
      <c r="AG432" s="288" t="s">
        <v>348</v>
      </c>
      <c r="AH432" s="541"/>
      <c r="AI432" s="288" t="s">
        <v>358</v>
      </c>
      <c r="AJ432" s="288" t="s">
        <v>350</v>
      </c>
      <c r="AK432" s="541"/>
      <c r="AL432" s="541"/>
      <c r="AM432" s="541"/>
      <c r="AN432" s="288"/>
      <c r="AO432" s="288"/>
      <c r="AP432" s="288"/>
      <c r="AQ432" s="288"/>
      <c r="AR432" s="288"/>
      <c r="AS432" s="288"/>
      <c r="AT432" s="541"/>
      <c r="AU432" s="448"/>
      <c r="AV432" s="448"/>
      <c r="AW432" s="448"/>
      <c r="AX432" s="448"/>
      <c r="AY432" s="345" t="s">
        <v>1019</v>
      </c>
      <c r="AZ432" s="288">
        <v>0</v>
      </c>
      <c r="BA432" s="288">
        <v>0</v>
      </c>
      <c r="BB432" s="499">
        <v>1</v>
      </c>
      <c r="BC432" s="288">
        <v>0</v>
      </c>
      <c r="BD432" s="499">
        <v>1</v>
      </c>
      <c r="BE432" s="499">
        <v>0</v>
      </c>
      <c r="BF432" s="499">
        <v>0</v>
      </c>
      <c r="BG432" s="448"/>
      <c r="BH432" s="448"/>
      <c r="BI432" s="345" t="s">
        <v>1018</v>
      </c>
      <c r="BJ432" s="499"/>
      <c r="BK432" s="499"/>
      <c r="BL432" s="345" t="s">
        <v>1018</v>
      </c>
      <c r="BM432" s="499"/>
      <c r="BN432" s="499"/>
      <c r="BO432" s="499"/>
    </row>
    <row r="433" spans="1:67" ht="14.5" x14ac:dyDescent="0.35">
      <c r="A433" s="316"/>
      <c r="B433" s="129">
        <v>85</v>
      </c>
      <c r="C433" s="277" t="s">
        <v>1030</v>
      </c>
      <c r="D433" s="340" t="s">
        <v>240</v>
      </c>
      <c r="E433" s="340" t="s">
        <v>243</v>
      </c>
      <c r="F433" s="288">
        <v>1163.5999999999999</v>
      </c>
      <c r="G433" s="435">
        <v>1374</v>
      </c>
      <c r="H433" s="345">
        <v>3</v>
      </c>
      <c r="I433" s="288" t="s">
        <v>355</v>
      </c>
      <c r="J433" s="288" t="s">
        <v>355</v>
      </c>
      <c r="K433" s="288" t="s">
        <v>356</v>
      </c>
      <c r="L433" s="288" t="s">
        <v>356</v>
      </c>
      <c r="M433" s="288">
        <v>5</v>
      </c>
      <c r="N433" s="288" t="s">
        <v>911</v>
      </c>
      <c r="O433" s="288" t="s">
        <v>922</v>
      </c>
      <c r="P433" s="288" t="s">
        <v>354</v>
      </c>
      <c r="Q433" s="501" t="s">
        <v>1018</v>
      </c>
      <c r="R433" s="345"/>
      <c r="S433" s="345"/>
      <c r="T433" s="345"/>
      <c r="U433" s="345">
        <v>2</v>
      </c>
      <c r="V433" s="288" t="s">
        <v>974</v>
      </c>
      <c r="W433" s="541"/>
      <c r="X433" s="345" t="s">
        <v>1019</v>
      </c>
      <c r="Y433" s="288" t="s">
        <v>910</v>
      </c>
      <c r="Z433" s="288" t="s">
        <v>349</v>
      </c>
      <c r="AA433" s="541"/>
      <c r="AB433" s="541"/>
      <c r="AC433" s="541"/>
      <c r="AD433" s="288" t="s">
        <v>347</v>
      </c>
      <c r="AE433" s="541"/>
      <c r="AF433" s="288" t="s">
        <v>812</v>
      </c>
      <c r="AG433" s="288" t="s">
        <v>348</v>
      </c>
      <c r="AH433" s="541"/>
      <c r="AI433" s="288" t="s">
        <v>358</v>
      </c>
      <c r="AJ433" s="288" t="s">
        <v>350</v>
      </c>
      <c r="AK433" s="541"/>
      <c r="AL433" s="541"/>
      <c r="AM433" s="541"/>
      <c r="AN433" s="288"/>
      <c r="AO433" s="288"/>
      <c r="AP433" s="288"/>
      <c r="AQ433" s="288"/>
      <c r="AR433" s="288"/>
      <c r="AS433" s="288"/>
      <c r="AT433" s="541"/>
      <c r="AU433" s="448"/>
      <c r="AV433" s="448"/>
      <c r="AW433" s="448"/>
      <c r="AX433" s="448"/>
      <c r="AY433" s="345" t="s">
        <v>1019</v>
      </c>
      <c r="AZ433" s="288">
        <v>0</v>
      </c>
      <c r="BA433" s="499">
        <v>1</v>
      </c>
      <c r="BB433" s="288">
        <v>0</v>
      </c>
      <c r="BC433" s="288">
        <v>0</v>
      </c>
      <c r="BD433" s="499">
        <v>1</v>
      </c>
      <c r="BE433" s="499">
        <v>0</v>
      </c>
      <c r="BF433" s="499">
        <v>0</v>
      </c>
      <c r="BG433" s="448"/>
      <c r="BH433" s="448"/>
      <c r="BI433" s="345" t="s">
        <v>1018</v>
      </c>
      <c r="BJ433" s="499"/>
      <c r="BK433" s="499"/>
      <c r="BL433" s="345" t="s">
        <v>1018</v>
      </c>
      <c r="BM433" s="499"/>
      <c r="BN433" s="499"/>
      <c r="BO433" s="499"/>
    </row>
    <row r="434" spans="1:67" ht="14.5" x14ac:dyDescent="0.35">
      <c r="A434" s="316"/>
      <c r="B434" s="129">
        <v>86</v>
      </c>
      <c r="C434" s="277" t="s">
        <v>1031</v>
      </c>
      <c r="D434" s="340" t="s">
        <v>240</v>
      </c>
      <c r="E434" s="340" t="s">
        <v>241</v>
      </c>
      <c r="F434" s="288">
        <v>425.86</v>
      </c>
      <c r="G434" s="435">
        <v>494</v>
      </c>
      <c r="H434" s="541"/>
      <c r="I434" s="541"/>
      <c r="J434" s="541"/>
      <c r="K434" s="541"/>
      <c r="L434" s="541"/>
      <c r="M434" s="541"/>
      <c r="N434" s="541"/>
      <c r="O434" s="288" t="s">
        <v>362</v>
      </c>
      <c r="P434" s="288" t="s">
        <v>360</v>
      </c>
      <c r="Q434" s="501" t="s">
        <v>1018</v>
      </c>
      <c r="R434" s="345"/>
      <c r="S434" s="345"/>
      <c r="T434" s="345"/>
      <c r="U434" s="345">
        <v>1</v>
      </c>
      <c r="V434" s="288" t="s">
        <v>974</v>
      </c>
      <c r="W434" s="541"/>
      <c r="X434" s="345" t="s">
        <v>1019</v>
      </c>
      <c r="Y434" s="288" t="s">
        <v>910</v>
      </c>
      <c r="Z434" s="288" t="s">
        <v>349</v>
      </c>
      <c r="AA434" s="541"/>
      <c r="AB434" s="541"/>
      <c r="AC434" s="541"/>
      <c r="AD434" s="288" t="s">
        <v>347</v>
      </c>
      <c r="AE434" s="541"/>
      <c r="AF434" s="288" t="s">
        <v>812</v>
      </c>
      <c r="AG434" s="288" t="s">
        <v>348</v>
      </c>
      <c r="AH434" s="541"/>
      <c r="AI434" s="288" t="s">
        <v>358</v>
      </c>
      <c r="AJ434" s="288" t="s">
        <v>350</v>
      </c>
      <c r="AK434" s="541"/>
      <c r="AL434" s="541"/>
      <c r="AM434" s="541"/>
      <c r="AN434" s="288"/>
      <c r="AO434" s="288"/>
      <c r="AP434" s="288"/>
      <c r="AQ434" s="288"/>
      <c r="AR434" s="288"/>
      <c r="AS434" s="288"/>
      <c r="AT434" s="541"/>
      <c r="AU434" s="448"/>
      <c r="AV434" s="448"/>
      <c r="AW434" s="448"/>
      <c r="AX434" s="448"/>
      <c r="AY434" s="345" t="s">
        <v>1019</v>
      </c>
      <c r="AZ434" s="499">
        <v>1</v>
      </c>
      <c r="BA434" s="288">
        <v>0</v>
      </c>
      <c r="BB434" s="288">
        <v>0</v>
      </c>
      <c r="BC434" s="288">
        <v>0</v>
      </c>
      <c r="BD434" s="499">
        <v>1</v>
      </c>
      <c r="BE434" s="499">
        <v>0</v>
      </c>
      <c r="BF434" s="499">
        <v>0</v>
      </c>
      <c r="BG434" s="448"/>
      <c r="BH434" s="448"/>
      <c r="BI434" s="345" t="s">
        <v>1018</v>
      </c>
      <c r="BJ434" s="499"/>
      <c r="BK434" s="499"/>
      <c r="BL434" s="345" t="s">
        <v>1018</v>
      </c>
      <c r="BM434" s="499"/>
      <c r="BN434" s="499"/>
      <c r="BO434" s="499"/>
    </row>
    <row r="435" spans="1:67" ht="14.5" x14ac:dyDescent="0.35">
      <c r="A435" s="316"/>
      <c r="B435" s="129">
        <v>87</v>
      </c>
      <c r="C435" s="277" t="s">
        <v>1032</v>
      </c>
      <c r="D435" s="340" t="s">
        <v>240</v>
      </c>
      <c r="E435" s="340" t="s">
        <v>241</v>
      </c>
      <c r="F435" s="288">
        <v>473.28</v>
      </c>
      <c r="G435" s="435">
        <v>549</v>
      </c>
      <c r="H435" s="541"/>
      <c r="I435" s="541"/>
      <c r="J435" s="541"/>
      <c r="K435" s="541"/>
      <c r="L435" s="541"/>
      <c r="M435" s="541"/>
      <c r="N435" s="541"/>
      <c r="O435" s="288" t="s">
        <v>362</v>
      </c>
      <c r="P435" s="288" t="s">
        <v>360</v>
      </c>
      <c r="Q435" s="501" t="s">
        <v>1018</v>
      </c>
      <c r="R435" s="345"/>
      <c r="S435" s="345"/>
      <c r="T435" s="345"/>
      <c r="U435" s="345">
        <v>2</v>
      </c>
      <c r="V435" s="288" t="s">
        <v>974</v>
      </c>
      <c r="W435" s="541"/>
      <c r="X435" s="345" t="s">
        <v>1019</v>
      </c>
      <c r="Y435" s="288" t="s">
        <v>910</v>
      </c>
      <c r="Z435" s="288" t="s">
        <v>349</v>
      </c>
      <c r="AA435" s="541"/>
      <c r="AB435" s="541"/>
      <c r="AC435" s="541"/>
      <c r="AD435" s="288" t="s">
        <v>347</v>
      </c>
      <c r="AE435" s="541"/>
      <c r="AF435" s="288" t="s">
        <v>812</v>
      </c>
      <c r="AG435" s="288" t="s">
        <v>348</v>
      </c>
      <c r="AH435" s="541"/>
      <c r="AI435" s="288" t="s">
        <v>358</v>
      </c>
      <c r="AJ435" s="288" t="s">
        <v>350</v>
      </c>
      <c r="AK435" s="541"/>
      <c r="AL435" s="541"/>
      <c r="AM435" s="541"/>
      <c r="AN435" s="288"/>
      <c r="AO435" s="288"/>
      <c r="AP435" s="288"/>
      <c r="AQ435" s="288"/>
      <c r="AR435" s="288"/>
      <c r="AS435" s="288"/>
      <c r="AT435" s="541"/>
      <c r="AU435" s="448"/>
      <c r="AV435" s="448"/>
      <c r="AW435" s="448"/>
      <c r="AX435" s="448"/>
      <c r="AY435" s="345" t="s">
        <v>1019</v>
      </c>
      <c r="AZ435" s="288">
        <v>0</v>
      </c>
      <c r="BA435" s="499">
        <v>1</v>
      </c>
      <c r="BB435" s="288">
        <v>0</v>
      </c>
      <c r="BC435" s="288">
        <v>0</v>
      </c>
      <c r="BD435" s="499">
        <v>1</v>
      </c>
      <c r="BE435" s="499">
        <v>0</v>
      </c>
      <c r="BF435" s="499">
        <v>0</v>
      </c>
      <c r="BG435" s="448"/>
      <c r="BH435" s="448"/>
      <c r="BI435" s="345" t="s">
        <v>1018</v>
      </c>
      <c r="BJ435" s="499"/>
      <c r="BK435" s="499"/>
      <c r="BL435" s="345" t="s">
        <v>1018</v>
      </c>
      <c r="BM435" s="499"/>
      <c r="BN435" s="499"/>
      <c r="BO435" s="499"/>
    </row>
    <row r="436" spans="1:67" ht="14.5" x14ac:dyDescent="0.35">
      <c r="A436" s="316"/>
      <c r="B436" s="129">
        <v>88</v>
      </c>
      <c r="C436" s="277" t="s">
        <v>1033</v>
      </c>
      <c r="D436" s="340" t="s">
        <v>240</v>
      </c>
      <c r="E436" s="340" t="s">
        <v>241</v>
      </c>
      <c r="F436" s="288">
        <v>533.62</v>
      </c>
      <c r="G436" s="435">
        <v>619</v>
      </c>
      <c r="H436" s="541"/>
      <c r="I436" s="541"/>
      <c r="J436" s="541"/>
      <c r="K436" s="541"/>
      <c r="L436" s="541"/>
      <c r="M436" s="541"/>
      <c r="N436" s="541"/>
      <c r="O436" s="288" t="s">
        <v>362</v>
      </c>
      <c r="P436" s="288" t="s">
        <v>360</v>
      </c>
      <c r="Q436" s="501" t="s">
        <v>1018</v>
      </c>
      <c r="R436" s="345"/>
      <c r="S436" s="345"/>
      <c r="T436" s="345"/>
      <c r="U436" s="345">
        <v>4</v>
      </c>
      <c r="V436" s="288" t="s">
        <v>974</v>
      </c>
      <c r="W436" s="541"/>
      <c r="X436" s="345" t="s">
        <v>1019</v>
      </c>
      <c r="Y436" s="288" t="s">
        <v>910</v>
      </c>
      <c r="Z436" s="288" t="s">
        <v>349</v>
      </c>
      <c r="AA436" s="541"/>
      <c r="AB436" s="541"/>
      <c r="AC436" s="541"/>
      <c r="AD436" s="288" t="s">
        <v>347</v>
      </c>
      <c r="AE436" s="541"/>
      <c r="AF436" s="288" t="s">
        <v>812</v>
      </c>
      <c r="AG436" s="288" t="s">
        <v>348</v>
      </c>
      <c r="AH436" s="541"/>
      <c r="AI436" s="288" t="s">
        <v>358</v>
      </c>
      <c r="AJ436" s="288" t="s">
        <v>350</v>
      </c>
      <c r="AK436" s="541"/>
      <c r="AL436" s="541"/>
      <c r="AM436" s="541"/>
      <c r="AN436" s="288"/>
      <c r="AO436" s="288"/>
      <c r="AP436" s="288"/>
      <c r="AQ436" s="288"/>
      <c r="AR436" s="288"/>
      <c r="AS436" s="288"/>
      <c r="AT436" s="541"/>
      <c r="AU436" s="448"/>
      <c r="AV436" s="448"/>
      <c r="AW436" s="448"/>
      <c r="AX436" s="448"/>
      <c r="AY436" s="345" t="s">
        <v>1019</v>
      </c>
      <c r="AZ436" s="288">
        <v>0</v>
      </c>
      <c r="BA436" s="288">
        <v>0</v>
      </c>
      <c r="BB436" s="499">
        <v>1</v>
      </c>
      <c r="BC436" s="288">
        <v>0</v>
      </c>
      <c r="BD436" s="499">
        <v>1</v>
      </c>
      <c r="BE436" s="499">
        <v>0</v>
      </c>
      <c r="BF436" s="499">
        <v>0</v>
      </c>
      <c r="BG436" s="448"/>
      <c r="BH436" s="448"/>
      <c r="BI436" s="345" t="s">
        <v>1018</v>
      </c>
      <c r="BJ436" s="499"/>
      <c r="BK436" s="499"/>
      <c r="BL436" s="345" t="s">
        <v>1018</v>
      </c>
      <c r="BM436" s="499"/>
      <c r="BN436" s="499"/>
      <c r="BO436" s="499"/>
    </row>
    <row r="437" spans="1:67" ht="14.5" x14ac:dyDescent="0.35">
      <c r="A437" s="316"/>
      <c r="B437" s="129">
        <v>89</v>
      </c>
      <c r="C437" s="277" t="s">
        <v>1034</v>
      </c>
      <c r="D437" s="340" t="s">
        <v>240</v>
      </c>
      <c r="E437" s="340" t="s">
        <v>241</v>
      </c>
      <c r="F437" s="288">
        <v>512.07000000000005</v>
      </c>
      <c r="G437" s="435">
        <v>594</v>
      </c>
      <c r="H437" s="541"/>
      <c r="I437" s="541"/>
      <c r="J437" s="541"/>
      <c r="K437" s="541"/>
      <c r="L437" s="541"/>
      <c r="M437" s="541"/>
      <c r="N437" s="541"/>
      <c r="O437" s="288" t="s">
        <v>357</v>
      </c>
      <c r="P437" s="288" t="s">
        <v>912</v>
      </c>
      <c r="Q437" s="501" t="s">
        <v>1018</v>
      </c>
      <c r="R437" s="345"/>
      <c r="S437" s="345"/>
      <c r="T437" s="345"/>
      <c r="U437" s="345">
        <v>2</v>
      </c>
      <c r="V437" s="288" t="s">
        <v>974</v>
      </c>
      <c r="W437" s="541"/>
      <c r="X437" s="345" t="s">
        <v>1019</v>
      </c>
      <c r="Y437" s="288" t="s">
        <v>910</v>
      </c>
      <c r="Z437" s="288" t="s">
        <v>349</v>
      </c>
      <c r="AA437" s="541"/>
      <c r="AB437" s="541"/>
      <c r="AC437" s="541"/>
      <c r="AD437" s="288" t="s">
        <v>347</v>
      </c>
      <c r="AE437" s="541"/>
      <c r="AF437" s="288" t="s">
        <v>812</v>
      </c>
      <c r="AG437" s="288" t="s">
        <v>348</v>
      </c>
      <c r="AH437" s="541"/>
      <c r="AI437" s="288" t="s">
        <v>358</v>
      </c>
      <c r="AJ437" s="288" t="s">
        <v>350</v>
      </c>
      <c r="AK437" s="541"/>
      <c r="AL437" s="541"/>
      <c r="AM437" s="541"/>
      <c r="AN437" s="288"/>
      <c r="AO437" s="288"/>
      <c r="AP437" s="288"/>
      <c r="AQ437" s="288"/>
      <c r="AR437" s="288"/>
      <c r="AS437" s="288"/>
      <c r="AT437" s="541"/>
      <c r="AU437" s="448"/>
      <c r="AV437" s="448"/>
      <c r="AW437" s="448"/>
      <c r="AX437" s="448"/>
      <c r="AY437" s="345" t="s">
        <v>1019</v>
      </c>
      <c r="AZ437" s="288">
        <v>0</v>
      </c>
      <c r="BA437" s="499">
        <v>1</v>
      </c>
      <c r="BB437" s="288">
        <v>0</v>
      </c>
      <c r="BC437" s="288">
        <v>0</v>
      </c>
      <c r="BD437" s="499">
        <v>1</v>
      </c>
      <c r="BE437" s="499">
        <v>0</v>
      </c>
      <c r="BF437" s="499">
        <v>0</v>
      </c>
      <c r="BG437" s="448"/>
      <c r="BH437" s="448"/>
      <c r="BI437" s="345" t="s">
        <v>1018</v>
      </c>
      <c r="BJ437" s="499"/>
      <c r="BK437" s="499"/>
      <c r="BL437" s="345" t="s">
        <v>1018</v>
      </c>
      <c r="BM437" s="499"/>
      <c r="BN437" s="499"/>
      <c r="BO437" s="499"/>
    </row>
    <row r="438" spans="1:67" ht="14.5" x14ac:dyDescent="0.35">
      <c r="A438" s="316"/>
      <c r="B438" s="129">
        <v>90</v>
      </c>
      <c r="C438" s="277" t="s">
        <v>1035</v>
      </c>
      <c r="D438" s="340" t="s">
        <v>240</v>
      </c>
      <c r="E438" s="340" t="s">
        <v>241</v>
      </c>
      <c r="F438" s="288">
        <v>572.41</v>
      </c>
      <c r="G438" s="435">
        <v>664</v>
      </c>
      <c r="H438" s="541"/>
      <c r="I438" s="541"/>
      <c r="J438" s="541"/>
      <c r="K438" s="541"/>
      <c r="L438" s="541"/>
      <c r="M438" s="541"/>
      <c r="N438" s="541"/>
      <c r="O438" s="288" t="s">
        <v>357</v>
      </c>
      <c r="P438" s="288" t="s">
        <v>912</v>
      </c>
      <c r="Q438" s="501" t="s">
        <v>1018</v>
      </c>
      <c r="R438" s="345"/>
      <c r="S438" s="345"/>
      <c r="T438" s="345"/>
      <c r="U438" s="345">
        <v>4</v>
      </c>
      <c r="V438" s="288" t="s">
        <v>974</v>
      </c>
      <c r="W438" s="541"/>
      <c r="X438" s="345" t="s">
        <v>1019</v>
      </c>
      <c r="Y438" s="288" t="s">
        <v>910</v>
      </c>
      <c r="Z438" s="288" t="s">
        <v>349</v>
      </c>
      <c r="AA438" s="541"/>
      <c r="AB438" s="541"/>
      <c r="AC438" s="541"/>
      <c r="AD438" s="288" t="s">
        <v>347</v>
      </c>
      <c r="AE438" s="541"/>
      <c r="AF438" s="288" t="s">
        <v>812</v>
      </c>
      <c r="AG438" s="288" t="s">
        <v>348</v>
      </c>
      <c r="AH438" s="541"/>
      <c r="AI438" s="288" t="s">
        <v>358</v>
      </c>
      <c r="AJ438" s="288" t="s">
        <v>350</v>
      </c>
      <c r="AK438" s="541"/>
      <c r="AL438" s="541"/>
      <c r="AM438" s="541"/>
      <c r="AN438" s="288"/>
      <c r="AO438" s="288"/>
      <c r="AP438" s="288"/>
      <c r="AQ438" s="288"/>
      <c r="AR438" s="288"/>
      <c r="AS438" s="288"/>
      <c r="AT438" s="541"/>
      <c r="AU438" s="448"/>
      <c r="AV438" s="448"/>
      <c r="AW438" s="448"/>
      <c r="AX438" s="448"/>
      <c r="AY438" s="345" t="s">
        <v>1019</v>
      </c>
      <c r="AZ438" s="288">
        <v>0</v>
      </c>
      <c r="BA438" s="288">
        <v>0</v>
      </c>
      <c r="BB438" s="499">
        <v>1</v>
      </c>
      <c r="BC438" s="288">
        <v>0</v>
      </c>
      <c r="BD438" s="499">
        <v>1</v>
      </c>
      <c r="BE438" s="499">
        <v>0</v>
      </c>
      <c r="BF438" s="499">
        <v>0</v>
      </c>
      <c r="BG438" s="448"/>
      <c r="BH438" s="448"/>
      <c r="BI438" s="345" t="s">
        <v>1018</v>
      </c>
      <c r="BJ438" s="499"/>
      <c r="BK438" s="499"/>
      <c r="BL438" s="345" t="s">
        <v>1018</v>
      </c>
      <c r="BM438" s="499"/>
      <c r="BN438" s="499"/>
      <c r="BO438" s="499"/>
    </row>
    <row r="439" spans="1:67" ht="14.5" x14ac:dyDescent="0.35">
      <c r="A439" s="316"/>
      <c r="B439" s="129">
        <v>91</v>
      </c>
      <c r="C439" s="277" t="s">
        <v>1036</v>
      </c>
      <c r="D439" s="340" t="s">
        <v>240</v>
      </c>
      <c r="E439" s="340" t="s">
        <v>241</v>
      </c>
      <c r="F439" s="288">
        <v>757.76</v>
      </c>
      <c r="G439" s="435">
        <v>879</v>
      </c>
      <c r="H439" s="541"/>
      <c r="I439" s="541"/>
      <c r="J439" s="541"/>
      <c r="K439" s="541"/>
      <c r="L439" s="541"/>
      <c r="M439" s="541"/>
      <c r="N439" s="541"/>
      <c r="O439" s="288" t="s">
        <v>359</v>
      </c>
      <c r="P439" s="288" t="s">
        <v>354</v>
      </c>
      <c r="Q439" s="501" t="s">
        <v>1018</v>
      </c>
      <c r="R439" s="345"/>
      <c r="S439" s="345"/>
      <c r="T439" s="345"/>
      <c r="U439" s="345">
        <v>2</v>
      </c>
      <c r="V439" s="288" t="s">
        <v>974</v>
      </c>
      <c r="W439" s="541"/>
      <c r="X439" s="345" t="s">
        <v>1019</v>
      </c>
      <c r="Y439" s="288" t="s">
        <v>910</v>
      </c>
      <c r="Z439" s="288" t="s">
        <v>349</v>
      </c>
      <c r="AA439" s="541"/>
      <c r="AB439" s="541"/>
      <c r="AC439" s="541"/>
      <c r="AD439" s="288" t="s">
        <v>347</v>
      </c>
      <c r="AE439" s="541"/>
      <c r="AF439" s="288" t="s">
        <v>812</v>
      </c>
      <c r="AG439" s="288" t="s">
        <v>348</v>
      </c>
      <c r="AH439" s="541"/>
      <c r="AI439" s="288" t="s">
        <v>358</v>
      </c>
      <c r="AJ439" s="288" t="s">
        <v>350</v>
      </c>
      <c r="AK439" s="541"/>
      <c r="AL439" s="541"/>
      <c r="AM439" s="541"/>
      <c r="AN439" s="288"/>
      <c r="AO439" s="288"/>
      <c r="AP439" s="288"/>
      <c r="AQ439" s="288"/>
      <c r="AR439" s="288"/>
      <c r="AS439" s="288"/>
      <c r="AT439" s="541"/>
      <c r="AU439" s="448"/>
      <c r="AV439" s="448"/>
      <c r="AW439" s="448"/>
      <c r="AX439" s="448"/>
      <c r="AY439" s="345" t="s">
        <v>1019</v>
      </c>
      <c r="AZ439" s="288">
        <v>0</v>
      </c>
      <c r="BA439" s="499">
        <v>1</v>
      </c>
      <c r="BB439" s="288">
        <v>0</v>
      </c>
      <c r="BC439" s="288">
        <v>0</v>
      </c>
      <c r="BD439" s="499">
        <v>1</v>
      </c>
      <c r="BE439" s="499">
        <v>0</v>
      </c>
      <c r="BF439" s="499">
        <v>0</v>
      </c>
      <c r="BG439" s="448"/>
      <c r="BH439" s="448"/>
      <c r="BI439" s="345" t="s">
        <v>1018</v>
      </c>
      <c r="BJ439" s="499"/>
      <c r="BK439" s="499"/>
      <c r="BL439" s="345" t="s">
        <v>1018</v>
      </c>
      <c r="BM439" s="499"/>
      <c r="BN439" s="499"/>
      <c r="BO439" s="499"/>
    </row>
    <row r="440" spans="1:67" ht="14.5" x14ac:dyDescent="0.35">
      <c r="A440" s="316"/>
      <c r="B440" s="129">
        <v>92</v>
      </c>
      <c r="C440" s="277" t="s">
        <v>1037</v>
      </c>
      <c r="D440" s="340" t="s">
        <v>240</v>
      </c>
      <c r="E440" s="340" t="s">
        <v>241</v>
      </c>
      <c r="F440" s="288">
        <v>715.52</v>
      </c>
      <c r="G440" s="435">
        <v>830</v>
      </c>
      <c r="H440" s="541"/>
      <c r="I440" s="541"/>
      <c r="J440" s="541"/>
      <c r="K440" s="541"/>
      <c r="L440" s="541"/>
      <c r="M440" s="541"/>
      <c r="N440" s="541"/>
      <c r="O440" s="288" t="s">
        <v>359</v>
      </c>
      <c r="P440" s="288" t="s">
        <v>354</v>
      </c>
      <c r="Q440" s="501" t="s">
        <v>1018</v>
      </c>
      <c r="R440" s="345"/>
      <c r="S440" s="345"/>
      <c r="T440" s="345"/>
      <c r="U440" s="345">
        <v>4</v>
      </c>
      <c r="V440" s="288" t="s">
        <v>974</v>
      </c>
      <c r="W440" s="541"/>
      <c r="X440" s="345" t="s">
        <v>1019</v>
      </c>
      <c r="Y440" s="288" t="s">
        <v>910</v>
      </c>
      <c r="Z440" s="288" t="s">
        <v>349</v>
      </c>
      <c r="AA440" s="541"/>
      <c r="AB440" s="541"/>
      <c r="AC440" s="541"/>
      <c r="AD440" s="288" t="s">
        <v>347</v>
      </c>
      <c r="AE440" s="541"/>
      <c r="AF440" s="288" t="s">
        <v>812</v>
      </c>
      <c r="AG440" s="288" t="s">
        <v>348</v>
      </c>
      <c r="AH440" s="541"/>
      <c r="AI440" s="288" t="s">
        <v>358</v>
      </c>
      <c r="AJ440" s="288" t="s">
        <v>350</v>
      </c>
      <c r="AK440" s="541"/>
      <c r="AL440" s="541"/>
      <c r="AM440" s="541"/>
      <c r="AN440" s="288"/>
      <c r="AO440" s="288"/>
      <c r="AP440" s="288"/>
      <c r="AQ440" s="288"/>
      <c r="AR440" s="288"/>
      <c r="AS440" s="288"/>
      <c r="AT440" s="541"/>
      <c r="AU440" s="448"/>
      <c r="AV440" s="448"/>
      <c r="AW440" s="448"/>
      <c r="AX440" s="448"/>
      <c r="AY440" s="345" t="s">
        <v>1019</v>
      </c>
      <c r="AZ440" s="288">
        <v>0</v>
      </c>
      <c r="BA440" s="288">
        <v>0</v>
      </c>
      <c r="BB440" s="499">
        <v>1</v>
      </c>
      <c r="BC440" s="288">
        <v>0</v>
      </c>
      <c r="BD440" s="499">
        <v>1</v>
      </c>
      <c r="BE440" s="499">
        <v>0</v>
      </c>
      <c r="BF440" s="499">
        <v>0</v>
      </c>
      <c r="BG440" s="448"/>
      <c r="BH440" s="448"/>
      <c r="BI440" s="345" t="s">
        <v>1018</v>
      </c>
      <c r="BJ440" s="499"/>
      <c r="BK440" s="499"/>
      <c r="BL440" s="345" t="s">
        <v>1018</v>
      </c>
      <c r="BM440" s="499"/>
      <c r="BN440" s="499"/>
      <c r="BO440" s="499"/>
    </row>
    <row r="441" spans="1:67" ht="14.5" x14ac:dyDescent="0.35">
      <c r="A441" s="316"/>
      <c r="B441" s="129">
        <v>93</v>
      </c>
      <c r="C441" s="277" t="s">
        <v>1038</v>
      </c>
      <c r="D441" s="340" t="s">
        <v>240</v>
      </c>
      <c r="E441" s="340" t="s">
        <v>241</v>
      </c>
      <c r="F441" s="288">
        <v>1137.07</v>
      </c>
      <c r="G441" s="435">
        <v>1319</v>
      </c>
      <c r="H441" s="541"/>
      <c r="I441" s="541"/>
      <c r="J441" s="541"/>
      <c r="K441" s="541"/>
      <c r="L441" s="541"/>
      <c r="M441" s="541"/>
      <c r="N441" s="541"/>
      <c r="O441" s="288" t="s">
        <v>922</v>
      </c>
      <c r="P441" s="288" t="s">
        <v>354</v>
      </c>
      <c r="Q441" s="501" t="s">
        <v>1018</v>
      </c>
      <c r="R441" s="345"/>
      <c r="S441" s="345"/>
      <c r="T441" s="345"/>
      <c r="U441" s="345">
        <v>4</v>
      </c>
      <c r="V441" s="288" t="s">
        <v>974</v>
      </c>
      <c r="W441" s="541"/>
      <c r="X441" s="345" t="s">
        <v>1019</v>
      </c>
      <c r="Y441" s="288" t="s">
        <v>910</v>
      </c>
      <c r="Z441" s="288" t="s">
        <v>349</v>
      </c>
      <c r="AA441" s="541"/>
      <c r="AB441" s="541"/>
      <c r="AC441" s="541"/>
      <c r="AD441" s="288" t="s">
        <v>347</v>
      </c>
      <c r="AE441" s="541"/>
      <c r="AF441" s="288" t="s">
        <v>812</v>
      </c>
      <c r="AG441" s="288" t="s">
        <v>348</v>
      </c>
      <c r="AH441" s="541"/>
      <c r="AI441" s="288" t="s">
        <v>358</v>
      </c>
      <c r="AJ441" s="288" t="s">
        <v>350</v>
      </c>
      <c r="AK441" s="541"/>
      <c r="AL441" s="541"/>
      <c r="AM441" s="541"/>
      <c r="AN441" s="288"/>
      <c r="AO441" s="288"/>
      <c r="AP441" s="288"/>
      <c r="AQ441" s="288"/>
      <c r="AR441" s="288"/>
      <c r="AS441" s="288"/>
      <c r="AT441" s="541"/>
      <c r="AU441" s="448"/>
      <c r="AV441" s="448"/>
      <c r="AW441" s="448"/>
      <c r="AX441" s="448"/>
      <c r="AY441" s="345" t="s">
        <v>1019</v>
      </c>
      <c r="AZ441" s="288">
        <v>0</v>
      </c>
      <c r="BA441" s="288">
        <v>0</v>
      </c>
      <c r="BB441" s="499">
        <v>1</v>
      </c>
      <c r="BC441" s="288">
        <v>0</v>
      </c>
      <c r="BD441" s="499">
        <v>1</v>
      </c>
      <c r="BE441" s="499">
        <v>0</v>
      </c>
      <c r="BF441" s="499">
        <v>0</v>
      </c>
      <c r="BG441" s="448"/>
      <c r="BH441" s="448"/>
      <c r="BI441" s="345" t="s">
        <v>1018</v>
      </c>
      <c r="BJ441" s="499"/>
      <c r="BK441" s="499"/>
      <c r="BL441" s="345" t="s">
        <v>1018</v>
      </c>
      <c r="BM441" s="499"/>
      <c r="BN441" s="499"/>
      <c r="BO441" s="499"/>
    </row>
    <row r="442" spans="1:67" ht="14.5" x14ac:dyDescent="0.35">
      <c r="A442" s="316"/>
      <c r="B442" s="129">
        <v>94</v>
      </c>
      <c r="C442" s="277" t="s">
        <v>1039</v>
      </c>
      <c r="D442" s="340" t="s">
        <v>240</v>
      </c>
      <c r="E442" s="340" t="s">
        <v>241</v>
      </c>
      <c r="F442" s="288">
        <v>1098.28</v>
      </c>
      <c r="G442" s="435">
        <v>1274</v>
      </c>
      <c r="H442" s="541"/>
      <c r="I442" s="541"/>
      <c r="J442" s="541"/>
      <c r="K442" s="541"/>
      <c r="L442" s="541"/>
      <c r="M442" s="541"/>
      <c r="N442" s="541"/>
      <c r="O442" s="288" t="s">
        <v>922</v>
      </c>
      <c r="P442" s="288" t="s">
        <v>354</v>
      </c>
      <c r="Q442" s="501" t="s">
        <v>1018</v>
      </c>
      <c r="R442" s="345"/>
      <c r="S442" s="345"/>
      <c r="T442" s="345"/>
      <c r="U442" s="345">
        <v>2</v>
      </c>
      <c r="V442" s="288" t="s">
        <v>974</v>
      </c>
      <c r="W442" s="541"/>
      <c r="X442" s="345" t="s">
        <v>1019</v>
      </c>
      <c r="Y442" s="288" t="s">
        <v>910</v>
      </c>
      <c r="Z442" s="288" t="s">
        <v>349</v>
      </c>
      <c r="AA442" s="541"/>
      <c r="AB442" s="541"/>
      <c r="AC442" s="541"/>
      <c r="AD442" s="288" t="s">
        <v>347</v>
      </c>
      <c r="AE442" s="541"/>
      <c r="AF442" s="288" t="s">
        <v>812</v>
      </c>
      <c r="AG442" s="288" t="s">
        <v>348</v>
      </c>
      <c r="AH442" s="541"/>
      <c r="AI442" s="288" t="s">
        <v>358</v>
      </c>
      <c r="AJ442" s="288" t="s">
        <v>350</v>
      </c>
      <c r="AK442" s="541"/>
      <c r="AL442" s="541"/>
      <c r="AM442" s="541"/>
      <c r="AN442" s="288"/>
      <c r="AO442" s="288"/>
      <c r="AP442" s="288"/>
      <c r="AQ442" s="288"/>
      <c r="AR442" s="288"/>
      <c r="AS442" s="288"/>
      <c r="AT442" s="541"/>
      <c r="AU442" s="448"/>
      <c r="AV442" s="448"/>
      <c r="AW442" s="448"/>
      <c r="AX442" s="448"/>
      <c r="AY442" s="345" t="s">
        <v>1019</v>
      </c>
      <c r="AZ442" s="288">
        <v>0</v>
      </c>
      <c r="BA442" s="499">
        <v>1</v>
      </c>
      <c r="BB442" s="288">
        <v>0</v>
      </c>
      <c r="BC442" s="288">
        <v>0</v>
      </c>
      <c r="BD442" s="499">
        <v>1</v>
      </c>
      <c r="BE442" s="499">
        <v>0</v>
      </c>
      <c r="BF442" s="499">
        <v>0</v>
      </c>
      <c r="BG442" s="448"/>
      <c r="BH442" s="448"/>
      <c r="BI442" s="345" t="s">
        <v>1018</v>
      </c>
      <c r="BJ442" s="499"/>
      <c r="BK442" s="499"/>
      <c r="BL442" s="345" t="s">
        <v>1018</v>
      </c>
      <c r="BM442" s="499"/>
      <c r="BN442" s="499"/>
      <c r="BO442" s="499"/>
    </row>
    <row r="443" spans="1:67" ht="14.5" x14ac:dyDescent="0.35">
      <c r="A443" s="316"/>
      <c r="B443" s="129">
        <v>95</v>
      </c>
      <c r="C443" s="277" t="s">
        <v>817</v>
      </c>
      <c r="D443" s="340" t="s">
        <v>242</v>
      </c>
      <c r="E443" s="340" t="s">
        <v>243</v>
      </c>
      <c r="F443" s="444">
        <v>423.10999999999996</v>
      </c>
      <c r="G443" s="444">
        <v>499</v>
      </c>
      <c r="H443" s="288">
        <v>1</v>
      </c>
      <c r="I443" s="288" t="s">
        <v>355</v>
      </c>
      <c r="J443" s="288" t="s">
        <v>356</v>
      </c>
      <c r="K443" s="288" t="s">
        <v>356</v>
      </c>
      <c r="L443" s="288" t="s">
        <v>356</v>
      </c>
      <c r="M443" s="288">
        <v>5</v>
      </c>
      <c r="N443" s="288" t="s">
        <v>911</v>
      </c>
      <c r="O443" s="288" t="s">
        <v>353</v>
      </c>
      <c r="P443" s="288" t="s">
        <v>353</v>
      </c>
      <c r="Q443" s="501" t="s">
        <v>1018</v>
      </c>
      <c r="R443" s="345"/>
      <c r="S443" s="345"/>
      <c r="T443" s="345"/>
      <c r="U443" s="541"/>
      <c r="V443" s="541"/>
      <c r="W443" s="541"/>
      <c r="X443" s="345" t="s">
        <v>1018</v>
      </c>
      <c r="Y443" s="541"/>
      <c r="Z443" s="541"/>
      <c r="AA443" s="541"/>
      <c r="AB443" s="541"/>
      <c r="AC443" s="541"/>
      <c r="AD443" s="288" t="s">
        <v>347</v>
      </c>
      <c r="AE443" s="541"/>
      <c r="AF443" s="541"/>
      <c r="AG443" s="542" t="s">
        <v>1200</v>
      </c>
      <c r="AH443" s="541"/>
      <c r="AI443" s="345" t="s">
        <v>1201</v>
      </c>
      <c r="AJ443" s="541"/>
      <c r="AK443" s="345" t="s">
        <v>1203</v>
      </c>
      <c r="AL443" s="345" t="s">
        <v>1207</v>
      </c>
      <c r="AM443" s="345" t="s">
        <v>1208</v>
      </c>
      <c r="AN443" s="345" t="s">
        <v>1209</v>
      </c>
      <c r="AO443" s="541"/>
      <c r="AP443" s="541"/>
      <c r="AQ443" s="541"/>
      <c r="AR443" s="345" t="s">
        <v>1210</v>
      </c>
      <c r="AS443" s="345" t="s">
        <v>1211</v>
      </c>
      <c r="AT443" s="541"/>
      <c r="AU443" s="448"/>
      <c r="AV443" s="448"/>
      <c r="AW443" s="448"/>
      <c r="AX443" s="448"/>
      <c r="AY443" s="345" t="s">
        <v>1018</v>
      </c>
      <c r="AZ443" s="288">
        <v>0</v>
      </c>
      <c r="BA443" s="288">
        <v>0</v>
      </c>
      <c r="BB443" s="288">
        <v>0</v>
      </c>
      <c r="BC443" s="288">
        <v>0</v>
      </c>
      <c r="BD443" s="288">
        <v>0</v>
      </c>
      <c r="BE443" s="288">
        <v>0</v>
      </c>
      <c r="BF443" s="288">
        <v>0</v>
      </c>
      <c r="BG443" s="448"/>
      <c r="BH443" s="448"/>
      <c r="BI443" s="345" t="s">
        <v>1018</v>
      </c>
      <c r="BJ443" s="499"/>
      <c r="BK443" s="499"/>
      <c r="BL443" s="345" t="s">
        <v>1040</v>
      </c>
      <c r="BM443" s="499" t="s">
        <v>1041</v>
      </c>
      <c r="BN443" s="499">
        <v>8</v>
      </c>
      <c r="BO443" s="510" t="s">
        <v>1042</v>
      </c>
    </row>
    <row r="444" spans="1:67" ht="14.5" x14ac:dyDescent="0.35">
      <c r="A444" s="316"/>
      <c r="B444" s="129">
        <v>96</v>
      </c>
      <c r="C444" s="277" t="s">
        <v>818</v>
      </c>
      <c r="D444" s="340" t="s">
        <v>242</v>
      </c>
      <c r="E444" s="340" t="s">
        <v>243</v>
      </c>
      <c r="F444" s="444">
        <v>635.96</v>
      </c>
      <c r="G444" s="444">
        <v>749</v>
      </c>
      <c r="H444" s="288">
        <v>2</v>
      </c>
      <c r="I444" s="288" t="s">
        <v>355</v>
      </c>
      <c r="J444" s="288" t="s">
        <v>355</v>
      </c>
      <c r="K444" s="288" t="s">
        <v>356</v>
      </c>
      <c r="L444" s="288" t="s">
        <v>356</v>
      </c>
      <c r="M444" s="288">
        <v>5</v>
      </c>
      <c r="N444" s="288" t="s">
        <v>911</v>
      </c>
      <c r="O444" s="288" t="s">
        <v>354</v>
      </c>
      <c r="P444" s="288" t="s">
        <v>354</v>
      </c>
      <c r="Q444" s="501" t="s">
        <v>1018</v>
      </c>
      <c r="R444" s="345"/>
      <c r="S444" s="345"/>
      <c r="T444" s="345"/>
      <c r="U444" s="541"/>
      <c r="V444" s="541"/>
      <c r="W444" s="541"/>
      <c r="X444" s="345" t="s">
        <v>1018</v>
      </c>
      <c r="Y444" s="541"/>
      <c r="Z444" s="541"/>
      <c r="AA444" s="541"/>
      <c r="AB444" s="541"/>
      <c r="AC444" s="541"/>
      <c r="AD444" s="288" t="s">
        <v>347</v>
      </c>
      <c r="AE444" s="541"/>
      <c r="AF444" s="541"/>
      <c r="AG444" s="542" t="s">
        <v>1200</v>
      </c>
      <c r="AH444" s="541"/>
      <c r="AI444" s="345" t="s">
        <v>1201</v>
      </c>
      <c r="AJ444" s="541"/>
      <c r="AK444" s="345" t="s">
        <v>1203</v>
      </c>
      <c r="AL444" s="345" t="s">
        <v>1207</v>
      </c>
      <c r="AM444" s="345" t="s">
        <v>1208</v>
      </c>
      <c r="AN444" s="345" t="s">
        <v>1209</v>
      </c>
      <c r="AO444" s="541"/>
      <c r="AP444" s="541"/>
      <c r="AQ444" s="541"/>
      <c r="AR444" s="345" t="s">
        <v>1210</v>
      </c>
      <c r="AS444" s="345" t="s">
        <v>1211</v>
      </c>
      <c r="AT444" s="541"/>
      <c r="AU444" s="448"/>
      <c r="AV444" s="448"/>
      <c r="AW444" s="448"/>
      <c r="AX444" s="448"/>
      <c r="AY444" s="345" t="s">
        <v>1018</v>
      </c>
      <c r="AZ444" s="288">
        <v>0</v>
      </c>
      <c r="BA444" s="288">
        <v>0</v>
      </c>
      <c r="BB444" s="288">
        <v>0</v>
      </c>
      <c r="BC444" s="288">
        <v>0</v>
      </c>
      <c r="BD444" s="288">
        <v>0</v>
      </c>
      <c r="BE444" s="288">
        <v>0</v>
      </c>
      <c r="BF444" s="288">
        <v>0</v>
      </c>
      <c r="BG444" s="448"/>
      <c r="BH444" s="448"/>
      <c r="BI444" s="345" t="s">
        <v>1018</v>
      </c>
      <c r="BJ444" s="499"/>
      <c r="BK444" s="499"/>
      <c r="BL444" s="345" t="s">
        <v>1040</v>
      </c>
      <c r="BM444" s="499" t="s">
        <v>1041</v>
      </c>
      <c r="BN444" s="499">
        <v>8</v>
      </c>
      <c r="BO444" s="510" t="s">
        <v>1042</v>
      </c>
    </row>
    <row r="445" spans="1:67" ht="14.5" x14ac:dyDescent="0.35">
      <c r="A445" s="316"/>
      <c r="B445" s="129">
        <v>97</v>
      </c>
      <c r="C445" s="277" t="s">
        <v>1043</v>
      </c>
      <c r="D445" s="340" t="s">
        <v>242</v>
      </c>
      <c r="E445" s="340" t="s">
        <v>243</v>
      </c>
      <c r="F445" s="444">
        <v>933.26</v>
      </c>
      <c r="G445" s="444">
        <v>1099</v>
      </c>
      <c r="H445" s="288">
        <v>2</v>
      </c>
      <c r="I445" s="288" t="s">
        <v>355</v>
      </c>
      <c r="J445" s="288" t="s">
        <v>356</v>
      </c>
      <c r="K445" s="288" t="s">
        <v>356</v>
      </c>
      <c r="L445" s="288" t="s">
        <v>356</v>
      </c>
      <c r="M445" s="288">
        <v>5</v>
      </c>
      <c r="N445" s="288" t="s">
        <v>911</v>
      </c>
      <c r="O445" s="288" t="s">
        <v>364</v>
      </c>
      <c r="P445" s="288" t="s">
        <v>364</v>
      </c>
      <c r="Q445" s="501" t="s">
        <v>1018</v>
      </c>
      <c r="R445" s="345"/>
      <c r="S445" s="345"/>
      <c r="T445" s="345"/>
      <c r="U445" s="541"/>
      <c r="V445" s="541"/>
      <c r="W445" s="541"/>
      <c r="X445" s="345" t="s">
        <v>1018</v>
      </c>
      <c r="Y445" s="541"/>
      <c r="Z445" s="541"/>
      <c r="AA445" s="541"/>
      <c r="AB445" s="541"/>
      <c r="AC445" s="541"/>
      <c r="AD445" s="288" t="s">
        <v>347</v>
      </c>
      <c r="AE445" s="541"/>
      <c r="AF445" s="541"/>
      <c r="AG445" s="542" t="s">
        <v>1200</v>
      </c>
      <c r="AH445" s="541"/>
      <c r="AI445" s="345" t="s">
        <v>1201</v>
      </c>
      <c r="AJ445" s="541"/>
      <c r="AK445" s="345" t="s">
        <v>1203</v>
      </c>
      <c r="AL445" s="345" t="s">
        <v>1207</v>
      </c>
      <c r="AM445" s="345" t="s">
        <v>1208</v>
      </c>
      <c r="AN445" s="345" t="s">
        <v>1209</v>
      </c>
      <c r="AO445" s="541"/>
      <c r="AP445" s="345" t="s">
        <v>1212</v>
      </c>
      <c r="AQ445" s="541"/>
      <c r="AR445" s="345" t="s">
        <v>1210</v>
      </c>
      <c r="AS445" s="345" t="s">
        <v>1211</v>
      </c>
      <c r="AT445" s="541"/>
      <c r="AU445" s="448"/>
      <c r="AV445" s="448"/>
      <c r="AW445" s="448"/>
      <c r="AX445" s="448"/>
      <c r="AY445" s="345" t="s">
        <v>1018</v>
      </c>
      <c r="AZ445" s="288">
        <v>0</v>
      </c>
      <c r="BA445" s="288">
        <v>0</v>
      </c>
      <c r="BB445" s="288">
        <v>0</v>
      </c>
      <c r="BC445" s="288">
        <v>0</v>
      </c>
      <c r="BD445" s="288">
        <v>0</v>
      </c>
      <c r="BE445" s="288">
        <v>0</v>
      </c>
      <c r="BF445" s="288">
        <v>0</v>
      </c>
      <c r="BG445" s="448"/>
      <c r="BH445" s="448"/>
      <c r="BI445" s="345" t="s">
        <v>1018</v>
      </c>
      <c r="BJ445" s="499"/>
      <c r="BK445" s="499"/>
      <c r="BL445" s="345" t="s">
        <v>1040</v>
      </c>
      <c r="BM445" s="499" t="s">
        <v>1041</v>
      </c>
      <c r="BN445" s="499">
        <v>8</v>
      </c>
      <c r="BO445" s="510" t="s">
        <v>1042</v>
      </c>
    </row>
    <row r="446" spans="1:67" ht="14.5" x14ac:dyDescent="0.35">
      <c r="A446" s="316"/>
      <c r="B446" s="129">
        <v>98</v>
      </c>
      <c r="C446" s="277" t="s">
        <v>844</v>
      </c>
      <c r="D446" s="340" t="s">
        <v>242</v>
      </c>
      <c r="E446" s="340" t="s">
        <v>243</v>
      </c>
      <c r="F446" s="444">
        <v>1646.4499999999998</v>
      </c>
      <c r="G446" s="444">
        <v>1936</v>
      </c>
      <c r="H446" s="288">
        <v>2</v>
      </c>
      <c r="I446" s="288" t="s">
        <v>355</v>
      </c>
      <c r="J446" s="288" t="s">
        <v>355</v>
      </c>
      <c r="K446" s="288" t="s">
        <v>356</v>
      </c>
      <c r="L446" s="288" t="s">
        <v>356</v>
      </c>
      <c r="M446" s="288">
        <v>5</v>
      </c>
      <c r="N446" s="288" t="s">
        <v>911</v>
      </c>
      <c r="O446" s="288" t="s">
        <v>914</v>
      </c>
      <c r="P446" s="288" t="s">
        <v>914</v>
      </c>
      <c r="Q446" s="501" t="s">
        <v>1018</v>
      </c>
      <c r="R446" s="345"/>
      <c r="S446" s="345"/>
      <c r="T446" s="345"/>
      <c r="U446" s="345">
        <v>4</v>
      </c>
      <c r="V446" s="345" t="s">
        <v>974</v>
      </c>
      <c r="W446" s="541"/>
      <c r="X446" s="345" t="s">
        <v>1018</v>
      </c>
      <c r="Y446" s="541"/>
      <c r="Z446" s="541"/>
      <c r="AA446" s="541"/>
      <c r="AB446" s="541"/>
      <c r="AC446" s="541"/>
      <c r="AD446" s="288" t="s">
        <v>347</v>
      </c>
      <c r="AE446" s="541"/>
      <c r="AF446" s="541"/>
      <c r="AG446" s="542" t="s">
        <v>1200</v>
      </c>
      <c r="AH446" s="541"/>
      <c r="AI446" s="345" t="s">
        <v>1201</v>
      </c>
      <c r="AJ446" s="541"/>
      <c r="AK446" s="345" t="s">
        <v>1203</v>
      </c>
      <c r="AL446" s="345" t="s">
        <v>1207</v>
      </c>
      <c r="AM446" s="345" t="s">
        <v>1208</v>
      </c>
      <c r="AN446" s="288"/>
      <c r="AO446" s="345" t="s">
        <v>1213</v>
      </c>
      <c r="AP446" s="345" t="s">
        <v>1212</v>
      </c>
      <c r="AQ446" s="345" t="s">
        <v>1214</v>
      </c>
      <c r="AR446" s="345" t="s">
        <v>1210</v>
      </c>
      <c r="AS446" s="345" t="s">
        <v>1211</v>
      </c>
      <c r="AT446" s="541"/>
      <c r="AU446" s="448"/>
      <c r="AV446" s="448"/>
      <c r="AW446" s="448"/>
      <c r="AX446" s="448"/>
      <c r="AY446" s="345" t="s">
        <v>1018</v>
      </c>
      <c r="AZ446" s="288">
        <v>0</v>
      </c>
      <c r="BA446" s="288">
        <v>0</v>
      </c>
      <c r="BB446" s="499">
        <v>1</v>
      </c>
      <c r="BC446" s="288">
        <v>0</v>
      </c>
      <c r="BD446" s="288">
        <v>0</v>
      </c>
      <c r="BE446" s="288">
        <v>0</v>
      </c>
      <c r="BF446" s="288">
        <v>0</v>
      </c>
      <c r="BG446" s="448"/>
      <c r="BH446" s="448"/>
      <c r="BI446" s="345" t="s">
        <v>1018</v>
      </c>
      <c r="BJ446" s="499"/>
      <c r="BK446" s="499"/>
      <c r="BL446" s="345" t="s">
        <v>1040</v>
      </c>
      <c r="BM446" s="499" t="s">
        <v>1041</v>
      </c>
      <c r="BN446" s="499">
        <v>8</v>
      </c>
      <c r="BO446" s="510" t="s">
        <v>1042</v>
      </c>
    </row>
    <row r="447" spans="1:67" ht="14.5" x14ac:dyDescent="0.35">
      <c r="A447" s="316"/>
      <c r="B447" s="129">
        <v>99</v>
      </c>
      <c r="C447" s="277" t="s">
        <v>845</v>
      </c>
      <c r="D447" s="340" t="s">
        <v>242</v>
      </c>
      <c r="E447" s="340" t="s">
        <v>243</v>
      </c>
      <c r="F447" s="444">
        <v>1934.41</v>
      </c>
      <c r="G447" s="444">
        <v>2276</v>
      </c>
      <c r="H447" s="288">
        <v>4</v>
      </c>
      <c r="I447" s="288" t="s">
        <v>355</v>
      </c>
      <c r="J447" s="288" t="s">
        <v>355</v>
      </c>
      <c r="K447" s="288" t="s">
        <v>356</v>
      </c>
      <c r="L447" s="288" t="s">
        <v>356</v>
      </c>
      <c r="M447" s="288">
        <v>5</v>
      </c>
      <c r="N447" s="288" t="s">
        <v>911</v>
      </c>
      <c r="O447" s="288" t="s">
        <v>913</v>
      </c>
      <c r="P447" s="288" t="s">
        <v>913</v>
      </c>
      <c r="Q447" s="501" t="s">
        <v>1018</v>
      </c>
      <c r="R447" s="345"/>
      <c r="S447" s="345"/>
      <c r="T447" s="345"/>
      <c r="U447" s="345">
        <v>4</v>
      </c>
      <c r="V447" s="345" t="s">
        <v>974</v>
      </c>
      <c r="W447" s="541"/>
      <c r="X447" s="345" t="s">
        <v>1018</v>
      </c>
      <c r="Y447" s="541"/>
      <c r="Z447" s="541"/>
      <c r="AA447" s="541"/>
      <c r="AB447" s="541"/>
      <c r="AC447" s="541"/>
      <c r="AD447" s="288" t="s">
        <v>347</v>
      </c>
      <c r="AE447" s="541"/>
      <c r="AF447" s="541"/>
      <c r="AG447" s="542" t="s">
        <v>1200</v>
      </c>
      <c r="AH447" s="541"/>
      <c r="AI447" s="345" t="s">
        <v>1201</v>
      </c>
      <c r="AJ447" s="541"/>
      <c r="AK447" s="345" t="s">
        <v>1203</v>
      </c>
      <c r="AL447" s="345" t="s">
        <v>1207</v>
      </c>
      <c r="AM447" s="345" t="s">
        <v>1208</v>
      </c>
      <c r="AN447" s="288"/>
      <c r="AO447" s="345" t="s">
        <v>1213</v>
      </c>
      <c r="AP447" s="345" t="s">
        <v>1212</v>
      </c>
      <c r="AQ447" s="345" t="s">
        <v>1214</v>
      </c>
      <c r="AR447" s="345" t="s">
        <v>1210</v>
      </c>
      <c r="AS447" s="345" t="s">
        <v>1211</v>
      </c>
      <c r="AT447" s="541"/>
      <c r="AU447" s="448"/>
      <c r="AV447" s="448"/>
      <c r="AW447" s="448"/>
      <c r="AX447" s="448"/>
      <c r="AY447" s="345" t="s">
        <v>1018</v>
      </c>
      <c r="AZ447" s="288">
        <v>0</v>
      </c>
      <c r="BA447" s="288">
        <v>0</v>
      </c>
      <c r="BB447" s="499">
        <v>1</v>
      </c>
      <c r="BC447" s="288">
        <v>0</v>
      </c>
      <c r="BD447" s="288">
        <v>0</v>
      </c>
      <c r="BE447" s="288">
        <v>0</v>
      </c>
      <c r="BF447" s="288">
        <v>0</v>
      </c>
      <c r="BG447" s="448"/>
      <c r="BH447" s="448"/>
      <c r="BI447" s="345" t="s">
        <v>1018</v>
      </c>
      <c r="BJ447" s="499"/>
      <c r="BK447" s="499"/>
      <c r="BL447" s="345" t="s">
        <v>1040</v>
      </c>
      <c r="BM447" s="499" t="s">
        <v>1041</v>
      </c>
      <c r="BN447" s="499">
        <v>8</v>
      </c>
      <c r="BO447" s="510" t="s">
        <v>1042</v>
      </c>
    </row>
    <row r="448" spans="1:67" ht="14.5" x14ac:dyDescent="0.35">
      <c r="A448" s="316"/>
      <c r="B448" s="129">
        <v>100</v>
      </c>
      <c r="C448" s="277" t="s">
        <v>846</v>
      </c>
      <c r="D448" s="340" t="s">
        <v>242</v>
      </c>
      <c r="E448" s="340" t="s">
        <v>243</v>
      </c>
      <c r="F448" s="444">
        <v>2399.6800000000003</v>
      </c>
      <c r="G448" s="444">
        <v>2826</v>
      </c>
      <c r="H448" s="288">
        <v>6</v>
      </c>
      <c r="I448" s="288" t="s">
        <v>355</v>
      </c>
      <c r="J448" s="288" t="s">
        <v>355</v>
      </c>
      <c r="K448" s="288" t="s">
        <v>356</v>
      </c>
      <c r="L448" s="288" t="s">
        <v>356</v>
      </c>
      <c r="M448" s="288">
        <v>5</v>
      </c>
      <c r="N448" s="288" t="s">
        <v>911</v>
      </c>
      <c r="O448" s="288" t="s">
        <v>913</v>
      </c>
      <c r="P448" s="288" t="s">
        <v>913</v>
      </c>
      <c r="Q448" s="501" t="s">
        <v>1018</v>
      </c>
      <c r="R448" s="345"/>
      <c r="S448" s="345"/>
      <c r="T448" s="345"/>
      <c r="U448" s="345">
        <v>4</v>
      </c>
      <c r="V448" s="345" t="s">
        <v>974</v>
      </c>
      <c r="W448" s="541"/>
      <c r="X448" s="345" t="s">
        <v>1018</v>
      </c>
      <c r="Y448" s="541"/>
      <c r="Z448" s="541"/>
      <c r="AA448" s="541"/>
      <c r="AB448" s="541"/>
      <c r="AC448" s="541"/>
      <c r="AD448" s="288" t="s">
        <v>347</v>
      </c>
      <c r="AE448" s="541"/>
      <c r="AF448" s="541"/>
      <c r="AG448" s="542" t="s">
        <v>1200</v>
      </c>
      <c r="AH448" s="541"/>
      <c r="AI448" s="345" t="s">
        <v>1201</v>
      </c>
      <c r="AJ448" s="541"/>
      <c r="AK448" s="345" t="s">
        <v>1203</v>
      </c>
      <c r="AL448" s="345" t="s">
        <v>1207</v>
      </c>
      <c r="AM448" s="345" t="s">
        <v>1208</v>
      </c>
      <c r="AN448" s="288"/>
      <c r="AO448" s="345" t="s">
        <v>1213</v>
      </c>
      <c r="AP448" s="345" t="s">
        <v>1212</v>
      </c>
      <c r="AQ448" s="345" t="s">
        <v>1214</v>
      </c>
      <c r="AR448" s="345" t="s">
        <v>1210</v>
      </c>
      <c r="AS448" s="345" t="s">
        <v>1211</v>
      </c>
      <c r="AT448" s="541"/>
      <c r="AU448" s="448"/>
      <c r="AV448" s="448"/>
      <c r="AW448" s="448"/>
      <c r="AX448" s="448"/>
      <c r="AY448" s="345" t="s">
        <v>1018</v>
      </c>
      <c r="AZ448" s="288">
        <v>0</v>
      </c>
      <c r="BA448" s="288">
        <v>0</v>
      </c>
      <c r="BB448" s="499">
        <v>1</v>
      </c>
      <c r="BC448" s="288">
        <v>0</v>
      </c>
      <c r="BD448" s="288">
        <v>0</v>
      </c>
      <c r="BE448" s="288">
        <v>0</v>
      </c>
      <c r="BF448" s="288">
        <v>0</v>
      </c>
      <c r="BG448" s="448"/>
      <c r="BH448" s="448"/>
      <c r="BI448" s="345" t="s">
        <v>1018</v>
      </c>
      <c r="BJ448" s="499"/>
      <c r="BK448" s="499"/>
      <c r="BL448" s="345" t="s">
        <v>1040</v>
      </c>
      <c r="BM448" s="499" t="s">
        <v>1041</v>
      </c>
      <c r="BN448" s="499">
        <v>8</v>
      </c>
      <c r="BO448" s="510" t="s">
        <v>1042</v>
      </c>
    </row>
    <row r="449" spans="1:75" ht="14.5" x14ac:dyDescent="0.35">
      <c r="A449" s="316"/>
      <c r="B449" s="129">
        <v>101</v>
      </c>
      <c r="C449" s="277" t="s">
        <v>1044</v>
      </c>
      <c r="D449" s="340" t="s">
        <v>242</v>
      </c>
      <c r="E449" s="340" t="s">
        <v>243</v>
      </c>
      <c r="F449" s="444">
        <v>526.89</v>
      </c>
      <c r="G449" s="444">
        <v>619</v>
      </c>
      <c r="H449" s="288">
        <v>1</v>
      </c>
      <c r="I449" s="288" t="s">
        <v>355</v>
      </c>
      <c r="J449" s="288" t="s">
        <v>356</v>
      </c>
      <c r="K449" s="288" t="s">
        <v>356</v>
      </c>
      <c r="L449" s="288" t="s">
        <v>356</v>
      </c>
      <c r="M449" s="288">
        <v>5</v>
      </c>
      <c r="N449" s="288" t="s">
        <v>911</v>
      </c>
      <c r="O449" s="288" t="s">
        <v>353</v>
      </c>
      <c r="P449" s="288" t="s">
        <v>353</v>
      </c>
      <c r="Q449" s="501" t="s">
        <v>1018</v>
      </c>
      <c r="R449" s="345"/>
      <c r="S449" s="345"/>
      <c r="T449" s="345"/>
      <c r="U449" s="345">
        <v>1</v>
      </c>
      <c r="V449" s="345" t="s">
        <v>974</v>
      </c>
      <c r="W449" s="541"/>
      <c r="X449" s="345" t="s">
        <v>1018</v>
      </c>
      <c r="Y449" s="541"/>
      <c r="Z449" s="541"/>
      <c r="AA449" s="541"/>
      <c r="AB449" s="541"/>
      <c r="AC449" s="541"/>
      <c r="AD449" s="288" t="s">
        <v>347</v>
      </c>
      <c r="AE449" s="541"/>
      <c r="AF449" s="541"/>
      <c r="AG449" s="542" t="s">
        <v>1200</v>
      </c>
      <c r="AH449" s="541"/>
      <c r="AI449" s="345" t="s">
        <v>1201</v>
      </c>
      <c r="AJ449" s="541"/>
      <c r="AK449" s="345" t="s">
        <v>1203</v>
      </c>
      <c r="AL449" s="345" t="s">
        <v>1207</v>
      </c>
      <c r="AM449" s="345" t="s">
        <v>1208</v>
      </c>
      <c r="AN449" s="345" t="s">
        <v>1209</v>
      </c>
      <c r="AO449" s="541"/>
      <c r="AP449" s="541"/>
      <c r="AQ449" s="541"/>
      <c r="AR449" s="345" t="s">
        <v>1210</v>
      </c>
      <c r="AS449" s="345" t="s">
        <v>1211</v>
      </c>
      <c r="AT449" s="541"/>
      <c r="AU449" s="448"/>
      <c r="AV449" s="448"/>
      <c r="AW449" s="448"/>
      <c r="AX449" s="448"/>
      <c r="AY449" s="345" t="s">
        <v>1018</v>
      </c>
      <c r="AZ449" s="499">
        <v>1</v>
      </c>
      <c r="BA449" s="288">
        <v>0</v>
      </c>
      <c r="BB449" s="288">
        <v>0</v>
      </c>
      <c r="BC449" s="288">
        <v>0</v>
      </c>
      <c r="BD449" s="288">
        <v>0</v>
      </c>
      <c r="BE449" s="288">
        <v>0</v>
      </c>
      <c r="BF449" s="288">
        <v>0</v>
      </c>
      <c r="BG449" s="448"/>
      <c r="BH449" s="448"/>
      <c r="BI449" s="345" t="s">
        <v>1018</v>
      </c>
      <c r="BJ449" s="499"/>
      <c r="BK449" s="499"/>
      <c r="BL449" s="345" t="s">
        <v>1040</v>
      </c>
      <c r="BM449" s="499" t="s">
        <v>1041</v>
      </c>
      <c r="BN449" s="499">
        <v>8</v>
      </c>
      <c r="BO449" s="510" t="s">
        <v>1042</v>
      </c>
    </row>
    <row r="450" spans="1:75" ht="14.5" x14ac:dyDescent="0.35">
      <c r="A450" s="316"/>
      <c r="B450" s="129">
        <v>102</v>
      </c>
      <c r="C450" s="277" t="s">
        <v>1045</v>
      </c>
      <c r="D450" s="340" t="s">
        <v>242</v>
      </c>
      <c r="E450" s="340" t="s">
        <v>243</v>
      </c>
      <c r="F450" s="444">
        <v>576.02</v>
      </c>
      <c r="G450" s="444">
        <v>676</v>
      </c>
      <c r="H450" s="288">
        <v>1</v>
      </c>
      <c r="I450" s="288" t="s">
        <v>355</v>
      </c>
      <c r="J450" s="288" t="s">
        <v>356</v>
      </c>
      <c r="K450" s="288" t="s">
        <v>356</v>
      </c>
      <c r="L450" s="288" t="s">
        <v>356</v>
      </c>
      <c r="M450" s="288">
        <v>5</v>
      </c>
      <c r="N450" s="288" t="s">
        <v>911</v>
      </c>
      <c r="O450" s="288" t="s">
        <v>353</v>
      </c>
      <c r="P450" s="288" t="s">
        <v>353</v>
      </c>
      <c r="Q450" s="501" t="s">
        <v>1018</v>
      </c>
      <c r="R450" s="345"/>
      <c r="S450" s="345"/>
      <c r="T450" s="345"/>
      <c r="U450" s="345">
        <v>2</v>
      </c>
      <c r="V450" s="345" t="s">
        <v>974</v>
      </c>
      <c r="W450" s="541"/>
      <c r="X450" s="345" t="s">
        <v>1018</v>
      </c>
      <c r="Y450" s="541"/>
      <c r="Z450" s="541"/>
      <c r="AA450" s="541"/>
      <c r="AB450" s="541"/>
      <c r="AC450" s="541"/>
      <c r="AD450" s="288" t="s">
        <v>347</v>
      </c>
      <c r="AE450" s="541"/>
      <c r="AF450" s="541"/>
      <c r="AG450" s="542" t="s">
        <v>1200</v>
      </c>
      <c r="AH450" s="541"/>
      <c r="AI450" s="345" t="s">
        <v>1201</v>
      </c>
      <c r="AJ450" s="541"/>
      <c r="AK450" s="345" t="s">
        <v>1203</v>
      </c>
      <c r="AL450" s="345" t="s">
        <v>1207</v>
      </c>
      <c r="AM450" s="345" t="s">
        <v>1208</v>
      </c>
      <c r="AN450" s="345" t="s">
        <v>1209</v>
      </c>
      <c r="AO450" s="541"/>
      <c r="AP450" s="541"/>
      <c r="AQ450" s="541"/>
      <c r="AR450" s="345" t="s">
        <v>1210</v>
      </c>
      <c r="AS450" s="345" t="s">
        <v>1211</v>
      </c>
      <c r="AT450" s="541"/>
      <c r="AU450" s="448"/>
      <c r="AV450" s="448"/>
      <c r="AW450" s="448"/>
      <c r="AX450" s="448"/>
      <c r="AY450" s="345" t="s">
        <v>1018</v>
      </c>
      <c r="AZ450" s="288">
        <v>0</v>
      </c>
      <c r="BA450" s="499">
        <v>1</v>
      </c>
      <c r="BB450" s="288">
        <v>0</v>
      </c>
      <c r="BC450" s="288">
        <v>0</v>
      </c>
      <c r="BD450" s="288">
        <v>0</v>
      </c>
      <c r="BE450" s="288">
        <v>0</v>
      </c>
      <c r="BF450" s="288">
        <v>0</v>
      </c>
      <c r="BG450" s="448"/>
      <c r="BH450" s="448"/>
      <c r="BI450" s="345" t="s">
        <v>1018</v>
      </c>
      <c r="BJ450" s="499"/>
      <c r="BK450" s="499"/>
      <c r="BL450" s="345" t="s">
        <v>1040</v>
      </c>
      <c r="BM450" s="499" t="s">
        <v>1041</v>
      </c>
      <c r="BN450" s="499">
        <v>8</v>
      </c>
      <c r="BO450" s="510" t="s">
        <v>1042</v>
      </c>
    </row>
    <row r="451" spans="1:75" ht="14.5" x14ac:dyDescent="0.35">
      <c r="A451" s="316"/>
      <c r="B451" s="129">
        <v>103</v>
      </c>
      <c r="C451" s="277" t="s">
        <v>1046</v>
      </c>
      <c r="D451" s="340" t="s">
        <v>242</v>
      </c>
      <c r="E451" s="340" t="s">
        <v>243</v>
      </c>
      <c r="F451" s="444">
        <v>636.37</v>
      </c>
      <c r="G451" s="444">
        <v>746</v>
      </c>
      <c r="H451" s="288">
        <v>1</v>
      </c>
      <c r="I451" s="288" t="s">
        <v>355</v>
      </c>
      <c r="J451" s="288" t="s">
        <v>356</v>
      </c>
      <c r="K451" s="288" t="s">
        <v>356</v>
      </c>
      <c r="L451" s="288" t="s">
        <v>356</v>
      </c>
      <c r="M451" s="288">
        <v>5</v>
      </c>
      <c r="N451" s="288" t="s">
        <v>911</v>
      </c>
      <c r="O451" s="288" t="s">
        <v>353</v>
      </c>
      <c r="P451" s="288" t="s">
        <v>353</v>
      </c>
      <c r="Q451" s="501" t="s">
        <v>1018</v>
      </c>
      <c r="R451" s="345"/>
      <c r="S451" s="345"/>
      <c r="T451" s="345"/>
      <c r="U451" s="345">
        <v>4</v>
      </c>
      <c r="V451" s="345" t="s">
        <v>974</v>
      </c>
      <c r="W451" s="541"/>
      <c r="X451" s="345" t="s">
        <v>1018</v>
      </c>
      <c r="Y451" s="541"/>
      <c r="Z451" s="541"/>
      <c r="AA451" s="541"/>
      <c r="AB451" s="541"/>
      <c r="AC451" s="541"/>
      <c r="AD451" s="288" t="s">
        <v>347</v>
      </c>
      <c r="AE451" s="541"/>
      <c r="AF451" s="541"/>
      <c r="AG451" s="542" t="s">
        <v>1200</v>
      </c>
      <c r="AH451" s="541"/>
      <c r="AI451" s="345" t="s">
        <v>1201</v>
      </c>
      <c r="AJ451" s="541"/>
      <c r="AK451" s="345" t="s">
        <v>1203</v>
      </c>
      <c r="AL451" s="345" t="s">
        <v>1207</v>
      </c>
      <c r="AM451" s="345" t="s">
        <v>1208</v>
      </c>
      <c r="AN451" s="345" t="s">
        <v>1209</v>
      </c>
      <c r="AO451" s="541"/>
      <c r="AP451" s="541"/>
      <c r="AQ451" s="541"/>
      <c r="AR451" s="345" t="s">
        <v>1210</v>
      </c>
      <c r="AS451" s="345" t="s">
        <v>1211</v>
      </c>
      <c r="AT451" s="541"/>
      <c r="AU451" s="448"/>
      <c r="AV451" s="448"/>
      <c r="AW451" s="448"/>
      <c r="AX451" s="448"/>
      <c r="AY451" s="345" t="s">
        <v>1018</v>
      </c>
      <c r="AZ451" s="288">
        <v>0</v>
      </c>
      <c r="BA451" s="288">
        <v>0</v>
      </c>
      <c r="BB451" s="499">
        <v>1</v>
      </c>
      <c r="BC451" s="288">
        <v>0</v>
      </c>
      <c r="BD451" s="288">
        <v>0</v>
      </c>
      <c r="BE451" s="288">
        <v>0</v>
      </c>
      <c r="BF451" s="288">
        <v>0</v>
      </c>
      <c r="BG451" s="448"/>
      <c r="BH451" s="448"/>
      <c r="BI451" s="345" t="s">
        <v>1018</v>
      </c>
      <c r="BJ451" s="499"/>
      <c r="BK451" s="499"/>
      <c r="BL451" s="345" t="s">
        <v>1040</v>
      </c>
      <c r="BM451" s="499" t="s">
        <v>1041</v>
      </c>
      <c r="BN451" s="499">
        <v>8</v>
      </c>
      <c r="BO451" s="510" t="s">
        <v>1042</v>
      </c>
    </row>
    <row r="452" spans="1:75" ht="14.5" x14ac:dyDescent="0.35">
      <c r="A452" s="316"/>
      <c r="B452" s="129">
        <v>104</v>
      </c>
      <c r="C452" s="277" t="s">
        <v>1047</v>
      </c>
      <c r="D452" s="340" t="s">
        <v>242</v>
      </c>
      <c r="E452" s="340" t="s">
        <v>243</v>
      </c>
      <c r="F452" s="444">
        <v>781.29</v>
      </c>
      <c r="G452" s="444">
        <v>916</v>
      </c>
      <c r="H452" s="288">
        <v>2</v>
      </c>
      <c r="I452" s="288" t="s">
        <v>355</v>
      </c>
      <c r="J452" s="288" t="s">
        <v>355</v>
      </c>
      <c r="K452" s="288" t="s">
        <v>356</v>
      </c>
      <c r="L452" s="288" t="s">
        <v>356</v>
      </c>
      <c r="M452" s="288">
        <v>5</v>
      </c>
      <c r="N452" s="288" t="s">
        <v>911</v>
      </c>
      <c r="O452" s="288" t="s">
        <v>354</v>
      </c>
      <c r="P452" s="288" t="s">
        <v>354</v>
      </c>
      <c r="Q452" s="501" t="s">
        <v>1018</v>
      </c>
      <c r="R452" s="345"/>
      <c r="S452" s="345"/>
      <c r="T452" s="345"/>
      <c r="U452" s="345">
        <v>2</v>
      </c>
      <c r="V452" s="345" t="s">
        <v>974</v>
      </c>
      <c r="W452" s="541"/>
      <c r="X452" s="345" t="s">
        <v>1018</v>
      </c>
      <c r="Y452" s="541"/>
      <c r="Z452" s="541"/>
      <c r="AA452" s="541"/>
      <c r="AB452" s="541"/>
      <c r="AC452" s="541"/>
      <c r="AD452" s="288" t="s">
        <v>347</v>
      </c>
      <c r="AE452" s="541"/>
      <c r="AF452" s="541"/>
      <c r="AG452" s="542" t="s">
        <v>1200</v>
      </c>
      <c r="AH452" s="541"/>
      <c r="AI452" s="345" t="s">
        <v>1201</v>
      </c>
      <c r="AJ452" s="541"/>
      <c r="AK452" s="345" t="s">
        <v>1203</v>
      </c>
      <c r="AL452" s="345" t="s">
        <v>1207</v>
      </c>
      <c r="AM452" s="345" t="s">
        <v>1208</v>
      </c>
      <c r="AN452" s="345" t="s">
        <v>1209</v>
      </c>
      <c r="AO452" s="541"/>
      <c r="AP452" s="541"/>
      <c r="AQ452" s="541"/>
      <c r="AR452" s="345" t="s">
        <v>1210</v>
      </c>
      <c r="AS452" s="345" t="s">
        <v>1211</v>
      </c>
      <c r="AT452" s="541"/>
      <c r="AU452" s="448"/>
      <c r="AV452" s="448"/>
      <c r="AW452" s="448"/>
      <c r="AX452" s="448"/>
      <c r="AY452" s="345" t="s">
        <v>1018</v>
      </c>
      <c r="AZ452" s="288">
        <v>0</v>
      </c>
      <c r="BA452" s="499">
        <v>1</v>
      </c>
      <c r="BB452" s="288">
        <v>0</v>
      </c>
      <c r="BC452" s="288">
        <v>0</v>
      </c>
      <c r="BD452" s="288">
        <v>0</v>
      </c>
      <c r="BE452" s="288">
        <v>0</v>
      </c>
      <c r="BF452" s="288">
        <v>0</v>
      </c>
      <c r="BG452" s="448"/>
      <c r="BH452" s="448"/>
      <c r="BI452" s="345" t="s">
        <v>1018</v>
      </c>
      <c r="BJ452" s="499"/>
      <c r="BK452" s="499"/>
      <c r="BL452" s="345" t="s">
        <v>1040</v>
      </c>
      <c r="BM452" s="499" t="s">
        <v>1041</v>
      </c>
      <c r="BN452" s="499">
        <v>8</v>
      </c>
      <c r="BO452" s="510" t="s">
        <v>1042</v>
      </c>
    </row>
    <row r="453" spans="1:75" ht="14.5" x14ac:dyDescent="0.35">
      <c r="A453" s="316"/>
      <c r="B453" s="129">
        <v>105</v>
      </c>
      <c r="C453" s="277" t="s">
        <v>1048</v>
      </c>
      <c r="D453" s="340" t="s">
        <v>242</v>
      </c>
      <c r="E453" s="340" t="s">
        <v>243</v>
      </c>
      <c r="F453" s="444">
        <v>840.78</v>
      </c>
      <c r="G453" s="444">
        <v>986</v>
      </c>
      <c r="H453" s="288">
        <v>2</v>
      </c>
      <c r="I453" s="288" t="s">
        <v>355</v>
      </c>
      <c r="J453" s="288" t="s">
        <v>355</v>
      </c>
      <c r="K453" s="288" t="s">
        <v>356</v>
      </c>
      <c r="L453" s="288" t="s">
        <v>356</v>
      </c>
      <c r="M453" s="288">
        <v>5</v>
      </c>
      <c r="N453" s="288" t="s">
        <v>911</v>
      </c>
      <c r="O453" s="288" t="s">
        <v>354</v>
      </c>
      <c r="P453" s="288" t="s">
        <v>354</v>
      </c>
      <c r="Q453" s="501" t="s">
        <v>1018</v>
      </c>
      <c r="R453" s="345"/>
      <c r="S453" s="345"/>
      <c r="T453" s="345"/>
      <c r="U453" s="345">
        <v>4</v>
      </c>
      <c r="V453" s="345" t="s">
        <v>974</v>
      </c>
      <c r="W453" s="541"/>
      <c r="X453" s="345" t="s">
        <v>1018</v>
      </c>
      <c r="Y453" s="541"/>
      <c r="Z453" s="541"/>
      <c r="AA453" s="541"/>
      <c r="AB453" s="541"/>
      <c r="AC453" s="541"/>
      <c r="AD453" s="288" t="s">
        <v>347</v>
      </c>
      <c r="AE453" s="541"/>
      <c r="AF453" s="541"/>
      <c r="AG453" s="542" t="s">
        <v>1200</v>
      </c>
      <c r="AH453" s="541"/>
      <c r="AI453" s="345" t="s">
        <v>1201</v>
      </c>
      <c r="AJ453" s="541"/>
      <c r="AK453" s="345" t="s">
        <v>1203</v>
      </c>
      <c r="AL453" s="345" t="s">
        <v>1207</v>
      </c>
      <c r="AM453" s="345" t="s">
        <v>1208</v>
      </c>
      <c r="AN453" s="345" t="s">
        <v>1209</v>
      </c>
      <c r="AO453" s="541"/>
      <c r="AP453" s="541"/>
      <c r="AQ453" s="541"/>
      <c r="AR453" s="345" t="s">
        <v>1210</v>
      </c>
      <c r="AS453" s="345" t="s">
        <v>1211</v>
      </c>
      <c r="AT453" s="541"/>
      <c r="AU453" s="448"/>
      <c r="AV453" s="448"/>
      <c r="AW453" s="448"/>
      <c r="AX453" s="448"/>
      <c r="AY453" s="345" t="s">
        <v>1018</v>
      </c>
      <c r="AZ453" s="288">
        <v>0</v>
      </c>
      <c r="BA453" s="288">
        <v>0</v>
      </c>
      <c r="BB453" s="499">
        <v>1</v>
      </c>
      <c r="BC453" s="288">
        <v>0</v>
      </c>
      <c r="BD453" s="288">
        <v>0</v>
      </c>
      <c r="BE453" s="288">
        <v>0</v>
      </c>
      <c r="BF453" s="288">
        <v>0</v>
      </c>
      <c r="BG453" s="448"/>
      <c r="BH453" s="448"/>
      <c r="BI453" s="345" t="s">
        <v>1018</v>
      </c>
      <c r="BJ453" s="499"/>
      <c r="BK453" s="499"/>
      <c r="BL453" s="345" t="s">
        <v>1040</v>
      </c>
      <c r="BM453" s="499" t="s">
        <v>1041</v>
      </c>
      <c r="BN453" s="499">
        <v>8</v>
      </c>
      <c r="BO453" s="510" t="s">
        <v>1042</v>
      </c>
    </row>
    <row r="454" spans="1:75" ht="14.5" x14ac:dyDescent="0.35">
      <c r="A454" s="316"/>
      <c r="B454" s="129">
        <v>106</v>
      </c>
      <c r="C454" s="277" t="s">
        <v>1049</v>
      </c>
      <c r="D454" s="340" t="s">
        <v>242</v>
      </c>
      <c r="E454" s="340" t="s">
        <v>243</v>
      </c>
      <c r="F454" s="444">
        <v>1077.73</v>
      </c>
      <c r="G454" s="444">
        <v>1266</v>
      </c>
      <c r="H454" s="288">
        <v>2</v>
      </c>
      <c r="I454" s="288" t="s">
        <v>355</v>
      </c>
      <c r="J454" s="288" t="s">
        <v>356</v>
      </c>
      <c r="K454" s="288" t="s">
        <v>356</v>
      </c>
      <c r="L454" s="288" t="s">
        <v>356</v>
      </c>
      <c r="M454" s="288">
        <v>5</v>
      </c>
      <c r="N454" s="288" t="s">
        <v>911</v>
      </c>
      <c r="O454" s="288" t="s">
        <v>364</v>
      </c>
      <c r="P454" s="288" t="s">
        <v>364</v>
      </c>
      <c r="Q454" s="501" t="s">
        <v>1018</v>
      </c>
      <c r="R454" s="345"/>
      <c r="S454" s="345"/>
      <c r="T454" s="345"/>
      <c r="U454" s="345">
        <v>2</v>
      </c>
      <c r="V454" s="345" t="s">
        <v>974</v>
      </c>
      <c r="W454" s="541"/>
      <c r="X454" s="345" t="s">
        <v>1018</v>
      </c>
      <c r="Y454" s="541"/>
      <c r="Z454" s="541"/>
      <c r="AA454" s="541"/>
      <c r="AB454" s="541"/>
      <c r="AC454" s="541"/>
      <c r="AD454" s="288" t="s">
        <v>347</v>
      </c>
      <c r="AE454" s="541"/>
      <c r="AF454" s="541"/>
      <c r="AG454" s="542" t="s">
        <v>1200</v>
      </c>
      <c r="AH454" s="541"/>
      <c r="AI454" s="345" t="s">
        <v>1201</v>
      </c>
      <c r="AJ454" s="541"/>
      <c r="AK454" s="345" t="s">
        <v>1203</v>
      </c>
      <c r="AL454" s="345" t="s">
        <v>1207</v>
      </c>
      <c r="AM454" s="345" t="s">
        <v>1208</v>
      </c>
      <c r="AN454" s="345" t="s">
        <v>1209</v>
      </c>
      <c r="AO454" s="541"/>
      <c r="AP454" s="345" t="s">
        <v>1212</v>
      </c>
      <c r="AQ454" s="541"/>
      <c r="AR454" s="345" t="s">
        <v>1210</v>
      </c>
      <c r="AS454" s="345" t="s">
        <v>1211</v>
      </c>
      <c r="AT454" s="541"/>
      <c r="AU454" s="448"/>
      <c r="AV454" s="448"/>
      <c r="AW454" s="448"/>
      <c r="AX454" s="448"/>
      <c r="AY454" s="345" t="s">
        <v>1018</v>
      </c>
      <c r="AZ454" s="288">
        <v>0</v>
      </c>
      <c r="BA454" s="499">
        <v>1</v>
      </c>
      <c r="BB454" s="288">
        <v>0</v>
      </c>
      <c r="BC454" s="288">
        <v>0</v>
      </c>
      <c r="BD454" s="288">
        <v>0</v>
      </c>
      <c r="BE454" s="288">
        <v>0</v>
      </c>
      <c r="BF454" s="288">
        <v>0</v>
      </c>
      <c r="BG454" s="448"/>
      <c r="BH454" s="448"/>
      <c r="BI454" s="345" t="s">
        <v>1018</v>
      </c>
      <c r="BJ454" s="499"/>
      <c r="BK454" s="499"/>
      <c r="BL454" s="345" t="s">
        <v>1040</v>
      </c>
      <c r="BM454" s="499" t="s">
        <v>1041</v>
      </c>
      <c r="BN454" s="499">
        <v>8</v>
      </c>
      <c r="BO454" s="510" t="s">
        <v>1042</v>
      </c>
    </row>
    <row r="455" spans="1:75" ht="14.5" x14ac:dyDescent="0.35">
      <c r="A455" s="316"/>
      <c r="B455" s="129">
        <v>107</v>
      </c>
      <c r="C455" s="277" t="s">
        <v>1050</v>
      </c>
      <c r="D455" s="340" t="s">
        <v>242</v>
      </c>
      <c r="E455" s="340" t="s">
        <v>243</v>
      </c>
      <c r="F455" s="444">
        <v>1119.5</v>
      </c>
      <c r="G455" s="444">
        <v>1314</v>
      </c>
      <c r="H455" s="288">
        <v>2</v>
      </c>
      <c r="I455" s="288" t="s">
        <v>355</v>
      </c>
      <c r="J455" s="288" t="s">
        <v>356</v>
      </c>
      <c r="K455" s="288" t="s">
        <v>356</v>
      </c>
      <c r="L455" s="288" t="s">
        <v>356</v>
      </c>
      <c r="M455" s="288">
        <v>5</v>
      </c>
      <c r="N455" s="288" t="s">
        <v>911</v>
      </c>
      <c r="O455" s="288" t="s">
        <v>364</v>
      </c>
      <c r="P455" s="288" t="s">
        <v>364</v>
      </c>
      <c r="Q455" s="501" t="s">
        <v>1018</v>
      </c>
      <c r="R455" s="345"/>
      <c r="S455" s="345"/>
      <c r="T455" s="345"/>
      <c r="U455" s="345">
        <v>4</v>
      </c>
      <c r="V455" s="345" t="s">
        <v>974</v>
      </c>
      <c r="W455" s="541"/>
      <c r="X455" s="345" t="s">
        <v>1018</v>
      </c>
      <c r="Y455" s="541"/>
      <c r="Z455" s="541"/>
      <c r="AA455" s="541"/>
      <c r="AB455" s="541"/>
      <c r="AC455" s="541"/>
      <c r="AD455" s="288" t="s">
        <v>347</v>
      </c>
      <c r="AE455" s="541"/>
      <c r="AF455" s="541"/>
      <c r="AG455" s="542" t="s">
        <v>1200</v>
      </c>
      <c r="AH455" s="541"/>
      <c r="AI455" s="345" t="s">
        <v>1201</v>
      </c>
      <c r="AJ455" s="541"/>
      <c r="AK455" s="345" t="s">
        <v>1203</v>
      </c>
      <c r="AL455" s="345" t="s">
        <v>1207</v>
      </c>
      <c r="AM455" s="345" t="s">
        <v>1208</v>
      </c>
      <c r="AN455" s="345" t="s">
        <v>1209</v>
      </c>
      <c r="AO455" s="541"/>
      <c r="AP455" s="345" t="s">
        <v>1212</v>
      </c>
      <c r="AQ455" s="541"/>
      <c r="AR455" s="345" t="s">
        <v>1210</v>
      </c>
      <c r="AS455" s="345" t="s">
        <v>1211</v>
      </c>
      <c r="AT455" s="541"/>
      <c r="AU455" s="448"/>
      <c r="AV455" s="448"/>
      <c r="AW455" s="448"/>
      <c r="AX455" s="448"/>
      <c r="AY455" s="345" t="s">
        <v>1018</v>
      </c>
      <c r="AZ455" s="288">
        <v>0</v>
      </c>
      <c r="BA455" s="288">
        <v>0</v>
      </c>
      <c r="BB455" s="499">
        <v>1</v>
      </c>
      <c r="BC455" s="288">
        <v>0</v>
      </c>
      <c r="BD455" s="288">
        <v>0</v>
      </c>
      <c r="BE455" s="288">
        <v>0</v>
      </c>
      <c r="BF455" s="288">
        <v>0</v>
      </c>
      <c r="BG455" s="448"/>
      <c r="BH455" s="448"/>
      <c r="BI455" s="345" t="s">
        <v>1018</v>
      </c>
      <c r="BJ455" s="499"/>
      <c r="BK455" s="499"/>
      <c r="BL455" s="345" t="s">
        <v>1040</v>
      </c>
      <c r="BM455" s="499" t="s">
        <v>1041</v>
      </c>
      <c r="BN455" s="499">
        <v>8</v>
      </c>
      <c r="BO455" s="510" t="s">
        <v>1042</v>
      </c>
    </row>
    <row r="456" spans="1:75" ht="14.5" x14ac:dyDescent="0.35">
      <c r="A456" s="316"/>
      <c r="B456" s="129">
        <v>108</v>
      </c>
      <c r="C456" s="277" t="s">
        <v>252</v>
      </c>
      <c r="D456" s="339" t="s">
        <v>374</v>
      </c>
      <c r="E456" s="339" t="s">
        <v>375</v>
      </c>
      <c r="F456" s="345"/>
      <c r="G456" s="345"/>
      <c r="H456" s="345"/>
      <c r="I456" s="345"/>
      <c r="J456" s="345"/>
      <c r="K456" s="345"/>
      <c r="L456" s="345"/>
      <c r="M456" s="345"/>
      <c r="N456" s="345"/>
      <c r="O456" s="345"/>
      <c r="P456" s="345"/>
      <c r="Q456" s="501"/>
      <c r="R456" s="345"/>
      <c r="S456" s="345"/>
      <c r="T456" s="345"/>
      <c r="U456" s="345"/>
      <c r="V456" s="345"/>
      <c r="W456" s="345"/>
      <c r="X456" s="345"/>
      <c r="Y456" s="345"/>
      <c r="Z456" s="345"/>
      <c r="AA456" s="345"/>
      <c r="AB456" s="345"/>
      <c r="AC456" s="345"/>
      <c r="AD456" s="345"/>
      <c r="AE456" s="345"/>
      <c r="AF456" s="345"/>
      <c r="AG456" s="542"/>
      <c r="AH456" s="345"/>
      <c r="AI456" s="345"/>
      <c r="AJ456" s="345"/>
      <c r="AK456" s="345"/>
      <c r="AL456" s="345"/>
      <c r="AM456" s="345"/>
      <c r="AN456" s="345"/>
      <c r="AO456" s="345"/>
      <c r="AP456" s="345"/>
      <c r="AQ456" s="345"/>
      <c r="AR456" s="345"/>
      <c r="AS456" s="345"/>
      <c r="AT456" s="345"/>
      <c r="AU456" s="345"/>
      <c r="AV456" s="345"/>
      <c r="AW456" s="345"/>
      <c r="AX456" s="345"/>
      <c r="AY456" s="345"/>
      <c r="AZ456" s="288"/>
      <c r="BA456" s="499"/>
      <c r="BB456" s="499"/>
      <c r="BC456" s="499"/>
      <c r="BD456" s="499"/>
      <c r="BE456" s="499"/>
      <c r="BF456" s="499"/>
      <c r="BG456" s="499"/>
      <c r="BH456" s="499"/>
      <c r="BI456" s="345"/>
      <c r="BJ456" s="499"/>
      <c r="BK456" s="499"/>
      <c r="BL456" s="345"/>
      <c r="BM456" s="499"/>
      <c r="BN456" s="499"/>
      <c r="BO456" s="545"/>
    </row>
    <row r="457" spans="1:75" x14ac:dyDescent="0.25">
      <c r="A457" s="316"/>
      <c r="C457" s="290" t="s">
        <v>1216</v>
      </c>
      <c r="D457" s="289"/>
      <c r="E457" s="289"/>
      <c r="V457" s="262" t="s">
        <v>1217</v>
      </c>
      <c r="Y457" s="262" t="s">
        <v>1218</v>
      </c>
      <c r="AB457" s="262" t="s">
        <v>1219</v>
      </c>
      <c r="AD457" s="262" t="s">
        <v>1220</v>
      </c>
    </row>
    <row r="458" spans="1:75" collapsed="1" x14ac:dyDescent="0.25">
      <c r="C458" s="120" t="s">
        <v>365</v>
      </c>
      <c r="V458" s="262" t="s">
        <v>366</v>
      </c>
      <c r="Y458" s="262" t="s">
        <v>366</v>
      </c>
      <c r="AB458" s="262" t="s">
        <v>366</v>
      </c>
    </row>
    <row r="459" spans="1:75" x14ac:dyDescent="0.25">
      <c r="C459" s="262" t="s">
        <v>290</v>
      </c>
      <c r="AT459" s="546"/>
      <c r="AU459" s="546"/>
      <c r="AV459" s="546"/>
      <c r="AW459" s="546"/>
      <c r="AX459" s="546"/>
      <c r="AY459" s="546"/>
      <c r="AZ459" s="546"/>
    </row>
    <row r="460" spans="1:75" x14ac:dyDescent="0.25">
      <c r="C460" s="445" t="s">
        <v>1053</v>
      </c>
    </row>
    <row r="462" spans="1:75" ht="15.5" x14ac:dyDescent="0.25">
      <c r="C462" s="37" t="s">
        <v>1145</v>
      </c>
    </row>
    <row r="463" spans="1:75" ht="14.5" customHeight="1" outlineLevel="1" x14ac:dyDescent="0.25">
      <c r="C463" s="513" t="s">
        <v>1146</v>
      </c>
      <c r="D463" s="514"/>
      <c r="E463" s="514"/>
      <c r="F463" s="514"/>
      <c r="G463" s="515"/>
      <c r="BW463" s="263"/>
    </row>
    <row r="464" spans="1:75" ht="14.5" customHeight="1" outlineLevel="1" x14ac:dyDescent="0.25">
      <c r="C464" s="513" t="s">
        <v>1147</v>
      </c>
      <c r="D464" s="514"/>
      <c r="E464" s="514"/>
      <c r="F464" s="514"/>
      <c r="G464" s="515"/>
    </row>
    <row r="465" spans="1:143" ht="14.5" customHeight="1" outlineLevel="1" x14ac:dyDescent="0.25">
      <c r="C465" s="513" t="s">
        <v>1148</v>
      </c>
      <c r="D465" s="514"/>
      <c r="E465" s="514"/>
      <c r="F465" s="514"/>
      <c r="G465" s="515"/>
      <c r="BX465" s="263"/>
      <c r="BY465" s="263"/>
      <c r="BZ465" s="263"/>
      <c r="CA465" s="263"/>
      <c r="CB465" s="263"/>
      <c r="CC465" s="263"/>
      <c r="CD465" s="263"/>
      <c r="CE465" s="263"/>
      <c r="CF465" s="263"/>
      <c r="CG465" s="263"/>
    </row>
    <row r="466" spans="1:143" s="579" customFormat="1" ht="14.5" customHeight="1" outlineLevel="1" x14ac:dyDescent="0.25">
      <c r="A466" s="579">
        <v>1</v>
      </c>
      <c r="B466" s="579">
        <f>A466+1</f>
        <v>2</v>
      </c>
      <c r="C466" s="579">
        <f>B466+1</f>
        <v>3</v>
      </c>
      <c r="D466" s="579">
        <f t="shared" ref="D466:BO466" si="0">C466+1</f>
        <v>4</v>
      </c>
      <c r="E466" s="579">
        <f t="shared" si="0"/>
        <v>5</v>
      </c>
      <c r="F466" s="579">
        <f t="shared" si="0"/>
        <v>6</v>
      </c>
      <c r="G466" s="579">
        <f t="shared" si="0"/>
        <v>7</v>
      </c>
      <c r="H466" s="579">
        <f t="shared" si="0"/>
        <v>8</v>
      </c>
      <c r="I466" s="579">
        <f t="shared" si="0"/>
        <v>9</v>
      </c>
      <c r="J466" s="579">
        <f t="shared" si="0"/>
        <v>10</v>
      </c>
      <c r="K466" s="579">
        <f t="shared" si="0"/>
        <v>11</v>
      </c>
      <c r="L466" s="579">
        <f t="shared" si="0"/>
        <v>12</v>
      </c>
      <c r="M466" s="579">
        <f t="shared" si="0"/>
        <v>13</v>
      </c>
      <c r="N466" s="579">
        <f t="shared" si="0"/>
        <v>14</v>
      </c>
      <c r="O466" s="579">
        <f t="shared" si="0"/>
        <v>15</v>
      </c>
      <c r="P466" s="579">
        <f t="shared" si="0"/>
        <v>16</v>
      </c>
      <c r="Q466" s="579">
        <f t="shared" si="0"/>
        <v>17</v>
      </c>
      <c r="R466" s="579">
        <f t="shared" si="0"/>
        <v>18</v>
      </c>
      <c r="S466" s="579">
        <f t="shared" si="0"/>
        <v>19</v>
      </c>
      <c r="T466" s="579">
        <f t="shared" si="0"/>
        <v>20</v>
      </c>
      <c r="U466" s="579">
        <f t="shared" si="0"/>
        <v>21</v>
      </c>
      <c r="V466" s="579">
        <f t="shared" si="0"/>
        <v>22</v>
      </c>
      <c r="W466" s="579">
        <f t="shared" si="0"/>
        <v>23</v>
      </c>
      <c r="X466" s="579">
        <f t="shared" si="0"/>
        <v>24</v>
      </c>
      <c r="Y466" s="579">
        <f t="shared" si="0"/>
        <v>25</v>
      </c>
      <c r="Z466" s="579">
        <f t="shared" si="0"/>
        <v>26</v>
      </c>
      <c r="AA466" s="579">
        <f t="shared" si="0"/>
        <v>27</v>
      </c>
      <c r="AB466" s="579">
        <f t="shared" si="0"/>
        <v>28</v>
      </c>
      <c r="AC466" s="579">
        <f t="shared" si="0"/>
        <v>29</v>
      </c>
      <c r="AD466" s="579">
        <f t="shared" si="0"/>
        <v>30</v>
      </c>
      <c r="AE466" s="579">
        <f t="shared" si="0"/>
        <v>31</v>
      </c>
      <c r="AF466" s="579">
        <f t="shared" si="0"/>
        <v>32</v>
      </c>
      <c r="AG466" s="579">
        <f t="shared" si="0"/>
        <v>33</v>
      </c>
      <c r="AH466" s="579">
        <f t="shared" si="0"/>
        <v>34</v>
      </c>
      <c r="AI466" s="579">
        <f t="shared" si="0"/>
        <v>35</v>
      </c>
      <c r="AJ466" s="579">
        <f t="shared" si="0"/>
        <v>36</v>
      </c>
      <c r="AK466" s="579">
        <f t="shared" si="0"/>
        <v>37</v>
      </c>
      <c r="AL466" s="579">
        <f t="shared" si="0"/>
        <v>38</v>
      </c>
      <c r="AM466" s="579">
        <f t="shared" si="0"/>
        <v>39</v>
      </c>
      <c r="AN466" s="579">
        <f t="shared" si="0"/>
        <v>40</v>
      </c>
      <c r="AO466" s="579">
        <f t="shared" si="0"/>
        <v>41</v>
      </c>
      <c r="AP466" s="579">
        <f t="shared" si="0"/>
        <v>42</v>
      </c>
      <c r="AQ466" s="579">
        <f t="shared" si="0"/>
        <v>43</v>
      </c>
      <c r="AR466" s="579">
        <f t="shared" si="0"/>
        <v>44</v>
      </c>
      <c r="AS466" s="579">
        <f t="shared" si="0"/>
        <v>45</v>
      </c>
      <c r="AT466" s="579">
        <f t="shared" si="0"/>
        <v>46</v>
      </c>
      <c r="AU466" s="579">
        <f t="shared" si="0"/>
        <v>47</v>
      </c>
      <c r="AV466" s="579">
        <f t="shared" si="0"/>
        <v>48</v>
      </c>
      <c r="AW466" s="579">
        <f t="shared" si="0"/>
        <v>49</v>
      </c>
      <c r="AX466" s="579">
        <f t="shared" si="0"/>
        <v>50</v>
      </c>
      <c r="AY466" s="579">
        <f t="shared" si="0"/>
        <v>51</v>
      </c>
      <c r="AZ466" s="579">
        <f t="shared" si="0"/>
        <v>52</v>
      </c>
      <c r="BA466" s="579">
        <f t="shared" si="0"/>
        <v>53</v>
      </c>
      <c r="BB466" s="579">
        <f t="shared" si="0"/>
        <v>54</v>
      </c>
      <c r="BC466" s="579">
        <f t="shared" si="0"/>
        <v>55</v>
      </c>
      <c r="BD466" s="579">
        <f t="shared" si="0"/>
        <v>56</v>
      </c>
      <c r="BE466" s="579">
        <f t="shared" si="0"/>
        <v>57</v>
      </c>
      <c r="BF466" s="579">
        <f t="shared" si="0"/>
        <v>58</v>
      </c>
      <c r="BG466" s="579">
        <f t="shared" si="0"/>
        <v>59</v>
      </c>
      <c r="BH466" s="579">
        <f t="shared" si="0"/>
        <v>60</v>
      </c>
      <c r="BI466" s="579">
        <f t="shared" si="0"/>
        <v>61</v>
      </c>
      <c r="BJ466" s="579">
        <f t="shared" si="0"/>
        <v>62</v>
      </c>
      <c r="BK466" s="579">
        <f t="shared" si="0"/>
        <v>63</v>
      </c>
      <c r="BL466" s="579">
        <f t="shared" si="0"/>
        <v>64</v>
      </c>
      <c r="BM466" s="579">
        <f t="shared" si="0"/>
        <v>65</v>
      </c>
      <c r="BN466" s="579">
        <f t="shared" si="0"/>
        <v>66</v>
      </c>
      <c r="BO466" s="579">
        <f t="shared" si="0"/>
        <v>67</v>
      </c>
      <c r="BP466" s="579">
        <f t="shared" ref="BP466:BS466" si="1">BO466+1</f>
        <v>68</v>
      </c>
      <c r="BQ466" s="579">
        <f t="shared" si="1"/>
        <v>69</v>
      </c>
      <c r="BR466" s="579">
        <f t="shared" si="1"/>
        <v>70</v>
      </c>
      <c r="BS466" s="579">
        <f t="shared" si="1"/>
        <v>71</v>
      </c>
    </row>
    <row r="467" spans="1:143" ht="14.5" customHeight="1" outlineLevel="1" x14ac:dyDescent="0.25">
      <c r="C467" s="102" t="s">
        <v>331</v>
      </c>
      <c r="AS467" s="516"/>
      <c r="AT467" s="516"/>
      <c r="AU467" s="516"/>
      <c r="AV467" s="516"/>
      <c r="AW467" s="516"/>
      <c r="AX467" s="516"/>
      <c r="AY467" s="516"/>
      <c r="AZ467" s="516"/>
      <c r="BA467" s="516"/>
      <c r="BB467" s="516"/>
      <c r="BC467" s="516"/>
      <c r="BD467" s="516"/>
      <c r="BE467" s="516"/>
      <c r="BF467" s="516"/>
      <c r="BG467" s="516"/>
      <c r="BH467" s="516"/>
      <c r="BI467" s="516"/>
      <c r="BJ467" s="516"/>
      <c r="BK467" s="516"/>
      <c r="BL467" s="516"/>
      <c r="BM467" s="516"/>
      <c r="BN467" s="516"/>
      <c r="BO467" s="516"/>
      <c r="CH467" s="263"/>
      <c r="CI467" s="263"/>
      <c r="CJ467" s="263"/>
      <c r="CK467" s="263"/>
      <c r="CL467" s="263"/>
      <c r="CM467" s="263"/>
      <c r="CN467" s="263"/>
      <c r="CO467" s="263"/>
      <c r="CP467" s="263"/>
      <c r="CQ467" s="263"/>
      <c r="CR467" s="263"/>
      <c r="CS467" s="263"/>
      <c r="CT467" s="263"/>
      <c r="CU467" s="263"/>
      <c r="CV467" s="263"/>
      <c r="CW467" s="263"/>
      <c r="CX467" s="263"/>
      <c r="CY467" s="263"/>
      <c r="CZ467" s="263"/>
      <c r="DA467" s="263"/>
      <c r="DB467" s="263"/>
      <c r="DC467" s="263"/>
      <c r="DD467" s="263"/>
      <c r="DE467" s="263"/>
      <c r="DF467" s="263"/>
      <c r="DG467" s="263"/>
      <c r="DH467" s="263"/>
      <c r="DI467" s="263"/>
      <c r="DJ467" s="263"/>
      <c r="DK467" s="263"/>
      <c r="DL467" s="263"/>
      <c r="DM467" s="263"/>
      <c r="DN467" s="263"/>
      <c r="DO467" s="263"/>
      <c r="DP467" s="263"/>
      <c r="DQ467" s="263"/>
      <c r="DR467" s="263"/>
      <c r="DS467" s="263"/>
      <c r="DT467" s="263"/>
      <c r="DU467" s="263"/>
      <c r="DV467" s="263"/>
      <c r="DW467" s="263"/>
      <c r="DX467" s="263"/>
      <c r="DY467" s="263"/>
      <c r="DZ467" s="263"/>
      <c r="EA467" s="263"/>
      <c r="EB467" s="263"/>
      <c r="EC467" s="263"/>
      <c r="ED467" s="263"/>
      <c r="EE467" s="263"/>
      <c r="EF467" s="263"/>
      <c r="EG467" s="263"/>
      <c r="EH467" s="263"/>
      <c r="EI467" s="263"/>
      <c r="EJ467" s="263"/>
      <c r="EK467" s="263"/>
      <c r="EL467" s="263"/>
      <c r="EM467" s="263"/>
    </row>
    <row r="468" spans="1:143" ht="14.5" customHeight="1" outlineLevel="1" x14ac:dyDescent="0.25">
      <c r="C468" s="446">
        <v>2022</v>
      </c>
      <c r="F468" s="127"/>
      <c r="G468" s="127"/>
      <c r="H468" s="127"/>
      <c r="I468" s="127"/>
      <c r="J468" s="127"/>
      <c r="K468" s="127"/>
      <c r="L468" s="127"/>
      <c r="M468" s="127"/>
      <c r="N468" s="127"/>
      <c r="O468" s="127"/>
      <c r="P468" s="127"/>
      <c r="Q468" s="127"/>
      <c r="R468" s="127"/>
      <c r="S468" s="127"/>
      <c r="T468" s="127"/>
      <c r="U468" s="127"/>
      <c r="V468" s="127"/>
      <c r="W468" s="127"/>
      <c r="X468" s="127"/>
      <c r="Y468" s="127"/>
      <c r="Z468" s="127"/>
      <c r="AA468" s="127"/>
      <c r="AB468" s="127"/>
      <c r="AC468" s="127"/>
      <c r="AD468" s="127"/>
      <c r="AE468" s="127"/>
      <c r="AF468" s="127"/>
      <c r="AG468" s="127"/>
      <c r="AH468" s="127"/>
      <c r="AI468" s="127"/>
      <c r="AJ468" s="127"/>
      <c r="AK468" s="127"/>
      <c r="AL468" s="127"/>
      <c r="AM468" s="127"/>
      <c r="AN468" s="127"/>
      <c r="AS468" s="547"/>
      <c r="AT468" s="517"/>
      <c r="AU468" s="517"/>
      <c r="AV468" s="517"/>
      <c r="AW468" s="517"/>
      <c r="AX468" s="517"/>
      <c r="AY468" s="517"/>
      <c r="AZ468" s="517"/>
      <c r="BA468" s="517"/>
      <c r="BB468" s="517"/>
      <c r="BC468" s="517"/>
      <c r="BD468" s="517"/>
      <c r="BE468" s="517"/>
      <c r="BF468" s="517"/>
      <c r="BG468" s="517"/>
      <c r="BH468" s="517"/>
      <c r="BI468" s="517"/>
      <c r="BJ468" s="517"/>
      <c r="BK468" s="517"/>
      <c r="BL468" s="517"/>
      <c r="BM468" s="517"/>
      <c r="BN468" s="517"/>
      <c r="BO468" s="517"/>
    </row>
    <row r="469" spans="1:143" ht="14.5" customHeight="1" outlineLevel="1" thickBot="1" x14ac:dyDescent="0.4">
      <c r="B469" s="129"/>
      <c r="C469" s="126"/>
      <c r="F469" s="518" t="s">
        <v>332</v>
      </c>
      <c r="G469" s="519"/>
      <c r="H469" s="519"/>
      <c r="I469" s="519"/>
      <c r="J469" s="519"/>
      <c r="K469" s="519"/>
      <c r="L469" s="519"/>
      <c r="M469" s="519"/>
      <c r="N469" s="519"/>
      <c r="O469" s="519"/>
      <c r="P469" s="519"/>
      <c r="Q469" s="519"/>
      <c r="R469" s="519"/>
      <c r="S469" s="519"/>
      <c r="T469" s="519"/>
      <c r="U469" s="519"/>
      <c r="V469" s="519"/>
      <c r="W469" s="519"/>
      <c r="X469" s="519"/>
      <c r="Y469" s="519"/>
      <c r="Z469" s="519"/>
      <c r="AA469" s="519"/>
      <c r="AB469" s="519"/>
      <c r="AC469" s="519"/>
      <c r="AD469" s="519"/>
      <c r="AE469" s="519"/>
      <c r="AF469" s="519"/>
      <c r="AG469" s="519"/>
      <c r="AH469" s="519"/>
      <c r="AI469" s="519"/>
      <c r="AJ469" s="519"/>
      <c r="AK469" s="519"/>
      <c r="AL469" s="519"/>
      <c r="AM469" s="519"/>
      <c r="AN469" s="519"/>
      <c r="AO469" s="519"/>
      <c r="AP469" s="519"/>
      <c r="AQ469" s="519"/>
      <c r="AR469" s="519"/>
      <c r="AS469" s="519"/>
      <c r="AT469" s="519"/>
      <c r="AU469" s="519"/>
      <c r="AV469" s="519"/>
      <c r="AW469" s="769"/>
      <c r="AX469" s="769"/>
      <c r="AY469" s="769"/>
      <c r="AZ469" s="769"/>
      <c r="BA469" s="769"/>
      <c r="BB469" s="769"/>
      <c r="BC469" s="769"/>
      <c r="BD469" s="769"/>
      <c r="BE469" s="769"/>
      <c r="BF469" s="769"/>
      <c r="BG469" s="769"/>
      <c r="BH469" s="769"/>
      <c r="BI469" s="769"/>
      <c r="BJ469" s="754"/>
      <c r="BK469" s="754"/>
      <c r="BL469" s="754"/>
      <c r="BM469" s="754"/>
      <c r="BN469" s="754"/>
      <c r="BO469" s="754"/>
      <c r="BP469" s="754"/>
      <c r="BQ469" s="754"/>
      <c r="BR469" s="754"/>
      <c r="BS469" s="754"/>
    </row>
    <row r="470" spans="1:143" ht="14.5" customHeight="1" outlineLevel="1" thickBot="1" x14ac:dyDescent="0.4">
      <c r="B470" s="129"/>
      <c r="C470" s="126"/>
      <c r="F470" s="522" t="s">
        <v>987</v>
      </c>
      <c r="G470" s="523"/>
      <c r="H470" s="760" t="s">
        <v>1149</v>
      </c>
      <c r="I470" s="761"/>
      <c r="J470" s="760" t="s">
        <v>623</v>
      </c>
      <c r="K470" s="762"/>
      <c r="L470" s="761"/>
      <c r="M470" s="763" t="s">
        <v>1150</v>
      </c>
      <c r="N470" s="764"/>
      <c r="O470" s="763" t="s">
        <v>1151</v>
      </c>
      <c r="P470" s="764"/>
      <c r="Q470" s="764"/>
      <c r="R470" s="764"/>
      <c r="S470" s="764"/>
      <c r="T470" s="764"/>
      <c r="U470" s="760" t="s">
        <v>1152</v>
      </c>
      <c r="V470" s="762"/>
      <c r="W470" s="762"/>
      <c r="X470" s="762"/>
      <c r="Y470" s="762"/>
      <c r="Z470" s="762"/>
      <c r="AA470" s="762"/>
      <c r="AB470" s="762"/>
      <c r="AC470" s="765"/>
      <c r="AD470" s="548" t="s">
        <v>1153</v>
      </c>
      <c r="AE470" s="549"/>
      <c r="AF470" s="549"/>
      <c r="AG470" s="549"/>
      <c r="AH470" s="549"/>
      <c r="AI470" s="549"/>
      <c r="AJ470" s="549"/>
      <c r="AK470" s="549"/>
      <c r="AL470" s="549"/>
      <c r="AM470" s="549"/>
      <c r="AN470" s="549"/>
      <c r="AO470" s="549"/>
      <c r="AP470" s="549"/>
      <c r="AQ470" s="549"/>
      <c r="AR470" s="549"/>
      <c r="AS470" s="550"/>
      <c r="AT470" s="778" t="s">
        <v>333</v>
      </c>
      <c r="AU470" s="779"/>
      <c r="AV470" s="779"/>
      <c r="AW470" s="780"/>
      <c r="AX470" s="771" t="s">
        <v>1154</v>
      </c>
      <c r="AY470" s="772"/>
      <c r="AZ470" s="772"/>
      <c r="BA470" s="772"/>
      <c r="BB470" s="772"/>
      <c r="BC470" s="772"/>
      <c r="BD470" s="772"/>
      <c r="BE470" s="772"/>
      <c r="BF470" s="772"/>
      <c r="BG470" s="773"/>
      <c r="BH470" s="774" t="s">
        <v>1155</v>
      </c>
      <c r="BI470" s="775"/>
      <c r="BJ470" s="775"/>
      <c r="BK470" s="775"/>
      <c r="BL470" s="775"/>
      <c r="BM470" s="775"/>
      <c r="BN470" s="775"/>
      <c r="BO470" s="753" t="s">
        <v>1258</v>
      </c>
      <c r="BP470" s="753"/>
      <c r="BQ470" s="753"/>
      <c r="BR470" s="753"/>
      <c r="BS470" s="753"/>
      <c r="BT470" s="289"/>
      <c r="BU470" s="289"/>
      <c r="BV470" s="289"/>
      <c r="BW470" s="289"/>
      <c r="BX470" s="289"/>
      <c r="BY470" s="289"/>
    </row>
    <row r="471" spans="1:143" ht="92" outlineLevel="1" x14ac:dyDescent="0.25">
      <c r="B471" s="532"/>
      <c r="C471" s="533" t="s">
        <v>252</v>
      </c>
      <c r="D471" s="533" t="s">
        <v>253</v>
      </c>
      <c r="E471" s="533" t="s">
        <v>254</v>
      </c>
      <c r="F471" s="534" t="s">
        <v>334</v>
      </c>
      <c r="G471" s="534" t="s">
        <v>335</v>
      </c>
      <c r="H471" s="534" t="s">
        <v>336</v>
      </c>
      <c r="I471" s="534" t="s">
        <v>337</v>
      </c>
      <c r="J471" s="534" t="s">
        <v>338</v>
      </c>
      <c r="K471" s="535" t="s">
        <v>339</v>
      </c>
      <c r="L471" s="535" t="s">
        <v>1156</v>
      </c>
      <c r="M471" s="536" t="s">
        <v>340</v>
      </c>
      <c r="N471" s="535" t="s">
        <v>341</v>
      </c>
      <c r="O471" s="533" t="s">
        <v>605</v>
      </c>
      <c r="P471" s="534" t="s">
        <v>916</v>
      </c>
      <c r="Q471" s="533" t="s">
        <v>1157</v>
      </c>
      <c r="R471" s="534" t="s">
        <v>1158</v>
      </c>
      <c r="S471" s="533" t="s">
        <v>1159</v>
      </c>
      <c r="T471" s="534" t="s">
        <v>1160</v>
      </c>
      <c r="U471" s="534" t="s">
        <v>1161</v>
      </c>
      <c r="V471" s="534" t="s">
        <v>1162</v>
      </c>
      <c r="W471" s="534" t="s">
        <v>1163</v>
      </c>
      <c r="X471" s="534" t="s">
        <v>1164</v>
      </c>
      <c r="Y471" s="534" t="s">
        <v>1162</v>
      </c>
      <c r="Z471" s="534" t="s">
        <v>570</v>
      </c>
      <c r="AA471" s="534" t="s">
        <v>1165</v>
      </c>
      <c r="AB471" s="534" t="s">
        <v>1162</v>
      </c>
      <c r="AC471" s="534" t="s">
        <v>1166</v>
      </c>
      <c r="AD471" s="534" t="s">
        <v>1167</v>
      </c>
      <c r="AE471" s="534" t="s">
        <v>1168</v>
      </c>
      <c r="AF471" s="534" t="s">
        <v>1169</v>
      </c>
      <c r="AG471" s="534" t="s">
        <v>1170</v>
      </c>
      <c r="AH471" s="534" t="s">
        <v>1171</v>
      </c>
      <c r="AI471" s="534" t="s">
        <v>1172</v>
      </c>
      <c r="AJ471" s="534" t="s">
        <v>1173</v>
      </c>
      <c r="AK471" s="534" t="s">
        <v>1174</v>
      </c>
      <c r="AL471" s="534" t="s">
        <v>1175</v>
      </c>
      <c r="AM471" s="534" t="s">
        <v>1176</v>
      </c>
      <c r="AN471" s="534" t="s">
        <v>1177</v>
      </c>
      <c r="AO471" s="534" t="s">
        <v>1178</v>
      </c>
      <c r="AP471" s="534" t="s">
        <v>1179</v>
      </c>
      <c r="AQ471" s="534" t="s">
        <v>1181</v>
      </c>
      <c r="AR471" s="534" t="s">
        <v>973</v>
      </c>
      <c r="AS471" s="534" t="s">
        <v>1182</v>
      </c>
      <c r="AT471" s="534" t="s">
        <v>343</v>
      </c>
      <c r="AU471" s="534" t="s">
        <v>344</v>
      </c>
      <c r="AV471" s="534" t="s">
        <v>345</v>
      </c>
      <c r="AW471" s="537" t="s">
        <v>909</v>
      </c>
      <c r="AX471" s="538" t="s">
        <v>991</v>
      </c>
      <c r="AY471" s="539" t="s">
        <v>1183</v>
      </c>
      <c r="AZ471" s="539" t="s">
        <v>1184</v>
      </c>
      <c r="BA471" s="539" t="s">
        <v>1185</v>
      </c>
      <c r="BB471" s="539" t="s">
        <v>1186</v>
      </c>
      <c r="BC471" s="539" t="s">
        <v>1187</v>
      </c>
      <c r="BD471" s="539" t="s">
        <v>1188</v>
      </c>
      <c r="BE471" s="539" t="s">
        <v>1189</v>
      </c>
      <c r="BF471" s="539" t="s">
        <v>1190</v>
      </c>
      <c r="BG471" s="539" t="s">
        <v>1190</v>
      </c>
      <c r="BH471" s="539" t="s">
        <v>1191</v>
      </c>
      <c r="BI471" s="540" t="s">
        <v>1192</v>
      </c>
      <c r="BJ471" s="540" t="s">
        <v>1193</v>
      </c>
      <c r="BK471" s="539" t="s">
        <v>1194</v>
      </c>
      <c r="BL471" s="540" t="s">
        <v>1195</v>
      </c>
      <c r="BM471" s="540" t="s">
        <v>1196</v>
      </c>
      <c r="BN471" s="540" t="s">
        <v>1197</v>
      </c>
      <c r="BO471" s="574" t="str">
        <f>O471</f>
        <v>Velocidad de bajada ofertada (Mbps)</v>
      </c>
      <c r="BP471" s="574" t="str">
        <f>P471</f>
        <v>Velocidad de subida ofertada (Mbps)</v>
      </c>
      <c r="BQ471" s="574" t="str">
        <f>R471</f>
        <v>Duración del periodo de tiempo (en meses) en que ofrece la promoción de incremento de velocidad</v>
      </c>
      <c r="BR471" s="574" t="str">
        <f t="shared" ref="BR471:BS471" si="2">S471</f>
        <v>Velocidad de bajada ofertada (Mbps) con la promoción de aumento de velocidad</v>
      </c>
      <c r="BS471" s="574" t="str">
        <f t="shared" si="2"/>
        <v>Velocidad de subida ofertada (Mbps) con la promoción de aumento de velocidad</v>
      </c>
      <c r="BT471" s="263"/>
      <c r="BU471" s="263"/>
      <c r="BV471" s="263"/>
      <c r="BW471" s="263"/>
      <c r="BX471" s="263"/>
      <c r="BY471" s="263"/>
      <c r="BZ471" s="263"/>
      <c r="CA471" s="263"/>
      <c r="CB471" s="263"/>
      <c r="CC471" s="263"/>
      <c r="CD471" s="263"/>
    </row>
    <row r="472" spans="1:143" ht="14.5" outlineLevel="1" x14ac:dyDescent="0.35">
      <c r="A472" s="579" t="str">
        <f>C472&amp;D472</f>
        <v>Infinitum 50Residencial</v>
      </c>
      <c r="B472" s="129">
        <v>1</v>
      </c>
      <c r="C472" s="434" t="s">
        <v>1054</v>
      </c>
      <c r="D472" s="340" t="s">
        <v>240</v>
      </c>
      <c r="E472" s="340" t="s">
        <v>241</v>
      </c>
      <c r="F472" s="506">
        <v>300.86</v>
      </c>
      <c r="G472" s="506">
        <v>348.99759999999998</v>
      </c>
      <c r="H472" s="541"/>
      <c r="I472" s="541"/>
      <c r="J472" s="541"/>
      <c r="K472" s="541"/>
      <c r="L472" s="541"/>
      <c r="M472" s="541"/>
      <c r="N472" s="541"/>
      <c r="O472" s="288" t="s">
        <v>354</v>
      </c>
      <c r="P472" s="288" t="s">
        <v>360</v>
      </c>
      <c r="Q472" s="501" t="s">
        <v>1018</v>
      </c>
      <c r="R472" s="345"/>
      <c r="S472" s="345"/>
      <c r="T472" s="345"/>
      <c r="U472" s="541"/>
      <c r="V472" s="541"/>
      <c r="W472" s="345"/>
      <c r="X472" s="345" t="s">
        <v>1019</v>
      </c>
      <c r="Y472" s="288" t="s">
        <v>910</v>
      </c>
      <c r="Z472" s="288" t="s">
        <v>349</v>
      </c>
      <c r="AA472" s="541"/>
      <c r="AB472" s="541"/>
      <c r="AC472" s="541"/>
      <c r="AD472" s="288" t="s">
        <v>347</v>
      </c>
      <c r="AE472" s="541"/>
      <c r="AF472" s="288" t="s">
        <v>812</v>
      </c>
      <c r="AG472" s="288" t="s">
        <v>348</v>
      </c>
      <c r="AH472" s="345"/>
      <c r="AI472" s="288" t="s">
        <v>358</v>
      </c>
      <c r="AJ472" s="448"/>
      <c r="AK472" s="448"/>
      <c r="AL472" s="448"/>
      <c r="AM472" s="448"/>
      <c r="AN472" s="448"/>
      <c r="AO472" s="448"/>
      <c r="AP472" s="448"/>
      <c r="AQ472" s="448"/>
      <c r="AR472" s="448"/>
      <c r="AS472" s="345"/>
      <c r="AT472" s="448"/>
      <c r="AU472" s="448"/>
      <c r="AV472" s="448"/>
      <c r="AW472" s="448"/>
      <c r="AX472" s="345" t="s">
        <v>1018</v>
      </c>
      <c r="AY472" s="448"/>
      <c r="AZ472" s="448"/>
      <c r="BA472" s="448"/>
      <c r="BB472" s="448"/>
      <c r="BC472" s="448"/>
      <c r="BD472" s="448"/>
      <c r="BE472" s="448"/>
      <c r="BF472" s="499"/>
      <c r="BG472" s="499"/>
      <c r="BH472" s="345" t="s">
        <v>1018</v>
      </c>
      <c r="BI472" s="499"/>
      <c r="BJ472" s="499"/>
      <c r="BK472" s="345" t="s">
        <v>1018</v>
      </c>
      <c r="BL472" s="499"/>
      <c r="BM472" s="499"/>
      <c r="BN472" s="499"/>
      <c r="BO472" s="575">
        <f>LEFT(O472,FIND(" ",O472))*1</f>
        <v>50</v>
      </c>
      <c r="BP472" s="575">
        <f>LEFT(P472,FIND(" ",P472))*1</f>
        <v>5</v>
      </c>
      <c r="BQ472" s="575"/>
      <c r="BR472" s="575"/>
      <c r="BS472" s="575"/>
    </row>
    <row r="473" spans="1:143" ht="14.5" outlineLevel="1" x14ac:dyDescent="0.35">
      <c r="A473" s="579" t="str">
        <f t="shared" ref="A473:A536" si="3">C473&amp;D473</f>
        <v>Infinitum 500Residencial</v>
      </c>
      <c r="B473" s="129">
        <v>2</v>
      </c>
      <c r="C473" s="434" t="s">
        <v>1055</v>
      </c>
      <c r="D473" s="340" t="s">
        <v>240</v>
      </c>
      <c r="E473" s="340" t="s">
        <v>241</v>
      </c>
      <c r="F473" s="506">
        <v>775</v>
      </c>
      <c r="G473" s="506">
        <v>898.99999999999989</v>
      </c>
      <c r="H473" s="541"/>
      <c r="I473" s="541"/>
      <c r="J473" s="541"/>
      <c r="K473" s="541"/>
      <c r="L473" s="541"/>
      <c r="M473" s="541"/>
      <c r="N473" s="541"/>
      <c r="O473" s="288" t="s">
        <v>1221</v>
      </c>
      <c r="P473" s="288" t="s">
        <v>354</v>
      </c>
      <c r="Q473" s="501" t="s">
        <v>1018</v>
      </c>
      <c r="R473" s="345"/>
      <c r="S473" s="345"/>
      <c r="T473" s="345"/>
      <c r="U473" s="541"/>
      <c r="V473" s="541"/>
      <c r="W473" s="345"/>
      <c r="X473" s="345" t="s">
        <v>1019</v>
      </c>
      <c r="Y473" s="288" t="s">
        <v>910</v>
      </c>
      <c r="Z473" s="288" t="s">
        <v>349</v>
      </c>
      <c r="AA473" s="541"/>
      <c r="AB473" s="541"/>
      <c r="AC473" s="541"/>
      <c r="AD473" s="288" t="s">
        <v>347</v>
      </c>
      <c r="AE473" s="541"/>
      <c r="AF473" s="288" t="s">
        <v>812</v>
      </c>
      <c r="AG473" s="288" t="s">
        <v>348</v>
      </c>
      <c r="AH473" s="345"/>
      <c r="AI473" s="288" t="s">
        <v>358</v>
      </c>
      <c r="AJ473" s="448"/>
      <c r="AK473" s="448"/>
      <c r="AL473" s="448"/>
      <c r="AM473" s="448"/>
      <c r="AN473" s="448"/>
      <c r="AO473" s="448"/>
      <c r="AP473" s="448"/>
      <c r="AQ473" s="448"/>
      <c r="AR473" s="448"/>
      <c r="AS473" s="345"/>
      <c r="AT473" s="448"/>
      <c r="AU473" s="448"/>
      <c r="AV473" s="448"/>
      <c r="AW473" s="448"/>
      <c r="AX473" s="345" t="s">
        <v>1018</v>
      </c>
      <c r="AY473" s="448"/>
      <c r="AZ473" s="448"/>
      <c r="BA473" s="448"/>
      <c r="BB473" s="448"/>
      <c r="BC473" s="448"/>
      <c r="BD473" s="448"/>
      <c r="BE473" s="448"/>
      <c r="BF473" s="499"/>
      <c r="BG473" s="499"/>
      <c r="BH473" s="345" t="s">
        <v>1018</v>
      </c>
      <c r="BI473" s="499"/>
      <c r="BJ473" s="499"/>
      <c r="BK473" s="345" t="s">
        <v>1018</v>
      </c>
      <c r="BL473" s="499"/>
      <c r="BM473" s="499"/>
      <c r="BN473" s="499"/>
      <c r="BO473" s="575">
        <f t="shared" ref="BO473:BP536" si="4">LEFT(O473,FIND(" ",O473))*1</f>
        <v>500</v>
      </c>
      <c r="BP473" s="575">
        <f t="shared" si="4"/>
        <v>50</v>
      </c>
      <c r="BQ473" s="575"/>
      <c r="BR473" s="575"/>
      <c r="BS473" s="575"/>
    </row>
    <row r="474" spans="1:143" ht="14.5" outlineLevel="1" x14ac:dyDescent="0.35">
      <c r="A474" s="579" t="str">
        <f t="shared" si="3"/>
        <v>Infinitum 60Residencial</v>
      </c>
      <c r="B474" s="129">
        <v>3</v>
      </c>
      <c r="C474" s="434" t="s">
        <v>1056</v>
      </c>
      <c r="D474" s="340" t="s">
        <v>240</v>
      </c>
      <c r="E474" s="340" t="s">
        <v>241</v>
      </c>
      <c r="F474" s="506">
        <v>343.97</v>
      </c>
      <c r="G474" s="506">
        <v>398.99520000000001</v>
      </c>
      <c r="H474" s="541"/>
      <c r="I474" s="541"/>
      <c r="J474" s="541"/>
      <c r="K474" s="541"/>
      <c r="L474" s="541"/>
      <c r="M474" s="541"/>
      <c r="N474" s="541"/>
      <c r="O474" s="288" t="s">
        <v>813</v>
      </c>
      <c r="P474" s="288" t="s">
        <v>360</v>
      </c>
      <c r="Q474" s="501" t="s">
        <v>1018</v>
      </c>
      <c r="R474" s="345"/>
      <c r="S474" s="345"/>
      <c r="T474" s="345"/>
      <c r="U474" s="541"/>
      <c r="V474" s="541"/>
      <c r="W474" s="345"/>
      <c r="X474" s="345" t="s">
        <v>1019</v>
      </c>
      <c r="Y474" s="288" t="s">
        <v>910</v>
      </c>
      <c r="Z474" s="288" t="s">
        <v>349</v>
      </c>
      <c r="AA474" s="541"/>
      <c r="AB474" s="541"/>
      <c r="AC474" s="541"/>
      <c r="AD474" s="288" t="s">
        <v>347</v>
      </c>
      <c r="AE474" s="541"/>
      <c r="AF474" s="288" t="s">
        <v>812</v>
      </c>
      <c r="AG474" s="288" t="s">
        <v>348</v>
      </c>
      <c r="AH474" s="345"/>
      <c r="AI474" s="288" t="s">
        <v>358</v>
      </c>
      <c r="AJ474" s="448"/>
      <c r="AK474" s="448"/>
      <c r="AL474" s="448"/>
      <c r="AM474" s="448"/>
      <c r="AN474" s="448"/>
      <c r="AO474" s="448"/>
      <c r="AP474" s="448"/>
      <c r="AQ474" s="448"/>
      <c r="AR474" s="448"/>
      <c r="AS474" s="345"/>
      <c r="AT474" s="448"/>
      <c r="AU474" s="448"/>
      <c r="AV474" s="448"/>
      <c r="AW474" s="448"/>
      <c r="AX474" s="345" t="s">
        <v>1018</v>
      </c>
      <c r="AY474" s="448"/>
      <c r="AZ474" s="448"/>
      <c r="BA474" s="448"/>
      <c r="BB474" s="448"/>
      <c r="BC474" s="448"/>
      <c r="BD474" s="448"/>
      <c r="BE474" s="448"/>
      <c r="BF474" s="499"/>
      <c r="BG474" s="499"/>
      <c r="BH474" s="345" t="s">
        <v>1018</v>
      </c>
      <c r="BI474" s="499"/>
      <c r="BJ474" s="499"/>
      <c r="BK474" s="345" t="s">
        <v>1018</v>
      </c>
      <c r="BL474" s="499"/>
      <c r="BM474" s="499"/>
      <c r="BN474" s="499"/>
      <c r="BO474" s="575">
        <f t="shared" si="4"/>
        <v>60</v>
      </c>
      <c r="BP474" s="575">
        <f t="shared" si="4"/>
        <v>5</v>
      </c>
      <c r="BQ474" s="575"/>
      <c r="BR474" s="575"/>
      <c r="BS474" s="575"/>
    </row>
    <row r="475" spans="1:143" ht="14.5" outlineLevel="1" x14ac:dyDescent="0.35">
      <c r="A475" s="579" t="str">
        <f t="shared" si="3"/>
        <v>Infinitum 100Residencial</v>
      </c>
      <c r="B475" s="129">
        <v>4</v>
      </c>
      <c r="C475" s="434" t="s">
        <v>1057</v>
      </c>
      <c r="D475" s="340" t="s">
        <v>240</v>
      </c>
      <c r="E475" s="340" t="s">
        <v>241</v>
      </c>
      <c r="F475" s="506">
        <v>387.07</v>
      </c>
      <c r="G475" s="506">
        <v>449</v>
      </c>
      <c r="H475" s="541"/>
      <c r="I475" s="541"/>
      <c r="J475" s="541"/>
      <c r="K475" s="541"/>
      <c r="L475" s="541"/>
      <c r="M475" s="541"/>
      <c r="N475" s="541"/>
      <c r="O475" s="288" t="s">
        <v>351</v>
      </c>
      <c r="P475" s="345" t="s">
        <v>346</v>
      </c>
      <c r="Q475" s="501" t="s">
        <v>1018</v>
      </c>
      <c r="R475" s="345"/>
      <c r="S475" s="345"/>
      <c r="T475" s="345"/>
      <c r="U475" s="541"/>
      <c r="V475" s="541"/>
      <c r="W475" s="345"/>
      <c r="X475" s="345" t="s">
        <v>1019</v>
      </c>
      <c r="Y475" s="288" t="s">
        <v>910</v>
      </c>
      <c r="Z475" s="288" t="s">
        <v>349</v>
      </c>
      <c r="AA475" s="541"/>
      <c r="AB475" s="541"/>
      <c r="AC475" s="541"/>
      <c r="AD475" s="288" t="s">
        <v>347</v>
      </c>
      <c r="AE475" s="541"/>
      <c r="AF475" s="288" t="s">
        <v>812</v>
      </c>
      <c r="AG475" s="288" t="s">
        <v>348</v>
      </c>
      <c r="AH475" s="345"/>
      <c r="AI475" s="288" t="s">
        <v>358</v>
      </c>
      <c r="AJ475" s="448"/>
      <c r="AK475" s="448"/>
      <c r="AL475" s="448"/>
      <c r="AM475" s="448"/>
      <c r="AN475" s="448"/>
      <c r="AO475" s="448"/>
      <c r="AP475" s="448"/>
      <c r="AQ475" s="448"/>
      <c r="AR475" s="448"/>
      <c r="AS475" s="345"/>
      <c r="AT475" s="448"/>
      <c r="AU475" s="448"/>
      <c r="AV475" s="448"/>
      <c r="AW475" s="448"/>
      <c r="AX475" s="345" t="s">
        <v>1018</v>
      </c>
      <c r="AY475" s="448"/>
      <c r="AZ475" s="448"/>
      <c r="BA475" s="448"/>
      <c r="BB475" s="448"/>
      <c r="BC475" s="448"/>
      <c r="BD475" s="448"/>
      <c r="BE475" s="448"/>
      <c r="BF475" s="499"/>
      <c r="BG475" s="499"/>
      <c r="BH475" s="345" t="s">
        <v>1018</v>
      </c>
      <c r="BI475" s="499"/>
      <c r="BJ475" s="499"/>
      <c r="BK475" s="345" t="s">
        <v>1018</v>
      </c>
      <c r="BL475" s="499"/>
      <c r="BM475" s="499"/>
      <c r="BN475" s="499"/>
      <c r="BO475" s="575">
        <f t="shared" si="4"/>
        <v>100</v>
      </c>
      <c r="BP475" s="575">
        <f t="shared" si="4"/>
        <v>10</v>
      </c>
      <c r="BQ475" s="575"/>
      <c r="BR475" s="575"/>
      <c r="BS475" s="575"/>
    </row>
    <row r="476" spans="1:143" ht="14.5" outlineLevel="1" x14ac:dyDescent="0.35">
      <c r="A476" s="579" t="str">
        <f t="shared" si="3"/>
        <v>Infinitum 200Residencial</v>
      </c>
      <c r="B476" s="129">
        <v>5</v>
      </c>
      <c r="C476" s="434" t="s">
        <v>1058</v>
      </c>
      <c r="D476" s="340" t="s">
        <v>240</v>
      </c>
      <c r="E476" s="340" t="s">
        <v>241</v>
      </c>
      <c r="F476" s="506">
        <v>473.28</v>
      </c>
      <c r="G476" s="506">
        <v>549</v>
      </c>
      <c r="H476" s="541"/>
      <c r="I476" s="541"/>
      <c r="J476" s="541"/>
      <c r="K476" s="541"/>
      <c r="L476" s="541"/>
      <c r="M476" s="541"/>
      <c r="N476" s="541"/>
      <c r="O476" s="288" t="s">
        <v>359</v>
      </c>
      <c r="P476" s="288" t="s">
        <v>353</v>
      </c>
      <c r="Q476" s="501" t="s">
        <v>1018</v>
      </c>
      <c r="R476" s="345"/>
      <c r="S476" s="345"/>
      <c r="T476" s="345"/>
      <c r="U476" s="541"/>
      <c r="V476" s="541"/>
      <c r="W476" s="345"/>
      <c r="X476" s="345" t="s">
        <v>1019</v>
      </c>
      <c r="Y476" s="288" t="s">
        <v>910</v>
      </c>
      <c r="Z476" s="288" t="s">
        <v>349</v>
      </c>
      <c r="AA476" s="541"/>
      <c r="AB476" s="541"/>
      <c r="AC476" s="541"/>
      <c r="AD476" s="288" t="s">
        <v>347</v>
      </c>
      <c r="AE476" s="541"/>
      <c r="AF476" s="288" t="s">
        <v>812</v>
      </c>
      <c r="AG476" s="288" t="s">
        <v>348</v>
      </c>
      <c r="AH476" s="345"/>
      <c r="AI476" s="288" t="s">
        <v>358</v>
      </c>
      <c r="AJ476" s="448"/>
      <c r="AK476" s="448"/>
      <c r="AL476" s="448"/>
      <c r="AM476" s="448"/>
      <c r="AN476" s="448"/>
      <c r="AO476" s="448"/>
      <c r="AP476" s="448"/>
      <c r="AQ476" s="448"/>
      <c r="AR476" s="448"/>
      <c r="AS476" s="345"/>
      <c r="AT476" s="448"/>
      <c r="AU476" s="448"/>
      <c r="AV476" s="448"/>
      <c r="AW476" s="448"/>
      <c r="AX476" s="345" t="s">
        <v>1018</v>
      </c>
      <c r="AY476" s="448"/>
      <c r="AZ476" s="448"/>
      <c r="BA476" s="448"/>
      <c r="BB476" s="448"/>
      <c r="BC476" s="448"/>
      <c r="BD476" s="448"/>
      <c r="BE476" s="448"/>
      <c r="BF476" s="499"/>
      <c r="BG476" s="499"/>
      <c r="BH476" s="345" t="s">
        <v>1018</v>
      </c>
      <c r="BI476" s="499"/>
      <c r="BJ476" s="499"/>
      <c r="BK476" s="345" t="s">
        <v>1018</v>
      </c>
      <c r="BL476" s="499"/>
      <c r="BM476" s="499"/>
      <c r="BN476" s="499"/>
      <c r="BO476" s="575">
        <f t="shared" si="4"/>
        <v>200</v>
      </c>
      <c r="BP476" s="575">
        <f t="shared" si="4"/>
        <v>20</v>
      </c>
      <c r="BQ476" s="575"/>
      <c r="BR476" s="575"/>
      <c r="BS476" s="575"/>
    </row>
    <row r="477" spans="1:143" ht="14.5" outlineLevel="1" x14ac:dyDescent="0.35">
      <c r="A477" s="579" t="str">
        <f t="shared" si="3"/>
        <v>Infinitum 279Residencial</v>
      </c>
      <c r="B477" s="129">
        <v>6</v>
      </c>
      <c r="C477" s="434" t="s">
        <v>948</v>
      </c>
      <c r="D477" s="340" t="s">
        <v>240</v>
      </c>
      <c r="E477" s="340" t="s">
        <v>241</v>
      </c>
      <c r="F477" s="506">
        <v>240.52</v>
      </c>
      <c r="G477" s="506">
        <v>279</v>
      </c>
      <c r="H477" s="541"/>
      <c r="I477" s="541"/>
      <c r="J477" s="541"/>
      <c r="K477" s="541"/>
      <c r="L477" s="541"/>
      <c r="M477" s="541"/>
      <c r="N477" s="541"/>
      <c r="O477" s="288" t="s">
        <v>362</v>
      </c>
      <c r="P477" s="288" t="s">
        <v>360</v>
      </c>
      <c r="Q477" s="501" t="s">
        <v>1018</v>
      </c>
      <c r="R477" s="345"/>
      <c r="S477" s="345"/>
      <c r="T477" s="345"/>
      <c r="U477" s="541"/>
      <c r="V477" s="541"/>
      <c r="W477" s="345"/>
      <c r="X477" s="541" t="s">
        <v>1018</v>
      </c>
      <c r="Y477" s="541"/>
      <c r="Z477" s="541"/>
      <c r="AA477" s="541"/>
      <c r="AB477" s="541"/>
      <c r="AC477" s="541"/>
      <c r="AD477" s="288" t="s">
        <v>347</v>
      </c>
      <c r="AE477" s="541"/>
      <c r="AF477" s="448"/>
      <c r="AG477" s="448"/>
      <c r="AH477" s="448"/>
      <c r="AI477" s="448"/>
      <c r="AJ477" s="448"/>
      <c r="AK477" s="448"/>
      <c r="AL477" s="448"/>
      <c r="AM477" s="448"/>
      <c r="AN477" s="448"/>
      <c r="AO477" s="448"/>
      <c r="AP477" s="448"/>
      <c r="AQ477" s="448"/>
      <c r="AR477" s="448"/>
      <c r="AS477" s="345"/>
      <c r="AT477" s="448"/>
      <c r="AU477" s="448"/>
      <c r="AV477" s="448"/>
      <c r="AW477" s="448"/>
      <c r="AX477" s="345" t="s">
        <v>1018</v>
      </c>
      <c r="AY477" s="448"/>
      <c r="AZ477" s="448"/>
      <c r="BA477" s="448"/>
      <c r="BB477" s="448"/>
      <c r="BC477" s="448"/>
      <c r="BD477" s="448"/>
      <c r="BE477" s="448"/>
      <c r="BF477" s="499"/>
      <c r="BG477" s="499"/>
      <c r="BH477" s="345" t="s">
        <v>1018</v>
      </c>
      <c r="BI477" s="499"/>
      <c r="BJ477" s="499"/>
      <c r="BK477" s="345" t="s">
        <v>1018</v>
      </c>
      <c r="BL477" s="499"/>
      <c r="BM477" s="499"/>
      <c r="BN477" s="499"/>
      <c r="BO477" s="575">
        <f t="shared" si="4"/>
        <v>30</v>
      </c>
      <c r="BP477" s="575">
        <f t="shared" si="4"/>
        <v>5</v>
      </c>
      <c r="BQ477" s="575"/>
      <c r="BR477" s="575"/>
      <c r="BS477" s="575"/>
    </row>
    <row r="478" spans="1:143" ht="14.5" outlineLevel="1" x14ac:dyDescent="0.35">
      <c r="A478" s="579" t="str">
        <f t="shared" si="3"/>
        <v>Infinitum 299Residencial</v>
      </c>
      <c r="B478" s="129">
        <v>7</v>
      </c>
      <c r="C478" s="434" t="s">
        <v>949</v>
      </c>
      <c r="D478" s="340" t="s">
        <v>240</v>
      </c>
      <c r="E478" s="340" t="s">
        <v>241</v>
      </c>
      <c r="F478" s="506">
        <v>257.76</v>
      </c>
      <c r="G478" s="506">
        <v>299</v>
      </c>
      <c r="H478" s="541"/>
      <c r="I478" s="541"/>
      <c r="J478" s="541"/>
      <c r="K478" s="541"/>
      <c r="L478" s="541"/>
      <c r="M478" s="541"/>
      <c r="N478" s="541"/>
      <c r="O478" s="288" t="s">
        <v>357</v>
      </c>
      <c r="P478" s="288" t="s">
        <v>360</v>
      </c>
      <c r="Q478" s="501" t="s">
        <v>1018</v>
      </c>
      <c r="R478" s="345"/>
      <c r="S478" s="345"/>
      <c r="T478" s="345"/>
      <c r="U478" s="541"/>
      <c r="V478" s="541"/>
      <c r="W478" s="345"/>
      <c r="X478" s="541" t="s">
        <v>1018</v>
      </c>
      <c r="Y478" s="541"/>
      <c r="Z478" s="541"/>
      <c r="AA478" s="541"/>
      <c r="AB478" s="541"/>
      <c r="AC478" s="541"/>
      <c r="AD478" s="288" t="s">
        <v>347</v>
      </c>
      <c r="AE478" s="541"/>
      <c r="AF478" s="448"/>
      <c r="AG478" s="448"/>
      <c r="AH478" s="448"/>
      <c r="AI478" s="448"/>
      <c r="AJ478" s="448"/>
      <c r="AK478" s="448"/>
      <c r="AL478" s="448"/>
      <c r="AM478" s="448"/>
      <c r="AN478" s="448"/>
      <c r="AO478" s="448"/>
      <c r="AP478" s="448"/>
      <c r="AQ478" s="448"/>
      <c r="AR478" s="448"/>
      <c r="AS478" s="345"/>
      <c r="AT478" s="448"/>
      <c r="AU478" s="448"/>
      <c r="AV478" s="448"/>
      <c r="AW478" s="448"/>
      <c r="AX478" s="345" t="s">
        <v>1018</v>
      </c>
      <c r="AY478" s="448"/>
      <c r="AZ478" s="448"/>
      <c r="BA478" s="448"/>
      <c r="BB478" s="448"/>
      <c r="BC478" s="448"/>
      <c r="BD478" s="448"/>
      <c r="BE478" s="448"/>
      <c r="BF478" s="499"/>
      <c r="BG478" s="499"/>
      <c r="BH478" s="345" t="s">
        <v>1018</v>
      </c>
      <c r="BI478" s="499"/>
      <c r="BJ478" s="499"/>
      <c r="BK478" s="345" t="s">
        <v>1018</v>
      </c>
      <c r="BL478" s="499"/>
      <c r="BM478" s="499"/>
      <c r="BN478" s="499"/>
      <c r="BO478" s="575">
        <f t="shared" si="4"/>
        <v>40</v>
      </c>
      <c r="BP478" s="575">
        <f t="shared" si="4"/>
        <v>5</v>
      </c>
      <c r="BQ478" s="575"/>
      <c r="BR478" s="575"/>
      <c r="BS478" s="575"/>
    </row>
    <row r="479" spans="1:143" ht="14.5" outlineLevel="1" x14ac:dyDescent="0.35">
      <c r="A479" s="579" t="str">
        <f t="shared" si="3"/>
        <v>Infinitum 299No Residencial</v>
      </c>
      <c r="B479" s="129">
        <v>8</v>
      </c>
      <c r="C479" s="434" t="s">
        <v>949</v>
      </c>
      <c r="D479" s="340" t="s">
        <v>242</v>
      </c>
      <c r="E479" s="340" t="s">
        <v>241</v>
      </c>
      <c r="F479" s="506">
        <v>257.76</v>
      </c>
      <c r="G479" s="506">
        <v>299</v>
      </c>
      <c r="H479" s="541"/>
      <c r="I479" s="541"/>
      <c r="J479" s="541"/>
      <c r="K479" s="541"/>
      <c r="L479" s="541"/>
      <c r="M479" s="541"/>
      <c r="N479" s="541"/>
      <c r="O479" s="288" t="s">
        <v>357</v>
      </c>
      <c r="P479" s="288" t="s">
        <v>360</v>
      </c>
      <c r="Q479" s="501" t="s">
        <v>1018</v>
      </c>
      <c r="R479" s="345"/>
      <c r="S479" s="345"/>
      <c r="T479" s="345"/>
      <c r="U479" s="541"/>
      <c r="V479" s="541"/>
      <c r="W479" s="541"/>
      <c r="X479" s="541" t="s">
        <v>1018</v>
      </c>
      <c r="Y479" s="541"/>
      <c r="Z479" s="541"/>
      <c r="AA479" s="541"/>
      <c r="AB479" s="541"/>
      <c r="AC479" s="541"/>
      <c r="AD479" s="288" t="s">
        <v>347</v>
      </c>
      <c r="AE479" s="541"/>
      <c r="AF479" s="448"/>
      <c r="AG479" s="542" t="s">
        <v>1200</v>
      </c>
      <c r="AH479" s="448"/>
      <c r="AI479" s="551" t="s">
        <v>1201</v>
      </c>
      <c r="AJ479" s="448"/>
      <c r="AK479" s="345" t="s">
        <v>1203</v>
      </c>
      <c r="AL479" s="448"/>
      <c r="AM479" s="448"/>
      <c r="AN479" s="448"/>
      <c r="AO479" s="448"/>
      <c r="AP479" s="448"/>
      <c r="AQ479" s="448"/>
      <c r="AR479" s="448"/>
      <c r="AS479" s="345"/>
      <c r="AT479" s="448"/>
      <c r="AU479" s="448"/>
      <c r="AV479" s="448"/>
      <c r="AW479" s="448"/>
      <c r="AX479" s="345" t="s">
        <v>1018</v>
      </c>
      <c r="AY479" s="448"/>
      <c r="AZ479" s="448"/>
      <c r="BA479" s="448"/>
      <c r="BB479" s="448"/>
      <c r="BC479" s="448"/>
      <c r="BD479" s="448"/>
      <c r="BE479" s="448"/>
      <c r="BF479" s="448"/>
      <c r="BG479" s="448"/>
      <c r="BH479" s="345" t="s">
        <v>1018</v>
      </c>
      <c r="BI479" s="499"/>
      <c r="BJ479" s="499"/>
      <c r="BK479" s="345" t="s">
        <v>1018</v>
      </c>
      <c r="BL479" s="499"/>
      <c r="BM479" s="499"/>
      <c r="BN479" s="499"/>
      <c r="BO479" s="575">
        <f t="shared" si="4"/>
        <v>40</v>
      </c>
      <c r="BP479" s="575">
        <f t="shared" si="4"/>
        <v>5</v>
      </c>
      <c r="BQ479" s="575"/>
      <c r="BR479" s="575"/>
      <c r="BS479" s="575"/>
    </row>
    <row r="480" spans="1:143" ht="14.5" outlineLevel="1" x14ac:dyDescent="0.35">
      <c r="A480" s="579" t="str">
        <f t="shared" si="3"/>
        <v>Infinitum Negocio 20 MbNo Residencial</v>
      </c>
      <c r="B480" s="129">
        <v>9</v>
      </c>
      <c r="C480" s="434" t="s">
        <v>200</v>
      </c>
      <c r="D480" s="340" t="s">
        <v>242</v>
      </c>
      <c r="E480" s="340" t="s">
        <v>241</v>
      </c>
      <c r="F480" s="506">
        <v>300.86</v>
      </c>
      <c r="G480" s="506">
        <v>349</v>
      </c>
      <c r="H480" s="541"/>
      <c r="I480" s="541"/>
      <c r="J480" s="541"/>
      <c r="K480" s="541"/>
      <c r="L480" s="541"/>
      <c r="M480" s="541"/>
      <c r="N480" s="541"/>
      <c r="O480" s="288" t="s">
        <v>353</v>
      </c>
      <c r="P480" s="288" t="s">
        <v>360</v>
      </c>
      <c r="Q480" s="501" t="s">
        <v>1040</v>
      </c>
      <c r="R480" s="345" t="s">
        <v>1222</v>
      </c>
      <c r="S480" s="345" t="s">
        <v>354</v>
      </c>
      <c r="T480" s="345" t="s">
        <v>360</v>
      </c>
      <c r="U480" s="541"/>
      <c r="V480" s="541"/>
      <c r="W480" s="541"/>
      <c r="X480" s="541" t="s">
        <v>1018</v>
      </c>
      <c r="Y480" s="541"/>
      <c r="Z480" s="541"/>
      <c r="AA480" s="541"/>
      <c r="AB480" s="541"/>
      <c r="AC480" s="541"/>
      <c r="AD480" s="288" t="s">
        <v>347</v>
      </c>
      <c r="AE480" s="541"/>
      <c r="AF480" s="448"/>
      <c r="AG480" s="542" t="s">
        <v>1200</v>
      </c>
      <c r="AH480" s="448"/>
      <c r="AI480" s="551" t="s">
        <v>1201</v>
      </c>
      <c r="AJ480" s="448"/>
      <c r="AK480" s="345" t="s">
        <v>1203</v>
      </c>
      <c r="AL480" s="448"/>
      <c r="AM480" s="448"/>
      <c r="AN480" s="448"/>
      <c r="AO480" s="448"/>
      <c r="AP480" s="448"/>
      <c r="AQ480" s="448"/>
      <c r="AR480" s="448"/>
      <c r="AS480" s="345"/>
      <c r="AT480" s="448"/>
      <c r="AU480" s="448"/>
      <c r="AV480" s="448"/>
      <c r="AW480" s="448"/>
      <c r="AX480" s="345" t="s">
        <v>1018</v>
      </c>
      <c r="AY480" s="448"/>
      <c r="AZ480" s="448"/>
      <c r="BA480" s="448"/>
      <c r="BB480" s="448"/>
      <c r="BC480" s="448"/>
      <c r="BD480" s="448"/>
      <c r="BE480" s="448"/>
      <c r="BF480" s="448"/>
      <c r="BG480" s="448"/>
      <c r="BH480" s="345" t="s">
        <v>1018</v>
      </c>
      <c r="BI480" s="499"/>
      <c r="BJ480" s="499"/>
      <c r="BK480" s="345" t="s">
        <v>1018</v>
      </c>
      <c r="BL480" s="499"/>
      <c r="BM480" s="499"/>
      <c r="BN480" s="499"/>
      <c r="BO480" s="575">
        <f t="shared" si="4"/>
        <v>20</v>
      </c>
      <c r="BP480" s="575">
        <f t="shared" si="4"/>
        <v>5</v>
      </c>
      <c r="BQ480" s="575">
        <f>LEFT(R480,FIND(" ",R480))*1</f>
        <v>18</v>
      </c>
      <c r="BR480" s="575">
        <f>LEFT(S480,FIND(" ",S480))*1</f>
        <v>50</v>
      </c>
      <c r="BS480" s="575">
        <f>LEFT(T480,FIND(" ",T480))*1</f>
        <v>5</v>
      </c>
    </row>
    <row r="481" spans="1:71" ht="14.5" outlineLevel="1" x14ac:dyDescent="0.35">
      <c r="A481" s="579" t="str">
        <f t="shared" si="3"/>
        <v>Infinitum Negocio 60No Residencial</v>
      </c>
      <c r="B481" s="129">
        <v>10</v>
      </c>
      <c r="C481" s="434" t="s">
        <v>1059</v>
      </c>
      <c r="D481" s="340" t="s">
        <v>242</v>
      </c>
      <c r="E481" s="340" t="s">
        <v>241</v>
      </c>
      <c r="F481" s="506">
        <v>343.97</v>
      </c>
      <c r="G481" s="506">
        <v>399</v>
      </c>
      <c r="H481" s="541"/>
      <c r="I481" s="541"/>
      <c r="J481" s="541"/>
      <c r="K481" s="541"/>
      <c r="L481" s="541"/>
      <c r="M481" s="541"/>
      <c r="N481" s="541"/>
      <c r="O481" s="288" t="s">
        <v>813</v>
      </c>
      <c r="P481" s="288" t="s">
        <v>360</v>
      </c>
      <c r="Q481" s="501" t="s">
        <v>1018</v>
      </c>
      <c r="R481" s="345"/>
      <c r="S481" s="345"/>
      <c r="T481" s="345"/>
      <c r="U481" s="541"/>
      <c r="V481" s="541"/>
      <c r="W481" s="541"/>
      <c r="X481" s="541" t="s">
        <v>1018</v>
      </c>
      <c r="Y481" s="541"/>
      <c r="Z481" s="541"/>
      <c r="AA481" s="541"/>
      <c r="AB481" s="541"/>
      <c r="AC481" s="541"/>
      <c r="AD481" s="288" t="s">
        <v>347</v>
      </c>
      <c r="AE481" s="541"/>
      <c r="AF481" s="448"/>
      <c r="AG481" s="542" t="s">
        <v>1200</v>
      </c>
      <c r="AH481" s="448"/>
      <c r="AI481" s="551" t="s">
        <v>1201</v>
      </c>
      <c r="AJ481" s="448"/>
      <c r="AK481" s="345" t="s">
        <v>1203</v>
      </c>
      <c r="AL481" s="448"/>
      <c r="AM481" s="448"/>
      <c r="AN481" s="448"/>
      <c r="AO481" s="448"/>
      <c r="AP481" s="448"/>
      <c r="AQ481" s="448"/>
      <c r="AR481" s="448"/>
      <c r="AS481" s="345"/>
      <c r="AT481" s="448"/>
      <c r="AU481" s="448"/>
      <c r="AV481" s="448"/>
      <c r="AW481" s="448"/>
      <c r="AX481" s="345" t="s">
        <v>1018</v>
      </c>
      <c r="AY481" s="448"/>
      <c r="AZ481" s="448"/>
      <c r="BA481" s="448"/>
      <c r="BB481" s="448"/>
      <c r="BC481" s="448"/>
      <c r="BD481" s="448"/>
      <c r="BE481" s="448"/>
      <c r="BF481" s="448"/>
      <c r="BG481" s="448"/>
      <c r="BH481" s="345" t="s">
        <v>1018</v>
      </c>
      <c r="BI481" s="499"/>
      <c r="BJ481" s="499"/>
      <c r="BK481" s="345" t="s">
        <v>1018</v>
      </c>
      <c r="BL481" s="499"/>
      <c r="BM481" s="499"/>
      <c r="BN481" s="499"/>
      <c r="BO481" s="575">
        <f t="shared" si="4"/>
        <v>60</v>
      </c>
      <c r="BP481" s="575">
        <f t="shared" si="4"/>
        <v>5</v>
      </c>
      <c r="BQ481" s="575"/>
      <c r="BR481" s="575"/>
      <c r="BS481" s="575"/>
    </row>
    <row r="482" spans="1:71" ht="14.5" outlineLevel="1" x14ac:dyDescent="0.35">
      <c r="A482" s="579" t="str">
        <f t="shared" si="3"/>
        <v>Infinitum Negocio 200No Residencial</v>
      </c>
      <c r="B482" s="129">
        <v>11</v>
      </c>
      <c r="C482" s="434" t="s">
        <v>1060</v>
      </c>
      <c r="D482" s="340" t="s">
        <v>242</v>
      </c>
      <c r="E482" s="340" t="s">
        <v>241</v>
      </c>
      <c r="F482" s="506">
        <v>473.28</v>
      </c>
      <c r="G482" s="506">
        <v>549</v>
      </c>
      <c r="H482" s="541"/>
      <c r="I482" s="541"/>
      <c r="J482" s="541"/>
      <c r="K482" s="541"/>
      <c r="L482" s="541"/>
      <c r="M482" s="541"/>
      <c r="N482" s="541"/>
      <c r="O482" s="288" t="s">
        <v>359</v>
      </c>
      <c r="P482" s="288" t="s">
        <v>353</v>
      </c>
      <c r="Q482" s="501" t="s">
        <v>1018</v>
      </c>
      <c r="R482" s="345"/>
      <c r="S482" s="345"/>
      <c r="T482" s="345"/>
      <c r="U482" s="541"/>
      <c r="V482" s="541"/>
      <c r="W482" s="541"/>
      <c r="X482" s="541" t="s">
        <v>1018</v>
      </c>
      <c r="Y482" s="541"/>
      <c r="Z482" s="541"/>
      <c r="AA482" s="541"/>
      <c r="AB482" s="541"/>
      <c r="AC482" s="541"/>
      <c r="AD482" s="288" t="s">
        <v>347</v>
      </c>
      <c r="AE482" s="541"/>
      <c r="AF482" s="448"/>
      <c r="AG482" s="542" t="s">
        <v>1200</v>
      </c>
      <c r="AH482" s="448"/>
      <c r="AI482" s="551" t="s">
        <v>1201</v>
      </c>
      <c r="AJ482" s="448"/>
      <c r="AK482" s="345" t="s">
        <v>1203</v>
      </c>
      <c r="AL482" s="448"/>
      <c r="AM482" s="448"/>
      <c r="AN482" s="448"/>
      <c r="AO482" s="448"/>
      <c r="AP482" s="448"/>
      <c r="AQ482" s="448"/>
      <c r="AR482" s="448"/>
      <c r="AS482" s="345"/>
      <c r="AT482" s="448"/>
      <c r="AU482" s="448"/>
      <c r="AV482" s="448"/>
      <c r="AW482" s="448"/>
      <c r="AX482" s="345" t="s">
        <v>1018</v>
      </c>
      <c r="AY482" s="448"/>
      <c r="AZ482" s="448"/>
      <c r="BA482" s="448"/>
      <c r="BB482" s="448"/>
      <c r="BC482" s="448"/>
      <c r="BD482" s="448"/>
      <c r="BE482" s="448"/>
      <c r="BF482" s="448"/>
      <c r="BG482" s="448"/>
      <c r="BH482" s="345" t="s">
        <v>1018</v>
      </c>
      <c r="BI482" s="499"/>
      <c r="BJ482" s="499"/>
      <c r="BK482" s="345" t="s">
        <v>1018</v>
      </c>
      <c r="BL482" s="499"/>
      <c r="BM482" s="499"/>
      <c r="BN482" s="499"/>
      <c r="BO482" s="575">
        <f t="shared" si="4"/>
        <v>200</v>
      </c>
      <c r="BP482" s="575">
        <f t="shared" si="4"/>
        <v>20</v>
      </c>
      <c r="BQ482" s="575"/>
      <c r="BR482" s="575"/>
      <c r="BS482" s="575"/>
    </row>
    <row r="483" spans="1:71" ht="14.5" outlineLevel="1" x14ac:dyDescent="0.35">
      <c r="A483" s="579" t="str">
        <f t="shared" si="3"/>
        <v>Infinitum Negocio 500No Residencial</v>
      </c>
      <c r="B483" s="129">
        <v>12</v>
      </c>
      <c r="C483" s="434" t="s">
        <v>1061</v>
      </c>
      <c r="D483" s="340" t="s">
        <v>242</v>
      </c>
      <c r="E483" s="340" t="s">
        <v>241</v>
      </c>
      <c r="F483" s="506">
        <v>775</v>
      </c>
      <c r="G483" s="506">
        <v>899</v>
      </c>
      <c r="H483" s="541"/>
      <c r="I483" s="541"/>
      <c r="J483" s="541"/>
      <c r="K483" s="541"/>
      <c r="L483" s="541"/>
      <c r="M483" s="541"/>
      <c r="N483" s="541"/>
      <c r="O483" s="288" t="s">
        <v>1221</v>
      </c>
      <c r="P483" s="288" t="s">
        <v>354</v>
      </c>
      <c r="Q483" s="501" t="s">
        <v>1018</v>
      </c>
      <c r="R483" s="345"/>
      <c r="S483" s="345"/>
      <c r="T483" s="345"/>
      <c r="U483" s="541"/>
      <c r="V483" s="541"/>
      <c r="W483" s="541"/>
      <c r="X483" s="541" t="s">
        <v>1018</v>
      </c>
      <c r="Y483" s="541"/>
      <c r="Z483" s="541"/>
      <c r="AA483" s="541"/>
      <c r="AB483" s="541"/>
      <c r="AC483" s="541"/>
      <c r="AD483" s="288" t="s">
        <v>347</v>
      </c>
      <c r="AE483" s="541"/>
      <c r="AF483" s="448"/>
      <c r="AG483" s="542" t="s">
        <v>1200</v>
      </c>
      <c r="AH483" s="448"/>
      <c r="AI483" s="551" t="s">
        <v>1201</v>
      </c>
      <c r="AJ483" s="448"/>
      <c r="AK483" s="345" t="s">
        <v>1203</v>
      </c>
      <c r="AL483" s="448"/>
      <c r="AM483" s="448"/>
      <c r="AN483" s="448"/>
      <c r="AO483" s="448"/>
      <c r="AP483" s="448"/>
      <c r="AQ483" s="448"/>
      <c r="AR483" s="448"/>
      <c r="AS483" s="345"/>
      <c r="AT483" s="448"/>
      <c r="AU483" s="448"/>
      <c r="AV483" s="448"/>
      <c r="AW483" s="448"/>
      <c r="AX483" s="345" t="s">
        <v>1018</v>
      </c>
      <c r="AY483" s="448"/>
      <c r="AZ483" s="448"/>
      <c r="BA483" s="448"/>
      <c r="BB483" s="448"/>
      <c r="BC483" s="448"/>
      <c r="BD483" s="448"/>
      <c r="BE483" s="448"/>
      <c r="BF483" s="448"/>
      <c r="BG483" s="448"/>
      <c r="BH483" s="345" t="s">
        <v>1018</v>
      </c>
      <c r="BI483" s="499"/>
      <c r="BJ483" s="499"/>
      <c r="BK483" s="345" t="s">
        <v>1018</v>
      </c>
      <c r="BL483" s="499"/>
      <c r="BM483" s="499"/>
      <c r="BN483" s="499"/>
      <c r="BO483" s="575">
        <f t="shared" si="4"/>
        <v>500</v>
      </c>
      <c r="BP483" s="575">
        <f t="shared" si="4"/>
        <v>50</v>
      </c>
      <c r="BQ483" s="575"/>
      <c r="BR483" s="575"/>
      <c r="BS483" s="575"/>
    </row>
    <row r="484" spans="1:71" ht="14.5" outlineLevel="1" x14ac:dyDescent="0.35">
      <c r="A484" s="579" t="str">
        <f t="shared" si="3"/>
        <v>Paquete 249Residencial</v>
      </c>
      <c r="B484" s="129">
        <v>13</v>
      </c>
      <c r="C484" s="434" t="s">
        <v>852</v>
      </c>
      <c r="D484" s="340" t="s">
        <v>240</v>
      </c>
      <c r="E484" s="340" t="s">
        <v>243</v>
      </c>
      <c r="F484" s="506">
        <v>210.24</v>
      </c>
      <c r="G484" s="506">
        <v>249</v>
      </c>
      <c r="H484" s="288">
        <v>1</v>
      </c>
      <c r="I484" s="288">
        <v>100</v>
      </c>
      <c r="J484" s="541"/>
      <c r="K484" s="541"/>
      <c r="L484" s="541"/>
      <c r="M484" s="541"/>
      <c r="N484" s="541"/>
      <c r="O484" s="288" t="s">
        <v>360</v>
      </c>
      <c r="P484" s="288" t="s">
        <v>361</v>
      </c>
      <c r="Q484" s="501" t="s">
        <v>1040</v>
      </c>
      <c r="R484" s="345" t="s">
        <v>1223</v>
      </c>
      <c r="S484" s="345" t="s">
        <v>1224</v>
      </c>
      <c r="T484" s="345" t="s">
        <v>361</v>
      </c>
      <c r="U484" s="541"/>
      <c r="V484" s="541"/>
      <c r="W484" s="345"/>
      <c r="X484" s="541" t="s">
        <v>1018</v>
      </c>
      <c r="Y484" s="541"/>
      <c r="Z484" s="541"/>
      <c r="AA484" s="541"/>
      <c r="AB484" s="541"/>
      <c r="AC484" s="541"/>
      <c r="AD484" s="288" t="s">
        <v>347</v>
      </c>
      <c r="AE484" s="541"/>
      <c r="AF484" s="448"/>
      <c r="AG484" s="448"/>
      <c r="AH484" s="448"/>
      <c r="AI484" s="448"/>
      <c r="AJ484" s="448"/>
      <c r="AK484" s="448"/>
      <c r="AL484" s="448"/>
      <c r="AM484" s="448"/>
      <c r="AN484" s="448"/>
      <c r="AO484" s="448"/>
      <c r="AP484" s="448"/>
      <c r="AQ484" s="448"/>
      <c r="AR484" s="448"/>
      <c r="AS484" s="345"/>
      <c r="AT484" s="345">
        <v>1.48</v>
      </c>
      <c r="AU484" s="448"/>
      <c r="AV484" s="448"/>
      <c r="AW484" s="448"/>
      <c r="AX484" s="345" t="s">
        <v>1018</v>
      </c>
      <c r="AY484" s="448"/>
      <c r="AZ484" s="448"/>
      <c r="BA484" s="448"/>
      <c r="BB484" s="448"/>
      <c r="BC484" s="448"/>
      <c r="BD484" s="448"/>
      <c r="BE484" s="448"/>
      <c r="BF484" s="499"/>
      <c r="BG484" s="499"/>
      <c r="BH484" s="345" t="s">
        <v>1018</v>
      </c>
      <c r="BI484" s="499"/>
      <c r="BJ484" s="499"/>
      <c r="BK484" s="345" t="s">
        <v>1018</v>
      </c>
      <c r="BL484" s="499"/>
      <c r="BM484" s="499"/>
      <c r="BN484" s="499"/>
      <c r="BO484" s="575">
        <f t="shared" si="4"/>
        <v>5</v>
      </c>
      <c r="BP484" s="575">
        <f t="shared" si="4"/>
        <v>0.64</v>
      </c>
      <c r="BQ484" s="575">
        <f t="shared" ref="BQ484:BQ544" si="5">LEFT(R484,FIND(" ",R484))*1</f>
        <v>12</v>
      </c>
      <c r="BR484" s="575">
        <f t="shared" ref="BR484:BR487" si="6">LEFT(S484,FIND(" ",S484))*1</f>
        <v>15</v>
      </c>
      <c r="BS484" s="575">
        <f t="shared" ref="BS484:BS487" si="7">LEFT(T484,FIND(" ",T484))*1</f>
        <v>0.64</v>
      </c>
    </row>
    <row r="485" spans="1:71" ht="14.5" outlineLevel="1" x14ac:dyDescent="0.35">
      <c r="A485" s="579" t="str">
        <f t="shared" si="3"/>
        <v>Paquete 289Residencial</v>
      </c>
      <c r="B485" s="129">
        <v>14</v>
      </c>
      <c r="C485" s="434" t="s">
        <v>204</v>
      </c>
      <c r="D485" s="340" t="s">
        <v>240</v>
      </c>
      <c r="E485" s="340" t="s">
        <v>243</v>
      </c>
      <c r="F485" s="506">
        <v>244.01</v>
      </c>
      <c r="G485" s="506">
        <v>289</v>
      </c>
      <c r="H485" s="288">
        <v>1</v>
      </c>
      <c r="I485" s="288">
        <v>200</v>
      </c>
      <c r="J485" s="541"/>
      <c r="K485" s="541"/>
      <c r="L485" s="541"/>
      <c r="M485" s="541"/>
      <c r="N485" s="541"/>
      <c r="O485" s="288" t="s">
        <v>360</v>
      </c>
      <c r="P485" s="288" t="s">
        <v>361</v>
      </c>
      <c r="Q485" s="501" t="s">
        <v>1040</v>
      </c>
      <c r="R485" s="345" t="s">
        <v>1225</v>
      </c>
      <c r="S485" s="345" t="s">
        <v>1224</v>
      </c>
      <c r="T485" s="345" t="s">
        <v>361</v>
      </c>
      <c r="U485" s="541"/>
      <c r="V485" s="541"/>
      <c r="W485" s="345"/>
      <c r="X485" s="541" t="s">
        <v>1018</v>
      </c>
      <c r="Y485" s="541"/>
      <c r="Z485" s="541"/>
      <c r="AA485" s="541"/>
      <c r="AB485" s="541"/>
      <c r="AC485" s="541"/>
      <c r="AD485" s="288" t="s">
        <v>347</v>
      </c>
      <c r="AE485" s="541"/>
      <c r="AF485" s="448"/>
      <c r="AG485" s="448"/>
      <c r="AH485" s="448"/>
      <c r="AI485" s="448"/>
      <c r="AJ485" s="448"/>
      <c r="AK485" s="448"/>
      <c r="AL485" s="448"/>
      <c r="AM485" s="448"/>
      <c r="AN485" s="448"/>
      <c r="AO485" s="448"/>
      <c r="AP485" s="448"/>
      <c r="AQ485" s="448"/>
      <c r="AR485" s="448"/>
      <c r="AS485" s="345"/>
      <c r="AT485" s="345">
        <v>1.48</v>
      </c>
      <c r="AU485" s="448"/>
      <c r="AV485" s="448"/>
      <c r="AW485" s="448"/>
      <c r="AX485" s="345" t="s">
        <v>1018</v>
      </c>
      <c r="AY485" s="448"/>
      <c r="AZ485" s="448"/>
      <c r="BA485" s="448"/>
      <c r="BB485" s="448"/>
      <c r="BC485" s="448"/>
      <c r="BD485" s="448"/>
      <c r="BE485" s="448"/>
      <c r="BF485" s="499"/>
      <c r="BG485" s="499"/>
      <c r="BH485" s="345" t="s">
        <v>1018</v>
      </c>
      <c r="BI485" s="499"/>
      <c r="BJ485" s="499"/>
      <c r="BK485" s="345" t="s">
        <v>1018</v>
      </c>
      <c r="BL485" s="499"/>
      <c r="BM485" s="499"/>
      <c r="BN485" s="499"/>
      <c r="BO485" s="575">
        <f t="shared" si="4"/>
        <v>5</v>
      </c>
      <c r="BP485" s="575">
        <f t="shared" si="4"/>
        <v>0.64</v>
      </c>
      <c r="BQ485" s="575">
        <f t="shared" si="5"/>
        <v>3</v>
      </c>
      <c r="BR485" s="575">
        <f t="shared" si="6"/>
        <v>15</v>
      </c>
      <c r="BS485" s="575">
        <f t="shared" si="7"/>
        <v>0.64</v>
      </c>
    </row>
    <row r="486" spans="1:71" ht="14.5" outlineLevel="1" x14ac:dyDescent="0.35">
      <c r="A486" s="579" t="str">
        <f t="shared" si="3"/>
        <v>Paquete 435Residencial</v>
      </c>
      <c r="B486" s="129">
        <v>15</v>
      </c>
      <c r="C486" s="434" t="s">
        <v>797</v>
      </c>
      <c r="D486" s="340" t="s">
        <v>240</v>
      </c>
      <c r="E486" s="340" t="s">
        <v>243</v>
      </c>
      <c r="F486" s="506">
        <v>367.29</v>
      </c>
      <c r="G486" s="506">
        <v>435</v>
      </c>
      <c r="H486" s="288">
        <v>1</v>
      </c>
      <c r="I486" s="288" t="s">
        <v>355</v>
      </c>
      <c r="J486" s="288" t="s">
        <v>356</v>
      </c>
      <c r="K486" s="288" t="s">
        <v>356</v>
      </c>
      <c r="L486" s="288" t="s">
        <v>356</v>
      </c>
      <c r="M486" s="288">
        <v>5</v>
      </c>
      <c r="N486" s="288" t="s">
        <v>911</v>
      </c>
      <c r="O486" s="288" t="s">
        <v>362</v>
      </c>
      <c r="P486" s="288" t="s">
        <v>912</v>
      </c>
      <c r="Q486" s="501" t="s">
        <v>1040</v>
      </c>
      <c r="R486" s="345" t="s">
        <v>1222</v>
      </c>
      <c r="S486" s="345" t="s">
        <v>813</v>
      </c>
      <c r="T486" s="345" t="s">
        <v>360</v>
      </c>
      <c r="U486" s="541"/>
      <c r="V486" s="541"/>
      <c r="W486" s="345"/>
      <c r="X486" s="345" t="s">
        <v>1019</v>
      </c>
      <c r="Y486" s="288" t="s">
        <v>910</v>
      </c>
      <c r="Z486" s="288" t="s">
        <v>349</v>
      </c>
      <c r="AA486" s="541"/>
      <c r="AB486" s="541"/>
      <c r="AC486" s="541"/>
      <c r="AD486" s="288" t="s">
        <v>347</v>
      </c>
      <c r="AE486" s="541"/>
      <c r="AF486" s="288" t="s">
        <v>812</v>
      </c>
      <c r="AG486" s="288" t="s">
        <v>348</v>
      </c>
      <c r="AH486" s="345"/>
      <c r="AI486" s="288" t="s">
        <v>358</v>
      </c>
      <c r="AJ486" s="448"/>
      <c r="AK486" s="448"/>
      <c r="AL486" s="448"/>
      <c r="AM486" s="448"/>
      <c r="AN486" s="448"/>
      <c r="AO486" s="448"/>
      <c r="AP486" s="448"/>
      <c r="AQ486" s="448"/>
      <c r="AR486" s="448"/>
      <c r="AS486" s="345"/>
      <c r="AT486" s="448"/>
      <c r="AU486" s="448"/>
      <c r="AV486" s="448"/>
      <c r="AW486" s="448"/>
      <c r="AX486" s="345" t="s">
        <v>1018</v>
      </c>
      <c r="AY486" s="448"/>
      <c r="AZ486" s="448"/>
      <c r="BA486" s="448"/>
      <c r="BB486" s="448"/>
      <c r="BC486" s="448"/>
      <c r="BD486" s="448"/>
      <c r="BE486" s="448"/>
      <c r="BF486" s="499"/>
      <c r="BG486" s="499"/>
      <c r="BH486" s="345" t="s">
        <v>1019</v>
      </c>
      <c r="BI486" s="499" t="s">
        <v>1198</v>
      </c>
      <c r="BJ486" s="499" t="s">
        <v>1204</v>
      </c>
      <c r="BK486" s="345" t="s">
        <v>1040</v>
      </c>
      <c r="BL486" s="499" t="s">
        <v>1062</v>
      </c>
      <c r="BM486" s="499" t="s">
        <v>814</v>
      </c>
      <c r="BN486" s="499" t="s">
        <v>1063</v>
      </c>
      <c r="BO486" s="575">
        <f t="shared" si="4"/>
        <v>30</v>
      </c>
      <c r="BP486" s="575">
        <f t="shared" si="4"/>
        <v>5</v>
      </c>
      <c r="BQ486" s="575">
        <f t="shared" si="5"/>
        <v>18</v>
      </c>
      <c r="BR486" s="575">
        <f t="shared" si="6"/>
        <v>60</v>
      </c>
      <c r="BS486" s="575">
        <f t="shared" si="7"/>
        <v>5</v>
      </c>
    </row>
    <row r="487" spans="1:71" ht="14.5" outlineLevel="1" x14ac:dyDescent="0.35">
      <c r="A487" s="579" t="str">
        <f t="shared" si="3"/>
        <v>Paquete 499Residencial</v>
      </c>
      <c r="B487" s="129">
        <v>16</v>
      </c>
      <c r="C487" s="434" t="s">
        <v>798</v>
      </c>
      <c r="D487" s="340" t="s">
        <v>240</v>
      </c>
      <c r="E487" s="340" t="s">
        <v>243</v>
      </c>
      <c r="F487" s="506">
        <v>421.32</v>
      </c>
      <c r="G487" s="506">
        <v>499</v>
      </c>
      <c r="H487" s="288">
        <v>1</v>
      </c>
      <c r="I487" s="288" t="s">
        <v>355</v>
      </c>
      <c r="J487" s="288" t="s">
        <v>356</v>
      </c>
      <c r="K487" s="288" t="s">
        <v>356</v>
      </c>
      <c r="L487" s="288" t="s">
        <v>356</v>
      </c>
      <c r="M487" s="288">
        <v>5</v>
      </c>
      <c r="N487" s="288" t="s">
        <v>911</v>
      </c>
      <c r="O487" s="288" t="s">
        <v>357</v>
      </c>
      <c r="P487" s="288" t="s">
        <v>912</v>
      </c>
      <c r="Q487" s="501" t="s">
        <v>1040</v>
      </c>
      <c r="R487" s="345" t="s">
        <v>1222</v>
      </c>
      <c r="S487" s="345" t="s">
        <v>351</v>
      </c>
      <c r="T487" s="345" t="s">
        <v>346</v>
      </c>
      <c r="U487" s="541"/>
      <c r="V487" s="541"/>
      <c r="W487" s="345"/>
      <c r="X487" s="345" t="s">
        <v>1019</v>
      </c>
      <c r="Y487" s="288" t="s">
        <v>910</v>
      </c>
      <c r="Z487" s="288" t="s">
        <v>349</v>
      </c>
      <c r="AA487" s="541"/>
      <c r="AB487" s="541"/>
      <c r="AC487" s="541"/>
      <c r="AD487" s="288" t="s">
        <v>347</v>
      </c>
      <c r="AE487" s="541"/>
      <c r="AF487" s="288" t="s">
        <v>812</v>
      </c>
      <c r="AG487" s="288" t="s">
        <v>348</v>
      </c>
      <c r="AH487" s="345"/>
      <c r="AI487" s="288" t="s">
        <v>358</v>
      </c>
      <c r="AJ487" s="448"/>
      <c r="AK487" s="448"/>
      <c r="AL487" s="448"/>
      <c r="AM487" s="448"/>
      <c r="AN487" s="448"/>
      <c r="AO487" s="448"/>
      <c r="AP487" s="448"/>
      <c r="AQ487" s="448"/>
      <c r="AR487" s="448"/>
      <c r="AS487" s="345"/>
      <c r="AT487" s="448"/>
      <c r="AU487" s="448"/>
      <c r="AV487" s="448"/>
      <c r="AW487" s="448"/>
      <c r="AX487" s="345" t="s">
        <v>1018</v>
      </c>
      <c r="AY487" s="448"/>
      <c r="AZ487" s="448"/>
      <c r="BA487" s="448"/>
      <c r="BB487" s="448"/>
      <c r="BC487" s="448"/>
      <c r="BD487" s="448"/>
      <c r="BE487" s="448"/>
      <c r="BF487" s="499"/>
      <c r="BG487" s="499"/>
      <c r="BH487" s="345" t="s">
        <v>1019</v>
      </c>
      <c r="BI487" s="499" t="s">
        <v>1198</v>
      </c>
      <c r="BJ487" s="499" t="s">
        <v>1205</v>
      </c>
      <c r="BK487" s="345" t="s">
        <v>1019</v>
      </c>
      <c r="BL487" s="499" t="s">
        <v>1064</v>
      </c>
      <c r="BM487" s="499" t="s">
        <v>1198</v>
      </c>
      <c r="BN487" s="499" t="s">
        <v>1065</v>
      </c>
      <c r="BO487" s="575">
        <f t="shared" si="4"/>
        <v>40</v>
      </c>
      <c r="BP487" s="575">
        <f t="shared" si="4"/>
        <v>5</v>
      </c>
      <c r="BQ487" s="575">
        <f t="shared" si="5"/>
        <v>18</v>
      </c>
      <c r="BR487" s="575">
        <f t="shared" si="6"/>
        <v>100</v>
      </c>
      <c r="BS487" s="575">
        <f t="shared" si="7"/>
        <v>10</v>
      </c>
    </row>
    <row r="488" spans="1:71" ht="14.5" outlineLevel="1" x14ac:dyDescent="0.35">
      <c r="A488" s="579" t="str">
        <f t="shared" si="3"/>
        <v>Paquete 599Residencial</v>
      </c>
      <c r="B488" s="129">
        <v>17</v>
      </c>
      <c r="C488" s="434" t="s">
        <v>205</v>
      </c>
      <c r="D488" s="340" t="s">
        <v>240</v>
      </c>
      <c r="E488" s="340" t="s">
        <v>243</v>
      </c>
      <c r="F488" s="506">
        <v>505.76</v>
      </c>
      <c r="G488" s="506">
        <v>599.00191359999997</v>
      </c>
      <c r="H488" s="288">
        <v>2</v>
      </c>
      <c r="I488" s="288" t="s">
        <v>355</v>
      </c>
      <c r="J488" s="288" t="s">
        <v>356</v>
      </c>
      <c r="K488" s="288" t="s">
        <v>356</v>
      </c>
      <c r="L488" s="288" t="s">
        <v>356</v>
      </c>
      <c r="M488" s="288">
        <v>5</v>
      </c>
      <c r="N488" s="288" t="s">
        <v>911</v>
      </c>
      <c r="O488" s="288" t="s">
        <v>364</v>
      </c>
      <c r="P488" s="288" t="s">
        <v>353</v>
      </c>
      <c r="Q488" s="501" t="s">
        <v>1018</v>
      </c>
      <c r="R488" s="345"/>
      <c r="S488" s="345"/>
      <c r="T488" s="345"/>
      <c r="U488" s="541"/>
      <c r="V488" s="541"/>
      <c r="W488" s="345"/>
      <c r="X488" s="345" t="s">
        <v>1019</v>
      </c>
      <c r="Y488" s="288" t="s">
        <v>910</v>
      </c>
      <c r="Z488" s="288" t="s">
        <v>349</v>
      </c>
      <c r="AA488" s="541"/>
      <c r="AB488" s="541"/>
      <c r="AC488" s="541"/>
      <c r="AD488" s="288" t="s">
        <v>347</v>
      </c>
      <c r="AE488" s="541"/>
      <c r="AF488" s="288" t="s">
        <v>812</v>
      </c>
      <c r="AG488" s="288" t="s">
        <v>348</v>
      </c>
      <c r="AH488" s="345"/>
      <c r="AI488" s="288" t="s">
        <v>358</v>
      </c>
      <c r="AJ488" s="448"/>
      <c r="AK488" s="448"/>
      <c r="AL488" s="448"/>
      <c r="AM488" s="448"/>
      <c r="AN488" s="448"/>
      <c r="AO488" s="448"/>
      <c r="AP488" s="448"/>
      <c r="AQ488" s="448"/>
      <c r="AR488" s="448"/>
      <c r="AS488" s="345"/>
      <c r="AT488" s="448"/>
      <c r="AU488" s="448"/>
      <c r="AV488" s="448"/>
      <c r="AW488" s="448"/>
      <c r="AX488" s="345" t="s">
        <v>1018</v>
      </c>
      <c r="AY488" s="448"/>
      <c r="AZ488" s="448"/>
      <c r="BA488" s="448"/>
      <c r="BB488" s="448"/>
      <c r="BC488" s="448"/>
      <c r="BD488" s="448"/>
      <c r="BE488" s="448"/>
      <c r="BF488" s="499"/>
      <c r="BG488" s="499"/>
      <c r="BH488" s="345" t="s">
        <v>1019</v>
      </c>
      <c r="BI488" s="499" t="s">
        <v>1198</v>
      </c>
      <c r="BJ488" s="499" t="s">
        <v>1206</v>
      </c>
      <c r="BK488" s="345" t="s">
        <v>1018</v>
      </c>
      <c r="BL488" s="499"/>
      <c r="BM488" s="499"/>
      <c r="BN488" s="499"/>
      <c r="BO488" s="575">
        <f t="shared" si="4"/>
        <v>150</v>
      </c>
      <c r="BP488" s="575">
        <f t="shared" si="4"/>
        <v>20</v>
      </c>
      <c r="BQ488" s="575"/>
      <c r="BR488" s="575"/>
      <c r="BS488" s="575"/>
    </row>
    <row r="489" spans="1:71" ht="14.5" outlineLevel="1" x14ac:dyDescent="0.35">
      <c r="A489" s="579" t="str">
        <f t="shared" si="3"/>
        <v>Paquete 389Residencial</v>
      </c>
      <c r="B489" s="129">
        <v>18</v>
      </c>
      <c r="C489" s="434" t="s">
        <v>708</v>
      </c>
      <c r="D489" s="340" t="s">
        <v>240</v>
      </c>
      <c r="E489" s="340" t="s">
        <v>243</v>
      </c>
      <c r="F489" s="506">
        <v>328.44</v>
      </c>
      <c r="G489" s="506">
        <v>389</v>
      </c>
      <c r="H489" s="288">
        <v>1</v>
      </c>
      <c r="I489" s="288" t="s">
        <v>355</v>
      </c>
      <c r="J489" s="288" t="s">
        <v>356</v>
      </c>
      <c r="K489" s="288" t="s">
        <v>356</v>
      </c>
      <c r="L489" s="288" t="s">
        <v>356</v>
      </c>
      <c r="M489" s="288">
        <v>5</v>
      </c>
      <c r="N489" s="288" t="s">
        <v>911</v>
      </c>
      <c r="O489" s="288" t="s">
        <v>353</v>
      </c>
      <c r="P489" s="288" t="s">
        <v>912</v>
      </c>
      <c r="Q489" s="501" t="s">
        <v>1040</v>
      </c>
      <c r="R489" s="345" t="s">
        <v>1222</v>
      </c>
      <c r="S489" s="345" t="s">
        <v>354</v>
      </c>
      <c r="T489" s="345" t="s">
        <v>360</v>
      </c>
      <c r="U489" s="541"/>
      <c r="V489" s="541"/>
      <c r="W489" s="345"/>
      <c r="X489" s="345" t="s">
        <v>1019</v>
      </c>
      <c r="Y489" s="288" t="s">
        <v>910</v>
      </c>
      <c r="Z489" s="288" t="s">
        <v>349</v>
      </c>
      <c r="AA489" s="541"/>
      <c r="AB489" s="541"/>
      <c r="AC489" s="541"/>
      <c r="AD489" s="288" t="s">
        <v>347</v>
      </c>
      <c r="AE489" s="541"/>
      <c r="AF489" s="288" t="s">
        <v>812</v>
      </c>
      <c r="AG489" s="288" t="s">
        <v>348</v>
      </c>
      <c r="AH489" s="345"/>
      <c r="AI489" s="288" t="s">
        <v>358</v>
      </c>
      <c r="AJ489" s="448"/>
      <c r="AK489" s="448"/>
      <c r="AL489" s="448"/>
      <c r="AM489" s="448"/>
      <c r="AN489" s="448"/>
      <c r="AO489" s="448"/>
      <c r="AP489" s="448"/>
      <c r="AQ489" s="448"/>
      <c r="AR489" s="448"/>
      <c r="AS489" s="345"/>
      <c r="AT489" s="448"/>
      <c r="AU489" s="448"/>
      <c r="AV489" s="448"/>
      <c r="AW489" s="448"/>
      <c r="AX489" s="345" t="s">
        <v>1018</v>
      </c>
      <c r="AY489" s="448"/>
      <c r="AZ489" s="448"/>
      <c r="BA489" s="448"/>
      <c r="BB489" s="448"/>
      <c r="BC489" s="448"/>
      <c r="BD489" s="448"/>
      <c r="BE489" s="448"/>
      <c r="BF489" s="499"/>
      <c r="BG489" s="499"/>
      <c r="BH489" s="345" t="s">
        <v>1018</v>
      </c>
      <c r="BI489" s="499"/>
      <c r="BJ489" s="499"/>
      <c r="BK489" s="345" t="s">
        <v>1019</v>
      </c>
      <c r="BL489" s="499" t="s">
        <v>1064</v>
      </c>
      <c r="BM489" s="499" t="s">
        <v>1198</v>
      </c>
      <c r="BN489" s="499" t="s">
        <v>1065</v>
      </c>
      <c r="BO489" s="575">
        <f t="shared" si="4"/>
        <v>20</v>
      </c>
      <c r="BP489" s="575">
        <f t="shared" si="4"/>
        <v>5</v>
      </c>
      <c r="BQ489" s="575">
        <f t="shared" si="5"/>
        <v>18</v>
      </c>
      <c r="BR489" s="575">
        <f t="shared" ref="BR489:BR490" si="8">LEFT(S489,FIND(" ",S489))*1</f>
        <v>50</v>
      </c>
      <c r="BS489" s="575">
        <f t="shared" ref="BS489:BS490" si="9">LEFT(T489,FIND(" ",T489))*1</f>
        <v>5</v>
      </c>
    </row>
    <row r="490" spans="1:71" ht="14.5" outlineLevel="1" x14ac:dyDescent="0.35">
      <c r="A490" s="579" t="str">
        <f t="shared" si="3"/>
        <v>Paquete Conectes NegocioNo Residencial</v>
      </c>
      <c r="B490" s="129">
        <v>19</v>
      </c>
      <c r="C490" s="434" t="s">
        <v>206</v>
      </c>
      <c r="D490" s="340" t="s">
        <v>242</v>
      </c>
      <c r="E490" s="340" t="s">
        <v>243</v>
      </c>
      <c r="F490" s="506">
        <v>336.9</v>
      </c>
      <c r="G490" s="506">
        <v>399</v>
      </c>
      <c r="H490" s="288">
        <v>1</v>
      </c>
      <c r="I490" s="288" t="s">
        <v>355</v>
      </c>
      <c r="J490" s="288" t="s">
        <v>356</v>
      </c>
      <c r="K490" s="288" t="s">
        <v>356</v>
      </c>
      <c r="L490" s="288" t="s">
        <v>356</v>
      </c>
      <c r="M490" s="288">
        <v>5</v>
      </c>
      <c r="N490" s="288" t="s">
        <v>911</v>
      </c>
      <c r="O490" s="288" t="s">
        <v>353</v>
      </c>
      <c r="P490" s="288" t="s">
        <v>912</v>
      </c>
      <c r="Q490" s="501" t="s">
        <v>1040</v>
      </c>
      <c r="R490" s="345" t="s">
        <v>1222</v>
      </c>
      <c r="S490" s="345" t="s">
        <v>354</v>
      </c>
      <c r="T490" s="345" t="s">
        <v>360</v>
      </c>
      <c r="U490" s="541"/>
      <c r="V490" s="541"/>
      <c r="W490" s="541"/>
      <c r="X490" s="541" t="s">
        <v>1018</v>
      </c>
      <c r="Y490" s="541"/>
      <c r="Z490" s="541"/>
      <c r="AA490" s="541"/>
      <c r="AB490" s="541"/>
      <c r="AC490" s="541"/>
      <c r="AD490" s="288" t="s">
        <v>347</v>
      </c>
      <c r="AE490" s="541"/>
      <c r="AF490" s="448"/>
      <c r="AG490" s="542" t="s">
        <v>1200</v>
      </c>
      <c r="AH490" s="448"/>
      <c r="AI490" s="551" t="s">
        <v>1201</v>
      </c>
      <c r="AJ490" s="448"/>
      <c r="AK490" s="345" t="s">
        <v>1203</v>
      </c>
      <c r="AL490" s="345" t="s">
        <v>1207</v>
      </c>
      <c r="AM490" s="345" t="s">
        <v>1208</v>
      </c>
      <c r="AN490" s="345" t="s">
        <v>1209</v>
      </c>
      <c r="AO490" s="345" t="s">
        <v>1213</v>
      </c>
      <c r="AP490" s="345"/>
      <c r="AQ490" s="345" t="s">
        <v>1210</v>
      </c>
      <c r="AR490" s="345" t="s">
        <v>1211</v>
      </c>
      <c r="AS490" s="345"/>
      <c r="AT490" s="448"/>
      <c r="AU490" s="448"/>
      <c r="AV490" s="448"/>
      <c r="AW490" s="448"/>
      <c r="AX490" s="345" t="s">
        <v>1018</v>
      </c>
      <c r="AY490" s="448"/>
      <c r="AZ490" s="448"/>
      <c r="BA490" s="448"/>
      <c r="BB490" s="448"/>
      <c r="BC490" s="448"/>
      <c r="BD490" s="448"/>
      <c r="BE490" s="448"/>
      <c r="BF490" s="448"/>
      <c r="BG490" s="448"/>
      <c r="BH490" s="345" t="s">
        <v>1018</v>
      </c>
      <c r="BI490" s="499"/>
      <c r="BJ490" s="499"/>
      <c r="BK490" s="345" t="s">
        <v>1019</v>
      </c>
      <c r="BL490" s="499" t="s">
        <v>1064</v>
      </c>
      <c r="BM490" s="499" t="s">
        <v>1198</v>
      </c>
      <c r="BN490" s="499" t="s">
        <v>1065</v>
      </c>
      <c r="BO490" s="575">
        <f t="shared" si="4"/>
        <v>20</v>
      </c>
      <c r="BP490" s="575">
        <f t="shared" si="4"/>
        <v>5</v>
      </c>
      <c r="BQ490" s="575">
        <f t="shared" si="5"/>
        <v>18</v>
      </c>
      <c r="BR490" s="575">
        <f t="shared" si="8"/>
        <v>50</v>
      </c>
      <c r="BS490" s="575">
        <f t="shared" si="9"/>
        <v>5</v>
      </c>
    </row>
    <row r="491" spans="1:71" ht="14.5" outlineLevel="1" x14ac:dyDescent="0.35">
      <c r="A491" s="579" t="str">
        <f t="shared" si="3"/>
        <v>Paquete 1499Residencial</v>
      </c>
      <c r="B491" s="129">
        <v>20</v>
      </c>
      <c r="C491" s="434" t="s">
        <v>799</v>
      </c>
      <c r="D491" s="340" t="s">
        <v>240</v>
      </c>
      <c r="E491" s="340" t="s">
        <v>243</v>
      </c>
      <c r="F491" s="506">
        <v>1270.97</v>
      </c>
      <c r="G491" s="506">
        <v>1499</v>
      </c>
      <c r="H491" s="288">
        <v>6</v>
      </c>
      <c r="I491" s="288" t="s">
        <v>355</v>
      </c>
      <c r="J491" s="288" t="s">
        <v>356</v>
      </c>
      <c r="K491" s="288" t="s">
        <v>356</v>
      </c>
      <c r="L491" s="288" t="s">
        <v>356</v>
      </c>
      <c r="M491" s="288">
        <v>5</v>
      </c>
      <c r="N491" s="288" t="s">
        <v>911</v>
      </c>
      <c r="O491" s="288" t="s">
        <v>1226</v>
      </c>
      <c r="P491" s="288" t="s">
        <v>359</v>
      </c>
      <c r="Q491" s="501" t="s">
        <v>1018</v>
      </c>
      <c r="R491" s="345"/>
      <c r="S491" s="345"/>
      <c r="T491" s="345"/>
      <c r="U491" s="345">
        <v>4</v>
      </c>
      <c r="V491" s="288" t="s">
        <v>974</v>
      </c>
      <c r="W491" s="345"/>
      <c r="X491" s="345" t="s">
        <v>1019</v>
      </c>
      <c r="Y491" s="288" t="s">
        <v>910</v>
      </c>
      <c r="Z491" s="288" t="s">
        <v>349</v>
      </c>
      <c r="AA491" s="541"/>
      <c r="AB491" s="541"/>
      <c r="AC491" s="541"/>
      <c r="AD491" s="288" t="s">
        <v>347</v>
      </c>
      <c r="AE491" s="541"/>
      <c r="AF491" s="288" t="s">
        <v>812</v>
      </c>
      <c r="AG491" s="288" t="s">
        <v>348</v>
      </c>
      <c r="AH491" s="345"/>
      <c r="AI491" s="288" t="s">
        <v>358</v>
      </c>
      <c r="AJ491" s="448"/>
      <c r="AK491" s="448"/>
      <c r="AL491" s="448"/>
      <c r="AM491" s="448"/>
      <c r="AN491" s="448"/>
      <c r="AO491" s="448"/>
      <c r="AP491" s="448"/>
      <c r="AQ491" s="448"/>
      <c r="AR491" s="448"/>
      <c r="AS491" s="345"/>
      <c r="AT491" s="448"/>
      <c r="AU491" s="448"/>
      <c r="AV491" s="448"/>
      <c r="AW491" s="448"/>
      <c r="AX491" s="345" t="s">
        <v>1018</v>
      </c>
      <c r="AY491" s="448"/>
      <c r="AZ491" s="448"/>
      <c r="BA491" s="499">
        <v>1</v>
      </c>
      <c r="BB491" s="448"/>
      <c r="BC491" s="448"/>
      <c r="BD491" s="448"/>
      <c r="BE491" s="448"/>
      <c r="BF491" s="499"/>
      <c r="BG491" s="499"/>
      <c r="BH491" s="345" t="s">
        <v>1018</v>
      </c>
      <c r="BI491" s="499"/>
      <c r="BJ491" s="499"/>
      <c r="BK491" s="345" t="s">
        <v>1018</v>
      </c>
      <c r="BL491" s="499"/>
      <c r="BM491" s="499"/>
      <c r="BN491" s="499"/>
      <c r="BO491" s="575">
        <f t="shared" si="4"/>
        <v>1000</v>
      </c>
      <c r="BP491" s="575">
        <f t="shared" si="4"/>
        <v>200</v>
      </c>
      <c r="BQ491" s="575"/>
      <c r="BR491" s="575"/>
      <c r="BS491" s="575"/>
    </row>
    <row r="492" spans="1:71" ht="14.5" outlineLevel="1" x14ac:dyDescent="0.35">
      <c r="A492" s="579" t="str">
        <f t="shared" si="3"/>
        <v>Paquete 333Residencial</v>
      </c>
      <c r="B492" s="129">
        <v>21</v>
      </c>
      <c r="C492" s="434" t="s">
        <v>853</v>
      </c>
      <c r="D492" s="340" t="s">
        <v>240</v>
      </c>
      <c r="E492" s="340" t="s">
        <v>243</v>
      </c>
      <c r="F492" s="506">
        <v>281.16000000000003</v>
      </c>
      <c r="G492" s="506">
        <v>333</v>
      </c>
      <c r="H492" s="288">
        <v>1</v>
      </c>
      <c r="I492" s="288" t="s">
        <v>355</v>
      </c>
      <c r="J492" s="541"/>
      <c r="K492" s="541"/>
      <c r="L492" s="541"/>
      <c r="M492" s="541"/>
      <c r="N492" s="541"/>
      <c r="O492" s="288" t="s">
        <v>360</v>
      </c>
      <c r="P492" s="288" t="s">
        <v>361</v>
      </c>
      <c r="Q492" s="501" t="s">
        <v>1040</v>
      </c>
      <c r="R492" s="345" t="s">
        <v>1222</v>
      </c>
      <c r="S492" s="345" t="s">
        <v>1224</v>
      </c>
      <c r="T492" s="345" t="s">
        <v>361</v>
      </c>
      <c r="U492" s="541"/>
      <c r="V492" s="541"/>
      <c r="W492" s="345"/>
      <c r="X492" s="541" t="s">
        <v>1018</v>
      </c>
      <c r="Y492" s="541"/>
      <c r="Z492" s="541"/>
      <c r="AA492" s="541"/>
      <c r="AB492" s="541"/>
      <c r="AC492" s="541"/>
      <c r="AD492" s="288" t="s">
        <v>347</v>
      </c>
      <c r="AE492" s="541"/>
      <c r="AF492" s="448"/>
      <c r="AG492" s="448"/>
      <c r="AH492" s="448"/>
      <c r="AI492" s="448"/>
      <c r="AJ492" s="448"/>
      <c r="AK492" s="448"/>
      <c r="AL492" s="448"/>
      <c r="AM492" s="448"/>
      <c r="AN492" s="448"/>
      <c r="AO492" s="448"/>
      <c r="AP492" s="448"/>
      <c r="AQ492" s="448"/>
      <c r="AR492" s="448"/>
      <c r="AS492" s="345"/>
      <c r="AT492" s="448"/>
      <c r="AU492" s="448"/>
      <c r="AV492" s="448"/>
      <c r="AW492" s="448"/>
      <c r="AX492" s="345" t="s">
        <v>1018</v>
      </c>
      <c r="AY492" s="448"/>
      <c r="AZ492" s="448"/>
      <c r="BA492" s="448"/>
      <c r="BB492" s="448"/>
      <c r="BC492" s="448"/>
      <c r="BD492" s="448"/>
      <c r="BE492" s="448"/>
      <c r="BF492" s="499"/>
      <c r="BG492" s="499"/>
      <c r="BH492" s="345" t="s">
        <v>1018</v>
      </c>
      <c r="BI492" s="499"/>
      <c r="BJ492" s="499"/>
      <c r="BK492" s="345" t="s">
        <v>1018</v>
      </c>
      <c r="BL492" s="499"/>
      <c r="BM492" s="499"/>
      <c r="BN492" s="499"/>
      <c r="BO492" s="575">
        <f t="shared" si="4"/>
        <v>5</v>
      </c>
      <c r="BP492" s="575">
        <f t="shared" si="4"/>
        <v>0.64</v>
      </c>
      <c r="BQ492" s="575">
        <f t="shared" si="5"/>
        <v>18</v>
      </c>
      <c r="BR492" s="575">
        <f t="shared" ref="BR492" si="10">LEFT(S492,FIND(" ",S492))*1</f>
        <v>15</v>
      </c>
      <c r="BS492" s="575">
        <f t="shared" ref="BS492" si="11">LEFT(T492,FIND(" ",T492))*1</f>
        <v>0.64</v>
      </c>
    </row>
    <row r="493" spans="1:71" ht="14.5" outlineLevel="1" x14ac:dyDescent="0.35">
      <c r="A493" s="579" t="str">
        <f t="shared" si="3"/>
        <v>Paquete Mi NegocioNo Residencial</v>
      </c>
      <c r="B493" s="129">
        <v>22</v>
      </c>
      <c r="C493" s="434" t="s">
        <v>207</v>
      </c>
      <c r="D493" s="340" t="s">
        <v>242</v>
      </c>
      <c r="E493" s="340" t="s">
        <v>243</v>
      </c>
      <c r="F493" s="506">
        <v>463.55</v>
      </c>
      <c r="G493" s="506">
        <v>549</v>
      </c>
      <c r="H493" s="288">
        <v>2</v>
      </c>
      <c r="I493" s="288" t="s">
        <v>355</v>
      </c>
      <c r="J493" s="288" t="s">
        <v>355</v>
      </c>
      <c r="K493" s="288" t="s">
        <v>356</v>
      </c>
      <c r="L493" s="288" t="s">
        <v>356</v>
      </c>
      <c r="M493" s="288">
        <v>5</v>
      </c>
      <c r="N493" s="288" t="s">
        <v>911</v>
      </c>
      <c r="O493" s="288" t="s">
        <v>351</v>
      </c>
      <c r="P493" s="288" t="s">
        <v>346</v>
      </c>
      <c r="Q493" s="501" t="s">
        <v>1018</v>
      </c>
      <c r="R493" s="345"/>
      <c r="S493" s="345"/>
      <c r="T493" s="345"/>
      <c r="U493" s="541"/>
      <c r="V493" s="541"/>
      <c r="W493" s="541"/>
      <c r="X493" s="541" t="s">
        <v>1018</v>
      </c>
      <c r="Y493" s="541"/>
      <c r="Z493" s="541"/>
      <c r="AA493" s="541"/>
      <c r="AB493" s="541"/>
      <c r="AC493" s="541"/>
      <c r="AD493" s="288" t="s">
        <v>347</v>
      </c>
      <c r="AE493" s="541"/>
      <c r="AF493" s="448"/>
      <c r="AG493" s="542" t="s">
        <v>1200</v>
      </c>
      <c r="AH493" s="448"/>
      <c r="AI493" s="551" t="s">
        <v>1201</v>
      </c>
      <c r="AJ493" s="448"/>
      <c r="AK493" s="345" t="s">
        <v>1203</v>
      </c>
      <c r="AL493" s="345" t="s">
        <v>1207</v>
      </c>
      <c r="AM493" s="345" t="s">
        <v>1208</v>
      </c>
      <c r="AN493" s="345" t="s">
        <v>1209</v>
      </c>
      <c r="AO493" s="345" t="s">
        <v>1213</v>
      </c>
      <c r="AP493" s="345"/>
      <c r="AQ493" s="345" t="s">
        <v>1210</v>
      </c>
      <c r="AR493" s="345" t="s">
        <v>1211</v>
      </c>
      <c r="AS493" s="345"/>
      <c r="AT493" s="448"/>
      <c r="AU493" s="448"/>
      <c r="AV493" s="448"/>
      <c r="AW493" s="448"/>
      <c r="AX493" s="345" t="s">
        <v>1018</v>
      </c>
      <c r="AY493" s="448"/>
      <c r="AZ493" s="448"/>
      <c r="BA493" s="448"/>
      <c r="BB493" s="448"/>
      <c r="BC493" s="448"/>
      <c r="BD493" s="448"/>
      <c r="BE493" s="448"/>
      <c r="BF493" s="448"/>
      <c r="BG493" s="448"/>
      <c r="BH493" s="345" t="s">
        <v>1018</v>
      </c>
      <c r="BI493" s="499"/>
      <c r="BJ493" s="499"/>
      <c r="BK493" s="345" t="s">
        <v>1018</v>
      </c>
      <c r="BL493" s="499"/>
      <c r="BM493" s="499"/>
      <c r="BN493" s="499"/>
      <c r="BO493" s="575">
        <f t="shared" si="4"/>
        <v>100</v>
      </c>
      <c r="BP493" s="575">
        <f t="shared" si="4"/>
        <v>10</v>
      </c>
      <c r="BQ493" s="575"/>
      <c r="BR493" s="575"/>
      <c r="BS493" s="575"/>
    </row>
    <row r="494" spans="1:71" ht="14.5" outlineLevel="1" x14ac:dyDescent="0.35">
      <c r="A494" s="579" t="str">
        <f t="shared" si="3"/>
        <v>Paquete SuperNegocioNo Residencial</v>
      </c>
      <c r="B494" s="129">
        <v>23</v>
      </c>
      <c r="C494" s="434" t="s">
        <v>367</v>
      </c>
      <c r="D494" s="340" t="s">
        <v>242</v>
      </c>
      <c r="E494" s="340" t="s">
        <v>243</v>
      </c>
      <c r="F494" s="506">
        <v>674.64</v>
      </c>
      <c r="G494" s="506">
        <v>799</v>
      </c>
      <c r="H494" s="288">
        <v>2</v>
      </c>
      <c r="I494" s="288" t="s">
        <v>355</v>
      </c>
      <c r="J494" s="288" t="s">
        <v>356</v>
      </c>
      <c r="K494" s="288" t="s">
        <v>356</v>
      </c>
      <c r="L494" s="288" t="s">
        <v>356</v>
      </c>
      <c r="M494" s="288">
        <v>5</v>
      </c>
      <c r="N494" s="288" t="s">
        <v>911</v>
      </c>
      <c r="O494" s="288" t="s">
        <v>359</v>
      </c>
      <c r="P494" s="288" t="s">
        <v>353</v>
      </c>
      <c r="Q494" s="501" t="s">
        <v>1018</v>
      </c>
      <c r="R494" s="345"/>
      <c r="S494" s="345"/>
      <c r="T494" s="345"/>
      <c r="U494" s="541"/>
      <c r="V494" s="541"/>
      <c r="W494" s="541"/>
      <c r="X494" s="541" t="s">
        <v>1018</v>
      </c>
      <c r="Y494" s="541"/>
      <c r="Z494" s="541"/>
      <c r="AA494" s="541"/>
      <c r="AB494" s="541"/>
      <c r="AC494" s="541"/>
      <c r="AD494" s="288" t="s">
        <v>347</v>
      </c>
      <c r="AE494" s="541"/>
      <c r="AF494" s="448"/>
      <c r="AG494" s="542" t="s">
        <v>1200</v>
      </c>
      <c r="AH494" s="448"/>
      <c r="AI494" s="551" t="s">
        <v>1201</v>
      </c>
      <c r="AJ494" s="448"/>
      <c r="AK494" s="345" t="s">
        <v>1203</v>
      </c>
      <c r="AL494" s="345" t="s">
        <v>1207</v>
      </c>
      <c r="AM494" s="345" t="s">
        <v>1208</v>
      </c>
      <c r="AN494" s="345" t="s">
        <v>1209</v>
      </c>
      <c r="AO494" s="345" t="s">
        <v>1213</v>
      </c>
      <c r="AP494" s="345" t="s">
        <v>1212</v>
      </c>
      <c r="AQ494" s="345" t="s">
        <v>1210</v>
      </c>
      <c r="AR494" s="345" t="s">
        <v>1211</v>
      </c>
      <c r="AS494" s="345"/>
      <c r="AT494" s="448"/>
      <c r="AU494" s="448"/>
      <c r="AV494" s="448"/>
      <c r="AW494" s="448"/>
      <c r="AX494" s="345" t="s">
        <v>1018</v>
      </c>
      <c r="AY494" s="448"/>
      <c r="AZ494" s="448"/>
      <c r="BA494" s="448"/>
      <c r="BB494" s="448"/>
      <c r="BC494" s="448"/>
      <c r="BD494" s="448"/>
      <c r="BE494" s="448"/>
      <c r="BF494" s="448"/>
      <c r="BG494" s="448"/>
      <c r="BH494" s="345" t="s">
        <v>1018</v>
      </c>
      <c r="BI494" s="499"/>
      <c r="BJ494" s="499"/>
      <c r="BK494" s="345" t="s">
        <v>1040</v>
      </c>
      <c r="BL494" s="499" t="s">
        <v>1064</v>
      </c>
      <c r="BM494" s="499" t="s">
        <v>1198</v>
      </c>
      <c r="BN494" s="499" t="s">
        <v>1065</v>
      </c>
      <c r="BO494" s="575">
        <f t="shared" si="4"/>
        <v>200</v>
      </c>
      <c r="BP494" s="575">
        <f t="shared" si="4"/>
        <v>20</v>
      </c>
      <c r="BQ494" s="575"/>
      <c r="BR494" s="575"/>
      <c r="BS494" s="575"/>
    </row>
    <row r="495" spans="1:71" ht="14.5" outlineLevel="1" x14ac:dyDescent="0.35">
      <c r="A495" s="579" t="str">
        <f t="shared" si="3"/>
        <v>Paquete Infinitum 500Residencial</v>
      </c>
      <c r="B495" s="129">
        <v>24</v>
      </c>
      <c r="C495" s="434" t="s">
        <v>1067</v>
      </c>
      <c r="D495" s="340" t="s">
        <v>240</v>
      </c>
      <c r="E495" s="340" t="s">
        <v>243</v>
      </c>
      <c r="F495" s="506">
        <v>843.5</v>
      </c>
      <c r="G495" s="506">
        <v>999</v>
      </c>
      <c r="H495" s="288">
        <v>3</v>
      </c>
      <c r="I495" s="288" t="s">
        <v>355</v>
      </c>
      <c r="J495" s="288" t="s">
        <v>355</v>
      </c>
      <c r="K495" s="288" t="s">
        <v>356</v>
      </c>
      <c r="L495" s="288" t="s">
        <v>356</v>
      </c>
      <c r="M495" s="288">
        <v>5</v>
      </c>
      <c r="N495" s="288" t="s">
        <v>911</v>
      </c>
      <c r="O495" s="288" t="s">
        <v>1221</v>
      </c>
      <c r="P495" s="288" t="s">
        <v>354</v>
      </c>
      <c r="Q495" s="501" t="s">
        <v>1018</v>
      </c>
      <c r="R495" s="345"/>
      <c r="S495" s="345"/>
      <c r="T495" s="345"/>
      <c r="U495" s="541"/>
      <c r="V495" s="541"/>
      <c r="W495" s="345"/>
      <c r="X495" s="345" t="s">
        <v>1019</v>
      </c>
      <c r="Y495" s="288" t="s">
        <v>910</v>
      </c>
      <c r="Z495" s="288" t="s">
        <v>349</v>
      </c>
      <c r="AA495" s="541"/>
      <c r="AB495" s="541"/>
      <c r="AC495" s="541"/>
      <c r="AD495" s="288" t="s">
        <v>347</v>
      </c>
      <c r="AE495" s="541"/>
      <c r="AF495" s="288" t="s">
        <v>812</v>
      </c>
      <c r="AG495" s="288" t="s">
        <v>348</v>
      </c>
      <c r="AH495" s="345"/>
      <c r="AI495" s="288" t="s">
        <v>358</v>
      </c>
      <c r="AJ495" s="448"/>
      <c r="AK495" s="448"/>
      <c r="AL495" s="448"/>
      <c r="AM495" s="448"/>
      <c r="AN495" s="448"/>
      <c r="AO495" s="448"/>
      <c r="AP495" s="448"/>
      <c r="AQ495" s="448"/>
      <c r="AR495" s="448"/>
      <c r="AS495" s="345"/>
      <c r="AT495" s="448"/>
      <c r="AU495" s="448"/>
      <c r="AV495" s="448"/>
      <c r="AW495" s="448"/>
      <c r="AX495" s="345" t="s">
        <v>1018</v>
      </c>
      <c r="AY495" s="448"/>
      <c r="AZ495" s="448"/>
      <c r="BA495" s="448"/>
      <c r="BB495" s="448"/>
      <c r="BC495" s="448"/>
      <c r="BD495" s="448"/>
      <c r="BE495" s="448"/>
      <c r="BF495" s="499"/>
      <c r="BG495" s="499"/>
      <c r="BH495" s="345" t="s">
        <v>1018</v>
      </c>
      <c r="BI495" s="499"/>
      <c r="BJ495" s="499"/>
      <c r="BK495" s="345" t="s">
        <v>1018</v>
      </c>
      <c r="BL495" s="499"/>
      <c r="BM495" s="499"/>
      <c r="BN495" s="499"/>
      <c r="BO495" s="575">
        <f t="shared" si="4"/>
        <v>500</v>
      </c>
      <c r="BP495" s="575">
        <f t="shared" si="4"/>
        <v>50</v>
      </c>
      <c r="BQ495" s="575"/>
      <c r="BR495" s="575"/>
      <c r="BS495" s="575"/>
    </row>
    <row r="496" spans="1:71" ht="14.5" outlineLevel="1" x14ac:dyDescent="0.35">
      <c r="A496" s="579" t="str">
        <f t="shared" si="3"/>
        <v>Paquete Telmex Negocio Sin Límites 1No Residencial</v>
      </c>
      <c r="B496" s="129">
        <v>25</v>
      </c>
      <c r="C496" s="434" t="s">
        <v>800</v>
      </c>
      <c r="D496" s="340" t="s">
        <v>242</v>
      </c>
      <c r="E496" s="340" t="s">
        <v>243</v>
      </c>
      <c r="F496" s="506">
        <v>1302.21</v>
      </c>
      <c r="G496" s="506">
        <v>1536</v>
      </c>
      <c r="H496" s="288">
        <v>2</v>
      </c>
      <c r="I496" s="288" t="s">
        <v>355</v>
      </c>
      <c r="J496" s="288" t="s">
        <v>355</v>
      </c>
      <c r="K496" s="288" t="s">
        <v>356</v>
      </c>
      <c r="L496" s="288" t="s">
        <v>356</v>
      </c>
      <c r="M496" s="288">
        <v>5</v>
      </c>
      <c r="N496" s="288" t="s">
        <v>911</v>
      </c>
      <c r="O496" s="288" t="s">
        <v>1221</v>
      </c>
      <c r="P496" s="288" t="s">
        <v>354</v>
      </c>
      <c r="Q496" s="501" t="s">
        <v>1018</v>
      </c>
      <c r="R496" s="345"/>
      <c r="S496" s="345"/>
      <c r="T496" s="345"/>
      <c r="U496" s="345">
        <v>4</v>
      </c>
      <c r="V496" s="345" t="s">
        <v>974</v>
      </c>
      <c r="W496" s="541"/>
      <c r="X496" s="541" t="s">
        <v>1018</v>
      </c>
      <c r="Y496" s="541"/>
      <c r="Z496" s="541"/>
      <c r="AA496" s="541"/>
      <c r="AB496" s="541"/>
      <c r="AC496" s="541"/>
      <c r="AD496" s="288" t="s">
        <v>347</v>
      </c>
      <c r="AE496" s="541"/>
      <c r="AF496" s="448"/>
      <c r="AG496" s="542" t="s">
        <v>1200</v>
      </c>
      <c r="AH496" s="448"/>
      <c r="AI496" s="551" t="s">
        <v>1201</v>
      </c>
      <c r="AJ496" s="448"/>
      <c r="AK496" s="345" t="s">
        <v>1203</v>
      </c>
      <c r="AL496" s="345" t="s">
        <v>1207</v>
      </c>
      <c r="AM496" s="345" t="s">
        <v>1208</v>
      </c>
      <c r="AN496" s="448"/>
      <c r="AO496" s="448"/>
      <c r="AP496" s="345" t="s">
        <v>1212</v>
      </c>
      <c r="AQ496" s="345" t="s">
        <v>1210</v>
      </c>
      <c r="AR496" s="345" t="s">
        <v>1211</v>
      </c>
      <c r="AS496" s="345"/>
      <c r="AT496" s="448"/>
      <c r="AU496" s="448"/>
      <c r="AV496" s="448"/>
      <c r="AW496" s="448"/>
      <c r="AX496" s="345" t="s">
        <v>1018</v>
      </c>
      <c r="AY496" s="448"/>
      <c r="AZ496" s="448"/>
      <c r="BA496" s="499">
        <v>1</v>
      </c>
      <c r="BB496" s="448"/>
      <c r="BC496" s="448"/>
      <c r="BD496" s="448"/>
      <c r="BE496" s="448"/>
      <c r="BF496" s="448"/>
      <c r="BG496" s="448"/>
      <c r="BH496" s="345" t="s">
        <v>1018</v>
      </c>
      <c r="BI496" s="499"/>
      <c r="BJ496" s="499"/>
      <c r="BK496" s="345" t="s">
        <v>1018</v>
      </c>
      <c r="BL496" s="499"/>
      <c r="BM496" s="499"/>
      <c r="BN496" s="499"/>
      <c r="BO496" s="575">
        <f t="shared" si="4"/>
        <v>500</v>
      </c>
      <c r="BP496" s="575">
        <f t="shared" si="4"/>
        <v>50</v>
      </c>
      <c r="BQ496" s="575"/>
      <c r="BR496" s="575"/>
      <c r="BS496" s="575"/>
    </row>
    <row r="497" spans="1:71" ht="14.5" outlineLevel="1" x14ac:dyDescent="0.35">
      <c r="A497" s="579" t="str">
        <f t="shared" si="3"/>
        <v>Paquete Telmex Negocio Sin Límites 2No Residencial</v>
      </c>
      <c r="B497" s="129">
        <v>26</v>
      </c>
      <c r="C497" s="434" t="s">
        <v>801</v>
      </c>
      <c r="D497" s="340" t="s">
        <v>242</v>
      </c>
      <c r="E497" s="340" t="s">
        <v>243</v>
      </c>
      <c r="F497" s="506">
        <v>1547.07</v>
      </c>
      <c r="G497" s="506">
        <v>1826</v>
      </c>
      <c r="H497" s="288">
        <v>4</v>
      </c>
      <c r="I497" s="288" t="s">
        <v>355</v>
      </c>
      <c r="J497" s="288" t="s">
        <v>355</v>
      </c>
      <c r="K497" s="288" t="s">
        <v>356</v>
      </c>
      <c r="L497" s="288" t="s">
        <v>356</v>
      </c>
      <c r="M497" s="288">
        <v>5</v>
      </c>
      <c r="N497" s="288" t="s">
        <v>911</v>
      </c>
      <c r="O497" s="288" t="s">
        <v>1221</v>
      </c>
      <c r="P497" s="288" t="s">
        <v>354</v>
      </c>
      <c r="Q497" s="501" t="s">
        <v>1018</v>
      </c>
      <c r="R497" s="345"/>
      <c r="S497" s="345"/>
      <c r="T497" s="345"/>
      <c r="U497" s="345">
        <v>4</v>
      </c>
      <c r="V497" s="345" t="s">
        <v>974</v>
      </c>
      <c r="W497" s="541"/>
      <c r="X497" s="541" t="s">
        <v>1018</v>
      </c>
      <c r="Y497" s="541"/>
      <c r="Z497" s="541"/>
      <c r="AA497" s="541"/>
      <c r="AB497" s="541"/>
      <c r="AC497" s="541"/>
      <c r="AD497" s="288" t="s">
        <v>347</v>
      </c>
      <c r="AE497" s="541"/>
      <c r="AF497" s="448"/>
      <c r="AG497" s="542" t="s">
        <v>1200</v>
      </c>
      <c r="AH497" s="448"/>
      <c r="AI497" s="551" t="s">
        <v>1201</v>
      </c>
      <c r="AJ497" s="448"/>
      <c r="AK497" s="345" t="s">
        <v>1203</v>
      </c>
      <c r="AL497" s="345" t="s">
        <v>1207</v>
      </c>
      <c r="AM497" s="345" t="s">
        <v>1208</v>
      </c>
      <c r="AN497" s="448"/>
      <c r="AO497" s="448"/>
      <c r="AP497" s="345" t="s">
        <v>1212</v>
      </c>
      <c r="AQ497" s="345" t="s">
        <v>1210</v>
      </c>
      <c r="AR497" s="345" t="s">
        <v>1211</v>
      </c>
      <c r="AS497" s="345"/>
      <c r="AT497" s="448"/>
      <c r="AU497" s="448"/>
      <c r="AV497" s="448"/>
      <c r="AW497" s="448"/>
      <c r="AX497" s="345" t="s">
        <v>1018</v>
      </c>
      <c r="AY497" s="448"/>
      <c r="AZ497" s="448"/>
      <c r="BA497" s="499">
        <v>1</v>
      </c>
      <c r="BB497" s="448"/>
      <c r="BC497" s="448"/>
      <c r="BD497" s="448"/>
      <c r="BE497" s="448"/>
      <c r="BF497" s="448"/>
      <c r="BG497" s="448"/>
      <c r="BH497" s="345" t="s">
        <v>1018</v>
      </c>
      <c r="BI497" s="499"/>
      <c r="BJ497" s="499"/>
      <c r="BK497" s="345" t="s">
        <v>1018</v>
      </c>
      <c r="BL497" s="499"/>
      <c r="BM497" s="499"/>
      <c r="BN497" s="499"/>
      <c r="BO497" s="575">
        <f t="shared" si="4"/>
        <v>500</v>
      </c>
      <c r="BP497" s="575">
        <f t="shared" si="4"/>
        <v>50</v>
      </c>
      <c r="BQ497" s="575"/>
      <c r="BR497" s="575"/>
      <c r="BS497" s="575"/>
    </row>
    <row r="498" spans="1:71" ht="14.5" outlineLevel="1" x14ac:dyDescent="0.35">
      <c r="A498" s="579" t="str">
        <f t="shared" si="3"/>
        <v>Paquete Telmex Negocio Sin Límites 3No Residencial</v>
      </c>
      <c r="B498" s="129">
        <v>27</v>
      </c>
      <c r="C498" s="434" t="s">
        <v>830</v>
      </c>
      <c r="D498" s="340" t="s">
        <v>242</v>
      </c>
      <c r="E498" s="340" t="s">
        <v>243</v>
      </c>
      <c r="F498" s="506">
        <v>1969.23</v>
      </c>
      <c r="G498" s="506">
        <v>2326</v>
      </c>
      <c r="H498" s="288">
        <v>6</v>
      </c>
      <c r="I498" s="288" t="s">
        <v>355</v>
      </c>
      <c r="J498" s="288" t="s">
        <v>355</v>
      </c>
      <c r="K498" s="288" t="s">
        <v>356</v>
      </c>
      <c r="L498" s="288" t="s">
        <v>356</v>
      </c>
      <c r="M498" s="288">
        <v>5</v>
      </c>
      <c r="N498" s="288" t="s">
        <v>911</v>
      </c>
      <c r="O498" s="288" t="s">
        <v>1226</v>
      </c>
      <c r="P498" s="288" t="s">
        <v>359</v>
      </c>
      <c r="Q498" s="501" t="s">
        <v>1018</v>
      </c>
      <c r="R498" s="345"/>
      <c r="S498" s="345"/>
      <c r="T498" s="345"/>
      <c r="U498" s="345">
        <v>4</v>
      </c>
      <c r="V498" s="345" t="s">
        <v>974</v>
      </c>
      <c r="W498" s="541"/>
      <c r="X498" s="541" t="s">
        <v>1018</v>
      </c>
      <c r="Y498" s="541"/>
      <c r="Z498" s="541"/>
      <c r="AA498" s="541"/>
      <c r="AB498" s="541"/>
      <c r="AC498" s="541"/>
      <c r="AD498" s="288" t="s">
        <v>347</v>
      </c>
      <c r="AE498" s="541"/>
      <c r="AF498" s="448"/>
      <c r="AG498" s="542" t="s">
        <v>1200</v>
      </c>
      <c r="AH498" s="448"/>
      <c r="AI498" s="551" t="s">
        <v>1201</v>
      </c>
      <c r="AJ498" s="448"/>
      <c r="AK498" s="345" t="s">
        <v>1203</v>
      </c>
      <c r="AL498" s="345" t="s">
        <v>1207</v>
      </c>
      <c r="AM498" s="345" t="s">
        <v>1208</v>
      </c>
      <c r="AN498" s="448"/>
      <c r="AO498" s="448"/>
      <c r="AP498" s="345" t="s">
        <v>1212</v>
      </c>
      <c r="AQ498" s="345" t="s">
        <v>1210</v>
      </c>
      <c r="AR498" s="345" t="s">
        <v>1211</v>
      </c>
      <c r="AS498" s="345"/>
      <c r="AT498" s="448"/>
      <c r="AU498" s="448"/>
      <c r="AV498" s="448"/>
      <c r="AW498" s="448"/>
      <c r="AX498" s="345" t="s">
        <v>1018</v>
      </c>
      <c r="AY498" s="448"/>
      <c r="AZ498" s="448"/>
      <c r="BA498" s="499">
        <v>1</v>
      </c>
      <c r="BB498" s="448"/>
      <c r="BC498" s="448"/>
      <c r="BD498" s="448"/>
      <c r="BE498" s="448"/>
      <c r="BF498" s="448"/>
      <c r="BG498" s="448"/>
      <c r="BH498" s="345" t="s">
        <v>1018</v>
      </c>
      <c r="BI498" s="499"/>
      <c r="BJ498" s="499"/>
      <c r="BK498" s="345" t="s">
        <v>1018</v>
      </c>
      <c r="BL498" s="499"/>
      <c r="BM498" s="499"/>
      <c r="BN498" s="499"/>
      <c r="BO498" s="575">
        <f t="shared" si="4"/>
        <v>1000</v>
      </c>
      <c r="BP498" s="575">
        <f t="shared" si="4"/>
        <v>200</v>
      </c>
      <c r="BQ498" s="575"/>
      <c r="BR498" s="575"/>
      <c r="BS498" s="575"/>
    </row>
    <row r="499" spans="1:71" ht="14.5" outlineLevel="1" x14ac:dyDescent="0.35">
      <c r="A499" s="579" t="str">
        <f t="shared" si="3"/>
        <v>Infinitum NegocioNo Residencial</v>
      </c>
      <c r="B499" s="129">
        <v>28</v>
      </c>
      <c r="C499" s="434" t="s">
        <v>201</v>
      </c>
      <c r="D499" s="340" t="s">
        <v>242</v>
      </c>
      <c r="E499" s="340" t="s">
        <v>954</v>
      </c>
      <c r="F499" s="506">
        <v>349</v>
      </c>
      <c r="G499" s="506">
        <v>404.84</v>
      </c>
      <c r="H499" s="541"/>
      <c r="I499" s="541"/>
      <c r="J499" s="541"/>
      <c r="K499" s="541"/>
      <c r="L499" s="541"/>
      <c r="M499" s="541"/>
      <c r="N499" s="541"/>
      <c r="O499" s="288" t="s">
        <v>362</v>
      </c>
      <c r="P499" s="288" t="s">
        <v>352</v>
      </c>
      <c r="Q499" s="501" t="s">
        <v>1018</v>
      </c>
      <c r="R499" s="345"/>
      <c r="S499" s="345"/>
      <c r="T499" s="345"/>
      <c r="U499" s="541"/>
      <c r="V499" s="541"/>
      <c r="W499" s="541"/>
      <c r="X499" s="541" t="s">
        <v>1018</v>
      </c>
      <c r="Y499" s="541"/>
      <c r="Z499" s="541"/>
      <c r="AA499" s="541"/>
      <c r="AB499" s="541"/>
      <c r="AC499" s="541"/>
      <c r="AD499" s="288" t="s">
        <v>347</v>
      </c>
      <c r="AE499" s="541"/>
      <c r="AF499" s="345" t="s">
        <v>1215</v>
      </c>
      <c r="AG499" s="542" t="s">
        <v>1200</v>
      </c>
      <c r="AH499" s="448"/>
      <c r="AI499" s="551" t="s">
        <v>1201</v>
      </c>
      <c r="AJ499" s="448"/>
      <c r="AK499" s="345" t="s">
        <v>1203</v>
      </c>
      <c r="AL499" s="448"/>
      <c r="AM499" s="448"/>
      <c r="AN499" s="448"/>
      <c r="AO499" s="448"/>
      <c r="AP499" s="448"/>
      <c r="AQ499" s="448"/>
      <c r="AR499" s="448"/>
      <c r="AS499" s="345"/>
      <c r="AT499" s="448"/>
      <c r="AU499" s="448"/>
      <c r="AV499" s="448"/>
      <c r="AW499" s="448"/>
      <c r="AX499" s="345" t="s">
        <v>1018</v>
      </c>
      <c r="AY499" s="448"/>
      <c r="AZ499" s="448"/>
      <c r="BA499" s="448"/>
      <c r="BB499" s="448"/>
      <c r="BC499" s="448"/>
      <c r="BD499" s="448"/>
      <c r="BE499" s="448"/>
      <c r="BF499" s="448"/>
      <c r="BG499" s="448"/>
      <c r="BH499" s="345" t="s">
        <v>1018</v>
      </c>
      <c r="BI499" s="499"/>
      <c r="BJ499" s="499"/>
      <c r="BK499" s="345" t="s">
        <v>1018</v>
      </c>
      <c r="BL499" s="499"/>
      <c r="BM499" s="499"/>
      <c r="BN499" s="499"/>
      <c r="BO499" s="575">
        <f t="shared" si="4"/>
        <v>30</v>
      </c>
      <c r="BP499" s="575">
        <f t="shared" si="4"/>
        <v>0.76800000000000002</v>
      </c>
      <c r="BQ499" s="575"/>
      <c r="BR499" s="575"/>
      <c r="BS499" s="575"/>
    </row>
    <row r="500" spans="1:71" ht="14.5" outlineLevel="1" x14ac:dyDescent="0.35">
      <c r="A500" s="579" t="str">
        <f t="shared" si="3"/>
        <v>Infinitum Negocio RedNo Residencial</v>
      </c>
      <c r="B500" s="129">
        <v>29</v>
      </c>
      <c r="C500" s="434" t="s">
        <v>202</v>
      </c>
      <c r="D500" s="340" t="s">
        <v>242</v>
      </c>
      <c r="E500" s="340" t="s">
        <v>954</v>
      </c>
      <c r="F500" s="506">
        <v>608.69000000000005</v>
      </c>
      <c r="G500" s="506">
        <v>706.08</v>
      </c>
      <c r="H500" s="541"/>
      <c r="I500" s="541"/>
      <c r="J500" s="541"/>
      <c r="K500" s="541"/>
      <c r="L500" s="541"/>
      <c r="M500" s="541"/>
      <c r="N500" s="541"/>
      <c r="O500" s="288" t="s">
        <v>354</v>
      </c>
      <c r="P500" s="288" t="s">
        <v>352</v>
      </c>
      <c r="Q500" s="501" t="s">
        <v>1018</v>
      </c>
      <c r="R500" s="345"/>
      <c r="S500" s="345"/>
      <c r="T500" s="345"/>
      <c r="U500" s="541"/>
      <c r="V500" s="541"/>
      <c r="W500" s="541"/>
      <c r="X500" s="541" t="s">
        <v>1018</v>
      </c>
      <c r="Y500" s="541"/>
      <c r="Z500" s="541"/>
      <c r="AA500" s="541"/>
      <c r="AB500" s="541"/>
      <c r="AC500" s="541"/>
      <c r="AD500" s="288" t="s">
        <v>347</v>
      </c>
      <c r="AE500" s="541"/>
      <c r="AF500" s="345" t="s">
        <v>1215</v>
      </c>
      <c r="AG500" s="542" t="s">
        <v>1200</v>
      </c>
      <c r="AH500" s="448"/>
      <c r="AI500" s="551" t="s">
        <v>1201</v>
      </c>
      <c r="AJ500" s="448"/>
      <c r="AK500" s="345" t="s">
        <v>1203</v>
      </c>
      <c r="AL500" s="448"/>
      <c r="AM500" s="448"/>
      <c r="AN500" s="448"/>
      <c r="AO500" s="448"/>
      <c r="AP500" s="448"/>
      <c r="AQ500" s="448"/>
      <c r="AR500" s="448"/>
      <c r="AS500" s="345"/>
      <c r="AT500" s="448"/>
      <c r="AU500" s="448"/>
      <c r="AV500" s="448"/>
      <c r="AW500" s="448"/>
      <c r="AX500" s="345" t="s">
        <v>1018</v>
      </c>
      <c r="AY500" s="448"/>
      <c r="AZ500" s="448"/>
      <c r="BA500" s="448"/>
      <c r="BB500" s="448"/>
      <c r="BC500" s="448"/>
      <c r="BD500" s="448"/>
      <c r="BE500" s="448"/>
      <c r="BF500" s="448"/>
      <c r="BG500" s="448"/>
      <c r="BH500" s="345" t="s">
        <v>1018</v>
      </c>
      <c r="BI500" s="499"/>
      <c r="BJ500" s="499"/>
      <c r="BK500" s="345" t="s">
        <v>1018</v>
      </c>
      <c r="BL500" s="499"/>
      <c r="BM500" s="499"/>
      <c r="BN500" s="499"/>
      <c r="BO500" s="575">
        <f t="shared" si="4"/>
        <v>50</v>
      </c>
      <c r="BP500" s="575">
        <f t="shared" si="4"/>
        <v>0.76800000000000002</v>
      </c>
      <c r="BQ500" s="575"/>
      <c r="BR500" s="575"/>
      <c r="BS500" s="575"/>
    </row>
    <row r="501" spans="1:71" ht="14.5" outlineLevel="1" x14ac:dyDescent="0.35">
      <c r="A501" s="579" t="str">
        <f t="shared" si="3"/>
        <v>Infinitum Negocio PremiumNo Residencial</v>
      </c>
      <c r="B501" s="129">
        <v>30</v>
      </c>
      <c r="C501" s="434" t="s">
        <v>203</v>
      </c>
      <c r="D501" s="340" t="s">
        <v>242</v>
      </c>
      <c r="E501" s="340" t="s">
        <v>954</v>
      </c>
      <c r="F501" s="506">
        <v>1042.5999999999999</v>
      </c>
      <c r="G501" s="506">
        <v>1209.42</v>
      </c>
      <c r="H501" s="541"/>
      <c r="I501" s="541"/>
      <c r="J501" s="541"/>
      <c r="K501" s="541"/>
      <c r="L501" s="541"/>
      <c r="M501" s="541"/>
      <c r="N501" s="541"/>
      <c r="O501" s="288" t="s">
        <v>351</v>
      </c>
      <c r="P501" s="288" t="s">
        <v>352</v>
      </c>
      <c r="Q501" s="501" t="s">
        <v>1018</v>
      </c>
      <c r="R501" s="345"/>
      <c r="S501" s="345"/>
      <c r="T501" s="345"/>
      <c r="U501" s="541"/>
      <c r="V501" s="541"/>
      <c r="W501" s="541"/>
      <c r="X501" s="541" t="s">
        <v>1018</v>
      </c>
      <c r="Y501" s="541"/>
      <c r="Z501" s="541"/>
      <c r="AA501" s="541"/>
      <c r="AB501" s="541"/>
      <c r="AC501" s="541"/>
      <c r="AD501" s="288" t="s">
        <v>347</v>
      </c>
      <c r="AE501" s="541"/>
      <c r="AF501" s="345" t="s">
        <v>1215</v>
      </c>
      <c r="AG501" s="542" t="s">
        <v>1200</v>
      </c>
      <c r="AH501" s="448"/>
      <c r="AI501" s="551" t="s">
        <v>1201</v>
      </c>
      <c r="AJ501" s="448"/>
      <c r="AK501" s="345" t="s">
        <v>1203</v>
      </c>
      <c r="AL501" s="448"/>
      <c r="AM501" s="448"/>
      <c r="AN501" s="448"/>
      <c r="AO501" s="448"/>
      <c r="AP501" s="448"/>
      <c r="AQ501" s="448"/>
      <c r="AR501" s="448"/>
      <c r="AS501" s="345"/>
      <c r="AT501" s="448"/>
      <c r="AU501" s="448"/>
      <c r="AV501" s="448"/>
      <c r="AW501" s="448"/>
      <c r="AX501" s="345" t="s">
        <v>1018</v>
      </c>
      <c r="AY501" s="448"/>
      <c r="AZ501" s="448"/>
      <c r="BA501" s="448"/>
      <c r="BB501" s="448"/>
      <c r="BC501" s="448"/>
      <c r="BD501" s="448"/>
      <c r="BE501" s="448"/>
      <c r="BF501" s="448"/>
      <c r="BG501" s="448"/>
      <c r="BH501" s="345" t="s">
        <v>1018</v>
      </c>
      <c r="BI501" s="499"/>
      <c r="BJ501" s="499"/>
      <c r="BK501" s="345" t="s">
        <v>1018</v>
      </c>
      <c r="BL501" s="499"/>
      <c r="BM501" s="499"/>
      <c r="BN501" s="499"/>
      <c r="BO501" s="575">
        <f t="shared" si="4"/>
        <v>100</v>
      </c>
      <c r="BP501" s="575">
        <f t="shared" si="4"/>
        <v>0.76800000000000002</v>
      </c>
      <c r="BQ501" s="575"/>
      <c r="BR501" s="575"/>
      <c r="BS501" s="575"/>
    </row>
    <row r="502" spans="1:71" ht="14.5" outlineLevel="1" x14ac:dyDescent="0.35">
      <c r="A502" s="579" t="str">
        <f t="shared" si="3"/>
        <v>Paquete Infinitum Play 20 (Netflix 1 dispositivo)Residencial</v>
      </c>
      <c r="B502" s="129">
        <v>31</v>
      </c>
      <c r="C502" s="434" t="s">
        <v>854</v>
      </c>
      <c r="D502" s="340" t="s">
        <v>240</v>
      </c>
      <c r="E502" s="340" t="s">
        <v>243</v>
      </c>
      <c r="F502" s="506">
        <v>432.24</v>
      </c>
      <c r="G502" s="506">
        <v>509</v>
      </c>
      <c r="H502" s="288">
        <v>1</v>
      </c>
      <c r="I502" s="288" t="s">
        <v>355</v>
      </c>
      <c r="J502" s="288" t="s">
        <v>356</v>
      </c>
      <c r="K502" s="288" t="s">
        <v>356</v>
      </c>
      <c r="L502" s="288" t="s">
        <v>356</v>
      </c>
      <c r="M502" s="288">
        <v>5</v>
      </c>
      <c r="N502" s="288" t="s">
        <v>911</v>
      </c>
      <c r="O502" s="288" t="s">
        <v>353</v>
      </c>
      <c r="P502" s="288" t="s">
        <v>912</v>
      </c>
      <c r="Q502" s="501" t="s">
        <v>1040</v>
      </c>
      <c r="R502" s="345" t="s">
        <v>1222</v>
      </c>
      <c r="S502" s="345" t="s">
        <v>354</v>
      </c>
      <c r="T502" s="345" t="s">
        <v>360</v>
      </c>
      <c r="U502" s="345">
        <v>1</v>
      </c>
      <c r="V502" s="288" t="s">
        <v>974</v>
      </c>
      <c r="W502" s="345"/>
      <c r="X502" s="345" t="s">
        <v>1019</v>
      </c>
      <c r="Y502" s="288" t="s">
        <v>910</v>
      </c>
      <c r="Z502" s="288" t="s">
        <v>349</v>
      </c>
      <c r="AA502" s="541"/>
      <c r="AB502" s="541"/>
      <c r="AC502" s="541"/>
      <c r="AD502" s="288" t="s">
        <v>347</v>
      </c>
      <c r="AE502" s="541"/>
      <c r="AF502" s="288" t="s">
        <v>812</v>
      </c>
      <c r="AG502" s="288" t="s">
        <v>348</v>
      </c>
      <c r="AH502" s="345"/>
      <c r="AI502" s="288" t="s">
        <v>358</v>
      </c>
      <c r="AJ502" s="448"/>
      <c r="AK502" s="448"/>
      <c r="AL502" s="448"/>
      <c r="AM502" s="448"/>
      <c r="AN502" s="448"/>
      <c r="AO502" s="448"/>
      <c r="AP502" s="448"/>
      <c r="AQ502" s="448"/>
      <c r="AR502" s="448"/>
      <c r="AS502" s="345"/>
      <c r="AT502" s="448"/>
      <c r="AU502" s="448"/>
      <c r="AV502" s="448"/>
      <c r="AW502" s="448"/>
      <c r="AX502" s="345" t="s">
        <v>1018</v>
      </c>
      <c r="AY502" s="499">
        <v>1</v>
      </c>
      <c r="AZ502" s="448"/>
      <c r="BA502" s="448"/>
      <c r="BB502" s="448"/>
      <c r="BC502" s="448"/>
      <c r="BD502" s="448"/>
      <c r="BE502" s="448"/>
      <c r="BF502" s="499"/>
      <c r="BG502" s="499"/>
      <c r="BH502" s="345" t="s">
        <v>1018</v>
      </c>
      <c r="BI502" s="499"/>
      <c r="BJ502" s="499"/>
      <c r="BK502" s="345" t="s">
        <v>1018</v>
      </c>
      <c r="BL502" s="499"/>
      <c r="BM502" s="499"/>
      <c r="BN502" s="499"/>
      <c r="BO502" s="575">
        <f t="shared" si="4"/>
        <v>20</v>
      </c>
      <c r="BP502" s="575">
        <f t="shared" si="4"/>
        <v>5</v>
      </c>
      <c r="BQ502" s="575">
        <f t="shared" si="5"/>
        <v>18</v>
      </c>
      <c r="BR502" s="575">
        <f t="shared" ref="BR502:BR510" si="12">LEFT(S502,FIND(" ",S502))*1</f>
        <v>50</v>
      </c>
      <c r="BS502" s="575">
        <f t="shared" ref="BS502:BS510" si="13">LEFT(T502,FIND(" ",T502))*1</f>
        <v>5</v>
      </c>
    </row>
    <row r="503" spans="1:71" ht="14.5" outlineLevel="1" x14ac:dyDescent="0.35">
      <c r="A503" s="579" t="str">
        <f t="shared" si="3"/>
        <v>Paquete Infinitum Play 20 (Netflix 2 dispositivos)Residencial</v>
      </c>
      <c r="B503" s="129">
        <v>32</v>
      </c>
      <c r="C503" s="434" t="s">
        <v>855</v>
      </c>
      <c r="D503" s="340" t="s">
        <v>240</v>
      </c>
      <c r="E503" s="340" t="s">
        <v>243</v>
      </c>
      <c r="F503" s="506">
        <v>501.2</v>
      </c>
      <c r="G503" s="506">
        <v>589</v>
      </c>
      <c r="H503" s="288">
        <v>1</v>
      </c>
      <c r="I503" s="288" t="s">
        <v>355</v>
      </c>
      <c r="J503" s="288" t="s">
        <v>356</v>
      </c>
      <c r="K503" s="288" t="s">
        <v>356</v>
      </c>
      <c r="L503" s="288" t="s">
        <v>356</v>
      </c>
      <c r="M503" s="288">
        <v>5</v>
      </c>
      <c r="N503" s="288" t="s">
        <v>911</v>
      </c>
      <c r="O503" s="288" t="s">
        <v>353</v>
      </c>
      <c r="P503" s="288" t="s">
        <v>912</v>
      </c>
      <c r="Q503" s="501" t="s">
        <v>1040</v>
      </c>
      <c r="R503" s="345" t="s">
        <v>1222</v>
      </c>
      <c r="S503" s="345" t="s">
        <v>354</v>
      </c>
      <c r="T503" s="345" t="s">
        <v>360</v>
      </c>
      <c r="U503" s="345">
        <v>2</v>
      </c>
      <c r="V503" s="288" t="s">
        <v>974</v>
      </c>
      <c r="W503" s="345"/>
      <c r="X503" s="345" t="s">
        <v>1019</v>
      </c>
      <c r="Y503" s="288" t="s">
        <v>910</v>
      </c>
      <c r="Z503" s="288" t="s">
        <v>349</v>
      </c>
      <c r="AA503" s="541"/>
      <c r="AB503" s="541"/>
      <c r="AC503" s="541"/>
      <c r="AD503" s="288" t="s">
        <v>347</v>
      </c>
      <c r="AE503" s="541"/>
      <c r="AF503" s="288" t="s">
        <v>812</v>
      </c>
      <c r="AG503" s="288" t="s">
        <v>348</v>
      </c>
      <c r="AH503" s="345"/>
      <c r="AI503" s="288" t="s">
        <v>358</v>
      </c>
      <c r="AJ503" s="448"/>
      <c r="AK503" s="448"/>
      <c r="AL503" s="448"/>
      <c r="AM503" s="448"/>
      <c r="AN503" s="448"/>
      <c r="AO503" s="448"/>
      <c r="AP503" s="448"/>
      <c r="AQ503" s="448"/>
      <c r="AR503" s="448"/>
      <c r="AS503" s="345"/>
      <c r="AT503" s="448"/>
      <c r="AU503" s="448"/>
      <c r="AV503" s="448"/>
      <c r="AW503" s="448"/>
      <c r="AX503" s="345" t="s">
        <v>1018</v>
      </c>
      <c r="AY503" s="448"/>
      <c r="AZ503" s="499">
        <v>1</v>
      </c>
      <c r="BA503" s="448"/>
      <c r="BB503" s="448"/>
      <c r="BC503" s="448"/>
      <c r="BD503" s="448"/>
      <c r="BE503" s="448"/>
      <c r="BF503" s="499"/>
      <c r="BG503" s="499"/>
      <c r="BH503" s="345" t="s">
        <v>1018</v>
      </c>
      <c r="BI503" s="499"/>
      <c r="BJ503" s="499"/>
      <c r="BK503" s="345" t="s">
        <v>1018</v>
      </c>
      <c r="BL503" s="499"/>
      <c r="BM503" s="499"/>
      <c r="BN503" s="499"/>
      <c r="BO503" s="575">
        <f t="shared" si="4"/>
        <v>20</v>
      </c>
      <c r="BP503" s="575">
        <f t="shared" si="4"/>
        <v>5</v>
      </c>
      <c r="BQ503" s="575">
        <f t="shared" si="5"/>
        <v>18</v>
      </c>
      <c r="BR503" s="575">
        <f t="shared" si="12"/>
        <v>50</v>
      </c>
      <c r="BS503" s="575">
        <f t="shared" si="13"/>
        <v>5</v>
      </c>
    </row>
    <row r="504" spans="1:71" ht="14.5" outlineLevel="1" x14ac:dyDescent="0.35">
      <c r="A504" s="579" t="str">
        <f t="shared" si="3"/>
        <v>Paquete Infinitum Play 20 (Netflix 4 dispositivos)Residencial</v>
      </c>
      <c r="B504" s="129">
        <v>33</v>
      </c>
      <c r="C504" s="434" t="s">
        <v>856</v>
      </c>
      <c r="D504" s="340" t="s">
        <v>240</v>
      </c>
      <c r="E504" s="340" t="s">
        <v>243</v>
      </c>
      <c r="F504" s="506">
        <v>570.16999999999996</v>
      </c>
      <c r="G504" s="506">
        <v>669</v>
      </c>
      <c r="H504" s="288">
        <v>1</v>
      </c>
      <c r="I504" s="288" t="s">
        <v>355</v>
      </c>
      <c r="J504" s="288" t="s">
        <v>356</v>
      </c>
      <c r="K504" s="288" t="s">
        <v>356</v>
      </c>
      <c r="L504" s="288" t="s">
        <v>356</v>
      </c>
      <c r="M504" s="288">
        <v>5</v>
      </c>
      <c r="N504" s="288" t="s">
        <v>911</v>
      </c>
      <c r="O504" s="288" t="s">
        <v>353</v>
      </c>
      <c r="P504" s="288" t="s">
        <v>912</v>
      </c>
      <c r="Q504" s="501" t="s">
        <v>1066</v>
      </c>
      <c r="R504" s="345" t="s">
        <v>1222</v>
      </c>
      <c r="S504" s="345" t="s">
        <v>354</v>
      </c>
      <c r="T504" s="345" t="s">
        <v>360</v>
      </c>
      <c r="U504" s="345">
        <v>4</v>
      </c>
      <c r="V504" s="288" t="s">
        <v>974</v>
      </c>
      <c r="W504" s="345"/>
      <c r="X504" s="345" t="s">
        <v>1019</v>
      </c>
      <c r="Y504" s="288" t="s">
        <v>910</v>
      </c>
      <c r="Z504" s="288" t="s">
        <v>349</v>
      </c>
      <c r="AA504" s="541"/>
      <c r="AB504" s="541"/>
      <c r="AC504" s="541"/>
      <c r="AD504" s="288" t="s">
        <v>347</v>
      </c>
      <c r="AE504" s="541"/>
      <c r="AF504" s="288" t="s">
        <v>812</v>
      </c>
      <c r="AG504" s="288" t="s">
        <v>348</v>
      </c>
      <c r="AH504" s="345"/>
      <c r="AI504" s="288" t="s">
        <v>358</v>
      </c>
      <c r="AJ504" s="448"/>
      <c r="AK504" s="448"/>
      <c r="AL504" s="448"/>
      <c r="AM504" s="448"/>
      <c r="AN504" s="448"/>
      <c r="AO504" s="448"/>
      <c r="AP504" s="448"/>
      <c r="AQ504" s="448"/>
      <c r="AR504" s="448"/>
      <c r="AS504" s="345"/>
      <c r="AT504" s="448"/>
      <c r="AU504" s="448"/>
      <c r="AV504" s="448"/>
      <c r="AW504" s="448"/>
      <c r="AX504" s="345" t="s">
        <v>1018</v>
      </c>
      <c r="AY504" s="448"/>
      <c r="AZ504" s="448"/>
      <c r="BA504" s="499">
        <v>1</v>
      </c>
      <c r="BB504" s="448"/>
      <c r="BC504" s="448"/>
      <c r="BD504" s="448"/>
      <c r="BE504" s="448"/>
      <c r="BF504" s="499"/>
      <c r="BG504" s="499"/>
      <c r="BH504" s="345" t="s">
        <v>1018</v>
      </c>
      <c r="BI504" s="499"/>
      <c r="BJ504" s="499"/>
      <c r="BK504" s="345" t="s">
        <v>1018</v>
      </c>
      <c r="BL504" s="499"/>
      <c r="BM504" s="499"/>
      <c r="BN504" s="499"/>
      <c r="BO504" s="575">
        <f t="shared" si="4"/>
        <v>20</v>
      </c>
      <c r="BP504" s="575">
        <f t="shared" si="4"/>
        <v>5</v>
      </c>
      <c r="BQ504" s="575">
        <f t="shared" si="5"/>
        <v>18</v>
      </c>
      <c r="BR504" s="575">
        <f t="shared" si="12"/>
        <v>50</v>
      </c>
      <c r="BS504" s="575">
        <f t="shared" si="13"/>
        <v>5</v>
      </c>
    </row>
    <row r="505" spans="1:71" ht="14.5" outlineLevel="1" x14ac:dyDescent="0.35">
      <c r="A505" s="579" t="str">
        <f t="shared" si="3"/>
        <v>Paquete Infinitum Play 30 (Netflix 2 dispositivos)Residencial</v>
      </c>
      <c r="B505" s="129">
        <v>34</v>
      </c>
      <c r="C505" s="434" t="s">
        <v>857</v>
      </c>
      <c r="D505" s="340" t="s">
        <v>240</v>
      </c>
      <c r="E505" s="340" t="s">
        <v>243</v>
      </c>
      <c r="F505" s="506">
        <v>534.97</v>
      </c>
      <c r="G505" s="506">
        <v>629</v>
      </c>
      <c r="H505" s="288">
        <v>1</v>
      </c>
      <c r="I505" s="288" t="s">
        <v>355</v>
      </c>
      <c r="J505" s="288" t="s">
        <v>356</v>
      </c>
      <c r="K505" s="288" t="s">
        <v>356</v>
      </c>
      <c r="L505" s="288" t="s">
        <v>356</v>
      </c>
      <c r="M505" s="288">
        <v>5</v>
      </c>
      <c r="N505" s="288" t="s">
        <v>911</v>
      </c>
      <c r="O505" s="288" t="s">
        <v>362</v>
      </c>
      <c r="P505" s="288" t="s">
        <v>912</v>
      </c>
      <c r="Q505" s="501" t="s">
        <v>1040</v>
      </c>
      <c r="R505" s="345" t="s">
        <v>1222</v>
      </c>
      <c r="S505" s="345" t="s">
        <v>813</v>
      </c>
      <c r="T505" s="345" t="s">
        <v>360</v>
      </c>
      <c r="U505" s="345">
        <v>2</v>
      </c>
      <c r="V505" s="288" t="s">
        <v>974</v>
      </c>
      <c r="W505" s="345"/>
      <c r="X505" s="345" t="s">
        <v>1019</v>
      </c>
      <c r="Y505" s="288" t="s">
        <v>910</v>
      </c>
      <c r="Z505" s="288" t="s">
        <v>349</v>
      </c>
      <c r="AA505" s="541"/>
      <c r="AB505" s="541"/>
      <c r="AC505" s="541"/>
      <c r="AD505" s="288" t="s">
        <v>347</v>
      </c>
      <c r="AE505" s="541"/>
      <c r="AF505" s="288" t="s">
        <v>812</v>
      </c>
      <c r="AG505" s="288" t="s">
        <v>348</v>
      </c>
      <c r="AH505" s="345"/>
      <c r="AI505" s="288" t="s">
        <v>358</v>
      </c>
      <c r="AJ505" s="448"/>
      <c r="AK505" s="448"/>
      <c r="AL505" s="448"/>
      <c r="AM505" s="448"/>
      <c r="AN505" s="448"/>
      <c r="AO505" s="448"/>
      <c r="AP505" s="448"/>
      <c r="AQ505" s="448"/>
      <c r="AR505" s="448"/>
      <c r="AS505" s="345"/>
      <c r="AT505" s="448"/>
      <c r="AU505" s="448"/>
      <c r="AV505" s="448"/>
      <c r="AW505" s="448"/>
      <c r="AX505" s="345" t="s">
        <v>1018</v>
      </c>
      <c r="AY505" s="448"/>
      <c r="AZ505" s="499">
        <v>1</v>
      </c>
      <c r="BA505" s="448"/>
      <c r="BB505" s="448"/>
      <c r="BC505" s="448"/>
      <c r="BD505" s="448"/>
      <c r="BE505" s="448"/>
      <c r="BF505" s="499"/>
      <c r="BG505" s="499"/>
      <c r="BH505" s="345" t="s">
        <v>1018</v>
      </c>
      <c r="BI505" s="499"/>
      <c r="BJ505" s="499"/>
      <c r="BK505" s="345" t="s">
        <v>1018</v>
      </c>
      <c r="BL505" s="499"/>
      <c r="BM505" s="499"/>
      <c r="BN505" s="499"/>
      <c r="BO505" s="575">
        <f t="shared" si="4"/>
        <v>30</v>
      </c>
      <c r="BP505" s="575">
        <f t="shared" si="4"/>
        <v>5</v>
      </c>
      <c r="BQ505" s="575">
        <f t="shared" si="5"/>
        <v>18</v>
      </c>
      <c r="BR505" s="575">
        <f t="shared" si="12"/>
        <v>60</v>
      </c>
      <c r="BS505" s="575">
        <f t="shared" si="13"/>
        <v>5</v>
      </c>
    </row>
    <row r="506" spans="1:71" ht="14.5" outlineLevel="1" x14ac:dyDescent="0.35">
      <c r="A506" s="579" t="str">
        <f t="shared" si="3"/>
        <v>Paquete Infinitum Play 30 (Netflix 4 dispositivos)Residencial</v>
      </c>
      <c r="B506" s="129">
        <v>35</v>
      </c>
      <c r="C506" s="434" t="s">
        <v>858</v>
      </c>
      <c r="D506" s="340" t="s">
        <v>240</v>
      </c>
      <c r="E506" s="340" t="s">
        <v>243</v>
      </c>
      <c r="F506" s="506">
        <v>603.94000000000005</v>
      </c>
      <c r="G506" s="506">
        <v>709</v>
      </c>
      <c r="H506" s="288">
        <v>1</v>
      </c>
      <c r="I506" s="288" t="s">
        <v>355</v>
      </c>
      <c r="J506" s="288" t="s">
        <v>356</v>
      </c>
      <c r="K506" s="288" t="s">
        <v>356</v>
      </c>
      <c r="L506" s="288" t="s">
        <v>356</v>
      </c>
      <c r="M506" s="288">
        <v>5</v>
      </c>
      <c r="N506" s="288" t="s">
        <v>911</v>
      </c>
      <c r="O506" s="288" t="s">
        <v>362</v>
      </c>
      <c r="P506" s="288" t="s">
        <v>912</v>
      </c>
      <c r="Q506" s="501" t="s">
        <v>1040</v>
      </c>
      <c r="R506" s="345" t="s">
        <v>1222</v>
      </c>
      <c r="S506" s="345" t="s">
        <v>813</v>
      </c>
      <c r="T506" s="345" t="s">
        <v>360</v>
      </c>
      <c r="U506" s="345">
        <v>4</v>
      </c>
      <c r="V506" s="288" t="s">
        <v>974</v>
      </c>
      <c r="W506" s="345"/>
      <c r="X506" s="345" t="s">
        <v>1019</v>
      </c>
      <c r="Y506" s="288" t="s">
        <v>910</v>
      </c>
      <c r="Z506" s="288" t="s">
        <v>349</v>
      </c>
      <c r="AA506" s="541"/>
      <c r="AB506" s="541"/>
      <c r="AC506" s="541"/>
      <c r="AD506" s="288" t="s">
        <v>347</v>
      </c>
      <c r="AE506" s="541"/>
      <c r="AF506" s="288" t="s">
        <v>812</v>
      </c>
      <c r="AG506" s="288" t="s">
        <v>348</v>
      </c>
      <c r="AH506" s="345"/>
      <c r="AI506" s="288" t="s">
        <v>358</v>
      </c>
      <c r="AJ506" s="448"/>
      <c r="AK506" s="448"/>
      <c r="AL506" s="448"/>
      <c r="AM506" s="448"/>
      <c r="AN506" s="448"/>
      <c r="AO506" s="448"/>
      <c r="AP506" s="448"/>
      <c r="AQ506" s="448"/>
      <c r="AR506" s="448"/>
      <c r="AS506" s="345"/>
      <c r="AT506" s="448"/>
      <c r="AU506" s="448"/>
      <c r="AV506" s="448"/>
      <c r="AW506" s="448"/>
      <c r="AX506" s="345" t="s">
        <v>1018</v>
      </c>
      <c r="AY506" s="448"/>
      <c r="AZ506" s="448"/>
      <c r="BA506" s="499">
        <v>1</v>
      </c>
      <c r="BB506" s="448"/>
      <c r="BC506" s="448"/>
      <c r="BD506" s="448"/>
      <c r="BE506" s="448"/>
      <c r="BF506" s="499"/>
      <c r="BG506" s="499"/>
      <c r="BH506" s="345" t="s">
        <v>1018</v>
      </c>
      <c r="BI506" s="499"/>
      <c r="BJ506" s="499"/>
      <c r="BK506" s="345" t="s">
        <v>1018</v>
      </c>
      <c r="BL506" s="499"/>
      <c r="BM506" s="499"/>
      <c r="BN506" s="499"/>
      <c r="BO506" s="575">
        <f t="shared" si="4"/>
        <v>30</v>
      </c>
      <c r="BP506" s="575">
        <f t="shared" si="4"/>
        <v>5</v>
      </c>
      <c r="BQ506" s="575">
        <f t="shared" si="5"/>
        <v>18</v>
      </c>
      <c r="BR506" s="575">
        <f t="shared" si="12"/>
        <v>60</v>
      </c>
      <c r="BS506" s="575">
        <f t="shared" si="13"/>
        <v>5</v>
      </c>
    </row>
    <row r="507" spans="1:71" ht="14.5" outlineLevel="1" x14ac:dyDescent="0.35">
      <c r="A507" s="579" t="str">
        <f t="shared" si="3"/>
        <v>Paquete Infinitum Play 40 (Netflix 2 dispositivos)Residencial</v>
      </c>
      <c r="B507" s="129">
        <v>36</v>
      </c>
      <c r="C507" s="434" t="s">
        <v>859</v>
      </c>
      <c r="D507" s="340" t="s">
        <v>240</v>
      </c>
      <c r="E507" s="340" t="s">
        <v>243</v>
      </c>
      <c r="F507" s="506">
        <v>654.6</v>
      </c>
      <c r="G507" s="506">
        <v>769</v>
      </c>
      <c r="H507" s="288">
        <v>1</v>
      </c>
      <c r="I507" s="288" t="s">
        <v>355</v>
      </c>
      <c r="J507" s="288" t="s">
        <v>356</v>
      </c>
      <c r="K507" s="288" t="s">
        <v>356</v>
      </c>
      <c r="L507" s="288" t="s">
        <v>356</v>
      </c>
      <c r="M507" s="288">
        <v>5</v>
      </c>
      <c r="N507" s="288" t="s">
        <v>911</v>
      </c>
      <c r="O507" s="288" t="s">
        <v>357</v>
      </c>
      <c r="P507" s="288" t="s">
        <v>912</v>
      </c>
      <c r="Q507" s="501" t="s">
        <v>1040</v>
      </c>
      <c r="R507" s="345" t="s">
        <v>1222</v>
      </c>
      <c r="S507" s="345" t="s">
        <v>351</v>
      </c>
      <c r="T507" s="345" t="s">
        <v>346</v>
      </c>
      <c r="U507" s="345">
        <v>2</v>
      </c>
      <c r="V507" s="288" t="s">
        <v>974</v>
      </c>
      <c r="W507" s="345"/>
      <c r="X507" s="345" t="s">
        <v>1019</v>
      </c>
      <c r="Y507" s="288" t="s">
        <v>910</v>
      </c>
      <c r="Z507" s="288" t="s">
        <v>349</v>
      </c>
      <c r="AA507" s="541"/>
      <c r="AB507" s="541"/>
      <c r="AC507" s="541"/>
      <c r="AD507" s="288" t="s">
        <v>347</v>
      </c>
      <c r="AE507" s="541"/>
      <c r="AF507" s="288" t="s">
        <v>812</v>
      </c>
      <c r="AG507" s="288" t="s">
        <v>348</v>
      </c>
      <c r="AH507" s="345"/>
      <c r="AI507" s="288" t="s">
        <v>358</v>
      </c>
      <c r="AJ507" s="448"/>
      <c r="AK507" s="448"/>
      <c r="AL507" s="448"/>
      <c r="AM507" s="448"/>
      <c r="AN507" s="448"/>
      <c r="AO507" s="448"/>
      <c r="AP507" s="448"/>
      <c r="AQ507" s="448"/>
      <c r="AR507" s="448"/>
      <c r="AS507" s="345"/>
      <c r="AT507" s="448"/>
      <c r="AU507" s="448"/>
      <c r="AV507" s="448"/>
      <c r="AW507" s="448"/>
      <c r="AX507" s="345" t="s">
        <v>1018</v>
      </c>
      <c r="AY507" s="448"/>
      <c r="AZ507" s="499">
        <v>1</v>
      </c>
      <c r="BA507" s="448"/>
      <c r="BB507" s="448"/>
      <c r="BC507" s="448"/>
      <c r="BD507" s="448"/>
      <c r="BE507" s="448"/>
      <c r="BF507" s="499"/>
      <c r="BG507" s="499"/>
      <c r="BH507" s="345" t="s">
        <v>1018</v>
      </c>
      <c r="BI507" s="499"/>
      <c r="BJ507" s="499"/>
      <c r="BK507" s="345" t="s">
        <v>1018</v>
      </c>
      <c r="BL507" s="499"/>
      <c r="BM507" s="499"/>
      <c r="BN507" s="499"/>
      <c r="BO507" s="575">
        <f t="shared" si="4"/>
        <v>40</v>
      </c>
      <c r="BP507" s="575">
        <f t="shared" si="4"/>
        <v>5</v>
      </c>
      <c r="BQ507" s="575">
        <f t="shared" si="5"/>
        <v>18</v>
      </c>
      <c r="BR507" s="575">
        <f t="shared" si="12"/>
        <v>100</v>
      </c>
      <c r="BS507" s="575">
        <f t="shared" si="13"/>
        <v>10</v>
      </c>
    </row>
    <row r="508" spans="1:71" ht="14.5" outlineLevel="1" x14ac:dyDescent="0.35">
      <c r="A508" s="579" t="str">
        <f t="shared" si="3"/>
        <v>Paquete Infinitum Play 40 (Netflix 4 dispositivos)Residencial</v>
      </c>
      <c r="B508" s="129">
        <v>37</v>
      </c>
      <c r="C508" s="434" t="s">
        <v>860</v>
      </c>
      <c r="D508" s="340" t="s">
        <v>240</v>
      </c>
      <c r="E508" s="340" t="s">
        <v>243</v>
      </c>
      <c r="F508" s="506">
        <v>585.63</v>
      </c>
      <c r="G508" s="506">
        <v>689</v>
      </c>
      <c r="H508" s="288">
        <v>1</v>
      </c>
      <c r="I508" s="288" t="s">
        <v>355</v>
      </c>
      <c r="J508" s="288" t="s">
        <v>356</v>
      </c>
      <c r="K508" s="288" t="s">
        <v>356</v>
      </c>
      <c r="L508" s="288" t="s">
        <v>356</v>
      </c>
      <c r="M508" s="288">
        <v>5</v>
      </c>
      <c r="N508" s="288" t="s">
        <v>911</v>
      </c>
      <c r="O508" s="288" t="s">
        <v>357</v>
      </c>
      <c r="P508" s="288" t="s">
        <v>912</v>
      </c>
      <c r="Q508" s="501" t="s">
        <v>1040</v>
      </c>
      <c r="R508" s="345" t="s">
        <v>1222</v>
      </c>
      <c r="S508" s="345" t="s">
        <v>351</v>
      </c>
      <c r="T508" s="345" t="s">
        <v>346</v>
      </c>
      <c r="U508" s="345">
        <v>4</v>
      </c>
      <c r="V508" s="288" t="s">
        <v>974</v>
      </c>
      <c r="W508" s="345"/>
      <c r="X508" s="345" t="s">
        <v>1019</v>
      </c>
      <c r="Y508" s="288" t="s">
        <v>910</v>
      </c>
      <c r="Z508" s="288" t="s">
        <v>349</v>
      </c>
      <c r="AA508" s="541"/>
      <c r="AB508" s="541"/>
      <c r="AC508" s="541"/>
      <c r="AD508" s="288" t="s">
        <v>347</v>
      </c>
      <c r="AE508" s="541"/>
      <c r="AF508" s="288" t="s">
        <v>812</v>
      </c>
      <c r="AG508" s="288" t="s">
        <v>348</v>
      </c>
      <c r="AH508" s="345"/>
      <c r="AI508" s="288" t="s">
        <v>358</v>
      </c>
      <c r="AJ508" s="448"/>
      <c r="AK508" s="448"/>
      <c r="AL508" s="448"/>
      <c r="AM508" s="448"/>
      <c r="AN508" s="448"/>
      <c r="AO508" s="448"/>
      <c r="AP508" s="448"/>
      <c r="AQ508" s="448"/>
      <c r="AR508" s="448"/>
      <c r="AS508" s="345"/>
      <c r="AT508" s="448"/>
      <c r="AU508" s="448"/>
      <c r="AV508" s="448"/>
      <c r="AW508" s="448"/>
      <c r="AX508" s="345" t="s">
        <v>1018</v>
      </c>
      <c r="AY508" s="448"/>
      <c r="AZ508" s="448"/>
      <c r="BA508" s="499">
        <v>1</v>
      </c>
      <c r="BB508" s="448"/>
      <c r="BC508" s="448"/>
      <c r="BD508" s="448"/>
      <c r="BE508" s="448"/>
      <c r="BF508" s="499"/>
      <c r="BG508" s="499"/>
      <c r="BH508" s="345" t="s">
        <v>1018</v>
      </c>
      <c r="BI508" s="499"/>
      <c r="BJ508" s="499"/>
      <c r="BK508" s="345" t="s">
        <v>1018</v>
      </c>
      <c r="BL508" s="499"/>
      <c r="BM508" s="499"/>
      <c r="BN508" s="499"/>
      <c r="BO508" s="575">
        <f t="shared" si="4"/>
        <v>40</v>
      </c>
      <c r="BP508" s="575">
        <f t="shared" si="4"/>
        <v>5</v>
      </c>
      <c r="BQ508" s="575">
        <f t="shared" si="5"/>
        <v>18</v>
      </c>
      <c r="BR508" s="575">
        <f t="shared" si="12"/>
        <v>100</v>
      </c>
      <c r="BS508" s="575">
        <f t="shared" si="13"/>
        <v>10</v>
      </c>
    </row>
    <row r="509" spans="1:71" ht="14.5" outlineLevel="1" x14ac:dyDescent="0.35">
      <c r="A509" s="579" t="str">
        <f t="shared" si="3"/>
        <v>Paquete Infinitum Play 150 (Netflix 4 dispositivos)Residencial</v>
      </c>
      <c r="B509" s="129">
        <v>38</v>
      </c>
      <c r="C509" s="434" t="s">
        <v>861</v>
      </c>
      <c r="D509" s="340" t="s">
        <v>240</v>
      </c>
      <c r="E509" s="340" t="s">
        <v>243</v>
      </c>
      <c r="F509" s="506">
        <v>720.46</v>
      </c>
      <c r="G509" s="506">
        <v>847</v>
      </c>
      <c r="H509" s="288">
        <v>1</v>
      </c>
      <c r="I509" s="288" t="s">
        <v>355</v>
      </c>
      <c r="J509" s="288" t="s">
        <v>356</v>
      </c>
      <c r="K509" s="288" t="s">
        <v>356</v>
      </c>
      <c r="L509" s="288" t="s">
        <v>356</v>
      </c>
      <c r="M509" s="288">
        <v>5</v>
      </c>
      <c r="N509" s="288" t="s">
        <v>911</v>
      </c>
      <c r="O509" s="288" t="s">
        <v>364</v>
      </c>
      <c r="P509" s="288" t="s">
        <v>353</v>
      </c>
      <c r="Q509" s="501" t="s">
        <v>1040</v>
      </c>
      <c r="R509" s="345" t="s">
        <v>1227</v>
      </c>
      <c r="S509" s="345" t="s">
        <v>359</v>
      </c>
      <c r="T509" s="345" t="s">
        <v>353</v>
      </c>
      <c r="U509" s="345">
        <v>4</v>
      </c>
      <c r="V509" s="288" t="s">
        <v>974</v>
      </c>
      <c r="W509" s="345"/>
      <c r="X509" s="345" t="s">
        <v>1019</v>
      </c>
      <c r="Y509" s="288" t="s">
        <v>910</v>
      </c>
      <c r="Z509" s="288" t="s">
        <v>349</v>
      </c>
      <c r="AA509" s="541"/>
      <c r="AB509" s="541"/>
      <c r="AC509" s="541"/>
      <c r="AD509" s="288" t="s">
        <v>347</v>
      </c>
      <c r="AE509" s="541"/>
      <c r="AF509" s="288" t="s">
        <v>812</v>
      </c>
      <c r="AG509" s="288" t="s">
        <v>348</v>
      </c>
      <c r="AH509" s="345"/>
      <c r="AI509" s="288" t="s">
        <v>358</v>
      </c>
      <c r="AJ509" s="448"/>
      <c r="AK509" s="448"/>
      <c r="AL509" s="448"/>
      <c r="AM509" s="448"/>
      <c r="AN509" s="448"/>
      <c r="AO509" s="448"/>
      <c r="AP509" s="448"/>
      <c r="AQ509" s="448"/>
      <c r="AR509" s="448"/>
      <c r="AS509" s="345"/>
      <c r="AT509" s="448"/>
      <c r="AU509" s="448"/>
      <c r="AV509" s="448"/>
      <c r="AW509" s="448"/>
      <c r="AX509" s="345" t="s">
        <v>1018</v>
      </c>
      <c r="AY509" s="448"/>
      <c r="AZ509" s="448"/>
      <c r="BA509" s="499">
        <v>1</v>
      </c>
      <c r="BB509" s="448"/>
      <c r="BC509" s="448"/>
      <c r="BD509" s="448"/>
      <c r="BE509" s="448"/>
      <c r="BF509" s="499"/>
      <c r="BG509" s="499"/>
      <c r="BH509" s="345" t="s">
        <v>1018</v>
      </c>
      <c r="BI509" s="499"/>
      <c r="BJ509" s="499"/>
      <c r="BK509" s="345" t="s">
        <v>1018</v>
      </c>
      <c r="BL509" s="499"/>
      <c r="BM509" s="499"/>
      <c r="BN509" s="499"/>
      <c r="BO509" s="575">
        <f t="shared" si="4"/>
        <v>150</v>
      </c>
      <c r="BP509" s="575">
        <f t="shared" si="4"/>
        <v>20</v>
      </c>
      <c r="BQ509" s="575">
        <f t="shared" si="5"/>
        <v>6</v>
      </c>
      <c r="BR509" s="575">
        <f t="shared" si="12"/>
        <v>200</v>
      </c>
      <c r="BS509" s="575">
        <f t="shared" si="13"/>
        <v>20</v>
      </c>
    </row>
    <row r="510" spans="1:71" ht="14.5" outlineLevel="1" x14ac:dyDescent="0.35">
      <c r="A510" s="579" t="str">
        <f t="shared" si="3"/>
        <v>Paquete Infinitum Play 150 (Netflix 2 dispositivos)Residencial</v>
      </c>
      <c r="B510" s="129">
        <v>39</v>
      </c>
      <c r="C510" s="434" t="s">
        <v>862</v>
      </c>
      <c r="D510" s="340" t="s">
        <v>240</v>
      </c>
      <c r="E510" s="340" t="s">
        <v>243</v>
      </c>
      <c r="F510" s="506">
        <v>670.06</v>
      </c>
      <c r="G510" s="506">
        <v>789</v>
      </c>
      <c r="H510" s="288">
        <v>1</v>
      </c>
      <c r="I510" s="288" t="s">
        <v>355</v>
      </c>
      <c r="J510" s="288" t="s">
        <v>356</v>
      </c>
      <c r="K510" s="288" t="s">
        <v>356</v>
      </c>
      <c r="L510" s="288" t="s">
        <v>356</v>
      </c>
      <c r="M510" s="288">
        <v>5</v>
      </c>
      <c r="N510" s="288" t="s">
        <v>911</v>
      </c>
      <c r="O510" s="288" t="s">
        <v>364</v>
      </c>
      <c r="P510" s="288" t="s">
        <v>353</v>
      </c>
      <c r="Q510" s="501" t="s">
        <v>1066</v>
      </c>
      <c r="R510" s="345" t="s">
        <v>1227</v>
      </c>
      <c r="S510" s="345" t="s">
        <v>359</v>
      </c>
      <c r="T510" s="345" t="s">
        <v>353</v>
      </c>
      <c r="U510" s="345">
        <v>2</v>
      </c>
      <c r="V510" s="288" t="s">
        <v>974</v>
      </c>
      <c r="W510" s="345"/>
      <c r="X510" s="345" t="s">
        <v>1019</v>
      </c>
      <c r="Y510" s="288" t="s">
        <v>910</v>
      </c>
      <c r="Z510" s="288" t="s">
        <v>349</v>
      </c>
      <c r="AA510" s="541"/>
      <c r="AB510" s="541"/>
      <c r="AC510" s="541"/>
      <c r="AD510" s="288" t="s">
        <v>347</v>
      </c>
      <c r="AE510" s="541"/>
      <c r="AF510" s="288" t="s">
        <v>812</v>
      </c>
      <c r="AG510" s="288" t="s">
        <v>348</v>
      </c>
      <c r="AH510" s="345"/>
      <c r="AI510" s="288" t="s">
        <v>358</v>
      </c>
      <c r="AJ510" s="448"/>
      <c r="AK510" s="448"/>
      <c r="AL510" s="448"/>
      <c r="AM510" s="448"/>
      <c r="AN510" s="448"/>
      <c r="AO510" s="448"/>
      <c r="AP510" s="448"/>
      <c r="AQ510" s="448"/>
      <c r="AR510" s="448"/>
      <c r="AS510" s="345"/>
      <c r="AT510" s="448"/>
      <c r="AU510" s="448"/>
      <c r="AV510" s="448"/>
      <c r="AW510" s="448"/>
      <c r="AX510" s="345" t="s">
        <v>1018</v>
      </c>
      <c r="AY510" s="448"/>
      <c r="AZ510" s="499">
        <v>1</v>
      </c>
      <c r="BA510" s="448"/>
      <c r="BB510" s="448"/>
      <c r="BC510" s="448"/>
      <c r="BD510" s="448"/>
      <c r="BE510" s="448"/>
      <c r="BF510" s="499"/>
      <c r="BG510" s="499"/>
      <c r="BH510" s="345" t="s">
        <v>1018</v>
      </c>
      <c r="BI510" s="499"/>
      <c r="BJ510" s="499"/>
      <c r="BK510" s="345" t="s">
        <v>1018</v>
      </c>
      <c r="BL510" s="499"/>
      <c r="BM510" s="499"/>
      <c r="BN510" s="499"/>
      <c r="BO510" s="575">
        <f t="shared" si="4"/>
        <v>150</v>
      </c>
      <c r="BP510" s="575">
        <f t="shared" si="4"/>
        <v>20</v>
      </c>
      <c r="BQ510" s="575">
        <f t="shared" si="5"/>
        <v>6</v>
      </c>
      <c r="BR510" s="575">
        <f t="shared" si="12"/>
        <v>200</v>
      </c>
      <c r="BS510" s="575">
        <f t="shared" si="13"/>
        <v>20</v>
      </c>
    </row>
    <row r="511" spans="1:71" ht="14.5" outlineLevel="1" x14ac:dyDescent="0.35">
      <c r="A511" s="579" t="str">
        <f t="shared" si="3"/>
        <v>Paquete Infinitum Netflix 500 (Netflix 4 dispositivos)Residencial</v>
      </c>
      <c r="B511" s="129">
        <v>40</v>
      </c>
      <c r="C511" s="434" t="s">
        <v>1068</v>
      </c>
      <c r="D511" s="340" t="s">
        <v>240</v>
      </c>
      <c r="E511" s="340" t="s">
        <v>243</v>
      </c>
      <c r="F511" s="506">
        <v>1034.55</v>
      </c>
      <c r="G511" s="506">
        <v>1219</v>
      </c>
      <c r="H511" s="288">
        <v>3</v>
      </c>
      <c r="I511" s="288" t="s">
        <v>355</v>
      </c>
      <c r="J511" s="288" t="s">
        <v>363</v>
      </c>
      <c r="K511" s="288" t="s">
        <v>356</v>
      </c>
      <c r="L511" s="288" t="s">
        <v>356</v>
      </c>
      <c r="M511" s="288">
        <v>5</v>
      </c>
      <c r="N511" s="288" t="s">
        <v>911</v>
      </c>
      <c r="O511" s="288" t="s">
        <v>1221</v>
      </c>
      <c r="P511" s="288" t="s">
        <v>354</v>
      </c>
      <c r="Q511" s="501" t="s">
        <v>1018</v>
      </c>
      <c r="R511" s="345"/>
      <c r="S511" s="345"/>
      <c r="T511" s="345"/>
      <c r="U511" s="345">
        <v>4</v>
      </c>
      <c r="V511" s="288" t="s">
        <v>974</v>
      </c>
      <c r="W511" s="345"/>
      <c r="X511" s="345" t="s">
        <v>1019</v>
      </c>
      <c r="Y511" s="288" t="s">
        <v>910</v>
      </c>
      <c r="Z511" s="288" t="s">
        <v>349</v>
      </c>
      <c r="AA511" s="541"/>
      <c r="AB511" s="541"/>
      <c r="AC511" s="541"/>
      <c r="AD511" s="288" t="s">
        <v>347</v>
      </c>
      <c r="AE511" s="541"/>
      <c r="AF511" s="288" t="s">
        <v>812</v>
      </c>
      <c r="AG511" s="288" t="s">
        <v>348</v>
      </c>
      <c r="AH511" s="345"/>
      <c r="AI511" s="288" t="s">
        <v>358</v>
      </c>
      <c r="AJ511" s="448"/>
      <c r="AK511" s="448"/>
      <c r="AL511" s="448"/>
      <c r="AM511" s="448"/>
      <c r="AN511" s="448"/>
      <c r="AO511" s="448"/>
      <c r="AP511" s="448"/>
      <c r="AQ511" s="448"/>
      <c r="AR511" s="448"/>
      <c r="AS511" s="345"/>
      <c r="AT511" s="448"/>
      <c r="AU511" s="448"/>
      <c r="AV511" s="448"/>
      <c r="AW511" s="448"/>
      <c r="AX511" s="345" t="s">
        <v>1018</v>
      </c>
      <c r="AY511" s="448"/>
      <c r="AZ511" s="448"/>
      <c r="BA511" s="499">
        <v>1</v>
      </c>
      <c r="BB511" s="448"/>
      <c r="BC511" s="448"/>
      <c r="BD511" s="448"/>
      <c r="BE511" s="448"/>
      <c r="BF511" s="499"/>
      <c r="BG511" s="499"/>
      <c r="BH511" s="345" t="s">
        <v>1018</v>
      </c>
      <c r="BI511" s="499"/>
      <c r="BJ511" s="499"/>
      <c r="BK511" s="345" t="s">
        <v>1018</v>
      </c>
      <c r="BL511" s="499"/>
      <c r="BM511" s="499"/>
      <c r="BN511" s="499"/>
      <c r="BO511" s="575">
        <f t="shared" si="4"/>
        <v>500</v>
      </c>
      <c r="BP511" s="575">
        <f t="shared" si="4"/>
        <v>50</v>
      </c>
      <c r="BQ511" s="575"/>
      <c r="BR511" s="575"/>
      <c r="BS511" s="575"/>
    </row>
    <row r="512" spans="1:71" ht="14.5" outlineLevel="1" x14ac:dyDescent="0.35">
      <c r="A512" s="579" t="str">
        <f t="shared" si="3"/>
        <v>Paquete Infinitum Netflix 500 (Netflix 2 dispositivos)Residencial</v>
      </c>
      <c r="B512" s="129">
        <v>41</v>
      </c>
      <c r="C512" s="434" t="s">
        <v>1069</v>
      </c>
      <c r="D512" s="340" t="s">
        <v>240</v>
      </c>
      <c r="E512" s="340" t="s">
        <v>243</v>
      </c>
      <c r="F512" s="506">
        <v>989.22</v>
      </c>
      <c r="G512" s="506">
        <v>1167</v>
      </c>
      <c r="H512" s="288">
        <v>3</v>
      </c>
      <c r="I512" s="288" t="s">
        <v>355</v>
      </c>
      <c r="J512" s="288" t="s">
        <v>363</v>
      </c>
      <c r="K512" s="288" t="s">
        <v>356</v>
      </c>
      <c r="L512" s="288" t="s">
        <v>356</v>
      </c>
      <c r="M512" s="288">
        <v>5</v>
      </c>
      <c r="N512" s="288" t="s">
        <v>911</v>
      </c>
      <c r="O512" s="288" t="s">
        <v>1221</v>
      </c>
      <c r="P512" s="288" t="s">
        <v>354</v>
      </c>
      <c r="Q512" s="501" t="s">
        <v>1018</v>
      </c>
      <c r="R512" s="345"/>
      <c r="S512" s="345"/>
      <c r="T512" s="345"/>
      <c r="U512" s="345">
        <v>2</v>
      </c>
      <c r="V512" s="288" t="s">
        <v>974</v>
      </c>
      <c r="W512" s="345"/>
      <c r="X512" s="345" t="s">
        <v>1019</v>
      </c>
      <c r="Y512" s="288" t="s">
        <v>910</v>
      </c>
      <c r="Z512" s="288" t="s">
        <v>349</v>
      </c>
      <c r="AA512" s="541"/>
      <c r="AB512" s="541"/>
      <c r="AC512" s="541"/>
      <c r="AD512" s="288" t="s">
        <v>347</v>
      </c>
      <c r="AE512" s="541"/>
      <c r="AF512" s="288" t="s">
        <v>812</v>
      </c>
      <c r="AG512" s="288" t="s">
        <v>348</v>
      </c>
      <c r="AH512" s="345"/>
      <c r="AI512" s="288" t="s">
        <v>358</v>
      </c>
      <c r="AJ512" s="448"/>
      <c r="AK512" s="448"/>
      <c r="AL512" s="448"/>
      <c r="AM512" s="448"/>
      <c r="AN512" s="448"/>
      <c r="AO512" s="448"/>
      <c r="AP512" s="448"/>
      <c r="AQ512" s="448"/>
      <c r="AR512" s="448"/>
      <c r="AS512" s="345"/>
      <c r="AT512" s="448"/>
      <c r="AU512" s="448"/>
      <c r="AV512" s="448"/>
      <c r="AW512" s="448"/>
      <c r="AX512" s="345" t="s">
        <v>1018</v>
      </c>
      <c r="AY512" s="448"/>
      <c r="AZ512" s="499">
        <v>1</v>
      </c>
      <c r="BA512" s="448"/>
      <c r="BB512" s="448"/>
      <c r="BC512" s="448"/>
      <c r="BD512" s="448"/>
      <c r="BE512" s="448"/>
      <c r="BF512" s="499"/>
      <c r="BG512" s="499"/>
      <c r="BH512" s="345" t="s">
        <v>1018</v>
      </c>
      <c r="BI512" s="499"/>
      <c r="BJ512" s="499"/>
      <c r="BK512" s="345" t="s">
        <v>1018</v>
      </c>
      <c r="BL512" s="499"/>
      <c r="BM512" s="499"/>
      <c r="BN512" s="499"/>
      <c r="BO512" s="575">
        <f t="shared" si="4"/>
        <v>500</v>
      </c>
      <c r="BP512" s="575">
        <f t="shared" si="4"/>
        <v>50</v>
      </c>
      <c r="BQ512" s="575"/>
      <c r="BR512" s="575"/>
      <c r="BS512" s="575"/>
    </row>
    <row r="513" spans="1:71" ht="14.5" outlineLevel="1" x14ac:dyDescent="0.35">
      <c r="A513" s="579" t="str">
        <f t="shared" si="3"/>
        <v>Infinitum Netflix 50 (Netflix 1 dispositivo)Residencial</v>
      </c>
      <c r="B513" s="129">
        <v>42</v>
      </c>
      <c r="C513" s="434" t="s">
        <v>1070</v>
      </c>
      <c r="D513" s="340" t="s">
        <v>240</v>
      </c>
      <c r="E513" s="340" t="s">
        <v>241</v>
      </c>
      <c r="F513" s="506">
        <v>404.31</v>
      </c>
      <c r="G513" s="506">
        <v>469</v>
      </c>
      <c r="H513" s="541"/>
      <c r="I513" s="541"/>
      <c r="J513" s="541"/>
      <c r="K513" s="541"/>
      <c r="L513" s="541"/>
      <c r="M513" s="541"/>
      <c r="N513" s="541"/>
      <c r="O513" s="288" t="s">
        <v>354</v>
      </c>
      <c r="P513" s="288" t="s">
        <v>360</v>
      </c>
      <c r="Q513" s="501" t="s">
        <v>1018</v>
      </c>
      <c r="R513" s="345"/>
      <c r="S513" s="345"/>
      <c r="T513" s="345"/>
      <c r="U513" s="345">
        <v>1</v>
      </c>
      <c r="V513" s="288" t="s">
        <v>974</v>
      </c>
      <c r="W513" s="345"/>
      <c r="X513" s="345" t="s">
        <v>1019</v>
      </c>
      <c r="Y513" s="288" t="s">
        <v>910</v>
      </c>
      <c r="Z513" s="288" t="s">
        <v>349</v>
      </c>
      <c r="AA513" s="541"/>
      <c r="AB513" s="541"/>
      <c r="AC513" s="541"/>
      <c r="AD513" s="288" t="s">
        <v>347</v>
      </c>
      <c r="AE513" s="541"/>
      <c r="AF513" s="288" t="s">
        <v>812</v>
      </c>
      <c r="AG513" s="288" t="s">
        <v>348</v>
      </c>
      <c r="AH513" s="345"/>
      <c r="AI513" s="288" t="s">
        <v>358</v>
      </c>
      <c r="AJ513" s="448"/>
      <c r="AK513" s="448"/>
      <c r="AL513" s="448"/>
      <c r="AM513" s="448"/>
      <c r="AN513" s="448"/>
      <c r="AO513" s="448"/>
      <c r="AP513" s="448"/>
      <c r="AQ513" s="448"/>
      <c r="AR513" s="448"/>
      <c r="AS513" s="345"/>
      <c r="AT513" s="448"/>
      <c r="AU513" s="448"/>
      <c r="AV513" s="448"/>
      <c r="AW513" s="448"/>
      <c r="AX513" s="345" t="s">
        <v>1018</v>
      </c>
      <c r="AY513" s="499">
        <v>1</v>
      </c>
      <c r="AZ513" s="448"/>
      <c r="BA513" s="448"/>
      <c r="BB513" s="448"/>
      <c r="BC513" s="448"/>
      <c r="BD513" s="448"/>
      <c r="BE513" s="448"/>
      <c r="BF513" s="499"/>
      <c r="BG513" s="499"/>
      <c r="BH513" s="345" t="s">
        <v>1018</v>
      </c>
      <c r="BI513" s="499"/>
      <c r="BJ513" s="499"/>
      <c r="BK513" s="345" t="s">
        <v>1018</v>
      </c>
      <c r="BL513" s="499"/>
      <c r="BM513" s="499"/>
      <c r="BN513" s="499"/>
      <c r="BO513" s="575">
        <f t="shared" si="4"/>
        <v>50</v>
      </c>
      <c r="BP513" s="575">
        <f t="shared" si="4"/>
        <v>5</v>
      </c>
      <c r="BQ513" s="575"/>
      <c r="BR513" s="575"/>
      <c r="BS513" s="575"/>
    </row>
    <row r="514" spans="1:71" ht="14.5" outlineLevel="1" x14ac:dyDescent="0.35">
      <c r="A514" s="579" t="str">
        <f t="shared" si="3"/>
        <v>Infinitum Netflix 50 (Netflix 2 dispositivos)Residencial</v>
      </c>
      <c r="B514" s="129">
        <v>43</v>
      </c>
      <c r="C514" s="434" t="s">
        <v>1071</v>
      </c>
      <c r="D514" s="340" t="s">
        <v>240</v>
      </c>
      <c r="E514" s="340" t="s">
        <v>241</v>
      </c>
      <c r="F514" s="506">
        <v>473.27</v>
      </c>
      <c r="G514" s="506">
        <v>549</v>
      </c>
      <c r="H514" s="541"/>
      <c r="I514" s="541"/>
      <c r="J514" s="541"/>
      <c r="K514" s="541"/>
      <c r="L514" s="541"/>
      <c r="M514" s="541"/>
      <c r="N514" s="541"/>
      <c r="O514" s="288" t="s">
        <v>354</v>
      </c>
      <c r="P514" s="288" t="s">
        <v>360</v>
      </c>
      <c r="Q514" s="501" t="s">
        <v>1018</v>
      </c>
      <c r="R514" s="345"/>
      <c r="S514" s="345"/>
      <c r="T514" s="345"/>
      <c r="U514" s="345">
        <v>2</v>
      </c>
      <c r="V514" s="288" t="s">
        <v>974</v>
      </c>
      <c r="W514" s="345"/>
      <c r="X514" s="345" t="s">
        <v>1019</v>
      </c>
      <c r="Y514" s="288" t="s">
        <v>910</v>
      </c>
      <c r="Z514" s="288" t="s">
        <v>349</v>
      </c>
      <c r="AA514" s="541"/>
      <c r="AB514" s="541"/>
      <c r="AC514" s="541"/>
      <c r="AD514" s="288" t="s">
        <v>347</v>
      </c>
      <c r="AE514" s="541"/>
      <c r="AF514" s="288" t="s">
        <v>812</v>
      </c>
      <c r="AG514" s="288" t="s">
        <v>348</v>
      </c>
      <c r="AH514" s="345"/>
      <c r="AI514" s="288" t="s">
        <v>358</v>
      </c>
      <c r="AJ514" s="448"/>
      <c r="AK514" s="448"/>
      <c r="AL514" s="448"/>
      <c r="AM514" s="448"/>
      <c r="AN514" s="448"/>
      <c r="AO514" s="448"/>
      <c r="AP514" s="448"/>
      <c r="AQ514" s="448"/>
      <c r="AR514" s="448"/>
      <c r="AS514" s="345"/>
      <c r="AT514" s="448"/>
      <c r="AU514" s="448"/>
      <c r="AV514" s="448"/>
      <c r="AW514" s="448"/>
      <c r="AX514" s="345" t="s">
        <v>1018</v>
      </c>
      <c r="AY514" s="448"/>
      <c r="AZ514" s="499">
        <v>1</v>
      </c>
      <c r="BA514" s="448"/>
      <c r="BB514" s="448"/>
      <c r="BC514" s="448"/>
      <c r="BD514" s="448"/>
      <c r="BE514" s="448"/>
      <c r="BF514" s="499"/>
      <c r="BG514" s="499"/>
      <c r="BH514" s="345" t="s">
        <v>1018</v>
      </c>
      <c r="BI514" s="499"/>
      <c r="BJ514" s="499"/>
      <c r="BK514" s="345" t="s">
        <v>1018</v>
      </c>
      <c r="BL514" s="499"/>
      <c r="BM514" s="499"/>
      <c r="BN514" s="499"/>
      <c r="BO514" s="575">
        <f t="shared" si="4"/>
        <v>50</v>
      </c>
      <c r="BP514" s="575">
        <f t="shared" si="4"/>
        <v>5</v>
      </c>
      <c r="BQ514" s="575"/>
      <c r="BR514" s="575"/>
      <c r="BS514" s="575"/>
    </row>
    <row r="515" spans="1:71" ht="14.5" outlineLevel="1" x14ac:dyDescent="0.35">
      <c r="A515" s="579" t="str">
        <f t="shared" si="3"/>
        <v>Infinitum Netflix 50 (Netflix 4 dispositivos)Residencial</v>
      </c>
      <c r="B515" s="129">
        <v>44</v>
      </c>
      <c r="C515" s="434" t="s">
        <v>1072</v>
      </c>
      <c r="D515" s="340" t="s">
        <v>240</v>
      </c>
      <c r="E515" s="340" t="s">
        <v>241</v>
      </c>
      <c r="F515" s="506">
        <v>542.24</v>
      </c>
      <c r="G515" s="506">
        <v>629</v>
      </c>
      <c r="H515" s="541"/>
      <c r="I515" s="541"/>
      <c r="J515" s="541"/>
      <c r="K515" s="541"/>
      <c r="L515" s="541"/>
      <c r="M515" s="541"/>
      <c r="N515" s="541"/>
      <c r="O515" s="288" t="s">
        <v>354</v>
      </c>
      <c r="P515" s="288" t="s">
        <v>360</v>
      </c>
      <c r="Q515" s="501" t="s">
        <v>1018</v>
      </c>
      <c r="R515" s="345"/>
      <c r="S515" s="345"/>
      <c r="T515" s="345"/>
      <c r="U515" s="345">
        <v>4</v>
      </c>
      <c r="V515" s="288" t="s">
        <v>974</v>
      </c>
      <c r="W515" s="345"/>
      <c r="X515" s="345" t="s">
        <v>1019</v>
      </c>
      <c r="Y515" s="288" t="s">
        <v>910</v>
      </c>
      <c r="Z515" s="288" t="s">
        <v>349</v>
      </c>
      <c r="AA515" s="541"/>
      <c r="AB515" s="541"/>
      <c r="AC515" s="541"/>
      <c r="AD515" s="288" t="s">
        <v>347</v>
      </c>
      <c r="AE515" s="541"/>
      <c r="AF515" s="288" t="s">
        <v>812</v>
      </c>
      <c r="AG515" s="288" t="s">
        <v>348</v>
      </c>
      <c r="AH515" s="345"/>
      <c r="AI515" s="288" t="s">
        <v>358</v>
      </c>
      <c r="AJ515" s="448"/>
      <c r="AK515" s="448"/>
      <c r="AL515" s="448"/>
      <c r="AM515" s="448"/>
      <c r="AN515" s="448"/>
      <c r="AO515" s="448"/>
      <c r="AP515" s="448"/>
      <c r="AQ515" s="448"/>
      <c r="AR515" s="448"/>
      <c r="AS515" s="345"/>
      <c r="AT515" s="448"/>
      <c r="AU515" s="448"/>
      <c r="AV515" s="448"/>
      <c r="AW515" s="448"/>
      <c r="AX515" s="345" t="s">
        <v>1018</v>
      </c>
      <c r="AY515" s="448"/>
      <c r="AZ515" s="448"/>
      <c r="BA515" s="499">
        <v>1</v>
      </c>
      <c r="BB515" s="448"/>
      <c r="BC515" s="448"/>
      <c r="BD515" s="448"/>
      <c r="BE515" s="448"/>
      <c r="BF515" s="499"/>
      <c r="BG515" s="499"/>
      <c r="BH515" s="345" t="s">
        <v>1018</v>
      </c>
      <c r="BI515" s="499"/>
      <c r="BJ515" s="499"/>
      <c r="BK515" s="345" t="s">
        <v>1018</v>
      </c>
      <c r="BL515" s="499"/>
      <c r="BM515" s="499"/>
      <c r="BN515" s="499"/>
      <c r="BO515" s="575">
        <f t="shared" si="4"/>
        <v>50</v>
      </c>
      <c r="BP515" s="575">
        <f t="shared" si="4"/>
        <v>5</v>
      </c>
      <c r="BQ515" s="575"/>
      <c r="BR515" s="575"/>
      <c r="BS515" s="575"/>
    </row>
    <row r="516" spans="1:71" ht="14.5" outlineLevel="1" x14ac:dyDescent="0.35">
      <c r="A516" s="579" t="str">
        <f t="shared" si="3"/>
        <v>Infinitum Netflix 60 (Netflix 2 dispositivos)Residencial</v>
      </c>
      <c r="B516" s="129">
        <v>45</v>
      </c>
      <c r="C516" s="434" t="s">
        <v>1073</v>
      </c>
      <c r="D516" s="340" t="s">
        <v>240</v>
      </c>
      <c r="E516" s="340" t="s">
        <v>241</v>
      </c>
      <c r="F516" s="506">
        <v>511.20000000000005</v>
      </c>
      <c r="G516" s="506">
        <v>593</v>
      </c>
      <c r="H516" s="541"/>
      <c r="I516" s="541"/>
      <c r="J516" s="541"/>
      <c r="K516" s="541"/>
      <c r="L516" s="541"/>
      <c r="M516" s="541"/>
      <c r="N516" s="541"/>
      <c r="O516" s="288" t="s">
        <v>813</v>
      </c>
      <c r="P516" s="288" t="s">
        <v>360</v>
      </c>
      <c r="Q516" s="501" t="s">
        <v>1018</v>
      </c>
      <c r="R516" s="345"/>
      <c r="S516" s="345"/>
      <c r="T516" s="345"/>
      <c r="U516" s="345">
        <v>2</v>
      </c>
      <c r="V516" s="288" t="s">
        <v>974</v>
      </c>
      <c r="W516" s="345"/>
      <c r="X516" s="345" t="s">
        <v>1019</v>
      </c>
      <c r="Y516" s="288" t="s">
        <v>910</v>
      </c>
      <c r="Z516" s="288" t="s">
        <v>349</v>
      </c>
      <c r="AA516" s="541"/>
      <c r="AB516" s="541"/>
      <c r="AC516" s="541"/>
      <c r="AD516" s="288" t="s">
        <v>347</v>
      </c>
      <c r="AE516" s="541"/>
      <c r="AF516" s="288" t="s">
        <v>812</v>
      </c>
      <c r="AG516" s="288" t="s">
        <v>348</v>
      </c>
      <c r="AH516" s="345"/>
      <c r="AI516" s="288" t="s">
        <v>358</v>
      </c>
      <c r="AJ516" s="448"/>
      <c r="AK516" s="448"/>
      <c r="AL516" s="448"/>
      <c r="AM516" s="448"/>
      <c r="AN516" s="448"/>
      <c r="AO516" s="448"/>
      <c r="AP516" s="448"/>
      <c r="AQ516" s="448"/>
      <c r="AR516" s="448"/>
      <c r="AS516" s="345"/>
      <c r="AT516" s="448"/>
      <c r="AU516" s="448"/>
      <c r="AV516" s="448"/>
      <c r="AW516" s="448"/>
      <c r="AX516" s="345" t="s">
        <v>1018</v>
      </c>
      <c r="AY516" s="448"/>
      <c r="AZ516" s="499">
        <v>1</v>
      </c>
      <c r="BA516" s="448"/>
      <c r="BB516" s="448"/>
      <c r="BC516" s="448"/>
      <c r="BD516" s="448"/>
      <c r="BE516" s="448"/>
      <c r="BF516" s="499"/>
      <c r="BG516" s="499"/>
      <c r="BH516" s="345" t="s">
        <v>1018</v>
      </c>
      <c r="BI516" s="499"/>
      <c r="BJ516" s="499"/>
      <c r="BK516" s="345" t="s">
        <v>1018</v>
      </c>
      <c r="BL516" s="499"/>
      <c r="BM516" s="499"/>
      <c r="BN516" s="499"/>
      <c r="BO516" s="575">
        <f t="shared" si="4"/>
        <v>60</v>
      </c>
      <c r="BP516" s="575">
        <f t="shared" si="4"/>
        <v>5</v>
      </c>
      <c r="BQ516" s="575"/>
      <c r="BR516" s="575"/>
      <c r="BS516" s="575"/>
    </row>
    <row r="517" spans="1:71" ht="14.5" outlineLevel="1" x14ac:dyDescent="0.35">
      <c r="A517" s="579" t="str">
        <f t="shared" si="3"/>
        <v>Infinitum Netflix 60 (Netflix 4 dispositivos)Residencial</v>
      </c>
      <c r="B517" s="129">
        <v>46</v>
      </c>
      <c r="C517" s="434" t="s">
        <v>1074</v>
      </c>
      <c r="D517" s="340" t="s">
        <v>240</v>
      </c>
      <c r="E517" s="340" t="s">
        <v>241</v>
      </c>
      <c r="F517" s="506">
        <v>580.17000000000007</v>
      </c>
      <c r="G517" s="506">
        <v>673</v>
      </c>
      <c r="H517" s="541"/>
      <c r="I517" s="541"/>
      <c r="J517" s="541"/>
      <c r="K517" s="541"/>
      <c r="L517" s="541"/>
      <c r="M517" s="541"/>
      <c r="N517" s="541"/>
      <c r="O517" s="288" t="s">
        <v>813</v>
      </c>
      <c r="P517" s="288" t="s">
        <v>360</v>
      </c>
      <c r="Q517" s="501" t="s">
        <v>1018</v>
      </c>
      <c r="R517" s="345"/>
      <c r="S517" s="345"/>
      <c r="T517" s="345"/>
      <c r="U517" s="345">
        <v>4</v>
      </c>
      <c r="V517" s="288" t="s">
        <v>974</v>
      </c>
      <c r="W517" s="345"/>
      <c r="X517" s="345" t="s">
        <v>1019</v>
      </c>
      <c r="Y517" s="288" t="s">
        <v>910</v>
      </c>
      <c r="Z517" s="288" t="s">
        <v>349</v>
      </c>
      <c r="AA517" s="541"/>
      <c r="AB517" s="541"/>
      <c r="AC517" s="541"/>
      <c r="AD517" s="288" t="s">
        <v>347</v>
      </c>
      <c r="AE517" s="541"/>
      <c r="AF517" s="288" t="s">
        <v>812</v>
      </c>
      <c r="AG517" s="288" t="s">
        <v>348</v>
      </c>
      <c r="AH517" s="345"/>
      <c r="AI517" s="288" t="s">
        <v>358</v>
      </c>
      <c r="AJ517" s="448"/>
      <c r="AK517" s="448"/>
      <c r="AL517" s="448"/>
      <c r="AM517" s="448"/>
      <c r="AN517" s="448"/>
      <c r="AO517" s="448"/>
      <c r="AP517" s="448"/>
      <c r="AQ517" s="448"/>
      <c r="AR517" s="448"/>
      <c r="AS517" s="345"/>
      <c r="AT517" s="448"/>
      <c r="AU517" s="448"/>
      <c r="AV517" s="448"/>
      <c r="AW517" s="448"/>
      <c r="AX517" s="345" t="s">
        <v>1018</v>
      </c>
      <c r="AY517" s="448"/>
      <c r="AZ517" s="448"/>
      <c r="BA517" s="499">
        <v>1</v>
      </c>
      <c r="BB517" s="448"/>
      <c r="BC517" s="448"/>
      <c r="BD517" s="448"/>
      <c r="BE517" s="448"/>
      <c r="BF517" s="499"/>
      <c r="BG517" s="499"/>
      <c r="BH517" s="345" t="s">
        <v>1018</v>
      </c>
      <c r="BI517" s="499"/>
      <c r="BJ517" s="499"/>
      <c r="BK517" s="345" t="s">
        <v>1018</v>
      </c>
      <c r="BL517" s="499"/>
      <c r="BM517" s="499"/>
      <c r="BN517" s="499"/>
      <c r="BO517" s="575">
        <f t="shared" si="4"/>
        <v>60</v>
      </c>
      <c r="BP517" s="575">
        <f t="shared" si="4"/>
        <v>5</v>
      </c>
      <c r="BQ517" s="575"/>
      <c r="BR517" s="575"/>
      <c r="BS517" s="575"/>
    </row>
    <row r="518" spans="1:71" ht="14.5" outlineLevel="1" x14ac:dyDescent="0.35">
      <c r="A518" s="579" t="str">
        <f t="shared" si="3"/>
        <v>Infinitum Netflix 200 (Netflix 4 dispositivos)Residencial</v>
      </c>
      <c r="B518" s="129">
        <v>47</v>
      </c>
      <c r="C518" s="434" t="s">
        <v>1075</v>
      </c>
      <c r="D518" s="340" t="s">
        <v>240</v>
      </c>
      <c r="E518" s="340" t="s">
        <v>241</v>
      </c>
      <c r="F518" s="506">
        <v>687.07</v>
      </c>
      <c r="G518" s="506">
        <v>797</v>
      </c>
      <c r="H518" s="541"/>
      <c r="I518" s="541"/>
      <c r="J518" s="541"/>
      <c r="K518" s="541"/>
      <c r="L518" s="541"/>
      <c r="M518" s="541"/>
      <c r="N518" s="541"/>
      <c r="O518" s="288" t="s">
        <v>359</v>
      </c>
      <c r="P518" s="288" t="s">
        <v>353</v>
      </c>
      <c r="Q518" s="501" t="s">
        <v>1018</v>
      </c>
      <c r="R518" s="345"/>
      <c r="S518" s="345"/>
      <c r="T518" s="345"/>
      <c r="U518" s="345">
        <v>4</v>
      </c>
      <c r="V518" s="288" t="s">
        <v>974</v>
      </c>
      <c r="W518" s="345"/>
      <c r="X518" s="345" t="s">
        <v>1019</v>
      </c>
      <c r="Y518" s="288" t="s">
        <v>910</v>
      </c>
      <c r="Z518" s="288" t="s">
        <v>349</v>
      </c>
      <c r="AA518" s="541"/>
      <c r="AB518" s="541"/>
      <c r="AC518" s="541"/>
      <c r="AD518" s="288" t="s">
        <v>347</v>
      </c>
      <c r="AE518" s="541"/>
      <c r="AF518" s="288" t="s">
        <v>812</v>
      </c>
      <c r="AG518" s="288" t="s">
        <v>348</v>
      </c>
      <c r="AH518" s="345"/>
      <c r="AI518" s="288" t="s">
        <v>358</v>
      </c>
      <c r="AJ518" s="448"/>
      <c r="AK518" s="448"/>
      <c r="AL518" s="448"/>
      <c r="AM518" s="448"/>
      <c r="AN518" s="448"/>
      <c r="AO518" s="448"/>
      <c r="AP518" s="448"/>
      <c r="AQ518" s="448"/>
      <c r="AR518" s="448"/>
      <c r="AS518" s="345"/>
      <c r="AT518" s="448"/>
      <c r="AU518" s="448"/>
      <c r="AV518" s="448"/>
      <c r="AW518" s="448"/>
      <c r="AX518" s="345" t="s">
        <v>1018</v>
      </c>
      <c r="AY518" s="448"/>
      <c r="AZ518" s="448"/>
      <c r="BA518" s="499">
        <v>1</v>
      </c>
      <c r="BB518" s="448"/>
      <c r="BC518" s="448"/>
      <c r="BD518" s="448"/>
      <c r="BE518" s="448"/>
      <c r="BF518" s="499"/>
      <c r="BG518" s="499"/>
      <c r="BH518" s="345" t="s">
        <v>1018</v>
      </c>
      <c r="BI518" s="499"/>
      <c r="BJ518" s="499"/>
      <c r="BK518" s="345" t="s">
        <v>1018</v>
      </c>
      <c r="BL518" s="499"/>
      <c r="BM518" s="499"/>
      <c r="BN518" s="499"/>
      <c r="BO518" s="575">
        <f t="shared" si="4"/>
        <v>200</v>
      </c>
      <c r="BP518" s="575">
        <f t="shared" si="4"/>
        <v>20</v>
      </c>
      <c r="BQ518" s="575"/>
      <c r="BR518" s="575"/>
      <c r="BS518" s="575"/>
    </row>
    <row r="519" spans="1:71" ht="14.5" outlineLevel="1" x14ac:dyDescent="0.35">
      <c r="A519" s="579" t="str">
        <f t="shared" si="3"/>
        <v>Infinitum Netflix 200 (Netflix 2 dispositivos)Residencial</v>
      </c>
      <c r="B519" s="129">
        <v>48</v>
      </c>
      <c r="C519" s="434" t="s">
        <v>1076</v>
      </c>
      <c r="D519" s="340" t="s">
        <v>240</v>
      </c>
      <c r="E519" s="340" t="s">
        <v>241</v>
      </c>
      <c r="F519" s="506">
        <v>637.06999999999994</v>
      </c>
      <c r="G519" s="506">
        <v>739</v>
      </c>
      <c r="H519" s="541"/>
      <c r="I519" s="541"/>
      <c r="J519" s="541"/>
      <c r="K519" s="541"/>
      <c r="L519" s="541"/>
      <c r="M519" s="541"/>
      <c r="N519" s="541"/>
      <c r="O519" s="288" t="s">
        <v>359</v>
      </c>
      <c r="P519" s="288" t="s">
        <v>353</v>
      </c>
      <c r="Q519" s="501" t="s">
        <v>1018</v>
      </c>
      <c r="R519" s="345"/>
      <c r="S519" s="345"/>
      <c r="T519" s="345"/>
      <c r="U519" s="345">
        <v>2</v>
      </c>
      <c r="V519" s="288" t="s">
        <v>974</v>
      </c>
      <c r="W519" s="345"/>
      <c r="X519" s="345" t="s">
        <v>1019</v>
      </c>
      <c r="Y519" s="288" t="s">
        <v>910</v>
      </c>
      <c r="Z519" s="288" t="s">
        <v>349</v>
      </c>
      <c r="AA519" s="541"/>
      <c r="AB519" s="541"/>
      <c r="AC519" s="541"/>
      <c r="AD519" s="288" t="s">
        <v>347</v>
      </c>
      <c r="AE519" s="541"/>
      <c r="AF519" s="288" t="s">
        <v>812</v>
      </c>
      <c r="AG519" s="288" t="s">
        <v>348</v>
      </c>
      <c r="AH519" s="345"/>
      <c r="AI519" s="288" t="s">
        <v>358</v>
      </c>
      <c r="AJ519" s="448"/>
      <c r="AK519" s="448"/>
      <c r="AL519" s="448"/>
      <c r="AM519" s="448"/>
      <c r="AN519" s="448"/>
      <c r="AO519" s="448"/>
      <c r="AP519" s="448"/>
      <c r="AQ519" s="448"/>
      <c r="AR519" s="448"/>
      <c r="AS519" s="345"/>
      <c r="AT519" s="448"/>
      <c r="AU519" s="448"/>
      <c r="AV519" s="448"/>
      <c r="AW519" s="448"/>
      <c r="AX519" s="345" t="s">
        <v>1018</v>
      </c>
      <c r="AY519" s="448"/>
      <c r="AZ519" s="499">
        <v>1</v>
      </c>
      <c r="BA519" s="448"/>
      <c r="BB519" s="448"/>
      <c r="BC519" s="448"/>
      <c r="BD519" s="448"/>
      <c r="BE519" s="448"/>
      <c r="BF519" s="499"/>
      <c r="BG519" s="499"/>
      <c r="BH519" s="345" t="s">
        <v>1018</v>
      </c>
      <c r="BI519" s="499"/>
      <c r="BJ519" s="499"/>
      <c r="BK519" s="345" t="s">
        <v>1018</v>
      </c>
      <c r="BL519" s="499"/>
      <c r="BM519" s="499"/>
      <c r="BN519" s="499"/>
      <c r="BO519" s="575">
        <f t="shared" si="4"/>
        <v>200</v>
      </c>
      <c r="BP519" s="575">
        <f t="shared" si="4"/>
        <v>20</v>
      </c>
      <c r="BQ519" s="575"/>
      <c r="BR519" s="575"/>
      <c r="BS519" s="575"/>
    </row>
    <row r="520" spans="1:71" ht="14.5" outlineLevel="1" x14ac:dyDescent="0.35">
      <c r="A520" s="579" t="str">
        <f t="shared" si="3"/>
        <v>Infinitum Netflix 500 (Netflix 4 dispositivos)Residencial</v>
      </c>
      <c r="B520" s="129">
        <v>49</v>
      </c>
      <c r="C520" s="434" t="s">
        <v>1077</v>
      </c>
      <c r="D520" s="340" t="s">
        <v>240</v>
      </c>
      <c r="E520" s="340" t="s">
        <v>241</v>
      </c>
      <c r="F520" s="506">
        <v>964.66</v>
      </c>
      <c r="G520" s="506">
        <v>1119</v>
      </c>
      <c r="H520" s="541"/>
      <c r="I520" s="541"/>
      <c r="J520" s="541"/>
      <c r="K520" s="541"/>
      <c r="L520" s="541"/>
      <c r="M520" s="541"/>
      <c r="N520" s="541"/>
      <c r="O520" s="288" t="s">
        <v>1221</v>
      </c>
      <c r="P520" s="288" t="s">
        <v>354</v>
      </c>
      <c r="Q520" s="501" t="s">
        <v>1018</v>
      </c>
      <c r="R520" s="345"/>
      <c r="S520" s="345"/>
      <c r="T520" s="345"/>
      <c r="U520" s="345">
        <v>4</v>
      </c>
      <c r="V520" s="288" t="s">
        <v>974</v>
      </c>
      <c r="W520" s="345"/>
      <c r="X520" s="345" t="s">
        <v>1019</v>
      </c>
      <c r="Y520" s="288" t="s">
        <v>910</v>
      </c>
      <c r="Z520" s="288" t="s">
        <v>349</v>
      </c>
      <c r="AA520" s="541"/>
      <c r="AB520" s="541"/>
      <c r="AC520" s="541"/>
      <c r="AD520" s="288" t="s">
        <v>347</v>
      </c>
      <c r="AE520" s="541"/>
      <c r="AF520" s="288" t="s">
        <v>812</v>
      </c>
      <c r="AG520" s="288" t="s">
        <v>348</v>
      </c>
      <c r="AH520" s="345"/>
      <c r="AI520" s="288" t="s">
        <v>358</v>
      </c>
      <c r="AJ520" s="448"/>
      <c r="AK520" s="448"/>
      <c r="AL520" s="448"/>
      <c r="AM520" s="448"/>
      <c r="AN520" s="448"/>
      <c r="AO520" s="448"/>
      <c r="AP520" s="448"/>
      <c r="AQ520" s="448"/>
      <c r="AR520" s="448"/>
      <c r="AS520" s="345"/>
      <c r="AT520" s="448"/>
      <c r="AU520" s="448"/>
      <c r="AV520" s="448"/>
      <c r="AW520" s="448"/>
      <c r="AX520" s="345" t="s">
        <v>1018</v>
      </c>
      <c r="AY520" s="448"/>
      <c r="AZ520" s="448"/>
      <c r="BA520" s="499">
        <v>1</v>
      </c>
      <c r="BB520" s="448"/>
      <c r="BC520" s="448"/>
      <c r="BD520" s="448"/>
      <c r="BE520" s="448"/>
      <c r="BF520" s="499"/>
      <c r="BG520" s="499"/>
      <c r="BH520" s="345" t="s">
        <v>1018</v>
      </c>
      <c r="BI520" s="499"/>
      <c r="BJ520" s="499"/>
      <c r="BK520" s="345" t="s">
        <v>1018</v>
      </c>
      <c r="BL520" s="499"/>
      <c r="BM520" s="499"/>
      <c r="BN520" s="499"/>
      <c r="BO520" s="575">
        <f t="shared" si="4"/>
        <v>500</v>
      </c>
      <c r="BP520" s="575">
        <f t="shared" si="4"/>
        <v>50</v>
      </c>
      <c r="BQ520" s="575"/>
      <c r="BR520" s="575"/>
      <c r="BS520" s="575"/>
    </row>
    <row r="521" spans="1:71" ht="14.5" outlineLevel="1" x14ac:dyDescent="0.35">
      <c r="A521" s="579" t="str">
        <f t="shared" si="3"/>
        <v>Infinitum Netflix 500 (Netflix 2 dispositivos)Residencial</v>
      </c>
      <c r="B521" s="129">
        <v>50</v>
      </c>
      <c r="C521" s="434" t="s">
        <v>1078</v>
      </c>
      <c r="D521" s="340" t="s">
        <v>240</v>
      </c>
      <c r="E521" s="340" t="s">
        <v>241</v>
      </c>
      <c r="F521" s="506">
        <v>919.81999999999994</v>
      </c>
      <c r="G521" s="506">
        <v>1067</v>
      </c>
      <c r="H521" s="541"/>
      <c r="I521" s="541"/>
      <c r="J521" s="541"/>
      <c r="K521" s="541"/>
      <c r="L521" s="541"/>
      <c r="M521" s="541"/>
      <c r="N521" s="541"/>
      <c r="O521" s="288" t="s">
        <v>1221</v>
      </c>
      <c r="P521" s="288" t="s">
        <v>354</v>
      </c>
      <c r="Q521" s="501" t="s">
        <v>1018</v>
      </c>
      <c r="R521" s="345"/>
      <c r="S521" s="345"/>
      <c r="T521" s="345"/>
      <c r="U521" s="345">
        <v>2</v>
      </c>
      <c r="V521" s="288" t="s">
        <v>974</v>
      </c>
      <c r="W521" s="345"/>
      <c r="X521" s="345" t="s">
        <v>1019</v>
      </c>
      <c r="Y521" s="288" t="s">
        <v>910</v>
      </c>
      <c r="Z521" s="288" t="s">
        <v>349</v>
      </c>
      <c r="AA521" s="541"/>
      <c r="AB521" s="541"/>
      <c r="AC521" s="541"/>
      <c r="AD521" s="288" t="s">
        <v>347</v>
      </c>
      <c r="AE521" s="541"/>
      <c r="AF521" s="288" t="s">
        <v>812</v>
      </c>
      <c r="AG521" s="288" t="s">
        <v>348</v>
      </c>
      <c r="AH521" s="345"/>
      <c r="AI521" s="288" t="s">
        <v>358</v>
      </c>
      <c r="AJ521" s="448"/>
      <c r="AK521" s="448"/>
      <c r="AL521" s="448"/>
      <c r="AM521" s="448"/>
      <c r="AN521" s="448"/>
      <c r="AO521" s="448"/>
      <c r="AP521" s="448"/>
      <c r="AQ521" s="448"/>
      <c r="AR521" s="448"/>
      <c r="AS521" s="345"/>
      <c r="AT521" s="448"/>
      <c r="AU521" s="448"/>
      <c r="AV521" s="448"/>
      <c r="AW521" s="448"/>
      <c r="AX521" s="345" t="s">
        <v>1018</v>
      </c>
      <c r="AY521" s="448"/>
      <c r="AZ521" s="499">
        <v>1</v>
      </c>
      <c r="BA521" s="448"/>
      <c r="BB521" s="448"/>
      <c r="BC521" s="448"/>
      <c r="BD521" s="448"/>
      <c r="BE521" s="448"/>
      <c r="BF521" s="499"/>
      <c r="BG521" s="499"/>
      <c r="BH521" s="345" t="s">
        <v>1018</v>
      </c>
      <c r="BI521" s="499"/>
      <c r="BJ521" s="499"/>
      <c r="BK521" s="345" t="s">
        <v>1018</v>
      </c>
      <c r="BL521" s="499"/>
      <c r="BM521" s="499"/>
      <c r="BN521" s="499"/>
      <c r="BO521" s="575">
        <f t="shared" si="4"/>
        <v>500</v>
      </c>
      <c r="BP521" s="575">
        <f t="shared" si="4"/>
        <v>50</v>
      </c>
      <c r="BQ521" s="575"/>
      <c r="BR521" s="575"/>
      <c r="BS521" s="575"/>
    </row>
    <row r="522" spans="1:71" ht="14.5" outlineLevel="1" x14ac:dyDescent="0.35">
      <c r="A522" s="579" t="str">
        <f t="shared" si="3"/>
        <v>Paquete Conectes Negocio Netflix (Netflix 1 dispositivo)No Residencial</v>
      </c>
      <c r="B522" s="129">
        <v>51</v>
      </c>
      <c r="C522" s="434" t="s">
        <v>1079</v>
      </c>
      <c r="D522" s="340" t="s">
        <v>242</v>
      </c>
      <c r="E522" s="340" t="s">
        <v>243</v>
      </c>
      <c r="F522" s="506">
        <v>440.68</v>
      </c>
      <c r="G522" s="506">
        <v>519</v>
      </c>
      <c r="H522" s="288">
        <v>1</v>
      </c>
      <c r="I522" s="288" t="s">
        <v>355</v>
      </c>
      <c r="J522" s="288" t="s">
        <v>356</v>
      </c>
      <c r="K522" s="288" t="s">
        <v>356</v>
      </c>
      <c r="L522" s="288" t="s">
        <v>356</v>
      </c>
      <c r="M522" s="288">
        <v>5</v>
      </c>
      <c r="N522" s="288" t="s">
        <v>911</v>
      </c>
      <c r="O522" s="288" t="s">
        <v>353</v>
      </c>
      <c r="P522" s="288" t="s">
        <v>912</v>
      </c>
      <c r="Q522" s="501" t="s">
        <v>1018</v>
      </c>
      <c r="R522" s="345"/>
      <c r="S522" s="345"/>
      <c r="T522" s="345"/>
      <c r="U522" s="345">
        <v>1</v>
      </c>
      <c r="V522" s="345" t="s">
        <v>974</v>
      </c>
      <c r="W522" s="541"/>
      <c r="X522" s="541" t="s">
        <v>1018</v>
      </c>
      <c r="Y522" s="541"/>
      <c r="Z522" s="541"/>
      <c r="AA522" s="541"/>
      <c r="AB522" s="541"/>
      <c r="AC522" s="541"/>
      <c r="AD522" s="288" t="s">
        <v>347</v>
      </c>
      <c r="AE522" s="541"/>
      <c r="AF522" s="448"/>
      <c r="AG522" s="542" t="s">
        <v>1200</v>
      </c>
      <c r="AH522" s="448"/>
      <c r="AI522" s="551" t="s">
        <v>1201</v>
      </c>
      <c r="AJ522" s="448"/>
      <c r="AK522" s="345" t="s">
        <v>1203</v>
      </c>
      <c r="AL522" s="345" t="s">
        <v>1207</v>
      </c>
      <c r="AM522" s="345" t="s">
        <v>1208</v>
      </c>
      <c r="AN522" s="345" t="s">
        <v>1209</v>
      </c>
      <c r="AO522" s="448"/>
      <c r="AP522" s="448"/>
      <c r="AQ522" s="345" t="s">
        <v>1210</v>
      </c>
      <c r="AR522" s="345" t="s">
        <v>1211</v>
      </c>
      <c r="AS522" s="345"/>
      <c r="AT522" s="448"/>
      <c r="AU522" s="448"/>
      <c r="AV522" s="448"/>
      <c r="AW522" s="448"/>
      <c r="AX522" s="345" t="s">
        <v>1018</v>
      </c>
      <c r="AY522" s="499">
        <v>1</v>
      </c>
      <c r="AZ522" s="448"/>
      <c r="BA522" s="448"/>
      <c r="BB522" s="448"/>
      <c r="BC522" s="448"/>
      <c r="BD522" s="448"/>
      <c r="BE522" s="448"/>
      <c r="BF522" s="448"/>
      <c r="BG522" s="448"/>
      <c r="BH522" s="345" t="s">
        <v>1018</v>
      </c>
      <c r="BI522" s="499"/>
      <c r="BJ522" s="499"/>
      <c r="BK522" s="345" t="s">
        <v>1018</v>
      </c>
      <c r="BL522" s="499"/>
      <c r="BM522" s="499"/>
      <c r="BN522" s="499"/>
      <c r="BO522" s="575">
        <f t="shared" si="4"/>
        <v>20</v>
      </c>
      <c r="BP522" s="575">
        <f t="shared" si="4"/>
        <v>5</v>
      </c>
      <c r="BQ522" s="575"/>
      <c r="BR522" s="575"/>
      <c r="BS522" s="575"/>
    </row>
    <row r="523" spans="1:71" ht="14.5" outlineLevel="1" x14ac:dyDescent="0.35">
      <c r="A523" s="579" t="str">
        <f t="shared" si="3"/>
        <v>Paquete Conectes Negocio Netflix (Netflix 2 dispositivos)No Residencial</v>
      </c>
      <c r="B523" s="129">
        <v>52</v>
      </c>
      <c r="C523" s="434" t="s">
        <v>1080</v>
      </c>
      <c r="D523" s="340" t="s">
        <v>242</v>
      </c>
      <c r="E523" s="340" t="s">
        <v>243</v>
      </c>
      <c r="F523" s="506">
        <v>509.64</v>
      </c>
      <c r="G523" s="506">
        <v>599</v>
      </c>
      <c r="H523" s="288">
        <v>1</v>
      </c>
      <c r="I523" s="288" t="s">
        <v>355</v>
      </c>
      <c r="J523" s="288" t="s">
        <v>356</v>
      </c>
      <c r="K523" s="288" t="s">
        <v>356</v>
      </c>
      <c r="L523" s="288" t="s">
        <v>356</v>
      </c>
      <c r="M523" s="288">
        <v>5</v>
      </c>
      <c r="N523" s="288" t="s">
        <v>911</v>
      </c>
      <c r="O523" s="288" t="s">
        <v>353</v>
      </c>
      <c r="P523" s="288" t="s">
        <v>912</v>
      </c>
      <c r="Q523" s="501" t="s">
        <v>1018</v>
      </c>
      <c r="R523" s="345"/>
      <c r="S523" s="345"/>
      <c r="T523" s="345"/>
      <c r="U523" s="345">
        <v>2</v>
      </c>
      <c r="V523" s="345" t="s">
        <v>974</v>
      </c>
      <c r="W523" s="541"/>
      <c r="X523" s="541" t="s">
        <v>1018</v>
      </c>
      <c r="Y523" s="541"/>
      <c r="Z523" s="541"/>
      <c r="AA523" s="541"/>
      <c r="AB523" s="541"/>
      <c r="AC523" s="541"/>
      <c r="AD523" s="288" t="s">
        <v>347</v>
      </c>
      <c r="AE523" s="541"/>
      <c r="AF523" s="448"/>
      <c r="AG523" s="542" t="s">
        <v>1200</v>
      </c>
      <c r="AH523" s="448"/>
      <c r="AI523" s="551" t="s">
        <v>1201</v>
      </c>
      <c r="AJ523" s="448"/>
      <c r="AK523" s="345" t="s">
        <v>1203</v>
      </c>
      <c r="AL523" s="345" t="s">
        <v>1207</v>
      </c>
      <c r="AM523" s="345" t="s">
        <v>1208</v>
      </c>
      <c r="AN523" s="345" t="s">
        <v>1209</v>
      </c>
      <c r="AO523" s="448"/>
      <c r="AP523" s="448"/>
      <c r="AQ523" s="345" t="s">
        <v>1210</v>
      </c>
      <c r="AR523" s="345" t="s">
        <v>1211</v>
      </c>
      <c r="AS523" s="345"/>
      <c r="AT523" s="448"/>
      <c r="AU523" s="448"/>
      <c r="AV523" s="448"/>
      <c r="AW523" s="448"/>
      <c r="AX523" s="345" t="s">
        <v>1018</v>
      </c>
      <c r="AY523" s="448"/>
      <c r="AZ523" s="499">
        <v>1</v>
      </c>
      <c r="BA523" s="448"/>
      <c r="BB523" s="448"/>
      <c r="BC523" s="448"/>
      <c r="BD523" s="448"/>
      <c r="BE523" s="448"/>
      <c r="BF523" s="448"/>
      <c r="BG523" s="448"/>
      <c r="BH523" s="345" t="s">
        <v>1018</v>
      </c>
      <c r="BI523" s="499"/>
      <c r="BJ523" s="499"/>
      <c r="BK523" s="345" t="s">
        <v>1018</v>
      </c>
      <c r="BL523" s="499"/>
      <c r="BM523" s="499"/>
      <c r="BN523" s="499"/>
      <c r="BO523" s="575">
        <f t="shared" si="4"/>
        <v>20</v>
      </c>
      <c r="BP523" s="575">
        <f t="shared" si="4"/>
        <v>5</v>
      </c>
      <c r="BQ523" s="575"/>
      <c r="BR523" s="575"/>
      <c r="BS523" s="575"/>
    </row>
    <row r="524" spans="1:71" ht="14.5" outlineLevel="1" x14ac:dyDescent="0.35">
      <c r="A524" s="579" t="str">
        <f t="shared" si="3"/>
        <v>Paquete Conectes Negocio Netflix (Netflix 4 dispositivos)No Residencial</v>
      </c>
      <c r="B524" s="129">
        <v>53</v>
      </c>
      <c r="C524" s="434" t="s">
        <v>1081</v>
      </c>
      <c r="D524" s="340" t="s">
        <v>242</v>
      </c>
      <c r="E524" s="340" t="s">
        <v>243</v>
      </c>
      <c r="F524" s="506">
        <v>578.61</v>
      </c>
      <c r="G524" s="506">
        <v>679</v>
      </c>
      <c r="H524" s="288">
        <v>1</v>
      </c>
      <c r="I524" s="288" t="s">
        <v>355</v>
      </c>
      <c r="J524" s="288" t="s">
        <v>356</v>
      </c>
      <c r="K524" s="288" t="s">
        <v>356</v>
      </c>
      <c r="L524" s="288" t="s">
        <v>356</v>
      </c>
      <c r="M524" s="288">
        <v>5</v>
      </c>
      <c r="N524" s="288" t="s">
        <v>911</v>
      </c>
      <c r="O524" s="288" t="s">
        <v>353</v>
      </c>
      <c r="P524" s="288" t="s">
        <v>912</v>
      </c>
      <c r="Q524" s="501" t="s">
        <v>1018</v>
      </c>
      <c r="R524" s="345"/>
      <c r="S524" s="345"/>
      <c r="T524" s="345"/>
      <c r="U524" s="345">
        <v>4</v>
      </c>
      <c r="V524" s="345" t="s">
        <v>974</v>
      </c>
      <c r="W524" s="541"/>
      <c r="X524" s="541" t="s">
        <v>1018</v>
      </c>
      <c r="Y524" s="541"/>
      <c r="Z524" s="541"/>
      <c r="AA524" s="541"/>
      <c r="AB524" s="541"/>
      <c r="AC524" s="541"/>
      <c r="AD524" s="288" t="s">
        <v>347</v>
      </c>
      <c r="AE524" s="541"/>
      <c r="AF524" s="448"/>
      <c r="AG524" s="542" t="s">
        <v>1200</v>
      </c>
      <c r="AH524" s="448"/>
      <c r="AI524" s="551" t="s">
        <v>1201</v>
      </c>
      <c r="AJ524" s="448"/>
      <c r="AK524" s="345" t="s">
        <v>1203</v>
      </c>
      <c r="AL524" s="345" t="s">
        <v>1207</v>
      </c>
      <c r="AM524" s="345" t="s">
        <v>1208</v>
      </c>
      <c r="AN524" s="345" t="s">
        <v>1209</v>
      </c>
      <c r="AO524" s="448"/>
      <c r="AP524" s="448"/>
      <c r="AQ524" s="345" t="s">
        <v>1210</v>
      </c>
      <c r="AR524" s="345" t="s">
        <v>1211</v>
      </c>
      <c r="AS524" s="345"/>
      <c r="AT524" s="448"/>
      <c r="AU524" s="448"/>
      <c r="AV524" s="448"/>
      <c r="AW524" s="448"/>
      <c r="AX524" s="345" t="s">
        <v>1018</v>
      </c>
      <c r="AY524" s="448"/>
      <c r="AZ524" s="448"/>
      <c r="BA524" s="499">
        <v>1</v>
      </c>
      <c r="BB524" s="448"/>
      <c r="BC524" s="448"/>
      <c r="BD524" s="448"/>
      <c r="BE524" s="448"/>
      <c r="BF524" s="448"/>
      <c r="BG524" s="448"/>
      <c r="BH524" s="345" t="s">
        <v>1018</v>
      </c>
      <c r="BI524" s="499"/>
      <c r="BJ524" s="499"/>
      <c r="BK524" s="345" t="s">
        <v>1018</v>
      </c>
      <c r="BL524" s="499"/>
      <c r="BM524" s="499"/>
      <c r="BN524" s="499"/>
      <c r="BO524" s="575">
        <f t="shared" si="4"/>
        <v>20</v>
      </c>
      <c r="BP524" s="575">
        <f t="shared" si="4"/>
        <v>5</v>
      </c>
      <c r="BQ524" s="575"/>
      <c r="BR524" s="575"/>
      <c r="BS524" s="575"/>
    </row>
    <row r="525" spans="1:71" ht="14.5" customHeight="1" outlineLevel="1" x14ac:dyDescent="0.35">
      <c r="A525" s="579" t="str">
        <f t="shared" si="3"/>
        <v>Paquete Mi Negocio Netflix (Netflix 2 dispositivos)No Residencial</v>
      </c>
      <c r="B525" s="129">
        <v>54</v>
      </c>
      <c r="C525" s="434" t="s">
        <v>1082</v>
      </c>
      <c r="D525" s="340" t="s">
        <v>242</v>
      </c>
      <c r="E525" s="340" t="s">
        <v>243</v>
      </c>
      <c r="F525" s="506">
        <v>627.85</v>
      </c>
      <c r="G525" s="506">
        <v>739</v>
      </c>
      <c r="H525" s="288">
        <v>2</v>
      </c>
      <c r="I525" s="288" t="s">
        <v>355</v>
      </c>
      <c r="J525" s="288" t="s">
        <v>355</v>
      </c>
      <c r="K525" s="288" t="s">
        <v>356</v>
      </c>
      <c r="L525" s="288" t="s">
        <v>356</v>
      </c>
      <c r="M525" s="288">
        <v>5</v>
      </c>
      <c r="N525" s="288" t="s">
        <v>911</v>
      </c>
      <c r="O525" s="288" t="s">
        <v>351</v>
      </c>
      <c r="P525" s="288" t="s">
        <v>346</v>
      </c>
      <c r="Q525" s="501" t="s">
        <v>1018</v>
      </c>
      <c r="R525" s="345"/>
      <c r="S525" s="345"/>
      <c r="T525" s="345"/>
      <c r="U525" s="345">
        <v>2</v>
      </c>
      <c r="V525" s="345" t="s">
        <v>974</v>
      </c>
      <c r="W525" s="541"/>
      <c r="X525" s="541" t="s">
        <v>1018</v>
      </c>
      <c r="Y525" s="541"/>
      <c r="Z525" s="541"/>
      <c r="AA525" s="541"/>
      <c r="AB525" s="541"/>
      <c r="AC525" s="541"/>
      <c r="AD525" s="288" t="s">
        <v>347</v>
      </c>
      <c r="AE525" s="541"/>
      <c r="AF525" s="448"/>
      <c r="AG525" s="542" t="s">
        <v>1200</v>
      </c>
      <c r="AH525" s="448"/>
      <c r="AI525" s="551" t="s">
        <v>1201</v>
      </c>
      <c r="AJ525" s="448"/>
      <c r="AK525" s="345" t="s">
        <v>1203</v>
      </c>
      <c r="AL525" s="345" t="s">
        <v>1207</v>
      </c>
      <c r="AM525" s="345" t="s">
        <v>1208</v>
      </c>
      <c r="AN525" s="345" t="s">
        <v>1209</v>
      </c>
      <c r="AO525" s="448"/>
      <c r="AP525" s="448"/>
      <c r="AQ525" s="345" t="s">
        <v>1210</v>
      </c>
      <c r="AR525" s="345" t="s">
        <v>1211</v>
      </c>
      <c r="AS525" s="345"/>
      <c r="AT525" s="448"/>
      <c r="AU525" s="448"/>
      <c r="AV525" s="448"/>
      <c r="AW525" s="448"/>
      <c r="AX525" s="345" t="s">
        <v>1018</v>
      </c>
      <c r="AY525" s="448"/>
      <c r="AZ525" s="499">
        <v>1</v>
      </c>
      <c r="BA525" s="448"/>
      <c r="BB525" s="448"/>
      <c r="BC525" s="448"/>
      <c r="BD525" s="448"/>
      <c r="BE525" s="448"/>
      <c r="BF525" s="448"/>
      <c r="BG525" s="448"/>
      <c r="BH525" s="345" t="s">
        <v>1018</v>
      </c>
      <c r="BI525" s="499"/>
      <c r="BJ525" s="499"/>
      <c r="BK525" s="345" t="s">
        <v>1018</v>
      </c>
      <c r="BL525" s="499"/>
      <c r="BM525" s="499"/>
      <c r="BN525" s="499"/>
      <c r="BO525" s="575">
        <f t="shared" si="4"/>
        <v>100</v>
      </c>
      <c r="BP525" s="575">
        <f t="shared" si="4"/>
        <v>10</v>
      </c>
      <c r="BQ525" s="575"/>
      <c r="BR525" s="575"/>
      <c r="BS525" s="575"/>
    </row>
    <row r="526" spans="1:71" ht="14.5" customHeight="1" outlineLevel="1" x14ac:dyDescent="0.35">
      <c r="A526" s="579" t="str">
        <f t="shared" si="3"/>
        <v>Paquete Mi Negocio Netflix (Netflix 4 dispositivos)No Residencial</v>
      </c>
      <c r="B526" s="129">
        <v>55</v>
      </c>
      <c r="C526" s="434" t="s">
        <v>1083</v>
      </c>
      <c r="D526" s="340" t="s">
        <v>242</v>
      </c>
      <c r="E526" s="340" t="s">
        <v>243</v>
      </c>
      <c r="F526" s="506">
        <v>696.81</v>
      </c>
      <c r="G526" s="506">
        <v>819</v>
      </c>
      <c r="H526" s="288">
        <v>2</v>
      </c>
      <c r="I526" s="288" t="s">
        <v>355</v>
      </c>
      <c r="J526" s="288" t="s">
        <v>355</v>
      </c>
      <c r="K526" s="288" t="s">
        <v>356</v>
      </c>
      <c r="L526" s="288" t="s">
        <v>356</v>
      </c>
      <c r="M526" s="288">
        <v>5</v>
      </c>
      <c r="N526" s="288" t="s">
        <v>911</v>
      </c>
      <c r="O526" s="288" t="s">
        <v>351</v>
      </c>
      <c r="P526" s="288" t="s">
        <v>346</v>
      </c>
      <c r="Q526" s="501" t="s">
        <v>1018</v>
      </c>
      <c r="R526" s="345"/>
      <c r="S526" s="345"/>
      <c r="T526" s="345"/>
      <c r="U526" s="345">
        <v>4</v>
      </c>
      <c r="V526" s="345" t="s">
        <v>974</v>
      </c>
      <c r="W526" s="541"/>
      <c r="X526" s="541" t="s">
        <v>1018</v>
      </c>
      <c r="Y526" s="541"/>
      <c r="Z526" s="541"/>
      <c r="AA526" s="541"/>
      <c r="AB526" s="541"/>
      <c r="AC526" s="541"/>
      <c r="AD526" s="288" t="s">
        <v>347</v>
      </c>
      <c r="AE526" s="541"/>
      <c r="AF526" s="448"/>
      <c r="AG526" s="542" t="s">
        <v>1200</v>
      </c>
      <c r="AH526" s="448"/>
      <c r="AI526" s="551" t="s">
        <v>1201</v>
      </c>
      <c r="AJ526" s="448"/>
      <c r="AK526" s="345" t="s">
        <v>1203</v>
      </c>
      <c r="AL526" s="345" t="s">
        <v>1207</v>
      </c>
      <c r="AM526" s="345" t="s">
        <v>1208</v>
      </c>
      <c r="AN526" s="345" t="s">
        <v>1209</v>
      </c>
      <c r="AO526" s="448"/>
      <c r="AP526" s="448"/>
      <c r="AQ526" s="345" t="s">
        <v>1210</v>
      </c>
      <c r="AR526" s="345" t="s">
        <v>1211</v>
      </c>
      <c r="AS526" s="345"/>
      <c r="AT526" s="448"/>
      <c r="AU526" s="448"/>
      <c r="AV526" s="448"/>
      <c r="AW526" s="448"/>
      <c r="AX526" s="345" t="s">
        <v>1018</v>
      </c>
      <c r="AY526" s="448"/>
      <c r="AZ526" s="448"/>
      <c r="BA526" s="499">
        <v>1</v>
      </c>
      <c r="BB526" s="448"/>
      <c r="BC526" s="448"/>
      <c r="BD526" s="448"/>
      <c r="BE526" s="448"/>
      <c r="BF526" s="448"/>
      <c r="BG526" s="448"/>
      <c r="BH526" s="345" t="s">
        <v>1018</v>
      </c>
      <c r="BI526" s="499"/>
      <c r="BJ526" s="499"/>
      <c r="BK526" s="345" t="s">
        <v>1018</v>
      </c>
      <c r="BL526" s="499"/>
      <c r="BM526" s="499"/>
      <c r="BN526" s="499"/>
      <c r="BO526" s="575">
        <f t="shared" si="4"/>
        <v>100</v>
      </c>
      <c r="BP526" s="575">
        <f t="shared" si="4"/>
        <v>10</v>
      </c>
      <c r="BQ526" s="575"/>
      <c r="BR526" s="575"/>
      <c r="BS526" s="575"/>
    </row>
    <row r="527" spans="1:71" ht="14.5" customHeight="1" outlineLevel="1" x14ac:dyDescent="0.35">
      <c r="A527" s="579" t="str">
        <f t="shared" si="3"/>
        <v>Paquete Supernegocio Netflix (Netflix 2 dispositivos)No Residencial</v>
      </c>
      <c r="B527" s="129">
        <v>56</v>
      </c>
      <c r="C527" s="434" t="s">
        <v>1084</v>
      </c>
      <c r="D527" s="340" t="s">
        <v>242</v>
      </c>
      <c r="E527" s="340" t="s">
        <v>243</v>
      </c>
      <c r="F527" s="506">
        <v>838.93</v>
      </c>
      <c r="G527" s="506">
        <v>989</v>
      </c>
      <c r="H527" s="288">
        <v>2</v>
      </c>
      <c r="I527" s="288" t="s">
        <v>355</v>
      </c>
      <c r="J527" s="288" t="s">
        <v>356</v>
      </c>
      <c r="K527" s="288" t="s">
        <v>356</v>
      </c>
      <c r="L527" s="288" t="s">
        <v>356</v>
      </c>
      <c r="M527" s="288">
        <v>5</v>
      </c>
      <c r="N527" s="288" t="s">
        <v>911</v>
      </c>
      <c r="O527" s="288" t="s">
        <v>359</v>
      </c>
      <c r="P527" s="288" t="s">
        <v>353</v>
      </c>
      <c r="Q527" s="501" t="s">
        <v>1018</v>
      </c>
      <c r="R527" s="345"/>
      <c r="S527" s="345"/>
      <c r="T527" s="345"/>
      <c r="U527" s="345">
        <v>2</v>
      </c>
      <c r="V527" s="345" t="s">
        <v>974</v>
      </c>
      <c r="W527" s="541"/>
      <c r="X527" s="541" t="s">
        <v>1018</v>
      </c>
      <c r="Y527" s="541"/>
      <c r="Z527" s="541"/>
      <c r="AA527" s="541"/>
      <c r="AB527" s="541"/>
      <c r="AC527" s="541"/>
      <c r="AD527" s="288" t="s">
        <v>347</v>
      </c>
      <c r="AE527" s="541"/>
      <c r="AF527" s="448"/>
      <c r="AG527" s="542" t="s">
        <v>1200</v>
      </c>
      <c r="AH527" s="448"/>
      <c r="AI527" s="551" t="s">
        <v>1201</v>
      </c>
      <c r="AJ527" s="448"/>
      <c r="AK527" s="345" t="s">
        <v>1203</v>
      </c>
      <c r="AL527" s="345" t="s">
        <v>1207</v>
      </c>
      <c r="AM527" s="345" t="s">
        <v>1208</v>
      </c>
      <c r="AN527" s="345" t="s">
        <v>1209</v>
      </c>
      <c r="AO527" s="448"/>
      <c r="AP527" s="345" t="s">
        <v>1212</v>
      </c>
      <c r="AQ527" s="345" t="s">
        <v>1210</v>
      </c>
      <c r="AR527" s="345" t="s">
        <v>1211</v>
      </c>
      <c r="AS527" s="345"/>
      <c r="AT527" s="448"/>
      <c r="AU527" s="448"/>
      <c r="AV527" s="448"/>
      <c r="AW527" s="448"/>
      <c r="AX527" s="345" t="s">
        <v>1018</v>
      </c>
      <c r="AY527" s="448"/>
      <c r="AZ527" s="499">
        <v>1</v>
      </c>
      <c r="BA527" s="448"/>
      <c r="BB527" s="448"/>
      <c r="BC527" s="448"/>
      <c r="BD527" s="448"/>
      <c r="BE527" s="448"/>
      <c r="BF527" s="448"/>
      <c r="BG527" s="448"/>
      <c r="BH527" s="345" t="s">
        <v>1018</v>
      </c>
      <c r="BI527" s="499"/>
      <c r="BJ527" s="499"/>
      <c r="BK527" s="345" t="s">
        <v>1018</v>
      </c>
      <c r="BL527" s="499"/>
      <c r="BM527" s="499"/>
      <c r="BN527" s="499"/>
      <c r="BO527" s="575">
        <f t="shared" si="4"/>
        <v>200</v>
      </c>
      <c r="BP527" s="575">
        <f t="shared" si="4"/>
        <v>20</v>
      </c>
      <c r="BQ527" s="575"/>
      <c r="BR527" s="575"/>
      <c r="BS527" s="575"/>
    </row>
    <row r="528" spans="1:71" ht="14.5" outlineLevel="1" x14ac:dyDescent="0.35">
      <c r="A528" s="579" t="str">
        <f t="shared" si="3"/>
        <v>Paquete Supernegocio Netflix (Netflix 4 dispositivos)No Residencial</v>
      </c>
      <c r="B528" s="129">
        <v>57</v>
      </c>
      <c r="C528" s="434" t="s">
        <v>1085</v>
      </c>
      <c r="D528" s="340" t="s">
        <v>242</v>
      </c>
      <c r="E528" s="340" t="s">
        <v>243</v>
      </c>
      <c r="F528" s="506">
        <v>889.31999999999994</v>
      </c>
      <c r="G528" s="506">
        <v>1047</v>
      </c>
      <c r="H528" s="288">
        <v>2</v>
      </c>
      <c r="I528" s="288" t="s">
        <v>355</v>
      </c>
      <c r="J528" s="288" t="s">
        <v>356</v>
      </c>
      <c r="K528" s="288" t="s">
        <v>356</v>
      </c>
      <c r="L528" s="288" t="s">
        <v>356</v>
      </c>
      <c r="M528" s="288">
        <v>5</v>
      </c>
      <c r="N528" s="288" t="s">
        <v>911</v>
      </c>
      <c r="O528" s="288" t="s">
        <v>359</v>
      </c>
      <c r="P528" s="288" t="s">
        <v>353</v>
      </c>
      <c r="Q528" s="501" t="s">
        <v>1018</v>
      </c>
      <c r="R528" s="345"/>
      <c r="S528" s="345"/>
      <c r="T528" s="345"/>
      <c r="U528" s="345">
        <v>4</v>
      </c>
      <c r="V528" s="345" t="s">
        <v>974</v>
      </c>
      <c r="W528" s="541"/>
      <c r="X528" s="541" t="s">
        <v>1018</v>
      </c>
      <c r="Y528" s="541"/>
      <c r="Z528" s="541"/>
      <c r="AA528" s="541"/>
      <c r="AB528" s="541"/>
      <c r="AC528" s="541"/>
      <c r="AD528" s="288" t="s">
        <v>347</v>
      </c>
      <c r="AE528" s="541"/>
      <c r="AF528" s="448"/>
      <c r="AG528" s="542" t="s">
        <v>1200</v>
      </c>
      <c r="AH528" s="448"/>
      <c r="AI528" s="551" t="s">
        <v>1201</v>
      </c>
      <c r="AJ528" s="448"/>
      <c r="AK528" s="345" t="s">
        <v>1203</v>
      </c>
      <c r="AL528" s="345" t="s">
        <v>1207</v>
      </c>
      <c r="AM528" s="345" t="s">
        <v>1208</v>
      </c>
      <c r="AN528" s="345" t="s">
        <v>1209</v>
      </c>
      <c r="AO528" s="448"/>
      <c r="AP528" s="345" t="s">
        <v>1212</v>
      </c>
      <c r="AQ528" s="345" t="s">
        <v>1210</v>
      </c>
      <c r="AR528" s="345" t="s">
        <v>1211</v>
      </c>
      <c r="AS528" s="345"/>
      <c r="AT528" s="448"/>
      <c r="AU528" s="448"/>
      <c r="AV528" s="448"/>
      <c r="AW528" s="448"/>
      <c r="AX528" s="345" t="s">
        <v>1018</v>
      </c>
      <c r="AY528" s="448"/>
      <c r="AZ528" s="448"/>
      <c r="BA528" s="499">
        <v>1</v>
      </c>
      <c r="BB528" s="448"/>
      <c r="BC528" s="448"/>
      <c r="BD528" s="448"/>
      <c r="BE528" s="448"/>
      <c r="BF528" s="448"/>
      <c r="BG528" s="448"/>
      <c r="BH528" s="345" t="s">
        <v>1018</v>
      </c>
      <c r="BI528" s="499"/>
      <c r="BJ528" s="499"/>
      <c r="BK528" s="345" t="s">
        <v>1018</v>
      </c>
      <c r="BL528" s="499"/>
      <c r="BM528" s="499"/>
      <c r="BN528" s="499"/>
      <c r="BO528" s="575">
        <f t="shared" si="4"/>
        <v>200</v>
      </c>
      <c r="BP528" s="575">
        <f t="shared" si="4"/>
        <v>20</v>
      </c>
      <c r="BQ528" s="575"/>
      <c r="BR528" s="575"/>
      <c r="BS528" s="575"/>
    </row>
    <row r="529" spans="1:71" ht="14.5" outlineLevel="1" x14ac:dyDescent="0.35">
      <c r="A529" s="579" t="str">
        <f t="shared" si="3"/>
        <v>Infinitum Netflix Negocio 50 (Netflix 1 dispositivo)No Residencial</v>
      </c>
      <c r="B529" s="129">
        <v>58</v>
      </c>
      <c r="C529" s="434" t="s">
        <v>1086</v>
      </c>
      <c r="D529" s="340" t="s">
        <v>242</v>
      </c>
      <c r="E529" s="340" t="s">
        <v>241</v>
      </c>
      <c r="F529" s="506">
        <v>404.31</v>
      </c>
      <c r="G529" s="506">
        <v>469</v>
      </c>
      <c r="H529" s="541"/>
      <c r="I529" s="541"/>
      <c r="J529" s="541"/>
      <c r="K529" s="541"/>
      <c r="L529" s="541"/>
      <c r="M529" s="541"/>
      <c r="N529" s="541"/>
      <c r="O529" s="288" t="s">
        <v>354</v>
      </c>
      <c r="P529" s="288" t="s">
        <v>360</v>
      </c>
      <c r="Q529" s="501" t="s">
        <v>1018</v>
      </c>
      <c r="R529" s="345"/>
      <c r="S529" s="345"/>
      <c r="T529" s="345"/>
      <c r="U529" s="345">
        <v>1</v>
      </c>
      <c r="V529" s="345" t="s">
        <v>974</v>
      </c>
      <c r="W529" s="541"/>
      <c r="X529" s="541" t="s">
        <v>1018</v>
      </c>
      <c r="Y529" s="541"/>
      <c r="Z529" s="541"/>
      <c r="AA529" s="541"/>
      <c r="AB529" s="541"/>
      <c r="AC529" s="541"/>
      <c r="AD529" s="288" t="s">
        <v>347</v>
      </c>
      <c r="AE529" s="541"/>
      <c r="AF529" s="448"/>
      <c r="AG529" s="542" t="s">
        <v>1200</v>
      </c>
      <c r="AH529" s="448"/>
      <c r="AI529" s="551" t="s">
        <v>1201</v>
      </c>
      <c r="AJ529" s="448"/>
      <c r="AK529" s="345" t="s">
        <v>1203</v>
      </c>
      <c r="AL529" s="448"/>
      <c r="AM529" s="448"/>
      <c r="AN529" s="448"/>
      <c r="AO529" s="448"/>
      <c r="AP529" s="448"/>
      <c r="AQ529" s="448"/>
      <c r="AR529" s="448"/>
      <c r="AS529" s="345"/>
      <c r="AT529" s="448"/>
      <c r="AU529" s="448"/>
      <c r="AV529" s="448"/>
      <c r="AW529" s="448"/>
      <c r="AX529" s="345" t="s">
        <v>1018</v>
      </c>
      <c r="AY529" s="499">
        <v>1</v>
      </c>
      <c r="AZ529" s="448"/>
      <c r="BA529" s="448"/>
      <c r="BB529" s="448"/>
      <c r="BC529" s="448"/>
      <c r="BD529" s="448"/>
      <c r="BE529" s="448"/>
      <c r="BF529" s="448"/>
      <c r="BG529" s="448"/>
      <c r="BH529" s="345" t="s">
        <v>1018</v>
      </c>
      <c r="BI529" s="499"/>
      <c r="BJ529" s="499"/>
      <c r="BK529" s="345" t="s">
        <v>1018</v>
      </c>
      <c r="BL529" s="499"/>
      <c r="BM529" s="499"/>
      <c r="BN529" s="499"/>
      <c r="BO529" s="575">
        <f t="shared" si="4"/>
        <v>50</v>
      </c>
      <c r="BP529" s="575">
        <f t="shared" si="4"/>
        <v>5</v>
      </c>
      <c r="BQ529" s="575"/>
      <c r="BR529" s="575"/>
      <c r="BS529" s="575"/>
    </row>
    <row r="530" spans="1:71" ht="14.5" x14ac:dyDescent="0.35">
      <c r="A530" s="579" t="str">
        <f t="shared" si="3"/>
        <v>Infinitum Netflix Negocio 50 (Netflix 2 dispositivos)No Residencial</v>
      </c>
      <c r="B530" s="129">
        <v>59</v>
      </c>
      <c r="C530" s="434" t="s">
        <v>1087</v>
      </c>
      <c r="D530" s="340" t="s">
        <v>242</v>
      </c>
      <c r="E530" s="340" t="s">
        <v>241</v>
      </c>
      <c r="F530" s="506">
        <v>473.27</v>
      </c>
      <c r="G530" s="506">
        <v>549</v>
      </c>
      <c r="H530" s="541"/>
      <c r="I530" s="541"/>
      <c r="J530" s="541"/>
      <c r="K530" s="541"/>
      <c r="L530" s="541"/>
      <c r="M530" s="541"/>
      <c r="N530" s="541"/>
      <c r="O530" s="288" t="s">
        <v>354</v>
      </c>
      <c r="P530" s="288" t="s">
        <v>360</v>
      </c>
      <c r="Q530" s="501" t="s">
        <v>1018</v>
      </c>
      <c r="R530" s="345"/>
      <c r="S530" s="345"/>
      <c r="T530" s="345"/>
      <c r="U530" s="345">
        <v>2</v>
      </c>
      <c r="V530" s="345" t="s">
        <v>974</v>
      </c>
      <c r="W530" s="541"/>
      <c r="X530" s="541" t="s">
        <v>1018</v>
      </c>
      <c r="Y530" s="541"/>
      <c r="Z530" s="541"/>
      <c r="AA530" s="541"/>
      <c r="AB530" s="541"/>
      <c r="AC530" s="541"/>
      <c r="AD530" s="288" t="s">
        <v>347</v>
      </c>
      <c r="AE530" s="541"/>
      <c r="AF530" s="448"/>
      <c r="AG530" s="542" t="s">
        <v>1200</v>
      </c>
      <c r="AH530" s="448"/>
      <c r="AI530" s="551" t="s">
        <v>1201</v>
      </c>
      <c r="AJ530" s="448"/>
      <c r="AK530" s="345" t="s">
        <v>1203</v>
      </c>
      <c r="AL530" s="448"/>
      <c r="AM530" s="448"/>
      <c r="AN530" s="448"/>
      <c r="AO530" s="448"/>
      <c r="AP530" s="448"/>
      <c r="AQ530" s="448"/>
      <c r="AR530" s="448"/>
      <c r="AS530" s="345"/>
      <c r="AT530" s="448"/>
      <c r="AU530" s="448"/>
      <c r="AV530" s="448"/>
      <c r="AW530" s="448"/>
      <c r="AX530" s="345" t="s">
        <v>1018</v>
      </c>
      <c r="AY530" s="448"/>
      <c r="AZ530" s="499">
        <v>1</v>
      </c>
      <c r="BA530" s="448"/>
      <c r="BB530" s="448"/>
      <c r="BC530" s="448"/>
      <c r="BD530" s="448"/>
      <c r="BE530" s="448"/>
      <c r="BF530" s="448"/>
      <c r="BG530" s="448"/>
      <c r="BH530" s="345" t="s">
        <v>1018</v>
      </c>
      <c r="BI530" s="499"/>
      <c r="BJ530" s="499"/>
      <c r="BK530" s="345" t="s">
        <v>1018</v>
      </c>
      <c r="BL530" s="499"/>
      <c r="BM530" s="499"/>
      <c r="BN530" s="499"/>
      <c r="BO530" s="575">
        <f t="shared" si="4"/>
        <v>50</v>
      </c>
      <c r="BP530" s="575">
        <f t="shared" si="4"/>
        <v>5</v>
      </c>
      <c r="BQ530" s="575"/>
      <c r="BR530" s="575"/>
      <c r="BS530" s="575"/>
    </row>
    <row r="531" spans="1:71" ht="14.5" x14ac:dyDescent="0.35">
      <c r="A531" s="579" t="str">
        <f t="shared" si="3"/>
        <v>Infinitum Netflix Negocio 50 (Netflix 4 dispositivos)No Residencial</v>
      </c>
      <c r="B531" s="129">
        <v>60</v>
      </c>
      <c r="C531" s="434" t="s">
        <v>1088</v>
      </c>
      <c r="D531" s="340" t="s">
        <v>242</v>
      </c>
      <c r="E531" s="340" t="s">
        <v>241</v>
      </c>
      <c r="F531" s="506">
        <v>542.24</v>
      </c>
      <c r="G531" s="506">
        <v>629</v>
      </c>
      <c r="H531" s="541"/>
      <c r="I531" s="541"/>
      <c r="J531" s="541"/>
      <c r="K531" s="541"/>
      <c r="L531" s="541"/>
      <c r="M531" s="541"/>
      <c r="N531" s="541"/>
      <c r="O531" s="288" t="s">
        <v>354</v>
      </c>
      <c r="P531" s="288" t="s">
        <v>360</v>
      </c>
      <c r="Q531" s="501" t="s">
        <v>1018</v>
      </c>
      <c r="R531" s="345"/>
      <c r="S531" s="345"/>
      <c r="T531" s="345"/>
      <c r="U531" s="345">
        <v>4</v>
      </c>
      <c r="V531" s="345" t="s">
        <v>974</v>
      </c>
      <c r="W531" s="541"/>
      <c r="X531" s="541" t="s">
        <v>1018</v>
      </c>
      <c r="Y531" s="541"/>
      <c r="Z531" s="541"/>
      <c r="AA531" s="541"/>
      <c r="AB531" s="541"/>
      <c r="AC531" s="541"/>
      <c r="AD531" s="288" t="s">
        <v>347</v>
      </c>
      <c r="AE531" s="541"/>
      <c r="AF531" s="448"/>
      <c r="AG531" s="542" t="s">
        <v>1200</v>
      </c>
      <c r="AH531" s="448"/>
      <c r="AI531" s="551" t="s">
        <v>1201</v>
      </c>
      <c r="AJ531" s="448"/>
      <c r="AK531" s="345" t="s">
        <v>1203</v>
      </c>
      <c r="AL531" s="448"/>
      <c r="AM531" s="448"/>
      <c r="AN531" s="448"/>
      <c r="AO531" s="448"/>
      <c r="AP531" s="448"/>
      <c r="AQ531" s="448"/>
      <c r="AR531" s="448"/>
      <c r="AS531" s="345"/>
      <c r="AT531" s="448"/>
      <c r="AU531" s="448"/>
      <c r="AV531" s="448"/>
      <c r="AW531" s="448"/>
      <c r="AX531" s="345" t="s">
        <v>1018</v>
      </c>
      <c r="AY531" s="448"/>
      <c r="AZ531" s="448"/>
      <c r="BA531" s="499">
        <v>1</v>
      </c>
      <c r="BB531" s="448"/>
      <c r="BC531" s="448"/>
      <c r="BD531" s="448"/>
      <c r="BE531" s="448"/>
      <c r="BF531" s="448"/>
      <c r="BG531" s="448"/>
      <c r="BH531" s="345" t="s">
        <v>1018</v>
      </c>
      <c r="BI531" s="499"/>
      <c r="BJ531" s="499"/>
      <c r="BK531" s="345" t="s">
        <v>1018</v>
      </c>
      <c r="BL531" s="499"/>
      <c r="BM531" s="499"/>
      <c r="BN531" s="499"/>
      <c r="BO531" s="575">
        <f t="shared" si="4"/>
        <v>50</v>
      </c>
      <c r="BP531" s="575">
        <f t="shared" si="4"/>
        <v>5</v>
      </c>
      <c r="BQ531" s="575"/>
      <c r="BR531" s="575"/>
      <c r="BS531" s="575"/>
    </row>
    <row r="532" spans="1:71" ht="14.5" x14ac:dyDescent="0.35">
      <c r="A532" s="579" t="str">
        <f t="shared" si="3"/>
        <v>Infinitum Netflix Negocio 60 (Netflix 2 dispositivos)No Residencial</v>
      </c>
      <c r="B532" s="129">
        <v>61</v>
      </c>
      <c r="C532" s="434" t="s">
        <v>1089</v>
      </c>
      <c r="D532" s="340" t="s">
        <v>242</v>
      </c>
      <c r="E532" s="340" t="s">
        <v>241</v>
      </c>
      <c r="F532" s="506">
        <v>511.2</v>
      </c>
      <c r="G532" s="506">
        <v>593</v>
      </c>
      <c r="H532" s="541"/>
      <c r="I532" s="541"/>
      <c r="J532" s="541"/>
      <c r="K532" s="541"/>
      <c r="L532" s="541"/>
      <c r="M532" s="541"/>
      <c r="N532" s="541"/>
      <c r="O532" s="288" t="s">
        <v>813</v>
      </c>
      <c r="P532" s="288" t="s">
        <v>360</v>
      </c>
      <c r="Q532" s="501" t="s">
        <v>1018</v>
      </c>
      <c r="R532" s="345"/>
      <c r="S532" s="345"/>
      <c r="T532" s="345"/>
      <c r="U532" s="345">
        <v>2</v>
      </c>
      <c r="V532" s="345" t="s">
        <v>974</v>
      </c>
      <c r="W532" s="541"/>
      <c r="X532" s="541" t="s">
        <v>1018</v>
      </c>
      <c r="Y532" s="541"/>
      <c r="Z532" s="541"/>
      <c r="AA532" s="541"/>
      <c r="AB532" s="541"/>
      <c r="AC532" s="541"/>
      <c r="AD532" s="288" t="s">
        <v>347</v>
      </c>
      <c r="AE532" s="541"/>
      <c r="AF532" s="448"/>
      <c r="AG532" s="542" t="s">
        <v>1200</v>
      </c>
      <c r="AH532" s="448"/>
      <c r="AI532" s="551" t="s">
        <v>1201</v>
      </c>
      <c r="AJ532" s="448"/>
      <c r="AK532" s="345" t="s">
        <v>1203</v>
      </c>
      <c r="AL532" s="448"/>
      <c r="AM532" s="448"/>
      <c r="AN532" s="448"/>
      <c r="AO532" s="448"/>
      <c r="AP532" s="448"/>
      <c r="AQ532" s="448"/>
      <c r="AR532" s="448"/>
      <c r="AS532" s="345"/>
      <c r="AT532" s="448"/>
      <c r="AU532" s="448"/>
      <c r="AV532" s="448"/>
      <c r="AW532" s="448"/>
      <c r="AX532" s="345" t="s">
        <v>1018</v>
      </c>
      <c r="AY532" s="448"/>
      <c r="AZ532" s="499">
        <v>1</v>
      </c>
      <c r="BA532" s="448"/>
      <c r="BB532" s="448"/>
      <c r="BC532" s="448"/>
      <c r="BD532" s="448"/>
      <c r="BE532" s="448"/>
      <c r="BF532" s="448"/>
      <c r="BG532" s="448"/>
      <c r="BH532" s="345" t="s">
        <v>1018</v>
      </c>
      <c r="BI532" s="499"/>
      <c r="BJ532" s="499"/>
      <c r="BK532" s="345" t="s">
        <v>1018</v>
      </c>
      <c r="BL532" s="499"/>
      <c r="BM532" s="499"/>
      <c r="BN532" s="499"/>
      <c r="BO532" s="575">
        <f t="shared" si="4"/>
        <v>60</v>
      </c>
      <c r="BP532" s="575">
        <f t="shared" si="4"/>
        <v>5</v>
      </c>
      <c r="BQ532" s="575"/>
      <c r="BR532" s="575"/>
      <c r="BS532" s="575"/>
    </row>
    <row r="533" spans="1:71" ht="14.5" x14ac:dyDescent="0.35">
      <c r="A533" s="579" t="str">
        <f t="shared" si="3"/>
        <v>Infinitum Netflix Negocio 60 (Netflix 4 dispositivos)No Residencial</v>
      </c>
      <c r="B533" s="129">
        <v>62</v>
      </c>
      <c r="C533" s="434" t="s">
        <v>1090</v>
      </c>
      <c r="D533" s="340" t="s">
        <v>242</v>
      </c>
      <c r="E533" s="340" t="s">
        <v>241</v>
      </c>
      <c r="F533" s="506">
        <v>580.17000000000007</v>
      </c>
      <c r="G533" s="506">
        <v>673</v>
      </c>
      <c r="H533" s="541"/>
      <c r="I533" s="541"/>
      <c r="J533" s="541"/>
      <c r="K533" s="541"/>
      <c r="L533" s="541"/>
      <c r="M533" s="541"/>
      <c r="N533" s="541"/>
      <c r="O533" s="288" t="s">
        <v>813</v>
      </c>
      <c r="P533" s="288" t="s">
        <v>360</v>
      </c>
      <c r="Q533" s="501" t="s">
        <v>1018</v>
      </c>
      <c r="R533" s="345"/>
      <c r="S533" s="345"/>
      <c r="T533" s="345"/>
      <c r="U533" s="345">
        <v>4</v>
      </c>
      <c r="V533" s="345" t="s">
        <v>974</v>
      </c>
      <c r="W533" s="541"/>
      <c r="X533" s="541" t="s">
        <v>1018</v>
      </c>
      <c r="Y533" s="541"/>
      <c r="Z533" s="541"/>
      <c r="AA533" s="541"/>
      <c r="AB533" s="541"/>
      <c r="AC533" s="541"/>
      <c r="AD533" s="288" t="s">
        <v>347</v>
      </c>
      <c r="AE533" s="541"/>
      <c r="AF533" s="448"/>
      <c r="AG533" s="542" t="s">
        <v>1200</v>
      </c>
      <c r="AH533" s="448"/>
      <c r="AI533" s="551" t="s">
        <v>1201</v>
      </c>
      <c r="AJ533" s="448"/>
      <c r="AK533" s="345" t="s">
        <v>1203</v>
      </c>
      <c r="AL533" s="448"/>
      <c r="AM533" s="448"/>
      <c r="AN533" s="448"/>
      <c r="AO533" s="448"/>
      <c r="AP533" s="448"/>
      <c r="AQ533" s="448"/>
      <c r="AR533" s="448"/>
      <c r="AS533" s="345"/>
      <c r="AT533" s="448"/>
      <c r="AU533" s="448"/>
      <c r="AV533" s="448"/>
      <c r="AW533" s="448"/>
      <c r="AX533" s="345" t="s">
        <v>1018</v>
      </c>
      <c r="AY533" s="448"/>
      <c r="AZ533" s="448"/>
      <c r="BA533" s="499">
        <v>1</v>
      </c>
      <c r="BB533" s="448"/>
      <c r="BC533" s="448"/>
      <c r="BD533" s="448"/>
      <c r="BE533" s="448"/>
      <c r="BF533" s="448"/>
      <c r="BG533" s="448"/>
      <c r="BH533" s="345" t="s">
        <v>1018</v>
      </c>
      <c r="BI533" s="499"/>
      <c r="BJ533" s="499"/>
      <c r="BK533" s="345" t="s">
        <v>1018</v>
      </c>
      <c r="BL533" s="499"/>
      <c r="BM533" s="499"/>
      <c r="BN533" s="499"/>
      <c r="BO533" s="575">
        <f t="shared" si="4"/>
        <v>60</v>
      </c>
      <c r="BP533" s="575">
        <f t="shared" si="4"/>
        <v>5</v>
      </c>
      <c r="BQ533" s="575"/>
      <c r="BR533" s="575"/>
      <c r="BS533" s="575"/>
    </row>
    <row r="534" spans="1:71" ht="14.5" x14ac:dyDescent="0.35">
      <c r="A534" s="579" t="str">
        <f t="shared" si="3"/>
        <v>Infinitum Netflix Negocio 200 (Netflix 4 dispositivos)No Residencial</v>
      </c>
      <c r="B534" s="129">
        <v>63</v>
      </c>
      <c r="C534" s="434" t="s">
        <v>1091</v>
      </c>
      <c r="D534" s="340" t="s">
        <v>242</v>
      </c>
      <c r="E534" s="340" t="s">
        <v>241</v>
      </c>
      <c r="F534" s="506">
        <v>687.07</v>
      </c>
      <c r="G534" s="506">
        <v>797</v>
      </c>
      <c r="H534" s="541"/>
      <c r="I534" s="541"/>
      <c r="J534" s="541"/>
      <c r="K534" s="541"/>
      <c r="L534" s="541"/>
      <c r="M534" s="541"/>
      <c r="N534" s="541"/>
      <c r="O534" s="288" t="s">
        <v>359</v>
      </c>
      <c r="P534" s="288" t="s">
        <v>353</v>
      </c>
      <c r="Q534" s="501" t="s">
        <v>1018</v>
      </c>
      <c r="R534" s="345"/>
      <c r="S534" s="345"/>
      <c r="T534" s="345"/>
      <c r="U534" s="345">
        <v>4</v>
      </c>
      <c r="V534" s="345" t="s">
        <v>974</v>
      </c>
      <c r="W534" s="541"/>
      <c r="X534" s="541" t="s">
        <v>1018</v>
      </c>
      <c r="Y534" s="541"/>
      <c r="Z534" s="541"/>
      <c r="AA534" s="541"/>
      <c r="AB534" s="541"/>
      <c r="AC534" s="541"/>
      <c r="AD534" s="288" t="s">
        <v>347</v>
      </c>
      <c r="AE534" s="541"/>
      <c r="AF534" s="448"/>
      <c r="AG534" s="542" t="s">
        <v>1200</v>
      </c>
      <c r="AH534" s="448"/>
      <c r="AI534" s="551" t="s">
        <v>1201</v>
      </c>
      <c r="AJ534" s="448"/>
      <c r="AK534" s="345" t="s">
        <v>1203</v>
      </c>
      <c r="AL534" s="448"/>
      <c r="AM534" s="448"/>
      <c r="AN534" s="448"/>
      <c r="AO534" s="448"/>
      <c r="AP534" s="448"/>
      <c r="AQ534" s="448"/>
      <c r="AR534" s="448"/>
      <c r="AS534" s="345"/>
      <c r="AT534" s="448"/>
      <c r="AU534" s="448"/>
      <c r="AV534" s="448"/>
      <c r="AW534" s="448"/>
      <c r="AX534" s="345" t="s">
        <v>1018</v>
      </c>
      <c r="AY534" s="448"/>
      <c r="AZ534" s="448"/>
      <c r="BA534" s="499">
        <v>1</v>
      </c>
      <c r="BB534" s="448"/>
      <c r="BC534" s="448"/>
      <c r="BD534" s="448"/>
      <c r="BE534" s="448"/>
      <c r="BF534" s="448"/>
      <c r="BG534" s="448"/>
      <c r="BH534" s="345" t="s">
        <v>1018</v>
      </c>
      <c r="BI534" s="499"/>
      <c r="BJ534" s="499"/>
      <c r="BK534" s="345" t="s">
        <v>1018</v>
      </c>
      <c r="BL534" s="499"/>
      <c r="BM534" s="499"/>
      <c r="BN534" s="499"/>
      <c r="BO534" s="575">
        <f t="shared" si="4"/>
        <v>200</v>
      </c>
      <c r="BP534" s="575">
        <f t="shared" si="4"/>
        <v>20</v>
      </c>
      <c r="BQ534" s="575"/>
      <c r="BR534" s="575"/>
      <c r="BS534" s="575"/>
    </row>
    <row r="535" spans="1:71" ht="14.5" x14ac:dyDescent="0.35">
      <c r="A535" s="579" t="str">
        <f t="shared" si="3"/>
        <v>Infinitum Netflix Negocio 200 (Netflix 2 dispositivos)No Residencial</v>
      </c>
      <c r="B535" s="129">
        <v>64</v>
      </c>
      <c r="C535" s="434" t="s">
        <v>1092</v>
      </c>
      <c r="D535" s="340" t="s">
        <v>242</v>
      </c>
      <c r="E535" s="340" t="s">
        <v>241</v>
      </c>
      <c r="F535" s="506">
        <v>637.06999999999994</v>
      </c>
      <c r="G535" s="506">
        <v>739</v>
      </c>
      <c r="H535" s="541"/>
      <c r="I535" s="541"/>
      <c r="J535" s="541"/>
      <c r="K535" s="541"/>
      <c r="L535" s="541"/>
      <c r="M535" s="541"/>
      <c r="N535" s="541"/>
      <c r="O535" s="288" t="s">
        <v>359</v>
      </c>
      <c r="P535" s="288" t="s">
        <v>353</v>
      </c>
      <c r="Q535" s="501" t="s">
        <v>1018</v>
      </c>
      <c r="R535" s="345"/>
      <c r="S535" s="345"/>
      <c r="T535" s="345"/>
      <c r="U535" s="345">
        <v>2</v>
      </c>
      <c r="V535" s="345" t="s">
        <v>974</v>
      </c>
      <c r="W535" s="541"/>
      <c r="X535" s="541" t="s">
        <v>1018</v>
      </c>
      <c r="Y535" s="541"/>
      <c r="Z535" s="541"/>
      <c r="AA535" s="541"/>
      <c r="AB535" s="541"/>
      <c r="AC535" s="541"/>
      <c r="AD535" s="288" t="s">
        <v>347</v>
      </c>
      <c r="AE535" s="541"/>
      <c r="AF535" s="448"/>
      <c r="AG535" s="542" t="s">
        <v>1200</v>
      </c>
      <c r="AH535" s="448"/>
      <c r="AI535" s="551" t="s">
        <v>1201</v>
      </c>
      <c r="AJ535" s="448"/>
      <c r="AK535" s="345" t="s">
        <v>1203</v>
      </c>
      <c r="AL535" s="448"/>
      <c r="AM535" s="448"/>
      <c r="AN535" s="448"/>
      <c r="AO535" s="448"/>
      <c r="AP535" s="448"/>
      <c r="AQ535" s="448"/>
      <c r="AR535" s="448"/>
      <c r="AS535" s="345"/>
      <c r="AT535" s="448"/>
      <c r="AU535" s="448"/>
      <c r="AV535" s="448"/>
      <c r="AW535" s="448"/>
      <c r="AX535" s="345" t="s">
        <v>1018</v>
      </c>
      <c r="AY535" s="448"/>
      <c r="AZ535" s="499">
        <v>1</v>
      </c>
      <c r="BA535" s="448"/>
      <c r="BB535" s="448"/>
      <c r="BC535" s="448"/>
      <c r="BD535" s="448"/>
      <c r="BE535" s="448"/>
      <c r="BF535" s="448"/>
      <c r="BG535" s="448"/>
      <c r="BH535" s="345" t="s">
        <v>1018</v>
      </c>
      <c r="BI535" s="499"/>
      <c r="BJ535" s="499"/>
      <c r="BK535" s="345" t="s">
        <v>1018</v>
      </c>
      <c r="BL535" s="499"/>
      <c r="BM535" s="499"/>
      <c r="BN535" s="499"/>
      <c r="BO535" s="575">
        <f t="shared" si="4"/>
        <v>200</v>
      </c>
      <c r="BP535" s="575">
        <f t="shared" si="4"/>
        <v>20</v>
      </c>
      <c r="BQ535" s="575"/>
      <c r="BR535" s="575"/>
      <c r="BS535" s="575"/>
    </row>
    <row r="536" spans="1:71" ht="14.5" x14ac:dyDescent="0.35">
      <c r="A536" s="579" t="str">
        <f t="shared" si="3"/>
        <v>Infinitum Netflix Negocio 500 (Netflix 4 dispositivos)No Residencial</v>
      </c>
      <c r="B536" s="129">
        <v>65</v>
      </c>
      <c r="C536" s="434" t="s">
        <v>1093</v>
      </c>
      <c r="D536" s="340" t="s">
        <v>242</v>
      </c>
      <c r="E536" s="340" t="s">
        <v>241</v>
      </c>
      <c r="F536" s="506">
        <v>964.66</v>
      </c>
      <c r="G536" s="506">
        <v>1119</v>
      </c>
      <c r="H536" s="541"/>
      <c r="I536" s="541"/>
      <c r="J536" s="541"/>
      <c r="K536" s="541"/>
      <c r="L536" s="541"/>
      <c r="M536" s="541"/>
      <c r="N536" s="541"/>
      <c r="O536" s="288" t="s">
        <v>1221</v>
      </c>
      <c r="P536" s="288" t="s">
        <v>354</v>
      </c>
      <c r="Q536" s="501" t="s">
        <v>1018</v>
      </c>
      <c r="R536" s="345"/>
      <c r="S536" s="345"/>
      <c r="T536" s="345"/>
      <c r="U536" s="345">
        <v>4</v>
      </c>
      <c r="V536" s="345" t="s">
        <v>974</v>
      </c>
      <c r="W536" s="541"/>
      <c r="X536" s="541" t="s">
        <v>1018</v>
      </c>
      <c r="Y536" s="541"/>
      <c r="Z536" s="541"/>
      <c r="AA536" s="541"/>
      <c r="AB536" s="541"/>
      <c r="AC536" s="541"/>
      <c r="AD536" s="288" t="s">
        <v>347</v>
      </c>
      <c r="AE536" s="541"/>
      <c r="AF536" s="448"/>
      <c r="AG536" s="542" t="s">
        <v>1200</v>
      </c>
      <c r="AH536" s="448"/>
      <c r="AI536" s="551" t="s">
        <v>1201</v>
      </c>
      <c r="AJ536" s="448"/>
      <c r="AK536" s="345" t="s">
        <v>1203</v>
      </c>
      <c r="AL536" s="448"/>
      <c r="AM536" s="448"/>
      <c r="AN536" s="448"/>
      <c r="AO536" s="448"/>
      <c r="AP536" s="448"/>
      <c r="AQ536" s="448"/>
      <c r="AR536" s="448"/>
      <c r="AS536" s="345"/>
      <c r="AT536" s="448"/>
      <c r="AU536" s="448"/>
      <c r="AV536" s="448"/>
      <c r="AW536" s="448"/>
      <c r="AX536" s="345" t="s">
        <v>1018</v>
      </c>
      <c r="AY536" s="448"/>
      <c r="AZ536" s="448"/>
      <c r="BA536" s="499">
        <v>1</v>
      </c>
      <c r="BB536" s="448"/>
      <c r="BC536" s="448"/>
      <c r="BD536" s="448"/>
      <c r="BE536" s="448"/>
      <c r="BF536" s="448"/>
      <c r="BG536" s="448"/>
      <c r="BH536" s="345" t="s">
        <v>1018</v>
      </c>
      <c r="BI536" s="499"/>
      <c r="BJ536" s="499"/>
      <c r="BK536" s="345" t="s">
        <v>1018</v>
      </c>
      <c r="BL536" s="499"/>
      <c r="BM536" s="499"/>
      <c r="BN536" s="499"/>
      <c r="BO536" s="575">
        <f t="shared" si="4"/>
        <v>500</v>
      </c>
      <c r="BP536" s="575">
        <f t="shared" si="4"/>
        <v>50</v>
      </c>
      <c r="BQ536" s="575"/>
      <c r="BR536" s="575"/>
      <c r="BS536" s="575"/>
    </row>
    <row r="537" spans="1:71" ht="14.5" x14ac:dyDescent="0.35">
      <c r="A537" s="579" t="str">
        <f t="shared" ref="A537:A579" si="14">C537&amp;D537</f>
        <v>Infinitum Netflix Negocio 500 (Netflix 2 dispositivos)No Residencial</v>
      </c>
      <c r="B537" s="129">
        <v>66</v>
      </c>
      <c r="C537" s="434" t="s">
        <v>1094</v>
      </c>
      <c r="D537" s="340" t="s">
        <v>242</v>
      </c>
      <c r="E537" s="340" t="s">
        <v>241</v>
      </c>
      <c r="F537" s="506">
        <v>919.81999999999994</v>
      </c>
      <c r="G537" s="506">
        <v>1067</v>
      </c>
      <c r="H537" s="541"/>
      <c r="I537" s="541"/>
      <c r="J537" s="541"/>
      <c r="K537" s="541"/>
      <c r="L537" s="541"/>
      <c r="M537" s="541"/>
      <c r="N537" s="541"/>
      <c r="O537" s="288" t="s">
        <v>1221</v>
      </c>
      <c r="P537" s="288" t="s">
        <v>354</v>
      </c>
      <c r="Q537" s="501" t="s">
        <v>1018</v>
      </c>
      <c r="R537" s="345"/>
      <c r="S537" s="345"/>
      <c r="T537" s="345"/>
      <c r="U537" s="345">
        <v>2</v>
      </c>
      <c r="V537" s="345" t="s">
        <v>974</v>
      </c>
      <c r="W537" s="541"/>
      <c r="X537" s="541" t="s">
        <v>1018</v>
      </c>
      <c r="Y537" s="541"/>
      <c r="Z537" s="541"/>
      <c r="AA537" s="541"/>
      <c r="AB537" s="541"/>
      <c r="AC537" s="541"/>
      <c r="AD537" s="288" t="s">
        <v>347</v>
      </c>
      <c r="AE537" s="541"/>
      <c r="AF537" s="448"/>
      <c r="AG537" s="542" t="s">
        <v>1200</v>
      </c>
      <c r="AH537" s="448"/>
      <c r="AI537" s="551" t="s">
        <v>1201</v>
      </c>
      <c r="AJ537" s="448"/>
      <c r="AK537" s="345" t="s">
        <v>1203</v>
      </c>
      <c r="AL537" s="448"/>
      <c r="AM537" s="448"/>
      <c r="AN537" s="448"/>
      <c r="AO537" s="448"/>
      <c r="AP537" s="448"/>
      <c r="AQ537" s="448"/>
      <c r="AR537" s="448"/>
      <c r="AS537" s="345"/>
      <c r="AT537" s="448"/>
      <c r="AU537" s="448"/>
      <c r="AV537" s="448"/>
      <c r="AW537" s="448"/>
      <c r="AX537" s="345" t="s">
        <v>1018</v>
      </c>
      <c r="AY537" s="448"/>
      <c r="AZ537" s="499">
        <v>1</v>
      </c>
      <c r="BA537" s="448"/>
      <c r="BB537" s="448"/>
      <c r="BC537" s="448"/>
      <c r="BD537" s="448"/>
      <c r="BE537" s="448"/>
      <c r="BF537" s="448"/>
      <c r="BG537" s="448"/>
      <c r="BH537" s="345" t="s">
        <v>1018</v>
      </c>
      <c r="BI537" s="499"/>
      <c r="BJ537" s="499"/>
      <c r="BK537" s="345" t="s">
        <v>1018</v>
      </c>
      <c r="BL537" s="499"/>
      <c r="BM537" s="499"/>
      <c r="BN537" s="499"/>
      <c r="BO537" s="575">
        <f t="shared" ref="BO537:BP579" si="15">LEFT(O537,FIND(" ",O537))*1</f>
        <v>500</v>
      </c>
      <c r="BP537" s="575">
        <f t="shared" si="15"/>
        <v>50</v>
      </c>
      <c r="BQ537" s="575"/>
      <c r="BR537" s="575"/>
      <c r="BS537" s="575"/>
    </row>
    <row r="538" spans="1:71" ht="14.5" x14ac:dyDescent="0.35">
      <c r="A538" s="579" t="str">
        <f t="shared" si="14"/>
        <v>Paquete Infinitum Entretenimiento 30Residencial</v>
      </c>
      <c r="B538" s="129">
        <v>67</v>
      </c>
      <c r="C538" s="434" t="s">
        <v>1095</v>
      </c>
      <c r="D538" s="340" t="s">
        <v>240</v>
      </c>
      <c r="E538" s="340" t="s">
        <v>243</v>
      </c>
      <c r="F538" s="506">
        <v>367.29</v>
      </c>
      <c r="G538" s="506">
        <v>435</v>
      </c>
      <c r="H538" s="288">
        <v>1</v>
      </c>
      <c r="I538" s="288" t="s">
        <v>355</v>
      </c>
      <c r="J538" s="288" t="s">
        <v>355</v>
      </c>
      <c r="K538" s="288" t="s">
        <v>356</v>
      </c>
      <c r="L538" s="288" t="s">
        <v>356</v>
      </c>
      <c r="M538" s="288">
        <v>5</v>
      </c>
      <c r="N538" s="288" t="s">
        <v>911</v>
      </c>
      <c r="O538" s="288" t="s">
        <v>362</v>
      </c>
      <c r="P538" s="288" t="s">
        <v>360</v>
      </c>
      <c r="Q538" s="501" t="s">
        <v>1040</v>
      </c>
      <c r="R538" s="345" t="s">
        <v>1227</v>
      </c>
      <c r="S538" s="345" t="s">
        <v>813</v>
      </c>
      <c r="T538" s="345" t="s">
        <v>360</v>
      </c>
      <c r="U538" s="541"/>
      <c r="V538" s="541"/>
      <c r="W538" s="345"/>
      <c r="X538" s="345" t="s">
        <v>1019</v>
      </c>
      <c r="Y538" s="288" t="s">
        <v>910</v>
      </c>
      <c r="Z538" s="288" t="s">
        <v>349</v>
      </c>
      <c r="AA538" s="541"/>
      <c r="AB538" s="541"/>
      <c r="AC538" s="541"/>
      <c r="AD538" s="288" t="s">
        <v>347</v>
      </c>
      <c r="AE538" s="541"/>
      <c r="AF538" s="288" t="s">
        <v>812</v>
      </c>
      <c r="AG538" s="288" t="s">
        <v>348</v>
      </c>
      <c r="AH538" s="345"/>
      <c r="AI538" s="288" t="s">
        <v>358</v>
      </c>
      <c r="AJ538" s="448"/>
      <c r="AK538" s="448"/>
      <c r="AL538" s="345"/>
      <c r="AM538" s="345"/>
      <c r="AN538" s="345"/>
      <c r="AO538" s="345"/>
      <c r="AP538" s="345"/>
      <c r="AQ538" s="345"/>
      <c r="AR538" s="345"/>
      <c r="AS538" s="448"/>
      <c r="AT538" s="448"/>
      <c r="AU538" s="448"/>
      <c r="AV538" s="448"/>
      <c r="AW538" s="448"/>
      <c r="AX538" s="345" t="s">
        <v>1019</v>
      </c>
      <c r="AY538" s="448"/>
      <c r="AZ538" s="448"/>
      <c r="BA538" s="448"/>
      <c r="BB538" s="499">
        <v>1</v>
      </c>
      <c r="BC538" s="499">
        <v>1</v>
      </c>
      <c r="BD538" s="499">
        <v>1</v>
      </c>
      <c r="BE538" s="499">
        <v>1</v>
      </c>
      <c r="BF538" s="448"/>
      <c r="BG538" s="448"/>
      <c r="BH538" s="345" t="s">
        <v>1018</v>
      </c>
      <c r="BI538" s="499"/>
      <c r="BJ538" s="499"/>
      <c r="BK538" s="345" t="s">
        <v>1018</v>
      </c>
      <c r="BL538" s="499"/>
      <c r="BM538" s="499"/>
      <c r="BN538" s="499"/>
      <c r="BO538" s="575">
        <f t="shared" si="15"/>
        <v>30</v>
      </c>
      <c r="BP538" s="575">
        <f t="shared" si="15"/>
        <v>5</v>
      </c>
      <c r="BQ538" s="575">
        <f t="shared" si="5"/>
        <v>6</v>
      </c>
      <c r="BR538" s="575">
        <f t="shared" ref="BR538:BR540" si="16">LEFT(S538,FIND(" ",S538))*1</f>
        <v>60</v>
      </c>
      <c r="BS538" s="575">
        <f t="shared" ref="BS538:BS540" si="17">LEFT(T538,FIND(" ",T538))*1</f>
        <v>5</v>
      </c>
    </row>
    <row r="539" spans="1:71" ht="14.5" x14ac:dyDescent="0.35">
      <c r="A539" s="579" t="str">
        <f t="shared" si="14"/>
        <v>Paquete Infinitum  Entretenimiento 40Residencial</v>
      </c>
      <c r="B539" s="129">
        <v>68</v>
      </c>
      <c r="C539" s="434" t="s">
        <v>1096</v>
      </c>
      <c r="D539" s="340" t="s">
        <v>240</v>
      </c>
      <c r="E539" s="340" t="s">
        <v>243</v>
      </c>
      <c r="F539" s="506">
        <v>388.4</v>
      </c>
      <c r="G539" s="506">
        <v>460</v>
      </c>
      <c r="H539" s="288">
        <v>1</v>
      </c>
      <c r="I539" s="288" t="s">
        <v>355</v>
      </c>
      <c r="J539" s="288" t="s">
        <v>355</v>
      </c>
      <c r="K539" s="288" t="s">
        <v>356</v>
      </c>
      <c r="L539" s="288" t="s">
        <v>356</v>
      </c>
      <c r="M539" s="288">
        <v>5</v>
      </c>
      <c r="N539" s="288" t="s">
        <v>911</v>
      </c>
      <c r="O539" s="288" t="s">
        <v>357</v>
      </c>
      <c r="P539" s="288" t="s">
        <v>912</v>
      </c>
      <c r="Q539" s="501" t="s">
        <v>1040</v>
      </c>
      <c r="R539" s="345" t="s">
        <v>1228</v>
      </c>
      <c r="S539" s="345" t="s">
        <v>1229</v>
      </c>
      <c r="T539" s="345" t="s">
        <v>360</v>
      </c>
      <c r="U539" s="541"/>
      <c r="V539" s="541"/>
      <c r="W539" s="345"/>
      <c r="X539" s="345" t="s">
        <v>1019</v>
      </c>
      <c r="Y539" s="288" t="s">
        <v>910</v>
      </c>
      <c r="Z539" s="288" t="s">
        <v>349</v>
      </c>
      <c r="AA539" s="541"/>
      <c r="AB539" s="541"/>
      <c r="AC539" s="541"/>
      <c r="AD539" s="288" t="s">
        <v>347</v>
      </c>
      <c r="AE539" s="541"/>
      <c r="AF539" s="288" t="s">
        <v>812</v>
      </c>
      <c r="AG539" s="288" t="s">
        <v>348</v>
      </c>
      <c r="AH539" s="345"/>
      <c r="AI539" s="288" t="s">
        <v>358</v>
      </c>
      <c r="AJ539" s="448"/>
      <c r="AK539" s="448"/>
      <c r="AL539" s="345"/>
      <c r="AM539" s="345"/>
      <c r="AN539" s="345"/>
      <c r="AO539" s="345"/>
      <c r="AP539" s="345"/>
      <c r="AQ539" s="345"/>
      <c r="AR539" s="345"/>
      <c r="AS539" s="448"/>
      <c r="AT539" s="448"/>
      <c r="AU539" s="448"/>
      <c r="AV539" s="448"/>
      <c r="AW539" s="448"/>
      <c r="AX539" s="345" t="s">
        <v>1019</v>
      </c>
      <c r="AY539" s="448"/>
      <c r="AZ539" s="448"/>
      <c r="BA539" s="448"/>
      <c r="BB539" s="499">
        <v>1</v>
      </c>
      <c r="BC539" s="499">
        <v>1</v>
      </c>
      <c r="BD539" s="499">
        <v>1</v>
      </c>
      <c r="BE539" s="499">
        <v>1</v>
      </c>
      <c r="BF539" s="448"/>
      <c r="BG539" s="448"/>
      <c r="BH539" s="345" t="s">
        <v>1018</v>
      </c>
      <c r="BI539" s="499"/>
      <c r="BJ539" s="499"/>
      <c r="BK539" s="345" t="s">
        <v>1018</v>
      </c>
      <c r="BL539" s="499"/>
      <c r="BM539" s="499"/>
      <c r="BN539" s="499"/>
      <c r="BO539" s="575">
        <f t="shared" si="15"/>
        <v>40</v>
      </c>
      <c r="BP539" s="575">
        <f t="shared" si="15"/>
        <v>5</v>
      </c>
      <c r="BQ539" s="575">
        <f t="shared" si="5"/>
        <v>24</v>
      </c>
      <c r="BR539" s="575">
        <f t="shared" si="16"/>
        <v>70</v>
      </c>
      <c r="BS539" s="575">
        <f t="shared" si="17"/>
        <v>5</v>
      </c>
    </row>
    <row r="540" spans="1:71" ht="14.5" x14ac:dyDescent="0.35">
      <c r="A540" s="579" t="str">
        <f t="shared" si="14"/>
        <v>Paquete Infinitum Entretenimiento 50Residencial</v>
      </c>
      <c r="B540" s="129">
        <v>69</v>
      </c>
      <c r="C540" s="434" t="s">
        <v>1097</v>
      </c>
      <c r="D540" s="340" t="s">
        <v>240</v>
      </c>
      <c r="E540" s="340" t="s">
        <v>243</v>
      </c>
      <c r="F540" s="506">
        <v>463.54</v>
      </c>
      <c r="G540" s="506">
        <v>549</v>
      </c>
      <c r="H540" s="288">
        <v>1</v>
      </c>
      <c r="I540" s="288" t="s">
        <v>355</v>
      </c>
      <c r="J540" s="288" t="s">
        <v>355</v>
      </c>
      <c r="K540" s="288" t="s">
        <v>356</v>
      </c>
      <c r="L540" s="288" t="s">
        <v>356</v>
      </c>
      <c r="M540" s="288">
        <v>5</v>
      </c>
      <c r="N540" s="288" t="s">
        <v>911</v>
      </c>
      <c r="O540" s="288" t="s">
        <v>354</v>
      </c>
      <c r="P540" s="288" t="s">
        <v>346</v>
      </c>
      <c r="Q540" s="501" t="s">
        <v>1040</v>
      </c>
      <c r="R540" s="345" t="s">
        <v>1228</v>
      </c>
      <c r="S540" s="345" t="s">
        <v>1230</v>
      </c>
      <c r="T540" s="345" t="s">
        <v>346</v>
      </c>
      <c r="U540" s="541"/>
      <c r="V540" s="541"/>
      <c r="W540" s="345"/>
      <c r="X540" s="345" t="s">
        <v>1019</v>
      </c>
      <c r="Y540" s="288" t="s">
        <v>910</v>
      </c>
      <c r="Z540" s="288" t="s">
        <v>349</v>
      </c>
      <c r="AA540" s="541"/>
      <c r="AB540" s="541"/>
      <c r="AC540" s="541"/>
      <c r="AD540" s="288" t="s">
        <v>347</v>
      </c>
      <c r="AE540" s="541"/>
      <c r="AF540" s="288" t="s">
        <v>812</v>
      </c>
      <c r="AG540" s="288" t="s">
        <v>348</v>
      </c>
      <c r="AH540" s="345"/>
      <c r="AI540" s="288" t="s">
        <v>358</v>
      </c>
      <c r="AJ540" s="448"/>
      <c r="AK540" s="448"/>
      <c r="AL540" s="345"/>
      <c r="AM540" s="345"/>
      <c r="AN540" s="345"/>
      <c r="AO540" s="345"/>
      <c r="AP540" s="345"/>
      <c r="AQ540" s="345"/>
      <c r="AR540" s="345"/>
      <c r="AS540" s="448"/>
      <c r="AT540" s="448"/>
      <c r="AU540" s="448"/>
      <c r="AV540" s="448"/>
      <c r="AW540" s="448"/>
      <c r="AX540" s="345" t="s">
        <v>1019</v>
      </c>
      <c r="AY540" s="448"/>
      <c r="AZ540" s="448"/>
      <c r="BA540" s="448"/>
      <c r="BB540" s="499">
        <v>1</v>
      </c>
      <c r="BC540" s="499">
        <v>1</v>
      </c>
      <c r="BD540" s="499">
        <v>1</v>
      </c>
      <c r="BE540" s="499">
        <v>1</v>
      </c>
      <c r="BF540" s="448"/>
      <c r="BG540" s="448"/>
      <c r="BH540" s="345" t="s">
        <v>1018</v>
      </c>
      <c r="BI540" s="499"/>
      <c r="BJ540" s="499"/>
      <c r="BK540" s="345" t="s">
        <v>1018</v>
      </c>
      <c r="BL540" s="499"/>
      <c r="BM540" s="499"/>
      <c r="BN540" s="499"/>
      <c r="BO540" s="575">
        <f t="shared" si="15"/>
        <v>50</v>
      </c>
      <c r="BP540" s="575">
        <f t="shared" si="15"/>
        <v>10</v>
      </c>
      <c r="BQ540" s="575">
        <f t="shared" si="5"/>
        <v>24</v>
      </c>
      <c r="BR540" s="575">
        <f t="shared" si="16"/>
        <v>120</v>
      </c>
      <c r="BS540" s="575">
        <f t="shared" si="17"/>
        <v>10</v>
      </c>
    </row>
    <row r="541" spans="1:71" ht="14.5" x14ac:dyDescent="0.35">
      <c r="A541" s="579" t="str">
        <f t="shared" si="14"/>
        <v>Paquete Infinitum Entretenimiento 250Residencial</v>
      </c>
      <c r="B541" s="129">
        <v>70</v>
      </c>
      <c r="C541" s="434" t="s">
        <v>1098</v>
      </c>
      <c r="D541" s="340" t="s">
        <v>240</v>
      </c>
      <c r="E541" s="340" t="s">
        <v>243</v>
      </c>
      <c r="F541" s="506">
        <v>607.08000000000004</v>
      </c>
      <c r="G541" s="506">
        <v>719</v>
      </c>
      <c r="H541" s="288">
        <v>2</v>
      </c>
      <c r="I541" s="288" t="s">
        <v>355</v>
      </c>
      <c r="J541" s="288" t="s">
        <v>355</v>
      </c>
      <c r="K541" s="288" t="s">
        <v>356</v>
      </c>
      <c r="L541" s="288" t="s">
        <v>356</v>
      </c>
      <c r="M541" s="288">
        <v>5</v>
      </c>
      <c r="N541" s="288" t="s">
        <v>911</v>
      </c>
      <c r="O541" s="288" t="s">
        <v>1231</v>
      </c>
      <c r="P541" s="288" t="s">
        <v>354</v>
      </c>
      <c r="Q541" s="501" t="s">
        <v>1018</v>
      </c>
      <c r="R541" s="345"/>
      <c r="S541" s="345"/>
      <c r="T541" s="345"/>
      <c r="U541" s="541"/>
      <c r="V541" s="541"/>
      <c r="W541" s="345"/>
      <c r="X541" s="345" t="s">
        <v>1019</v>
      </c>
      <c r="Y541" s="288" t="s">
        <v>910</v>
      </c>
      <c r="Z541" s="288" t="s">
        <v>349</v>
      </c>
      <c r="AA541" s="541"/>
      <c r="AB541" s="541"/>
      <c r="AC541" s="541"/>
      <c r="AD541" s="288" t="s">
        <v>347</v>
      </c>
      <c r="AE541" s="541"/>
      <c r="AF541" s="288" t="s">
        <v>812</v>
      </c>
      <c r="AG541" s="288" t="s">
        <v>348</v>
      </c>
      <c r="AH541" s="345"/>
      <c r="AI541" s="288" t="s">
        <v>358</v>
      </c>
      <c r="AJ541" s="448"/>
      <c r="AK541" s="448"/>
      <c r="AL541" s="345"/>
      <c r="AM541" s="345"/>
      <c r="AN541" s="345"/>
      <c r="AO541" s="345"/>
      <c r="AP541" s="345"/>
      <c r="AQ541" s="345"/>
      <c r="AR541" s="345"/>
      <c r="AS541" s="448"/>
      <c r="AT541" s="448"/>
      <c r="AU541" s="448"/>
      <c r="AV541" s="448"/>
      <c r="AW541" s="448"/>
      <c r="AX541" s="345" t="s">
        <v>1019</v>
      </c>
      <c r="AY541" s="448"/>
      <c r="AZ541" s="448"/>
      <c r="BA541" s="448"/>
      <c r="BB541" s="499">
        <v>1</v>
      </c>
      <c r="BC541" s="499">
        <v>1</v>
      </c>
      <c r="BD541" s="499">
        <v>1</v>
      </c>
      <c r="BE541" s="499">
        <v>1</v>
      </c>
      <c r="BF541" s="448"/>
      <c r="BG541" s="448"/>
      <c r="BH541" s="345" t="s">
        <v>1018</v>
      </c>
      <c r="BI541" s="499"/>
      <c r="BJ541" s="499"/>
      <c r="BK541" s="345" t="s">
        <v>1018</v>
      </c>
      <c r="BL541" s="499"/>
      <c r="BM541" s="499"/>
      <c r="BN541" s="499"/>
      <c r="BO541" s="575">
        <f t="shared" si="15"/>
        <v>250</v>
      </c>
      <c r="BP541" s="575">
        <f t="shared" si="15"/>
        <v>50</v>
      </c>
      <c r="BQ541" s="575"/>
      <c r="BR541" s="575"/>
      <c r="BS541" s="575"/>
    </row>
    <row r="542" spans="1:71" ht="14.5" x14ac:dyDescent="0.35">
      <c r="A542" s="579" t="str">
        <f t="shared" si="14"/>
        <v>Paquete Infinitum Entretenimiento 500Residencial</v>
      </c>
      <c r="B542" s="129">
        <v>71</v>
      </c>
      <c r="C542" s="434" t="s">
        <v>1099</v>
      </c>
      <c r="D542" s="340" t="s">
        <v>240</v>
      </c>
      <c r="E542" s="340" t="s">
        <v>243</v>
      </c>
      <c r="F542" s="506">
        <v>1037.69</v>
      </c>
      <c r="G542" s="506">
        <v>1229</v>
      </c>
      <c r="H542" s="288">
        <v>3</v>
      </c>
      <c r="I542" s="288" t="s">
        <v>355</v>
      </c>
      <c r="J542" s="288" t="s">
        <v>355</v>
      </c>
      <c r="K542" s="288" t="s">
        <v>356</v>
      </c>
      <c r="L542" s="288" t="s">
        <v>356</v>
      </c>
      <c r="M542" s="288">
        <v>5</v>
      </c>
      <c r="N542" s="288" t="s">
        <v>911</v>
      </c>
      <c r="O542" s="288" t="s">
        <v>1221</v>
      </c>
      <c r="P542" s="288" t="s">
        <v>354</v>
      </c>
      <c r="Q542" s="501" t="s">
        <v>1018</v>
      </c>
      <c r="R542" s="345"/>
      <c r="S542" s="345"/>
      <c r="T542" s="345"/>
      <c r="U542" s="541"/>
      <c r="V542" s="541"/>
      <c r="W542" s="345"/>
      <c r="X542" s="345" t="s">
        <v>1019</v>
      </c>
      <c r="Y542" s="288" t="s">
        <v>910</v>
      </c>
      <c r="Z542" s="288" t="s">
        <v>349</v>
      </c>
      <c r="AA542" s="541"/>
      <c r="AB542" s="541"/>
      <c r="AC542" s="541"/>
      <c r="AD542" s="288" t="s">
        <v>347</v>
      </c>
      <c r="AE542" s="541"/>
      <c r="AF542" s="288" t="s">
        <v>812</v>
      </c>
      <c r="AG542" s="288" t="s">
        <v>348</v>
      </c>
      <c r="AH542" s="345"/>
      <c r="AI542" s="288" t="s">
        <v>358</v>
      </c>
      <c r="AJ542" s="448"/>
      <c r="AK542" s="448"/>
      <c r="AL542" s="345"/>
      <c r="AM542" s="345"/>
      <c r="AN542" s="345"/>
      <c r="AO542" s="345"/>
      <c r="AP542" s="345"/>
      <c r="AQ542" s="345"/>
      <c r="AR542" s="345"/>
      <c r="AS542" s="448"/>
      <c r="AT542" s="448"/>
      <c r="AU542" s="448"/>
      <c r="AV542" s="448"/>
      <c r="AW542" s="448"/>
      <c r="AX542" s="345" t="s">
        <v>1019</v>
      </c>
      <c r="AY542" s="448"/>
      <c r="AZ542" s="448"/>
      <c r="BA542" s="448"/>
      <c r="BB542" s="499">
        <v>1</v>
      </c>
      <c r="BC542" s="499">
        <v>1</v>
      </c>
      <c r="BD542" s="499">
        <v>1</v>
      </c>
      <c r="BE542" s="499">
        <v>1</v>
      </c>
      <c r="BF542" s="448"/>
      <c r="BG542" s="448"/>
      <c r="BH542" s="345" t="s">
        <v>1018</v>
      </c>
      <c r="BI542" s="499"/>
      <c r="BJ542" s="499"/>
      <c r="BK542" s="345" t="s">
        <v>1018</v>
      </c>
      <c r="BL542" s="499"/>
      <c r="BM542" s="499"/>
      <c r="BN542" s="499"/>
      <c r="BO542" s="575">
        <f t="shared" si="15"/>
        <v>500</v>
      </c>
      <c r="BP542" s="575">
        <f t="shared" si="15"/>
        <v>50</v>
      </c>
      <c r="BQ542" s="575"/>
      <c r="BR542" s="575"/>
      <c r="BS542" s="575"/>
    </row>
    <row r="543" spans="1:71" ht="14.5" x14ac:dyDescent="0.35">
      <c r="A543" s="579" t="str">
        <f t="shared" si="14"/>
        <v>Infinitum Entretenimiento 30Residencial</v>
      </c>
      <c r="B543" s="129">
        <v>72</v>
      </c>
      <c r="C543" s="434" t="s">
        <v>1100</v>
      </c>
      <c r="D543" s="340" t="s">
        <v>240</v>
      </c>
      <c r="E543" s="340" t="s">
        <v>241</v>
      </c>
      <c r="F543" s="506">
        <v>322.41000000000003</v>
      </c>
      <c r="G543" s="506">
        <v>374</v>
      </c>
      <c r="H543" s="541"/>
      <c r="I543" s="541"/>
      <c r="J543" s="541"/>
      <c r="K543" s="541"/>
      <c r="L543" s="541"/>
      <c r="M543" s="541"/>
      <c r="N543" s="541"/>
      <c r="O543" s="288" t="s">
        <v>362</v>
      </c>
      <c r="P543" s="288" t="s">
        <v>360</v>
      </c>
      <c r="Q543" s="501" t="s">
        <v>1040</v>
      </c>
      <c r="R543" s="345" t="s">
        <v>1223</v>
      </c>
      <c r="S543" s="345" t="s">
        <v>813</v>
      </c>
      <c r="T543" s="345" t="s">
        <v>360</v>
      </c>
      <c r="U543" s="541"/>
      <c r="V543" s="541"/>
      <c r="W543" s="345"/>
      <c r="X543" s="345" t="s">
        <v>1019</v>
      </c>
      <c r="Y543" s="288" t="s">
        <v>910</v>
      </c>
      <c r="Z543" s="288" t="s">
        <v>349</v>
      </c>
      <c r="AA543" s="541"/>
      <c r="AB543" s="541"/>
      <c r="AC543" s="541"/>
      <c r="AD543" s="288" t="s">
        <v>347</v>
      </c>
      <c r="AE543" s="541"/>
      <c r="AF543" s="288" t="s">
        <v>812</v>
      </c>
      <c r="AG543" s="288" t="s">
        <v>348</v>
      </c>
      <c r="AH543" s="345"/>
      <c r="AI543" s="288" t="s">
        <v>358</v>
      </c>
      <c r="AJ543" s="448"/>
      <c r="AK543" s="448"/>
      <c r="AL543" s="345"/>
      <c r="AM543" s="345"/>
      <c r="AN543" s="345"/>
      <c r="AO543" s="345"/>
      <c r="AP543" s="345"/>
      <c r="AQ543" s="345"/>
      <c r="AR543" s="345"/>
      <c r="AS543" s="448"/>
      <c r="AT543" s="448"/>
      <c r="AU543" s="448"/>
      <c r="AV543" s="448"/>
      <c r="AW543" s="448"/>
      <c r="AX543" s="345" t="s">
        <v>1019</v>
      </c>
      <c r="AY543" s="448"/>
      <c r="AZ543" s="448"/>
      <c r="BA543" s="448"/>
      <c r="BB543" s="499">
        <v>1</v>
      </c>
      <c r="BC543" s="499">
        <v>1</v>
      </c>
      <c r="BD543" s="499">
        <v>1</v>
      </c>
      <c r="BE543" s="499">
        <v>1</v>
      </c>
      <c r="BF543" s="448"/>
      <c r="BG543" s="448"/>
      <c r="BH543" s="345" t="s">
        <v>1018</v>
      </c>
      <c r="BI543" s="499"/>
      <c r="BJ543" s="499"/>
      <c r="BK543" s="345" t="s">
        <v>1018</v>
      </c>
      <c r="BL543" s="499"/>
      <c r="BM543" s="499"/>
      <c r="BN543" s="499"/>
      <c r="BO543" s="575">
        <f t="shared" si="15"/>
        <v>30</v>
      </c>
      <c r="BP543" s="575">
        <f t="shared" si="15"/>
        <v>5</v>
      </c>
      <c r="BQ543" s="575">
        <f t="shared" si="5"/>
        <v>12</v>
      </c>
      <c r="BR543" s="575">
        <f t="shared" ref="BR543:BR545" si="18">LEFT(S543,FIND(" ",S543))*1</f>
        <v>60</v>
      </c>
      <c r="BS543" s="575">
        <f t="shared" ref="BS543:BS545" si="19">LEFT(T543,FIND(" ",T543))*1</f>
        <v>5</v>
      </c>
    </row>
    <row r="544" spans="1:71" ht="14.5" x14ac:dyDescent="0.35">
      <c r="A544" s="579" t="str">
        <f t="shared" si="14"/>
        <v>Infinitum Entretenimiento 40Residencial</v>
      </c>
      <c r="B544" s="129">
        <v>73</v>
      </c>
      <c r="C544" s="434" t="s">
        <v>1101</v>
      </c>
      <c r="D544" s="340" t="s">
        <v>240</v>
      </c>
      <c r="E544" s="340" t="s">
        <v>241</v>
      </c>
      <c r="F544" s="506">
        <v>365.52</v>
      </c>
      <c r="G544" s="506">
        <v>424</v>
      </c>
      <c r="H544" s="541"/>
      <c r="I544" s="541"/>
      <c r="J544" s="541"/>
      <c r="K544" s="541"/>
      <c r="L544" s="541"/>
      <c r="M544" s="541"/>
      <c r="N544" s="541"/>
      <c r="O544" s="288" t="s">
        <v>357</v>
      </c>
      <c r="P544" s="288" t="s">
        <v>912</v>
      </c>
      <c r="Q544" s="501" t="s">
        <v>1040</v>
      </c>
      <c r="R544" s="345" t="s">
        <v>1228</v>
      </c>
      <c r="S544" s="345" t="s">
        <v>1229</v>
      </c>
      <c r="T544" s="345" t="s">
        <v>360</v>
      </c>
      <c r="U544" s="541"/>
      <c r="V544" s="541"/>
      <c r="W544" s="345"/>
      <c r="X544" s="345" t="s">
        <v>1019</v>
      </c>
      <c r="Y544" s="288" t="s">
        <v>910</v>
      </c>
      <c r="Z544" s="288" t="s">
        <v>349</v>
      </c>
      <c r="AA544" s="541"/>
      <c r="AB544" s="541"/>
      <c r="AC544" s="541"/>
      <c r="AD544" s="288" t="s">
        <v>347</v>
      </c>
      <c r="AE544" s="541"/>
      <c r="AF544" s="288" t="s">
        <v>812</v>
      </c>
      <c r="AG544" s="288" t="s">
        <v>348</v>
      </c>
      <c r="AH544" s="345"/>
      <c r="AI544" s="288" t="s">
        <v>358</v>
      </c>
      <c r="AJ544" s="448"/>
      <c r="AK544" s="448"/>
      <c r="AL544" s="345"/>
      <c r="AM544" s="345"/>
      <c r="AN544" s="345"/>
      <c r="AO544" s="345"/>
      <c r="AP544" s="345"/>
      <c r="AQ544" s="345"/>
      <c r="AR544" s="345"/>
      <c r="AS544" s="448"/>
      <c r="AT544" s="448"/>
      <c r="AU544" s="448"/>
      <c r="AV544" s="448"/>
      <c r="AW544" s="448"/>
      <c r="AX544" s="345" t="s">
        <v>1019</v>
      </c>
      <c r="AY544" s="448"/>
      <c r="AZ544" s="448"/>
      <c r="BA544" s="448"/>
      <c r="BB544" s="499">
        <v>1</v>
      </c>
      <c r="BC544" s="499">
        <v>1</v>
      </c>
      <c r="BD544" s="499">
        <v>1</v>
      </c>
      <c r="BE544" s="499">
        <v>1</v>
      </c>
      <c r="BF544" s="448"/>
      <c r="BG544" s="448"/>
      <c r="BH544" s="345" t="s">
        <v>1018</v>
      </c>
      <c r="BI544" s="499"/>
      <c r="BJ544" s="499"/>
      <c r="BK544" s="345" t="s">
        <v>1018</v>
      </c>
      <c r="BL544" s="499"/>
      <c r="BM544" s="499"/>
      <c r="BN544" s="499"/>
      <c r="BO544" s="575">
        <f t="shared" si="15"/>
        <v>40</v>
      </c>
      <c r="BP544" s="575">
        <f t="shared" si="15"/>
        <v>5</v>
      </c>
      <c r="BQ544" s="575">
        <f t="shared" si="5"/>
        <v>24</v>
      </c>
      <c r="BR544" s="575">
        <f t="shared" si="18"/>
        <v>70</v>
      </c>
      <c r="BS544" s="575">
        <f t="shared" si="19"/>
        <v>5</v>
      </c>
    </row>
    <row r="545" spans="1:71" ht="14.5" x14ac:dyDescent="0.35">
      <c r="A545" s="579" t="str">
        <f t="shared" si="14"/>
        <v>Infinitum Entretenimiento 200Residencial</v>
      </c>
      <c r="B545" s="129">
        <v>75</v>
      </c>
      <c r="C545" s="434" t="s">
        <v>1102</v>
      </c>
      <c r="D545" s="340" t="s">
        <v>240</v>
      </c>
      <c r="E545" s="340" t="s">
        <v>241</v>
      </c>
      <c r="F545" s="506">
        <v>585.34</v>
      </c>
      <c r="G545" s="506">
        <v>679</v>
      </c>
      <c r="H545" s="541"/>
      <c r="I545" s="541"/>
      <c r="J545" s="541"/>
      <c r="K545" s="541"/>
      <c r="L545" s="541"/>
      <c r="M545" s="541"/>
      <c r="N545" s="541"/>
      <c r="O545" s="288" t="s">
        <v>359</v>
      </c>
      <c r="P545" s="288" t="s">
        <v>354</v>
      </c>
      <c r="Q545" s="501" t="s">
        <v>1040</v>
      </c>
      <c r="R545" s="345" t="s">
        <v>1227</v>
      </c>
      <c r="S545" s="345" t="s">
        <v>1231</v>
      </c>
      <c r="T545" s="345" t="s">
        <v>354</v>
      </c>
      <c r="U545" s="541"/>
      <c r="V545" s="541"/>
      <c r="W545" s="345"/>
      <c r="X545" s="345" t="s">
        <v>1019</v>
      </c>
      <c r="Y545" s="288" t="s">
        <v>910</v>
      </c>
      <c r="Z545" s="288" t="s">
        <v>349</v>
      </c>
      <c r="AA545" s="541"/>
      <c r="AB545" s="541"/>
      <c r="AC545" s="541"/>
      <c r="AD545" s="288" t="s">
        <v>347</v>
      </c>
      <c r="AE545" s="541"/>
      <c r="AF545" s="288" t="s">
        <v>812</v>
      </c>
      <c r="AG545" s="288" t="s">
        <v>348</v>
      </c>
      <c r="AH545" s="345"/>
      <c r="AI545" s="288" t="s">
        <v>358</v>
      </c>
      <c r="AJ545" s="448"/>
      <c r="AK545" s="448"/>
      <c r="AL545" s="345"/>
      <c r="AM545" s="345"/>
      <c r="AN545" s="345"/>
      <c r="AO545" s="345"/>
      <c r="AP545" s="345"/>
      <c r="AQ545" s="345"/>
      <c r="AR545" s="345"/>
      <c r="AS545" s="448"/>
      <c r="AT545" s="448"/>
      <c r="AU545" s="448"/>
      <c r="AV545" s="448"/>
      <c r="AW545" s="448"/>
      <c r="AX545" s="345" t="s">
        <v>1019</v>
      </c>
      <c r="AY545" s="448"/>
      <c r="AZ545" s="448"/>
      <c r="BA545" s="448"/>
      <c r="BB545" s="499">
        <v>1</v>
      </c>
      <c r="BC545" s="499">
        <v>1</v>
      </c>
      <c r="BD545" s="499">
        <v>1</v>
      </c>
      <c r="BE545" s="499">
        <v>1</v>
      </c>
      <c r="BF545" s="448"/>
      <c r="BG545" s="448"/>
      <c r="BH545" s="345" t="s">
        <v>1018</v>
      </c>
      <c r="BI545" s="499"/>
      <c r="BJ545" s="499"/>
      <c r="BK545" s="345" t="s">
        <v>1018</v>
      </c>
      <c r="BL545" s="499"/>
      <c r="BM545" s="499"/>
      <c r="BN545" s="499"/>
      <c r="BO545" s="575">
        <f t="shared" si="15"/>
        <v>200</v>
      </c>
      <c r="BP545" s="575">
        <f t="shared" si="15"/>
        <v>50</v>
      </c>
      <c r="BQ545" s="575">
        <f t="shared" ref="BQ545:BQ554" si="20">LEFT(R545,FIND(" ",R545))*1</f>
        <v>6</v>
      </c>
      <c r="BR545" s="575">
        <f t="shared" si="18"/>
        <v>250</v>
      </c>
      <c r="BS545" s="575">
        <f t="shared" si="19"/>
        <v>50</v>
      </c>
    </row>
    <row r="546" spans="1:71" ht="14.5" x14ac:dyDescent="0.35">
      <c r="A546" s="579" t="str">
        <f t="shared" si="14"/>
        <v>Infinitum Entretenimiento 500Residencial</v>
      </c>
      <c r="B546" s="129">
        <v>76</v>
      </c>
      <c r="C546" s="434" t="s">
        <v>1103</v>
      </c>
      <c r="D546" s="340" t="s">
        <v>240</v>
      </c>
      <c r="E546" s="340" t="s">
        <v>241</v>
      </c>
      <c r="F546" s="506">
        <v>973.28</v>
      </c>
      <c r="G546" s="506">
        <v>1129</v>
      </c>
      <c r="H546" s="541"/>
      <c r="I546" s="541"/>
      <c r="J546" s="541"/>
      <c r="K546" s="541"/>
      <c r="L546" s="541"/>
      <c r="M546" s="541"/>
      <c r="N546" s="541"/>
      <c r="O546" s="288" t="s">
        <v>1221</v>
      </c>
      <c r="P546" s="288" t="s">
        <v>354</v>
      </c>
      <c r="Q546" s="501" t="s">
        <v>1018</v>
      </c>
      <c r="R546" s="345"/>
      <c r="S546" s="345"/>
      <c r="T546" s="345"/>
      <c r="U546" s="541"/>
      <c r="V546" s="541"/>
      <c r="W546" s="345"/>
      <c r="X546" s="345" t="s">
        <v>1019</v>
      </c>
      <c r="Y546" s="288" t="s">
        <v>910</v>
      </c>
      <c r="Z546" s="288" t="s">
        <v>349</v>
      </c>
      <c r="AA546" s="541"/>
      <c r="AB546" s="541"/>
      <c r="AC546" s="541"/>
      <c r="AD546" s="288" t="s">
        <v>347</v>
      </c>
      <c r="AE546" s="541"/>
      <c r="AF546" s="288" t="s">
        <v>812</v>
      </c>
      <c r="AG546" s="288" t="s">
        <v>348</v>
      </c>
      <c r="AH546" s="345"/>
      <c r="AI546" s="288" t="s">
        <v>358</v>
      </c>
      <c r="AJ546" s="448"/>
      <c r="AK546" s="448"/>
      <c r="AL546" s="345"/>
      <c r="AM546" s="345"/>
      <c r="AN546" s="345"/>
      <c r="AO546" s="345"/>
      <c r="AP546" s="345"/>
      <c r="AQ546" s="345"/>
      <c r="AR546" s="345"/>
      <c r="AS546" s="448"/>
      <c r="AT546" s="448"/>
      <c r="AU546" s="448"/>
      <c r="AV546" s="448"/>
      <c r="AW546" s="448"/>
      <c r="AX546" s="345" t="s">
        <v>1019</v>
      </c>
      <c r="AY546" s="448"/>
      <c r="AZ546" s="448"/>
      <c r="BA546" s="448"/>
      <c r="BB546" s="499">
        <v>1</v>
      </c>
      <c r="BC546" s="499">
        <v>1</v>
      </c>
      <c r="BD546" s="499">
        <v>1</v>
      </c>
      <c r="BE546" s="499">
        <v>1</v>
      </c>
      <c r="BF546" s="448"/>
      <c r="BG546" s="448"/>
      <c r="BH546" s="345" t="s">
        <v>1018</v>
      </c>
      <c r="BI546" s="499"/>
      <c r="BJ546" s="499"/>
      <c r="BK546" s="345" t="s">
        <v>1018</v>
      </c>
      <c r="BL546" s="499"/>
      <c r="BM546" s="499"/>
      <c r="BN546" s="499"/>
      <c r="BO546" s="575">
        <f t="shared" si="15"/>
        <v>500</v>
      </c>
      <c r="BP546" s="575">
        <f t="shared" si="15"/>
        <v>50</v>
      </c>
      <c r="BQ546" s="575"/>
      <c r="BR546" s="575"/>
      <c r="BS546" s="575"/>
    </row>
    <row r="547" spans="1:71" ht="14.5" x14ac:dyDescent="0.35">
      <c r="A547" s="579" t="str">
        <f t="shared" si="14"/>
        <v>Paquete infinitum Entretenimiento+ 30  (Netflix 1 dispositivo)Residencial</v>
      </c>
      <c r="B547" s="129">
        <v>77</v>
      </c>
      <c r="C547" s="434" t="s">
        <v>1104</v>
      </c>
      <c r="D547" s="340" t="s">
        <v>240</v>
      </c>
      <c r="E547" s="340" t="s">
        <v>243</v>
      </c>
      <c r="F547" s="506">
        <v>453.34</v>
      </c>
      <c r="G547" s="506">
        <v>534</v>
      </c>
      <c r="H547" s="345">
        <v>1</v>
      </c>
      <c r="I547" s="288" t="s">
        <v>355</v>
      </c>
      <c r="J547" s="288" t="s">
        <v>355</v>
      </c>
      <c r="K547" s="288" t="s">
        <v>356</v>
      </c>
      <c r="L547" s="288" t="s">
        <v>356</v>
      </c>
      <c r="M547" s="288">
        <v>5</v>
      </c>
      <c r="N547" s="288" t="s">
        <v>911</v>
      </c>
      <c r="O547" s="288" t="s">
        <v>362</v>
      </c>
      <c r="P547" s="288" t="s">
        <v>360</v>
      </c>
      <c r="Q547" s="501" t="s">
        <v>1040</v>
      </c>
      <c r="R547" s="345" t="s">
        <v>1227</v>
      </c>
      <c r="S547" s="345" t="s">
        <v>813</v>
      </c>
      <c r="T547" s="345" t="s">
        <v>360</v>
      </c>
      <c r="U547" s="345">
        <v>1</v>
      </c>
      <c r="V547" s="288" t="s">
        <v>974</v>
      </c>
      <c r="W547" s="345"/>
      <c r="X547" s="345" t="s">
        <v>1019</v>
      </c>
      <c r="Y547" s="288" t="s">
        <v>910</v>
      </c>
      <c r="Z547" s="288" t="s">
        <v>349</v>
      </c>
      <c r="AA547" s="541"/>
      <c r="AB547" s="541"/>
      <c r="AC547" s="541"/>
      <c r="AD547" s="288" t="s">
        <v>347</v>
      </c>
      <c r="AE547" s="541"/>
      <c r="AF547" s="288" t="s">
        <v>812</v>
      </c>
      <c r="AG547" s="288" t="s">
        <v>348</v>
      </c>
      <c r="AH547" s="345"/>
      <c r="AI547" s="288" t="s">
        <v>358</v>
      </c>
      <c r="AJ547" s="448"/>
      <c r="AK547" s="448"/>
      <c r="AL547" s="345"/>
      <c r="AM547" s="345"/>
      <c r="AN547" s="345"/>
      <c r="AO547" s="345"/>
      <c r="AP547" s="345"/>
      <c r="AQ547" s="345"/>
      <c r="AR547" s="345"/>
      <c r="AS547" s="448"/>
      <c r="AT547" s="448"/>
      <c r="AU547" s="448"/>
      <c r="AV547" s="448"/>
      <c r="AW547" s="448"/>
      <c r="AX547" s="345" t="s">
        <v>1019</v>
      </c>
      <c r="AY547" s="499">
        <v>1</v>
      </c>
      <c r="AZ547" s="448"/>
      <c r="BA547" s="448"/>
      <c r="BB547" s="499">
        <v>1</v>
      </c>
      <c r="BC547" s="499">
        <v>1</v>
      </c>
      <c r="BD547" s="499">
        <v>1</v>
      </c>
      <c r="BE547" s="499">
        <v>1</v>
      </c>
      <c r="BF547" s="448"/>
      <c r="BG547" s="448"/>
      <c r="BH547" s="345" t="s">
        <v>1018</v>
      </c>
      <c r="BI547" s="499"/>
      <c r="BJ547" s="499"/>
      <c r="BK547" s="345" t="s">
        <v>1018</v>
      </c>
      <c r="BL547" s="499"/>
      <c r="BM547" s="499"/>
      <c r="BN547" s="499"/>
      <c r="BO547" s="575">
        <f t="shared" si="15"/>
        <v>30</v>
      </c>
      <c r="BP547" s="575">
        <f t="shared" si="15"/>
        <v>5</v>
      </c>
      <c r="BQ547" s="575">
        <f t="shared" si="20"/>
        <v>6</v>
      </c>
      <c r="BR547" s="575">
        <f t="shared" ref="BR547:BR549" si="21">LEFT(S547,FIND(" ",S547))*1</f>
        <v>60</v>
      </c>
      <c r="BS547" s="575">
        <f t="shared" ref="BS547:BS549" si="22">LEFT(T547,FIND(" ",T547))*1</f>
        <v>5</v>
      </c>
    </row>
    <row r="548" spans="1:71" ht="14.5" x14ac:dyDescent="0.35">
      <c r="A548" s="579" t="str">
        <f t="shared" si="14"/>
        <v>Paquete infinitum Entretenimiento+ 30  (Netflix 2 dispositivos)Residencial</v>
      </c>
      <c r="B548" s="129">
        <v>78</v>
      </c>
      <c r="C548" s="434" t="s">
        <v>1105</v>
      </c>
      <c r="D548" s="340" t="s">
        <v>240</v>
      </c>
      <c r="E548" s="340" t="s">
        <v>243</v>
      </c>
      <c r="F548" s="506">
        <v>520.61</v>
      </c>
      <c r="G548" s="506">
        <v>611.99</v>
      </c>
      <c r="H548" s="345">
        <v>1</v>
      </c>
      <c r="I548" s="288" t="s">
        <v>355</v>
      </c>
      <c r="J548" s="288" t="s">
        <v>355</v>
      </c>
      <c r="K548" s="288" t="s">
        <v>356</v>
      </c>
      <c r="L548" s="288" t="s">
        <v>356</v>
      </c>
      <c r="M548" s="288">
        <v>5</v>
      </c>
      <c r="N548" s="288" t="s">
        <v>911</v>
      </c>
      <c r="O548" s="288" t="s">
        <v>362</v>
      </c>
      <c r="P548" s="288" t="s">
        <v>360</v>
      </c>
      <c r="Q548" s="501" t="s">
        <v>1040</v>
      </c>
      <c r="R548" s="345" t="s">
        <v>1227</v>
      </c>
      <c r="S548" s="345" t="s">
        <v>813</v>
      </c>
      <c r="T548" s="345" t="s">
        <v>360</v>
      </c>
      <c r="U548" s="345">
        <v>2</v>
      </c>
      <c r="V548" s="288" t="s">
        <v>974</v>
      </c>
      <c r="W548" s="345"/>
      <c r="X548" s="345" t="s">
        <v>1019</v>
      </c>
      <c r="Y548" s="288" t="s">
        <v>910</v>
      </c>
      <c r="Z548" s="288" t="s">
        <v>349</v>
      </c>
      <c r="AA548" s="541"/>
      <c r="AB548" s="541"/>
      <c r="AC548" s="541"/>
      <c r="AD548" s="288" t="s">
        <v>347</v>
      </c>
      <c r="AE548" s="541"/>
      <c r="AF548" s="288" t="s">
        <v>812</v>
      </c>
      <c r="AG548" s="288" t="s">
        <v>348</v>
      </c>
      <c r="AH548" s="345"/>
      <c r="AI548" s="288" t="s">
        <v>358</v>
      </c>
      <c r="AJ548" s="448"/>
      <c r="AK548" s="448"/>
      <c r="AL548" s="345"/>
      <c r="AM548" s="345"/>
      <c r="AN548" s="345"/>
      <c r="AO548" s="345"/>
      <c r="AP548" s="345"/>
      <c r="AQ548" s="345"/>
      <c r="AR548" s="345"/>
      <c r="AS548" s="448"/>
      <c r="AT548" s="448"/>
      <c r="AU548" s="448"/>
      <c r="AV548" s="448"/>
      <c r="AW548" s="448"/>
      <c r="AX548" s="345" t="s">
        <v>1019</v>
      </c>
      <c r="AY548" s="448"/>
      <c r="AZ548" s="499">
        <v>1</v>
      </c>
      <c r="BA548" s="448"/>
      <c r="BB548" s="499">
        <v>1</v>
      </c>
      <c r="BC548" s="499">
        <v>1</v>
      </c>
      <c r="BD548" s="499">
        <v>1</v>
      </c>
      <c r="BE548" s="499">
        <v>1</v>
      </c>
      <c r="BF548" s="448"/>
      <c r="BG548" s="448"/>
      <c r="BH548" s="345" t="s">
        <v>1018</v>
      </c>
      <c r="BI548" s="499"/>
      <c r="BJ548" s="499"/>
      <c r="BK548" s="345" t="s">
        <v>1018</v>
      </c>
      <c r="BL548" s="499"/>
      <c r="BM548" s="499"/>
      <c r="BN548" s="499"/>
      <c r="BO548" s="575">
        <f t="shared" si="15"/>
        <v>30</v>
      </c>
      <c r="BP548" s="575">
        <f t="shared" si="15"/>
        <v>5</v>
      </c>
      <c r="BQ548" s="575">
        <f t="shared" si="20"/>
        <v>6</v>
      </c>
      <c r="BR548" s="575">
        <f t="shared" si="21"/>
        <v>60</v>
      </c>
      <c r="BS548" s="575">
        <f t="shared" si="22"/>
        <v>5</v>
      </c>
    </row>
    <row r="549" spans="1:71" ht="14.5" x14ac:dyDescent="0.35">
      <c r="A549" s="579" t="str">
        <f t="shared" si="14"/>
        <v>Paquete infinitum Entretenimiento+ 30  (Netflix 4 dispositivos)Residencial</v>
      </c>
      <c r="B549" s="129">
        <v>79</v>
      </c>
      <c r="C549" s="434" t="s">
        <v>1106</v>
      </c>
      <c r="D549" s="340" t="s">
        <v>240</v>
      </c>
      <c r="E549" s="340" t="s">
        <v>243</v>
      </c>
      <c r="F549" s="506">
        <v>589.58000000000004</v>
      </c>
      <c r="G549" s="506">
        <v>691.99</v>
      </c>
      <c r="H549" s="345">
        <v>1</v>
      </c>
      <c r="I549" s="288" t="s">
        <v>355</v>
      </c>
      <c r="J549" s="288" t="s">
        <v>355</v>
      </c>
      <c r="K549" s="288" t="s">
        <v>356</v>
      </c>
      <c r="L549" s="288" t="s">
        <v>356</v>
      </c>
      <c r="M549" s="288">
        <v>5</v>
      </c>
      <c r="N549" s="288" t="s">
        <v>911</v>
      </c>
      <c r="O549" s="288" t="s">
        <v>362</v>
      </c>
      <c r="P549" s="288" t="s">
        <v>360</v>
      </c>
      <c r="Q549" s="501" t="s">
        <v>1040</v>
      </c>
      <c r="R549" s="345" t="s">
        <v>1227</v>
      </c>
      <c r="S549" s="345" t="s">
        <v>813</v>
      </c>
      <c r="T549" s="345" t="s">
        <v>360</v>
      </c>
      <c r="U549" s="345">
        <v>4</v>
      </c>
      <c r="V549" s="288" t="s">
        <v>974</v>
      </c>
      <c r="W549" s="345"/>
      <c r="X549" s="345" t="s">
        <v>1019</v>
      </c>
      <c r="Y549" s="288" t="s">
        <v>910</v>
      </c>
      <c r="Z549" s="288" t="s">
        <v>349</v>
      </c>
      <c r="AA549" s="541"/>
      <c r="AB549" s="541"/>
      <c r="AC549" s="541"/>
      <c r="AD549" s="288" t="s">
        <v>347</v>
      </c>
      <c r="AE549" s="541"/>
      <c r="AF549" s="288" t="s">
        <v>812</v>
      </c>
      <c r="AG549" s="288" t="s">
        <v>348</v>
      </c>
      <c r="AH549" s="345"/>
      <c r="AI549" s="288" t="s">
        <v>358</v>
      </c>
      <c r="AJ549" s="448"/>
      <c r="AK549" s="448"/>
      <c r="AL549" s="345"/>
      <c r="AM549" s="345"/>
      <c r="AN549" s="345"/>
      <c r="AO549" s="345"/>
      <c r="AP549" s="345"/>
      <c r="AQ549" s="345"/>
      <c r="AR549" s="345"/>
      <c r="AS549" s="448"/>
      <c r="AT549" s="448"/>
      <c r="AU549" s="448"/>
      <c r="AV549" s="448"/>
      <c r="AW549" s="448"/>
      <c r="AX549" s="345" t="s">
        <v>1019</v>
      </c>
      <c r="AY549" s="448"/>
      <c r="AZ549" s="448"/>
      <c r="BA549" s="499">
        <v>1</v>
      </c>
      <c r="BB549" s="499">
        <v>1</v>
      </c>
      <c r="BC549" s="499">
        <v>1</v>
      </c>
      <c r="BD549" s="499">
        <v>1</v>
      </c>
      <c r="BE549" s="499">
        <v>1</v>
      </c>
      <c r="BF549" s="448"/>
      <c r="BG549" s="448"/>
      <c r="BH549" s="345" t="s">
        <v>1018</v>
      </c>
      <c r="BI549" s="499"/>
      <c r="BJ549" s="499"/>
      <c r="BK549" s="345" t="s">
        <v>1018</v>
      </c>
      <c r="BL549" s="499"/>
      <c r="BM549" s="499"/>
      <c r="BN549" s="499"/>
      <c r="BO549" s="575">
        <f t="shared" si="15"/>
        <v>30</v>
      </c>
      <c r="BP549" s="575">
        <f t="shared" si="15"/>
        <v>5</v>
      </c>
      <c r="BQ549" s="575">
        <f t="shared" si="20"/>
        <v>6</v>
      </c>
      <c r="BR549" s="575">
        <f t="shared" si="21"/>
        <v>60</v>
      </c>
      <c r="BS549" s="575">
        <f t="shared" si="22"/>
        <v>5</v>
      </c>
    </row>
    <row r="550" spans="1:71" ht="14.5" x14ac:dyDescent="0.35">
      <c r="A550" s="579" t="str">
        <f t="shared" si="14"/>
        <v>Paquete Infinitum Entretenimiento+ 70   (Netflix 2 dispositivos)Residencial</v>
      </c>
      <c r="B550" s="129">
        <v>80</v>
      </c>
      <c r="C550" s="434" t="s">
        <v>1107</v>
      </c>
      <c r="D550" s="340" t="s">
        <v>240</v>
      </c>
      <c r="E550" s="340" t="s">
        <v>243</v>
      </c>
      <c r="F550" s="506">
        <v>554.39</v>
      </c>
      <c r="G550" s="506">
        <v>652</v>
      </c>
      <c r="H550" s="345">
        <v>1</v>
      </c>
      <c r="I550" s="288" t="s">
        <v>355</v>
      </c>
      <c r="J550" s="288" t="s">
        <v>355</v>
      </c>
      <c r="K550" s="288" t="s">
        <v>356</v>
      </c>
      <c r="L550" s="288" t="s">
        <v>356</v>
      </c>
      <c r="M550" s="288">
        <v>5</v>
      </c>
      <c r="N550" s="288" t="s">
        <v>911</v>
      </c>
      <c r="O550" s="288" t="s">
        <v>1229</v>
      </c>
      <c r="P550" s="288" t="s">
        <v>912</v>
      </c>
      <c r="Q550" s="501" t="s">
        <v>1018</v>
      </c>
      <c r="R550" s="345"/>
      <c r="S550" s="345"/>
      <c r="T550" s="345"/>
      <c r="U550" s="345">
        <v>2</v>
      </c>
      <c r="V550" s="288" t="s">
        <v>974</v>
      </c>
      <c r="W550" s="345"/>
      <c r="X550" s="345" t="s">
        <v>1019</v>
      </c>
      <c r="Y550" s="288" t="s">
        <v>910</v>
      </c>
      <c r="Z550" s="288" t="s">
        <v>349</v>
      </c>
      <c r="AA550" s="541"/>
      <c r="AB550" s="541"/>
      <c r="AC550" s="541"/>
      <c r="AD550" s="288" t="s">
        <v>347</v>
      </c>
      <c r="AE550" s="541"/>
      <c r="AF550" s="288" t="s">
        <v>812</v>
      </c>
      <c r="AG550" s="288" t="s">
        <v>348</v>
      </c>
      <c r="AH550" s="345"/>
      <c r="AI550" s="288" t="s">
        <v>358</v>
      </c>
      <c r="AJ550" s="448"/>
      <c r="AK550" s="448"/>
      <c r="AL550" s="345"/>
      <c r="AM550" s="345"/>
      <c r="AN550" s="345"/>
      <c r="AO550" s="345"/>
      <c r="AP550" s="345"/>
      <c r="AQ550" s="345"/>
      <c r="AR550" s="345"/>
      <c r="AS550" s="448"/>
      <c r="AT550" s="448"/>
      <c r="AU550" s="448"/>
      <c r="AV550" s="448"/>
      <c r="AW550" s="448"/>
      <c r="AX550" s="345" t="s">
        <v>1019</v>
      </c>
      <c r="AY550" s="448"/>
      <c r="AZ550" s="499">
        <v>1</v>
      </c>
      <c r="BA550" s="448"/>
      <c r="BB550" s="499">
        <v>1</v>
      </c>
      <c r="BC550" s="499">
        <v>1</v>
      </c>
      <c r="BD550" s="499">
        <v>1</v>
      </c>
      <c r="BE550" s="499">
        <v>1</v>
      </c>
      <c r="BF550" s="448"/>
      <c r="BG550" s="448"/>
      <c r="BH550" s="345" t="s">
        <v>1018</v>
      </c>
      <c r="BI550" s="499"/>
      <c r="BJ550" s="499"/>
      <c r="BK550" s="345" t="s">
        <v>1018</v>
      </c>
      <c r="BL550" s="499"/>
      <c r="BM550" s="499"/>
      <c r="BN550" s="499"/>
      <c r="BO550" s="575">
        <f t="shared" si="15"/>
        <v>70</v>
      </c>
      <c r="BP550" s="575">
        <f t="shared" si="15"/>
        <v>5</v>
      </c>
      <c r="BQ550" s="575"/>
      <c r="BR550" s="575"/>
      <c r="BS550" s="575"/>
    </row>
    <row r="551" spans="1:71" ht="14.5" x14ac:dyDescent="0.35">
      <c r="A551" s="579" t="str">
        <f t="shared" si="14"/>
        <v>Paquete Infinitum Entretenimiento+ 70   (Netflix 4 dispositivos)Residencial</v>
      </c>
      <c r="B551" s="129">
        <v>81</v>
      </c>
      <c r="C551" s="434" t="s">
        <v>1108</v>
      </c>
      <c r="D551" s="340" t="s">
        <v>240</v>
      </c>
      <c r="E551" s="340" t="s">
        <v>243</v>
      </c>
      <c r="F551" s="506">
        <v>623.36</v>
      </c>
      <c r="G551" s="506">
        <v>732</v>
      </c>
      <c r="H551" s="345">
        <v>1</v>
      </c>
      <c r="I551" s="288" t="s">
        <v>355</v>
      </c>
      <c r="J551" s="288" t="s">
        <v>355</v>
      </c>
      <c r="K551" s="288" t="s">
        <v>356</v>
      </c>
      <c r="L551" s="288" t="s">
        <v>356</v>
      </c>
      <c r="M551" s="288">
        <v>5</v>
      </c>
      <c r="N551" s="288" t="s">
        <v>911</v>
      </c>
      <c r="O551" s="288" t="s">
        <v>1229</v>
      </c>
      <c r="P551" s="288" t="s">
        <v>912</v>
      </c>
      <c r="Q551" s="501" t="s">
        <v>1018</v>
      </c>
      <c r="R551" s="345"/>
      <c r="S551" s="345"/>
      <c r="T551" s="345"/>
      <c r="U551" s="345">
        <v>4</v>
      </c>
      <c r="V551" s="288" t="s">
        <v>974</v>
      </c>
      <c r="W551" s="345"/>
      <c r="X551" s="345" t="s">
        <v>1019</v>
      </c>
      <c r="Y551" s="288" t="s">
        <v>910</v>
      </c>
      <c r="Z551" s="288" t="s">
        <v>349</v>
      </c>
      <c r="AA551" s="541"/>
      <c r="AB551" s="541"/>
      <c r="AC551" s="541"/>
      <c r="AD551" s="288" t="s">
        <v>347</v>
      </c>
      <c r="AE551" s="541"/>
      <c r="AF551" s="288" t="s">
        <v>812</v>
      </c>
      <c r="AG551" s="288" t="s">
        <v>348</v>
      </c>
      <c r="AH551" s="345"/>
      <c r="AI551" s="288" t="s">
        <v>358</v>
      </c>
      <c r="AJ551" s="448"/>
      <c r="AK551" s="448"/>
      <c r="AL551" s="345"/>
      <c r="AM551" s="345"/>
      <c r="AN551" s="345"/>
      <c r="AO551" s="345"/>
      <c r="AP551" s="345"/>
      <c r="AQ551" s="345"/>
      <c r="AR551" s="345"/>
      <c r="AS551" s="448"/>
      <c r="AT551" s="448"/>
      <c r="AU551" s="448"/>
      <c r="AV551" s="448"/>
      <c r="AW551" s="448"/>
      <c r="AX551" s="345" t="s">
        <v>1019</v>
      </c>
      <c r="AY551" s="448"/>
      <c r="AZ551" s="448"/>
      <c r="BA551" s="499">
        <v>1</v>
      </c>
      <c r="BB551" s="499">
        <v>1</v>
      </c>
      <c r="BC551" s="499">
        <v>1</v>
      </c>
      <c r="BD551" s="499">
        <v>1</v>
      </c>
      <c r="BE551" s="499">
        <v>1</v>
      </c>
      <c r="BF551" s="448"/>
      <c r="BG551" s="448"/>
      <c r="BH551" s="345" t="s">
        <v>1018</v>
      </c>
      <c r="BI551" s="499"/>
      <c r="BJ551" s="499"/>
      <c r="BK551" s="345" t="s">
        <v>1018</v>
      </c>
      <c r="BL551" s="499"/>
      <c r="BM551" s="499"/>
      <c r="BN551" s="499"/>
      <c r="BO551" s="575">
        <f t="shared" si="15"/>
        <v>70</v>
      </c>
      <c r="BP551" s="575">
        <f t="shared" si="15"/>
        <v>5</v>
      </c>
      <c r="BQ551" s="575"/>
      <c r="BR551" s="575"/>
      <c r="BS551" s="575"/>
    </row>
    <row r="552" spans="1:71" ht="14.5" x14ac:dyDescent="0.35">
      <c r="A552" s="579" t="str">
        <f t="shared" si="14"/>
        <v>Paquete Infinitum Entretenimiento+ 120    (Netflix 2 dispositivos)Residencial</v>
      </c>
      <c r="B552" s="129">
        <v>82</v>
      </c>
      <c r="C552" s="434" t="s">
        <v>1109</v>
      </c>
      <c r="D552" s="340" t="s">
        <v>240</v>
      </c>
      <c r="E552" s="340" t="s">
        <v>243</v>
      </c>
      <c r="F552" s="506">
        <v>627</v>
      </c>
      <c r="G552" s="506">
        <v>738</v>
      </c>
      <c r="H552" s="345">
        <v>1</v>
      </c>
      <c r="I552" s="288" t="s">
        <v>355</v>
      </c>
      <c r="J552" s="288" t="s">
        <v>355</v>
      </c>
      <c r="K552" s="288" t="s">
        <v>356</v>
      </c>
      <c r="L552" s="288" t="s">
        <v>356</v>
      </c>
      <c r="M552" s="288">
        <v>5</v>
      </c>
      <c r="N552" s="288" t="s">
        <v>911</v>
      </c>
      <c r="O552" s="288" t="s">
        <v>1230</v>
      </c>
      <c r="P552" s="288" t="s">
        <v>346</v>
      </c>
      <c r="Q552" s="501" t="s">
        <v>1018</v>
      </c>
      <c r="R552" s="345"/>
      <c r="S552" s="345"/>
      <c r="T552" s="345"/>
      <c r="U552" s="345">
        <v>2</v>
      </c>
      <c r="V552" s="288" t="s">
        <v>974</v>
      </c>
      <c r="W552" s="345"/>
      <c r="X552" s="345" t="s">
        <v>1019</v>
      </c>
      <c r="Y552" s="288" t="s">
        <v>910</v>
      </c>
      <c r="Z552" s="288" t="s">
        <v>349</v>
      </c>
      <c r="AA552" s="541"/>
      <c r="AB552" s="541"/>
      <c r="AC552" s="541"/>
      <c r="AD552" s="288" t="s">
        <v>347</v>
      </c>
      <c r="AE552" s="541"/>
      <c r="AF552" s="288" t="s">
        <v>812</v>
      </c>
      <c r="AG552" s="288" t="s">
        <v>348</v>
      </c>
      <c r="AH552" s="345"/>
      <c r="AI552" s="288" t="s">
        <v>358</v>
      </c>
      <c r="AJ552" s="448"/>
      <c r="AK552" s="448"/>
      <c r="AL552" s="345"/>
      <c r="AM552" s="345"/>
      <c r="AN552" s="345"/>
      <c r="AO552" s="345"/>
      <c r="AP552" s="345"/>
      <c r="AQ552" s="345"/>
      <c r="AR552" s="345"/>
      <c r="AS552" s="448"/>
      <c r="AT552" s="448"/>
      <c r="AU552" s="448"/>
      <c r="AV552" s="448"/>
      <c r="AW552" s="448"/>
      <c r="AX552" s="345" t="s">
        <v>1019</v>
      </c>
      <c r="AY552" s="448"/>
      <c r="AZ552" s="499">
        <v>1</v>
      </c>
      <c r="BA552" s="448"/>
      <c r="BB552" s="499">
        <v>1</v>
      </c>
      <c r="BC552" s="499">
        <v>1</v>
      </c>
      <c r="BD552" s="499">
        <v>1</v>
      </c>
      <c r="BE552" s="499">
        <v>1</v>
      </c>
      <c r="BF552" s="448"/>
      <c r="BG552" s="448"/>
      <c r="BH552" s="345" t="s">
        <v>1018</v>
      </c>
      <c r="BI552" s="499"/>
      <c r="BJ552" s="499"/>
      <c r="BK552" s="345" t="s">
        <v>1018</v>
      </c>
      <c r="BL552" s="499"/>
      <c r="BM552" s="499"/>
      <c r="BN552" s="499"/>
      <c r="BO552" s="575">
        <f t="shared" si="15"/>
        <v>120</v>
      </c>
      <c r="BP552" s="575">
        <f t="shared" si="15"/>
        <v>10</v>
      </c>
      <c r="BQ552" s="575"/>
      <c r="BR552" s="575"/>
      <c r="BS552" s="575"/>
    </row>
    <row r="553" spans="1:71" ht="14.5" x14ac:dyDescent="0.35">
      <c r="A553" s="579" t="str">
        <f t="shared" si="14"/>
        <v>Paquete Infinitum Entretenimiento+ 120    (Netflix 4 dispositivos)Residencial</v>
      </c>
      <c r="B553" s="129">
        <v>83</v>
      </c>
      <c r="C553" s="434" t="s">
        <v>1110</v>
      </c>
      <c r="D553" s="340" t="s">
        <v>240</v>
      </c>
      <c r="E553" s="340" t="s">
        <v>243</v>
      </c>
      <c r="F553" s="506">
        <v>695.13</v>
      </c>
      <c r="G553" s="506">
        <v>817</v>
      </c>
      <c r="H553" s="345">
        <v>1</v>
      </c>
      <c r="I553" s="288" t="s">
        <v>355</v>
      </c>
      <c r="J553" s="288" t="s">
        <v>355</v>
      </c>
      <c r="K553" s="288" t="s">
        <v>356</v>
      </c>
      <c r="L553" s="288" t="s">
        <v>356</v>
      </c>
      <c r="M553" s="288">
        <v>5</v>
      </c>
      <c r="N553" s="288" t="s">
        <v>911</v>
      </c>
      <c r="O553" s="288" t="s">
        <v>1230</v>
      </c>
      <c r="P553" s="288" t="s">
        <v>346</v>
      </c>
      <c r="Q553" s="501" t="s">
        <v>1018</v>
      </c>
      <c r="R553" s="345"/>
      <c r="S553" s="345"/>
      <c r="T553" s="345"/>
      <c r="U553" s="345">
        <v>4</v>
      </c>
      <c r="V553" s="288" t="s">
        <v>974</v>
      </c>
      <c r="W553" s="345"/>
      <c r="X553" s="345" t="s">
        <v>1019</v>
      </c>
      <c r="Y553" s="288" t="s">
        <v>910</v>
      </c>
      <c r="Z553" s="288" t="s">
        <v>349</v>
      </c>
      <c r="AA553" s="541"/>
      <c r="AB553" s="541"/>
      <c r="AC553" s="541"/>
      <c r="AD553" s="288" t="s">
        <v>347</v>
      </c>
      <c r="AE553" s="541"/>
      <c r="AF553" s="288" t="s">
        <v>812</v>
      </c>
      <c r="AG553" s="288" t="s">
        <v>348</v>
      </c>
      <c r="AH553" s="345"/>
      <c r="AI553" s="288" t="s">
        <v>358</v>
      </c>
      <c r="AJ553" s="448"/>
      <c r="AK553" s="448"/>
      <c r="AL553" s="345"/>
      <c r="AM553" s="345"/>
      <c r="AN553" s="345"/>
      <c r="AO553" s="345"/>
      <c r="AP553" s="345"/>
      <c r="AQ553" s="345"/>
      <c r="AR553" s="345"/>
      <c r="AS553" s="448"/>
      <c r="AT553" s="448"/>
      <c r="AU553" s="448"/>
      <c r="AV553" s="448"/>
      <c r="AW553" s="448"/>
      <c r="AX553" s="345" t="s">
        <v>1019</v>
      </c>
      <c r="AY553" s="448"/>
      <c r="AZ553" s="448"/>
      <c r="BA553" s="499">
        <v>1</v>
      </c>
      <c r="BB553" s="499">
        <v>1</v>
      </c>
      <c r="BC553" s="499">
        <v>1</v>
      </c>
      <c r="BD553" s="499">
        <v>1</v>
      </c>
      <c r="BE553" s="499">
        <v>1</v>
      </c>
      <c r="BF553" s="448"/>
      <c r="BG553" s="448"/>
      <c r="BH553" s="345" t="s">
        <v>1018</v>
      </c>
      <c r="BI553" s="499"/>
      <c r="BJ553" s="499"/>
      <c r="BK553" s="345" t="s">
        <v>1018</v>
      </c>
      <c r="BL553" s="499"/>
      <c r="BM553" s="499"/>
      <c r="BN553" s="499"/>
      <c r="BO553" s="575">
        <f t="shared" si="15"/>
        <v>120</v>
      </c>
      <c r="BP553" s="575">
        <f t="shared" si="15"/>
        <v>10</v>
      </c>
      <c r="BQ553" s="575"/>
      <c r="BR553" s="575"/>
      <c r="BS553" s="575"/>
    </row>
    <row r="554" spans="1:71" ht="14.5" x14ac:dyDescent="0.35">
      <c r="A554" s="579" t="str">
        <f t="shared" si="14"/>
        <v>Paquete infinitum Entretenimiento+ 200  (Netflix 4 dispositivos)Residencial</v>
      </c>
      <c r="B554" s="129">
        <v>84</v>
      </c>
      <c r="C554" s="434" t="s">
        <v>1111</v>
      </c>
      <c r="D554" s="340" t="s">
        <v>240</v>
      </c>
      <c r="E554" s="340" t="s">
        <v>243</v>
      </c>
      <c r="F554" s="506">
        <v>789.11</v>
      </c>
      <c r="G554" s="506">
        <v>929</v>
      </c>
      <c r="H554" s="345">
        <v>2</v>
      </c>
      <c r="I554" s="288" t="s">
        <v>355</v>
      </c>
      <c r="J554" s="288" t="s">
        <v>355</v>
      </c>
      <c r="K554" s="288" t="s">
        <v>356</v>
      </c>
      <c r="L554" s="288" t="s">
        <v>356</v>
      </c>
      <c r="M554" s="288">
        <v>5</v>
      </c>
      <c r="N554" s="288" t="s">
        <v>911</v>
      </c>
      <c r="O554" s="288" t="s">
        <v>359</v>
      </c>
      <c r="P554" s="288" t="s">
        <v>354</v>
      </c>
      <c r="Q554" s="501" t="s">
        <v>1040</v>
      </c>
      <c r="R554" s="345" t="s">
        <v>1227</v>
      </c>
      <c r="S554" s="345" t="s">
        <v>1231</v>
      </c>
      <c r="T554" s="345" t="s">
        <v>354</v>
      </c>
      <c r="U554" s="345">
        <v>4</v>
      </c>
      <c r="V554" s="288" t="s">
        <v>974</v>
      </c>
      <c r="W554" s="345"/>
      <c r="X554" s="345" t="s">
        <v>1019</v>
      </c>
      <c r="Y554" s="288" t="s">
        <v>910</v>
      </c>
      <c r="Z554" s="288" t="s">
        <v>349</v>
      </c>
      <c r="AA554" s="541"/>
      <c r="AB554" s="541"/>
      <c r="AC554" s="541"/>
      <c r="AD554" s="288" t="s">
        <v>347</v>
      </c>
      <c r="AE554" s="541"/>
      <c r="AF554" s="288" t="s">
        <v>812</v>
      </c>
      <c r="AG554" s="288" t="s">
        <v>348</v>
      </c>
      <c r="AH554" s="345"/>
      <c r="AI554" s="288" t="s">
        <v>358</v>
      </c>
      <c r="AJ554" s="448"/>
      <c r="AK554" s="448"/>
      <c r="AL554" s="345"/>
      <c r="AM554" s="345"/>
      <c r="AN554" s="345"/>
      <c r="AO554" s="345"/>
      <c r="AP554" s="345"/>
      <c r="AQ554" s="345"/>
      <c r="AR554" s="345"/>
      <c r="AS554" s="448"/>
      <c r="AT554" s="448"/>
      <c r="AU554" s="448"/>
      <c r="AV554" s="448"/>
      <c r="AW554" s="448"/>
      <c r="AX554" s="345" t="s">
        <v>1019</v>
      </c>
      <c r="AY554" s="448"/>
      <c r="AZ554" s="448"/>
      <c r="BA554" s="499">
        <v>1</v>
      </c>
      <c r="BB554" s="499">
        <v>1</v>
      </c>
      <c r="BC554" s="499">
        <v>1</v>
      </c>
      <c r="BD554" s="499">
        <v>1</v>
      </c>
      <c r="BE554" s="499">
        <v>1</v>
      </c>
      <c r="BF554" s="448"/>
      <c r="BG554" s="448"/>
      <c r="BH554" s="345" t="s">
        <v>1018</v>
      </c>
      <c r="BI554" s="499"/>
      <c r="BJ554" s="499"/>
      <c r="BK554" s="345" t="s">
        <v>1018</v>
      </c>
      <c r="BL554" s="499"/>
      <c r="BM554" s="499"/>
      <c r="BN554" s="499"/>
      <c r="BO554" s="575">
        <f t="shared" si="15"/>
        <v>200</v>
      </c>
      <c r="BP554" s="575">
        <f t="shared" si="15"/>
        <v>50</v>
      </c>
      <c r="BQ554" s="575">
        <f t="shared" si="20"/>
        <v>6</v>
      </c>
      <c r="BR554" s="575">
        <f t="shared" ref="BR554" si="23">LEFT(S554,FIND(" ",S554))*1</f>
        <v>250</v>
      </c>
      <c r="BS554" s="575">
        <f t="shared" ref="BS554" si="24">LEFT(T554,FIND(" ",T554))*1</f>
        <v>50</v>
      </c>
    </row>
    <row r="555" spans="1:71" ht="14.5" x14ac:dyDescent="0.35">
      <c r="A555" s="579" t="str">
        <f t="shared" si="14"/>
        <v>Paquete infinitum Entretenimiento+ 200  (Netflix 2 dispositivos)Residencial</v>
      </c>
      <c r="B555" s="129">
        <v>85</v>
      </c>
      <c r="C555" s="434" t="s">
        <v>1112</v>
      </c>
      <c r="D555" s="340" t="s">
        <v>240</v>
      </c>
      <c r="E555" s="340" t="s">
        <v>243</v>
      </c>
      <c r="F555" s="506">
        <v>746.49</v>
      </c>
      <c r="G555" s="506">
        <v>880</v>
      </c>
      <c r="H555" s="345">
        <v>2</v>
      </c>
      <c r="I555" s="288" t="s">
        <v>355</v>
      </c>
      <c r="J555" s="288" t="s">
        <v>355</v>
      </c>
      <c r="K555" s="288" t="s">
        <v>356</v>
      </c>
      <c r="L555" s="288" t="s">
        <v>356</v>
      </c>
      <c r="M555" s="288">
        <v>5</v>
      </c>
      <c r="N555" s="288" t="s">
        <v>911</v>
      </c>
      <c r="O555" s="288" t="s">
        <v>359</v>
      </c>
      <c r="P555" s="288" t="s">
        <v>354</v>
      </c>
      <c r="Q555" s="501" t="s">
        <v>1018</v>
      </c>
      <c r="R555" s="345"/>
      <c r="S555" s="345"/>
      <c r="T555" s="345"/>
      <c r="U555" s="345">
        <v>2</v>
      </c>
      <c r="V555" s="288" t="s">
        <v>974</v>
      </c>
      <c r="W555" s="345"/>
      <c r="X555" s="345" t="s">
        <v>1019</v>
      </c>
      <c r="Y555" s="288" t="s">
        <v>910</v>
      </c>
      <c r="Z555" s="288" t="s">
        <v>349</v>
      </c>
      <c r="AA555" s="541"/>
      <c r="AB555" s="541"/>
      <c r="AC555" s="541"/>
      <c r="AD555" s="288" t="s">
        <v>347</v>
      </c>
      <c r="AE555" s="541"/>
      <c r="AF555" s="288" t="s">
        <v>812</v>
      </c>
      <c r="AG555" s="288" t="s">
        <v>348</v>
      </c>
      <c r="AH555" s="345"/>
      <c r="AI555" s="288" t="s">
        <v>358</v>
      </c>
      <c r="AJ555" s="448"/>
      <c r="AK555" s="448"/>
      <c r="AL555" s="345"/>
      <c r="AM555" s="345"/>
      <c r="AN555" s="345"/>
      <c r="AO555" s="345"/>
      <c r="AP555" s="345"/>
      <c r="AQ555" s="345"/>
      <c r="AR555" s="345"/>
      <c r="AS555" s="448"/>
      <c r="AT555" s="448"/>
      <c r="AU555" s="448"/>
      <c r="AV555" s="448"/>
      <c r="AW555" s="448"/>
      <c r="AX555" s="345" t="s">
        <v>1019</v>
      </c>
      <c r="AY555" s="448"/>
      <c r="AZ555" s="499">
        <v>1</v>
      </c>
      <c r="BA555" s="448"/>
      <c r="BB555" s="499">
        <v>1</v>
      </c>
      <c r="BC555" s="499">
        <v>1</v>
      </c>
      <c r="BD555" s="499">
        <v>1</v>
      </c>
      <c r="BE555" s="499">
        <v>1</v>
      </c>
      <c r="BF555" s="448"/>
      <c r="BG555" s="448"/>
      <c r="BH555" s="345" t="s">
        <v>1018</v>
      </c>
      <c r="BI555" s="499"/>
      <c r="BJ555" s="499"/>
      <c r="BK555" s="345" t="s">
        <v>1018</v>
      </c>
      <c r="BL555" s="499"/>
      <c r="BM555" s="499"/>
      <c r="BN555" s="499"/>
      <c r="BO555" s="575">
        <f t="shared" si="15"/>
        <v>200</v>
      </c>
      <c r="BP555" s="575">
        <f t="shared" si="15"/>
        <v>50</v>
      </c>
      <c r="BQ555" s="575"/>
      <c r="BR555" s="575"/>
      <c r="BS555" s="575"/>
    </row>
    <row r="556" spans="1:71" ht="14.5" x14ac:dyDescent="0.35">
      <c r="A556" s="579" t="str">
        <f t="shared" si="14"/>
        <v>Paquete infinitum Entretenimiento+ 500 (Netflix 4 dispositivos)Residencial</v>
      </c>
      <c r="B556" s="129">
        <v>86</v>
      </c>
      <c r="C556" s="434" t="s">
        <v>1113</v>
      </c>
      <c r="D556" s="340" t="s">
        <v>240</v>
      </c>
      <c r="E556" s="340" t="s">
        <v>243</v>
      </c>
      <c r="F556" s="506">
        <v>1231.28</v>
      </c>
      <c r="G556" s="506">
        <v>1452</v>
      </c>
      <c r="H556" s="345">
        <v>3</v>
      </c>
      <c r="I556" s="288" t="s">
        <v>355</v>
      </c>
      <c r="J556" s="288" t="s">
        <v>355</v>
      </c>
      <c r="K556" s="288" t="s">
        <v>356</v>
      </c>
      <c r="L556" s="288" t="s">
        <v>356</v>
      </c>
      <c r="M556" s="288">
        <v>5</v>
      </c>
      <c r="N556" s="288" t="s">
        <v>911</v>
      </c>
      <c r="O556" s="288" t="s">
        <v>1221</v>
      </c>
      <c r="P556" s="288" t="s">
        <v>354</v>
      </c>
      <c r="Q556" s="501" t="s">
        <v>1018</v>
      </c>
      <c r="R556" s="345"/>
      <c r="S556" s="345"/>
      <c r="T556" s="345"/>
      <c r="U556" s="345">
        <v>4</v>
      </c>
      <c r="V556" s="288" t="s">
        <v>974</v>
      </c>
      <c r="W556" s="345"/>
      <c r="X556" s="345" t="s">
        <v>1019</v>
      </c>
      <c r="Y556" s="288" t="s">
        <v>910</v>
      </c>
      <c r="Z556" s="288" t="s">
        <v>349</v>
      </c>
      <c r="AA556" s="541"/>
      <c r="AB556" s="541"/>
      <c r="AC556" s="541"/>
      <c r="AD556" s="288" t="s">
        <v>347</v>
      </c>
      <c r="AE556" s="541"/>
      <c r="AF556" s="288" t="s">
        <v>812</v>
      </c>
      <c r="AG556" s="288" t="s">
        <v>348</v>
      </c>
      <c r="AH556" s="345"/>
      <c r="AI556" s="288" t="s">
        <v>358</v>
      </c>
      <c r="AJ556" s="448"/>
      <c r="AK556" s="448"/>
      <c r="AL556" s="345"/>
      <c r="AM556" s="345"/>
      <c r="AN556" s="345"/>
      <c r="AO556" s="345"/>
      <c r="AP556" s="345"/>
      <c r="AQ556" s="345"/>
      <c r="AR556" s="345"/>
      <c r="AS556" s="448"/>
      <c r="AT556" s="448"/>
      <c r="AU556" s="448"/>
      <c r="AV556" s="448"/>
      <c r="AW556" s="448"/>
      <c r="AX556" s="345" t="s">
        <v>1019</v>
      </c>
      <c r="AY556" s="448"/>
      <c r="AZ556" s="448"/>
      <c r="BA556" s="499">
        <v>1</v>
      </c>
      <c r="BB556" s="499">
        <v>1</v>
      </c>
      <c r="BC556" s="499">
        <v>1</v>
      </c>
      <c r="BD556" s="499">
        <v>1</v>
      </c>
      <c r="BE556" s="499">
        <v>1</v>
      </c>
      <c r="BF556" s="448"/>
      <c r="BG556" s="448"/>
      <c r="BH556" s="345" t="s">
        <v>1018</v>
      </c>
      <c r="BI556" s="499"/>
      <c r="BJ556" s="499"/>
      <c r="BK556" s="345" t="s">
        <v>1018</v>
      </c>
      <c r="BL556" s="499"/>
      <c r="BM556" s="499"/>
      <c r="BN556" s="499"/>
      <c r="BO556" s="575">
        <f t="shared" si="15"/>
        <v>500</v>
      </c>
      <c r="BP556" s="575">
        <f t="shared" si="15"/>
        <v>50</v>
      </c>
      <c r="BQ556" s="575"/>
      <c r="BR556" s="575"/>
      <c r="BS556" s="575"/>
    </row>
    <row r="557" spans="1:71" ht="14.5" x14ac:dyDescent="0.35">
      <c r="A557" s="579" t="str">
        <f t="shared" si="14"/>
        <v>Paquete infinitum Entretenimiento+ 500  (Netflix 2 dispositivos)Residencial</v>
      </c>
      <c r="B557" s="129">
        <v>87</v>
      </c>
      <c r="C557" s="434" t="s">
        <v>1114</v>
      </c>
      <c r="D557" s="340" t="s">
        <v>240</v>
      </c>
      <c r="E557" s="340" t="s">
        <v>243</v>
      </c>
      <c r="F557" s="506">
        <v>1183.42</v>
      </c>
      <c r="G557" s="506">
        <v>1397</v>
      </c>
      <c r="H557" s="345">
        <v>3</v>
      </c>
      <c r="I557" s="288" t="s">
        <v>355</v>
      </c>
      <c r="J557" s="288" t="s">
        <v>355</v>
      </c>
      <c r="K557" s="288" t="s">
        <v>356</v>
      </c>
      <c r="L557" s="288" t="s">
        <v>356</v>
      </c>
      <c r="M557" s="288">
        <v>5</v>
      </c>
      <c r="N557" s="288" t="s">
        <v>911</v>
      </c>
      <c r="O557" s="288" t="s">
        <v>1221</v>
      </c>
      <c r="P557" s="288" t="s">
        <v>354</v>
      </c>
      <c r="Q557" s="501" t="s">
        <v>1018</v>
      </c>
      <c r="R557" s="345"/>
      <c r="S557" s="345"/>
      <c r="T557" s="345"/>
      <c r="U557" s="345">
        <v>2</v>
      </c>
      <c r="V557" s="288" t="s">
        <v>974</v>
      </c>
      <c r="W557" s="345"/>
      <c r="X557" s="345" t="s">
        <v>1019</v>
      </c>
      <c r="Y557" s="288" t="s">
        <v>910</v>
      </c>
      <c r="Z557" s="288" t="s">
        <v>349</v>
      </c>
      <c r="AA557" s="541"/>
      <c r="AB557" s="541"/>
      <c r="AC557" s="541"/>
      <c r="AD557" s="288" t="s">
        <v>347</v>
      </c>
      <c r="AE557" s="541"/>
      <c r="AF557" s="288" t="s">
        <v>812</v>
      </c>
      <c r="AG557" s="288" t="s">
        <v>348</v>
      </c>
      <c r="AH557" s="345"/>
      <c r="AI557" s="288" t="s">
        <v>358</v>
      </c>
      <c r="AJ557" s="448"/>
      <c r="AK557" s="448"/>
      <c r="AL557" s="345"/>
      <c r="AM557" s="345"/>
      <c r="AN557" s="345"/>
      <c r="AO557" s="345"/>
      <c r="AP557" s="345"/>
      <c r="AQ557" s="345"/>
      <c r="AR557" s="345"/>
      <c r="AS557" s="448"/>
      <c r="AT557" s="448"/>
      <c r="AU557" s="448"/>
      <c r="AV557" s="448"/>
      <c r="AW557" s="448"/>
      <c r="AX557" s="345" t="s">
        <v>1019</v>
      </c>
      <c r="AY557" s="448"/>
      <c r="AZ557" s="499">
        <v>1</v>
      </c>
      <c r="BA557" s="448"/>
      <c r="BB557" s="499">
        <v>1</v>
      </c>
      <c r="BC557" s="499">
        <v>1</v>
      </c>
      <c r="BD557" s="499">
        <v>1</v>
      </c>
      <c r="BE557" s="499">
        <v>1</v>
      </c>
      <c r="BF557" s="448"/>
      <c r="BG557" s="448"/>
      <c r="BH557" s="345" t="s">
        <v>1018</v>
      </c>
      <c r="BI557" s="499"/>
      <c r="BJ557" s="499"/>
      <c r="BK557" s="345" t="s">
        <v>1018</v>
      </c>
      <c r="BL557" s="499"/>
      <c r="BM557" s="499"/>
      <c r="BN557" s="499"/>
      <c r="BO557" s="575">
        <f t="shared" si="15"/>
        <v>500</v>
      </c>
      <c r="BP557" s="575">
        <f t="shared" si="15"/>
        <v>50</v>
      </c>
      <c r="BQ557" s="575"/>
      <c r="BR557" s="575"/>
      <c r="BS557" s="575"/>
    </row>
    <row r="558" spans="1:71" ht="14.5" x14ac:dyDescent="0.35">
      <c r="A558" s="579" t="str">
        <f t="shared" si="14"/>
        <v>Infinitum Entretenimiento +30   (Netflix 1 dispositivo)Residencial</v>
      </c>
      <c r="B558" s="129">
        <v>88</v>
      </c>
      <c r="C558" s="434" t="s">
        <v>1115</v>
      </c>
      <c r="D558" s="340" t="s">
        <v>240</v>
      </c>
      <c r="E558" s="340" t="s">
        <v>241</v>
      </c>
      <c r="F558" s="506">
        <v>425.86</v>
      </c>
      <c r="G558" s="506">
        <v>494</v>
      </c>
      <c r="H558" s="541"/>
      <c r="I558" s="541"/>
      <c r="J558" s="541"/>
      <c r="K558" s="541"/>
      <c r="L558" s="541"/>
      <c r="M558" s="541"/>
      <c r="N558" s="541"/>
      <c r="O558" s="288" t="s">
        <v>362</v>
      </c>
      <c r="P558" s="288" t="s">
        <v>360</v>
      </c>
      <c r="Q558" s="501" t="s">
        <v>1040</v>
      </c>
      <c r="R558" s="345" t="s">
        <v>1222</v>
      </c>
      <c r="S558" s="345" t="s">
        <v>813</v>
      </c>
      <c r="T558" s="345" t="s">
        <v>360</v>
      </c>
      <c r="U558" s="345">
        <v>1</v>
      </c>
      <c r="V558" s="288" t="s">
        <v>974</v>
      </c>
      <c r="W558" s="345"/>
      <c r="X558" s="345" t="s">
        <v>1019</v>
      </c>
      <c r="Y558" s="288" t="s">
        <v>910</v>
      </c>
      <c r="Z558" s="288" t="s">
        <v>349</v>
      </c>
      <c r="AA558" s="541"/>
      <c r="AB558" s="541"/>
      <c r="AC558" s="541"/>
      <c r="AD558" s="288" t="s">
        <v>347</v>
      </c>
      <c r="AE558" s="541"/>
      <c r="AF558" s="288" t="s">
        <v>812</v>
      </c>
      <c r="AG558" s="288" t="s">
        <v>348</v>
      </c>
      <c r="AH558" s="345"/>
      <c r="AI558" s="288" t="s">
        <v>358</v>
      </c>
      <c r="AJ558" s="448"/>
      <c r="AK558" s="448"/>
      <c r="AL558" s="345"/>
      <c r="AM558" s="345"/>
      <c r="AN558" s="345"/>
      <c r="AO558" s="345"/>
      <c r="AP558" s="345"/>
      <c r="AQ558" s="345"/>
      <c r="AR558" s="345"/>
      <c r="AS558" s="448"/>
      <c r="AT558" s="448"/>
      <c r="AU558" s="448"/>
      <c r="AV558" s="448"/>
      <c r="AW558" s="448"/>
      <c r="AX558" s="345" t="s">
        <v>1019</v>
      </c>
      <c r="AY558" s="499">
        <v>1</v>
      </c>
      <c r="AZ558" s="448"/>
      <c r="BA558" s="448"/>
      <c r="BB558" s="499">
        <v>1</v>
      </c>
      <c r="BC558" s="499">
        <v>1</v>
      </c>
      <c r="BD558" s="499">
        <v>1</v>
      </c>
      <c r="BE558" s="499">
        <v>1</v>
      </c>
      <c r="BF558" s="448"/>
      <c r="BG558" s="448"/>
      <c r="BH558" s="345" t="s">
        <v>1018</v>
      </c>
      <c r="BI558" s="499"/>
      <c r="BJ558" s="499"/>
      <c r="BK558" s="345" t="s">
        <v>1018</v>
      </c>
      <c r="BL558" s="499"/>
      <c r="BM558" s="499"/>
      <c r="BN558" s="499"/>
      <c r="BO558" s="575">
        <f t="shared" si="15"/>
        <v>30</v>
      </c>
      <c r="BP558" s="575">
        <f t="shared" si="15"/>
        <v>5</v>
      </c>
      <c r="BQ558" s="575">
        <f>LEFT(R558,FIND(" ",R558))*1</f>
        <v>18</v>
      </c>
      <c r="BR558" s="575">
        <f t="shared" ref="BR558:BS560" si="25">LEFT(S558,FIND(" ",S558))*1</f>
        <v>60</v>
      </c>
      <c r="BS558" s="575">
        <f t="shared" si="25"/>
        <v>5</v>
      </c>
    </row>
    <row r="559" spans="1:71" ht="14.5" x14ac:dyDescent="0.35">
      <c r="A559" s="579" t="str">
        <f t="shared" si="14"/>
        <v>Infinitum Entretenimiento +30   (Netflix 2 dispositivos)Residencial</v>
      </c>
      <c r="B559" s="129">
        <v>89</v>
      </c>
      <c r="C559" s="434" t="s">
        <v>1116</v>
      </c>
      <c r="D559" s="340" t="s">
        <v>240</v>
      </c>
      <c r="E559" s="340" t="s">
        <v>241</v>
      </c>
      <c r="F559" s="506">
        <v>493.1</v>
      </c>
      <c r="G559" s="506">
        <v>572</v>
      </c>
      <c r="H559" s="541"/>
      <c r="I559" s="541"/>
      <c r="J559" s="541"/>
      <c r="K559" s="541"/>
      <c r="L559" s="541"/>
      <c r="M559" s="541"/>
      <c r="N559" s="541"/>
      <c r="O559" s="288" t="s">
        <v>362</v>
      </c>
      <c r="P559" s="288" t="s">
        <v>360</v>
      </c>
      <c r="Q559" s="501" t="s">
        <v>1040</v>
      </c>
      <c r="R559" s="345" t="s">
        <v>1222</v>
      </c>
      <c r="S559" s="345" t="s">
        <v>813</v>
      </c>
      <c r="T559" s="345" t="s">
        <v>360</v>
      </c>
      <c r="U559" s="345">
        <v>2</v>
      </c>
      <c r="V559" s="288" t="s">
        <v>974</v>
      </c>
      <c r="W559" s="345"/>
      <c r="X559" s="345" t="s">
        <v>1019</v>
      </c>
      <c r="Y559" s="288" t="s">
        <v>910</v>
      </c>
      <c r="Z559" s="288" t="s">
        <v>349</v>
      </c>
      <c r="AA559" s="541"/>
      <c r="AB559" s="541"/>
      <c r="AC559" s="541"/>
      <c r="AD559" s="288" t="s">
        <v>347</v>
      </c>
      <c r="AE559" s="541"/>
      <c r="AF559" s="288" t="s">
        <v>812</v>
      </c>
      <c r="AG559" s="288" t="s">
        <v>348</v>
      </c>
      <c r="AH559" s="345"/>
      <c r="AI559" s="288" t="s">
        <v>358</v>
      </c>
      <c r="AJ559" s="448"/>
      <c r="AK559" s="448"/>
      <c r="AL559" s="345"/>
      <c r="AM559" s="345"/>
      <c r="AN559" s="345"/>
      <c r="AO559" s="345"/>
      <c r="AP559" s="345"/>
      <c r="AQ559" s="345"/>
      <c r="AR559" s="345"/>
      <c r="AS559" s="448"/>
      <c r="AT559" s="448"/>
      <c r="AU559" s="448"/>
      <c r="AV559" s="448"/>
      <c r="AW559" s="448"/>
      <c r="AX559" s="345" t="s">
        <v>1019</v>
      </c>
      <c r="AY559" s="448"/>
      <c r="AZ559" s="499">
        <v>1</v>
      </c>
      <c r="BA559" s="448"/>
      <c r="BB559" s="499">
        <v>1</v>
      </c>
      <c r="BC559" s="499">
        <v>1</v>
      </c>
      <c r="BD559" s="499">
        <v>1</v>
      </c>
      <c r="BE559" s="499">
        <v>1</v>
      </c>
      <c r="BF559" s="448"/>
      <c r="BG559" s="448"/>
      <c r="BH559" s="345" t="s">
        <v>1018</v>
      </c>
      <c r="BI559" s="499"/>
      <c r="BJ559" s="499"/>
      <c r="BK559" s="345" t="s">
        <v>1018</v>
      </c>
      <c r="BL559" s="499"/>
      <c r="BM559" s="499"/>
      <c r="BN559" s="499"/>
      <c r="BO559" s="575">
        <f t="shared" si="15"/>
        <v>30</v>
      </c>
      <c r="BP559" s="575">
        <f t="shared" si="15"/>
        <v>5</v>
      </c>
      <c r="BQ559" s="575">
        <f t="shared" ref="BQ559:BQ580" si="26">LEFT(R559,FIND(" ",R559))*1</f>
        <v>18</v>
      </c>
      <c r="BR559" s="575">
        <f t="shared" si="25"/>
        <v>60</v>
      </c>
      <c r="BS559" s="575">
        <f t="shared" si="25"/>
        <v>5</v>
      </c>
    </row>
    <row r="560" spans="1:71" ht="14.5" x14ac:dyDescent="0.35">
      <c r="A560" s="579" t="str">
        <f t="shared" si="14"/>
        <v>Infinitum Entretenimiento +30   (Netflix 4 dispositivos)Residencial</v>
      </c>
      <c r="B560" s="129">
        <v>90</v>
      </c>
      <c r="C560" s="434" t="s">
        <v>1117</v>
      </c>
      <c r="D560" s="340" t="s">
        <v>240</v>
      </c>
      <c r="E560" s="340" t="s">
        <v>241</v>
      </c>
      <c r="F560" s="506">
        <v>562.07000000000005</v>
      </c>
      <c r="G560" s="506">
        <v>652</v>
      </c>
      <c r="H560" s="541"/>
      <c r="I560" s="541"/>
      <c r="J560" s="541"/>
      <c r="K560" s="541"/>
      <c r="L560" s="541"/>
      <c r="M560" s="541"/>
      <c r="N560" s="541"/>
      <c r="O560" s="288" t="s">
        <v>362</v>
      </c>
      <c r="P560" s="288" t="s">
        <v>360</v>
      </c>
      <c r="Q560" s="501" t="s">
        <v>1040</v>
      </c>
      <c r="R560" s="345" t="s">
        <v>1222</v>
      </c>
      <c r="S560" s="345" t="s">
        <v>813</v>
      </c>
      <c r="T560" s="345" t="s">
        <v>360</v>
      </c>
      <c r="U560" s="345">
        <v>4</v>
      </c>
      <c r="V560" s="288" t="s">
        <v>974</v>
      </c>
      <c r="W560" s="345"/>
      <c r="X560" s="345" t="s">
        <v>1019</v>
      </c>
      <c r="Y560" s="288" t="s">
        <v>910</v>
      </c>
      <c r="Z560" s="288" t="s">
        <v>349</v>
      </c>
      <c r="AA560" s="541"/>
      <c r="AB560" s="541"/>
      <c r="AC560" s="541"/>
      <c r="AD560" s="288" t="s">
        <v>347</v>
      </c>
      <c r="AE560" s="541"/>
      <c r="AF560" s="288" t="s">
        <v>812</v>
      </c>
      <c r="AG560" s="288" t="s">
        <v>348</v>
      </c>
      <c r="AH560" s="345"/>
      <c r="AI560" s="288" t="s">
        <v>358</v>
      </c>
      <c r="AJ560" s="448"/>
      <c r="AK560" s="448"/>
      <c r="AL560" s="345"/>
      <c r="AM560" s="345"/>
      <c r="AN560" s="345"/>
      <c r="AO560" s="345"/>
      <c r="AP560" s="345"/>
      <c r="AQ560" s="345"/>
      <c r="AR560" s="345"/>
      <c r="AS560" s="448"/>
      <c r="AT560" s="448"/>
      <c r="AU560" s="448"/>
      <c r="AV560" s="448"/>
      <c r="AW560" s="448"/>
      <c r="AX560" s="345" t="s">
        <v>1019</v>
      </c>
      <c r="AY560" s="448"/>
      <c r="AZ560" s="448"/>
      <c r="BA560" s="499">
        <v>1</v>
      </c>
      <c r="BB560" s="499">
        <v>1</v>
      </c>
      <c r="BC560" s="499">
        <v>1</v>
      </c>
      <c r="BD560" s="499">
        <v>1</v>
      </c>
      <c r="BE560" s="499">
        <v>1</v>
      </c>
      <c r="BF560" s="448"/>
      <c r="BG560" s="448"/>
      <c r="BH560" s="345" t="s">
        <v>1018</v>
      </c>
      <c r="BI560" s="499"/>
      <c r="BJ560" s="499"/>
      <c r="BK560" s="345" t="s">
        <v>1018</v>
      </c>
      <c r="BL560" s="499"/>
      <c r="BM560" s="499"/>
      <c r="BN560" s="499"/>
      <c r="BO560" s="575">
        <f t="shared" si="15"/>
        <v>30</v>
      </c>
      <c r="BP560" s="575">
        <f t="shared" si="15"/>
        <v>5</v>
      </c>
      <c r="BQ560" s="575">
        <f t="shared" si="26"/>
        <v>18</v>
      </c>
      <c r="BR560" s="575">
        <f t="shared" si="25"/>
        <v>60</v>
      </c>
      <c r="BS560" s="575">
        <f t="shared" si="25"/>
        <v>5</v>
      </c>
    </row>
    <row r="561" spans="1:71" ht="14.5" x14ac:dyDescent="0.35">
      <c r="A561" s="579" t="str">
        <f t="shared" si="14"/>
        <v>Infinitum Entretenimiento+ 70  (Netflix 2 dispositivos)Residencial</v>
      </c>
      <c r="B561" s="129">
        <v>91</v>
      </c>
      <c r="C561" s="434" t="s">
        <v>1118</v>
      </c>
      <c r="D561" s="340" t="s">
        <v>240</v>
      </c>
      <c r="E561" s="340" t="s">
        <v>241</v>
      </c>
      <c r="F561" s="506">
        <v>531.89</v>
      </c>
      <c r="G561" s="506">
        <v>617</v>
      </c>
      <c r="H561" s="541"/>
      <c r="I561" s="541"/>
      <c r="J561" s="541"/>
      <c r="K561" s="541"/>
      <c r="L561" s="541"/>
      <c r="M561" s="541"/>
      <c r="N561" s="541"/>
      <c r="O561" s="288" t="s">
        <v>1229</v>
      </c>
      <c r="P561" s="288" t="s">
        <v>912</v>
      </c>
      <c r="Q561" s="501" t="s">
        <v>1018</v>
      </c>
      <c r="R561" s="345"/>
      <c r="S561" s="345"/>
      <c r="T561" s="345"/>
      <c r="U561" s="345">
        <v>2</v>
      </c>
      <c r="V561" s="288" t="s">
        <v>974</v>
      </c>
      <c r="W561" s="345"/>
      <c r="X561" s="345" t="s">
        <v>1019</v>
      </c>
      <c r="Y561" s="288" t="s">
        <v>910</v>
      </c>
      <c r="Z561" s="288" t="s">
        <v>349</v>
      </c>
      <c r="AA561" s="541"/>
      <c r="AB561" s="541"/>
      <c r="AC561" s="541"/>
      <c r="AD561" s="288" t="s">
        <v>347</v>
      </c>
      <c r="AE561" s="541"/>
      <c r="AF561" s="288" t="s">
        <v>812</v>
      </c>
      <c r="AG561" s="288" t="s">
        <v>348</v>
      </c>
      <c r="AH561" s="345"/>
      <c r="AI561" s="288" t="s">
        <v>358</v>
      </c>
      <c r="AJ561" s="448"/>
      <c r="AK561" s="448"/>
      <c r="AL561" s="345"/>
      <c r="AM561" s="345"/>
      <c r="AN561" s="345"/>
      <c r="AO561" s="345"/>
      <c r="AP561" s="345"/>
      <c r="AQ561" s="345"/>
      <c r="AR561" s="345"/>
      <c r="AS561" s="448"/>
      <c r="AT561" s="448"/>
      <c r="AU561" s="448"/>
      <c r="AV561" s="448"/>
      <c r="AW561" s="448"/>
      <c r="AX561" s="345" t="s">
        <v>1019</v>
      </c>
      <c r="AY561" s="448"/>
      <c r="AZ561" s="499">
        <v>1</v>
      </c>
      <c r="BA561" s="448"/>
      <c r="BB561" s="499">
        <v>1</v>
      </c>
      <c r="BC561" s="499">
        <v>1</v>
      </c>
      <c r="BD561" s="499">
        <v>1</v>
      </c>
      <c r="BE561" s="499">
        <v>1</v>
      </c>
      <c r="BF561" s="448"/>
      <c r="BG561" s="448"/>
      <c r="BH561" s="345" t="s">
        <v>1018</v>
      </c>
      <c r="BI561" s="499"/>
      <c r="BJ561" s="499"/>
      <c r="BK561" s="345" t="s">
        <v>1018</v>
      </c>
      <c r="BL561" s="499"/>
      <c r="BM561" s="499"/>
      <c r="BN561" s="499"/>
      <c r="BO561" s="575">
        <f t="shared" si="15"/>
        <v>70</v>
      </c>
      <c r="BP561" s="575">
        <f t="shared" si="15"/>
        <v>5</v>
      </c>
      <c r="BQ561" s="575"/>
      <c r="BR561" s="575"/>
      <c r="BS561" s="575"/>
    </row>
    <row r="562" spans="1:71" ht="18.75" customHeight="1" x14ac:dyDescent="0.35">
      <c r="A562" s="579" t="str">
        <f t="shared" si="14"/>
        <v>Infinitum Entretenimiento+ 70  (Netflix 4 dispositivos)Residencial</v>
      </c>
      <c r="B562" s="129">
        <v>92</v>
      </c>
      <c r="C562" s="434" t="s">
        <v>1119</v>
      </c>
      <c r="D562" s="340" t="s">
        <v>240</v>
      </c>
      <c r="E562" s="340" t="s">
        <v>241</v>
      </c>
      <c r="F562" s="506">
        <v>600.86</v>
      </c>
      <c r="G562" s="506">
        <v>697</v>
      </c>
      <c r="H562" s="541"/>
      <c r="I562" s="541"/>
      <c r="J562" s="541"/>
      <c r="K562" s="541"/>
      <c r="L562" s="541"/>
      <c r="M562" s="541"/>
      <c r="N562" s="541"/>
      <c r="O562" s="288" t="s">
        <v>1229</v>
      </c>
      <c r="P562" s="288" t="s">
        <v>912</v>
      </c>
      <c r="Q562" s="501" t="s">
        <v>1018</v>
      </c>
      <c r="R562" s="345"/>
      <c r="S562" s="345"/>
      <c r="T562" s="345"/>
      <c r="U562" s="345">
        <v>4</v>
      </c>
      <c r="V562" s="288" t="s">
        <v>974</v>
      </c>
      <c r="W562" s="345"/>
      <c r="X562" s="345" t="s">
        <v>1019</v>
      </c>
      <c r="Y562" s="288" t="s">
        <v>910</v>
      </c>
      <c r="Z562" s="288" t="s">
        <v>349</v>
      </c>
      <c r="AA562" s="541"/>
      <c r="AB562" s="541"/>
      <c r="AC562" s="541"/>
      <c r="AD562" s="288" t="s">
        <v>347</v>
      </c>
      <c r="AE562" s="541"/>
      <c r="AF562" s="288" t="s">
        <v>812</v>
      </c>
      <c r="AG562" s="288" t="s">
        <v>348</v>
      </c>
      <c r="AH562" s="345"/>
      <c r="AI562" s="288" t="s">
        <v>358</v>
      </c>
      <c r="AJ562" s="448"/>
      <c r="AK562" s="448"/>
      <c r="AL562" s="345"/>
      <c r="AM562" s="345"/>
      <c r="AN562" s="345"/>
      <c r="AO562" s="345"/>
      <c r="AP562" s="345"/>
      <c r="AQ562" s="345"/>
      <c r="AR562" s="345"/>
      <c r="AS562" s="448"/>
      <c r="AT562" s="448"/>
      <c r="AU562" s="448"/>
      <c r="AV562" s="448"/>
      <c r="AW562" s="448"/>
      <c r="AX562" s="345" t="s">
        <v>1019</v>
      </c>
      <c r="AY562" s="448"/>
      <c r="AZ562" s="448"/>
      <c r="BA562" s="499">
        <v>1</v>
      </c>
      <c r="BB562" s="499">
        <v>1</v>
      </c>
      <c r="BC562" s="499">
        <v>1</v>
      </c>
      <c r="BD562" s="499">
        <v>1</v>
      </c>
      <c r="BE562" s="499">
        <v>1</v>
      </c>
      <c r="BF562" s="448"/>
      <c r="BG562" s="448"/>
      <c r="BH562" s="345" t="s">
        <v>1018</v>
      </c>
      <c r="BI562" s="499"/>
      <c r="BJ562" s="499"/>
      <c r="BK562" s="345" t="s">
        <v>1018</v>
      </c>
      <c r="BL562" s="499"/>
      <c r="BM562" s="499"/>
      <c r="BN562" s="499"/>
      <c r="BO562" s="575">
        <f t="shared" si="15"/>
        <v>70</v>
      </c>
      <c r="BP562" s="575">
        <f t="shared" si="15"/>
        <v>5</v>
      </c>
      <c r="BQ562" s="575"/>
      <c r="BR562" s="575"/>
      <c r="BS562" s="575"/>
    </row>
    <row r="563" spans="1:71" ht="14.5" x14ac:dyDescent="0.35">
      <c r="A563" s="579" t="str">
        <f t="shared" si="14"/>
        <v>Infinitum Entretenimiento+ 250  (Netflix 4 dispositivos)Residencial</v>
      </c>
      <c r="B563" s="129">
        <v>93</v>
      </c>
      <c r="C563" s="434" t="s">
        <v>1120</v>
      </c>
      <c r="D563" s="340" t="s">
        <v>240</v>
      </c>
      <c r="E563" s="340" t="s">
        <v>241</v>
      </c>
      <c r="F563" s="552">
        <v>786.21</v>
      </c>
      <c r="G563" s="552">
        <v>912</v>
      </c>
      <c r="H563" s="541"/>
      <c r="I563" s="541"/>
      <c r="J563" s="541"/>
      <c r="K563" s="541"/>
      <c r="L563" s="541"/>
      <c r="M563" s="541"/>
      <c r="N563" s="541"/>
      <c r="O563" s="288" t="s">
        <v>1231</v>
      </c>
      <c r="P563" s="288" t="s">
        <v>354</v>
      </c>
      <c r="Q563" s="501" t="s">
        <v>1018</v>
      </c>
      <c r="R563" s="345"/>
      <c r="S563" s="345"/>
      <c r="T563" s="345"/>
      <c r="U563" s="345">
        <v>4</v>
      </c>
      <c r="V563" s="288" t="s">
        <v>974</v>
      </c>
      <c r="W563" s="345"/>
      <c r="X563" s="345" t="s">
        <v>1019</v>
      </c>
      <c r="Y563" s="288" t="s">
        <v>910</v>
      </c>
      <c r="Z563" s="288" t="s">
        <v>349</v>
      </c>
      <c r="AA563" s="541"/>
      <c r="AB563" s="541"/>
      <c r="AC563" s="541"/>
      <c r="AD563" s="288" t="s">
        <v>347</v>
      </c>
      <c r="AE563" s="541"/>
      <c r="AF563" s="288" t="s">
        <v>812</v>
      </c>
      <c r="AG563" s="288" t="s">
        <v>348</v>
      </c>
      <c r="AH563" s="345"/>
      <c r="AI563" s="288" t="s">
        <v>358</v>
      </c>
      <c r="AJ563" s="448"/>
      <c r="AK563" s="448"/>
      <c r="AL563" s="345"/>
      <c r="AM563" s="345"/>
      <c r="AN563" s="345"/>
      <c r="AO563" s="345"/>
      <c r="AP563" s="345"/>
      <c r="AQ563" s="345"/>
      <c r="AR563" s="345"/>
      <c r="AS563" s="448"/>
      <c r="AT563" s="448"/>
      <c r="AU563" s="448"/>
      <c r="AV563" s="448"/>
      <c r="AW563" s="448"/>
      <c r="AX563" s="345" t="s">
        <v>1019</v>
      </c>
      <c r="AY563" s="448"/>
      <c r="AZ563" s="448"/>
      <c r="BA563" s="499">
        <v>1</v>
      </c>
      <c r="BB563" s="499">
        <v>1</v>
      </c>
      <c r="BC563" s="499">
        <v>1</v>
      </c>
      <c r="BD563" s="499">
        <v>1</v>
      </c>
      <c r="BE563" s="499">
        <v>1</v>
      </c>
      <c r="BF563" s="448"/>
      <c r="BG563" s="448"/>
      <c r="BH563" s="345" t="s">
        <v>1018</v>
      </c>
      <c r="BI563" s="499"/>
      <c r="BJ563" s="499"/>
      <c r="BK563" s="345" t="s">
        <v>1018</v>
      </c>
      <c r="BL563" s="499"/>
      <c r="BM563" s="499"/>
      <c r="BN563" s="499"/>
      <c r="BO563" s="575">
        <f t="shared" si="15"/>
        <v>250</v>
      </c>
      <c r="BP563" s="575">
        <f t="shared" si="15"/>
        <v>50</v>
      </c>
      <c r="BQ563" s="575"/>
      <c r="BR563" s="575"/>
      <c r="BS563" s="575"/>
    </row>
    <row r="564" spans="1:71" ht="14.5" x14ac:dyDescent="0.35">
      <c r="A564" s="579" t="str">
        <f t="shared" si="14"/>
        <v>Infinitum Entretenimiento+ 250  (Netflix 2 dispositivos)Residencial</v>
      </c>
      <c r="B564" s="129">
        <v>94</v>
      </c>
      <c r="C564" s="434" t="s">
        <v>1121</v>
      </c>
      <c r="D564" s="340" t="s">
        <v>240</v>
      </c>
      <c r="E564" s="340" t="s">
        <v>241</v>
      </c>
      <c r="F564" s="552">
        <v>735.34</v>
      </c>
      <c r="G564" s="552">
        <v>853</v>
      </c>
      <c r="H564" s="541"/>
      <c r="I564" s="541"/>
      <c r="J564" s="541"/>
      <c r="K564" s="541"/>
      <c r="L564" s="541"/>
      <c r="M564" s="541"/>
      <c r="N564" s="541"/>
      <c r="O564" s="288" t="s">
        <v>1231</v>
      </c>
      <c r="P564" s="288" t="s">
        <v>354</v>
      </c>
      <c r="Q564" s="501" t="s">
        <v>1018</v>
      </c>
      <c r="R564" s="345"/>
      <c r="S564" s="345"/>
      <c r="T564" s="345"/>
      <c r="U564" s="345">
        <v>2</v>
      </c>
      <c r="V564" s="288" t="s">
        <v>974</v>
      </c>
      <c r="W564" s="345"/>
      <c r="X564" s="345" t="s">
        <v>1019</v>
      </c>
      <c r="Y564" s="288" t="s">
        <v>910</v>
      </c>
      <c r="Z564" s="288" t="s">
        <v>349</v>
      </c>
      <c r="AA564" s="541"/>
      <c r="AB564" s="541"/>
      <c r="AC564" s="541"/>
      <c r="AD564" s="288" t="s">
        <v>347</v>
      </c>
      <c r="AE564" s="541"/>
      <c r="AF564" s="288" t="s">
        <v>812</v>
      </c>
      <c r="AG564" s="288" t="s">
        <v>348</v>
      </c>
      <c r="AH564" s="345"/>
      <c r="AI564" s="288" t="s">
        <v>358</v>
      </c>
      <c r="AJ564" s="448"/>
      <c r="AK564" s="448"/>
      <c r="AL564" s="345"/>
      <c r="AM564" s="345"/>
      <c r="AN564" s="345"/>
      <c r="AO564" s="345"/>
      <c r="AP564" s="345"/>
      <c r="AQ564" s="345"/>
      <c r="AR564" s="345"/>
      <c r="AS564" s="448"/>
      <c r="AT564" s="448"/>
      <c r="AU564" s="448"/>
      <c r="AV564" s="448"/>
      <c r="AW564" s="448"/>
      <c r="AX564" s="345" t="s">
        <v>1019</v>
      </c>
      <c r="AY564" s="448"/>
      <c r="AZ564" s="499">
        <v>1</v>
      </c>
      <c r="BA564" s="448"/>
      <c r="BB564" s="499">
        <v>1</v>
      </c>
      <c r="BC564" s="499">
        <v>1</v>
      </c>
      <c r="BD564" s="499">
        <v>1</v>
      </c>
      <c r="BE564" s="499">
        <v>1</v>
      </c>
      <c r="BF564" s="448"/>
      <c r="BG564" s="448"/>
      <c r="BH564" s="345" t="s">
        <v>1018</v>
      </c>
      <c r="BI564" s="499"/>
      <c r="BJ564" s="499"/>
      <c r="BK564" s="345" t="s">
        <v>1018</v>
      </c>
      <c r="BL564" s="499"/>
      <c r="BM564" s="499"/>
      <c r="BN564" s="499"/>
      <c r="BO564" s="575">
        <f t="shared" si="15"/>
        <v>250</v>
      </c>
      <c r="BP564" s="575">
        <f t="shared" si="15"/>
        <v>50</v>
      </c>
      <c r="BQ564" s="575"/>
      <c r="BR564" s="575"/>
      <c r="BS564" s="575"/>
    </row>
    <row r="565" spans="1:71" ht="14.5" x14ac:dyDescent="0.35">
      <c r="A565" s="579" t="str">
        <f t="shared" si="14"/>
        <v>Infinitum Entretenimiento+ 500   (Netflix 4 dispositivos)Residencial</v>
      </c>
      <c r="B565" s="129">
        <v>95</v>
      </c>
      <c r="C565" s="434" t="s">
        <v>1122</v>
      </c>
      <c r="D565" s="340" t="s">
        <v>240</v>
      </c>
      <c r="E565" s="340" t="s">
        <v>241</v>
      </c>
      <c r="F565" s="552">
        <v>1165.52</v>
      </c>
      <c r="G565" s="552">
        <v>1352</v>
      </c>
      <c r="H565" s="541"/>
      <c r="I565" s="541"/>
      <c r="J565" s="541"/>
      <c r="K565" s="541"/>
      <c r="L565" s="541"/>
      <c r="M565" s="541"/>
      <c r="N565" s="541"/>
      <c r="O565" s="288" t="s">
        <v>1221</v>
      </c>
      <c r="P565" s="288" t="s">
        <v>354</v>
      </c>
      <c r="Q565" s="501" t="s">
        <v>1018</v>
      </c>
      <c r="R565" s="345"/>
      <c r="S565" s="345"/>
      <c r="T565" s="345"/>
      <c r="U565" s="345">
        <v>4</v>
      </c>
      <c r="V565" s="288" t="s">
        <v>974</v>
      </c>
      <c r="W565" s="345"/>
      <c r="X565" s="345" t="s">
        <v>1019</v>
      </c>
      <c r="Y565" s="288" t="s">
        <v>910</v>
      </c>
      <c r="Z565" s="288" t="s">
        <v>349</v>
      </c>
      <c r="AA565" s="541"/>
      <c r="AB565" s="541"/>
      <c r="AC565" s="541"/>
      <c r="AD565" s="288" t="s">
        <v>347</v>
      </c>
      <c r="AE565" s="541"/>
      <c r="AF565" s="288" t="s">
        <v>812</v>
      </c>
      <c r="AG565" s="288" t="s">
        <v>348</v>
      </c>
      <c r="AH565" s="345"/>
      <c r="AI565" s="288" t="s">
        <v>358</v>
      </c>
      <c r="AJ565" s="448"/>
      <c r="AK565" s="448"/>
      <c r="AL565" s="345"/>
      <c r="AM565" s="345"/>
      <c r="AN565" s="345"/>
      <c r="AO565" s="345"/>
      <c r="AP565" s="345"/>
      <c r="AQ565" s="345"/>
      <c r="AR565" s="345"/>
      <c r="AS565" s="448"/>
      <c r="AT565" s="448"/>
      <c r="AU565" s="448"/>
      <c r="AV565" s="448"/>
      <c r="AW565" s="448"/>
      <c r="AX565" s="345" t="s">
        <v>1019</v>
      </c>
      <c r="AY565" s="448"/>
      <c r="AZ565" s="448"/>
      <c r="BA565" s="499">
        <v>1</v>
      </c>
      <c r="BB565" s="499">
        <v>1</v>
      </c>
      <c r="BC565" s="499">
        <v>1</v>
      </c>
      <c r="BD565" s="499">
        <v>1</v>
      </c>
      <c r="BE565" s="499">
        <v>1</v>
      </c>
      <c r="BF565" s="448"/>
      <c r="BG565" s="448"/>
      <c r="BH565" s="345" t="s">
        <v>1018</v>
      </c>
      <c r="BI565" s="499"/>
      <c r="BJ565" s="499"/>
      <c r="BK565" s="345" t="s">
        <v>1018</v>
      </c>
      <c r="BL565" s="499"/>
      <c r="BM565" s="499"/>
      <c r="BN565" s="499"/>
      <c r="BO565" s="575">
        <f t="shared" si="15"/>
        <v>500</v>
      </c>
      <c r="BP565" s="575">
        <f t="shared" si="15"/>
        <v>50</v>
      </c>
      <c r="BQ565" s="575"/>
      <c r="BR565" s="575"/>
      <c r="BS565" s="575"/>
    </row>
    <row r="566" spans="1:71" ht="14.5" x14ac:dyDescent="0.35">
      <c r="A566" s="579" t="str">
        <f t="shared" si="14"/>
        <v>Infinitum Entretenimiento+ 500   (Netflix 2 dispositivos)Residencial</v>
      </c>
      <c r="B566" s="129">
        <v>96</v>
      </c>
      <c r="C566" s="434" t="s">
        <v>1123</v>
      </c>
      <c r="D566" s="340" t="s">
        <v>240</v>
      </c>
      <c r="E566" s="340" t="s">
        <v>241</v>
      </c>
      <c r="F566" s="552">
        <v>1118.0999999999999</v>
      </c>
      <c r="G566" s="552">
        <v>1297</v>
      </c>
      <c r="H566" s="541"/>
      <c r="I566" s="541"/>
      <c r="J566" s="541"/>
      <c r="K566" s="541"/>
      <c r="L566" s="541"/>
      <c r="M566" s="541"/>
      <c r="N566" s="541"/>
      <c r="O566" s="288" t="s">
        <v>1221</v>
      </c>
      <c r="P566" s="288" t="s">
        <v>354</v>
      </c>
      <c r="Q566" s="501" t="s">
        <v>1018</v>
      </c>
      <c r="R566" s="345"/>
      <c r="S566" s="345"/>
      <c r="T566" s="345"/>
      <c r="U566" s="345">
        <v>2</v>
      </c>
      <c r="V566" s="288" t="s">
        <v>974</v>
      </c>
      <c r="W566" s="345"/>
      <c r="X566" s="345" t="s">
        <v>1019</v>
      </c>
      <c r="Y566" s="288" t="s">
        <v>910</v>
      </c>
      <c r="Z566" s="288" t="s">
        <v>349</v>
      </c>
      <c r="AA566" s="541"/>
      <c r="AB566" s="541"/>
      <c r="AC566" s="541"/>
      <c r="AD566" s="288" t="s">
        <v>347</v>
      </c>
      <c r="AE566" s="541"/>
      <c r="AF566" s="288" t="s">
        <v>812</v>
      </c>
      <c r="AG566" s="288" t="s">
        <v>348</v>
      </c>
      <c r="AH566" s="345"/>
      <c r="AI566" s="288" t="s">
        <v>358</v>
      </c>
      <c r="AJ566" s="448"/>
      <c r="AK566" s="448"/>
      <c r="AL566" s="345"/>
      <c r="AM566" s="345"/>
      <c r="AN566" s="345"/>
      <c r="AO566" s="345"/>
      <c r="AP566" s="345"/>
      <c r="AQ566" s="345"/>
      <c r="AR566" s="345"/>
      <c r="AS566" s="448"/>
      <c r="AT566" s="448"/>
      <c r="AU566" s="448"/>
      <c r="AV566" s="448"/>
      <c r="AW566" s="448"/>
      <c r="AX566" s="345" t="s">
        <v>1019</v>
      </c>
      <c r="AY566" s="448"/>
      <c r="AZ566" s="499">
        <v>1</v>
      </c>
      <c r="BA566" s="448"/>
      <c r="BB566" s="499">
        <v>1</v>
      </c>
      <c r="BC566" s="499">
        <v>1</v>
      </c>
      <c r="BD566" s="499">
        <v>1</v>
      </c>
      <c r="BE566" s="499">
        <v>1</v>
      </c>
      <c r="BF566" s="448"/>
      <c r="BG566" s="448"/>
      <c r="BH566" s="345" t="s">
        <v>1018</v>
      </c>
      <c r="BI566" s="499"/>
      <c r="BJ566" s="499"/>
      <c r="BK566" s="345" t="s">
        <v>1018</v>
      </c>
      <c r="BL566" s="499"/>
      <c r="BM566" s="499"/>
      <c r="BN566" s="499"/>
      <c r="BO566" s="575">
        <f t="shared" si="15"/>
        <v>500</v>
      </c>
      <c r="BP566" s="575">
        <f t="shared" si="15"/>
        <v>50</v>
      </c>
      <c r="BQ566" s="575"/>
      <c r="BR566" s="575"/>
      <c r="BS566" s="575"/>
    </row>
    <row r="567" spans="1:71" ht="14.5" x14ac:dyDescent="0.35">
      <c r="A567" s="579" t="str">
        <f t="shared" si="14"/>
        <v>Velocidad Simétrica Conectes NegocioNo Residencial</v>
      </c>
      <c r="B567" s="576">
        <v>97</v>
      </c>
      <c r="C567" s="277" t="s">
        <v>817</v>
      </c>
      <c r="D567" s="340" t="s">
        <v>242</v>
      </c>
      <c r="E567" s="340" t="s">
        <v>243</v>
      </c>
      <c r="F567" s="508" t="s">
        <v>1125</v>
      </c>
      <c r="G567" s="509" t="s">
        <v>1126</v>
      </c>
      <c r="H567" s="288">
        <v>1</v>
      </c>
      <c r="I567" s="288" t="s">
        <v>355</v>
      </c>
      <c r="J567" s="288" t="s">
        <v>356</v>
      </c>
      <c r="K567" s="288" t="s">
        <v>356</v>
      </c>
      <c r="L567" s="288" t="s">
        <v>356</v>
      </c>
      <c r="M567" s="288">
        <v>5</v>
      </c>
      <c r="N567" s="288" t="s">
        <v>911</v>
      </c>
      <c r="O567" s="288" t="s">
        <v>1232</v>
      </c>
      <c r="P567" s="288" t="s">
        <v>1232</v>
      </c>
      <c r="Q567" s="501" t="s">
        <v>1018</v>
      </c>
      <c r="R567" s="345"/>
      <c r="S567" s="345"/>
      <c r="T567" s="345"/>
      <c r="U567" s="541"/>
      <c r="V567" s="541"/>
      <c r="W567" s="541"/>
      <c r="X567" s="541" t="s">
        <v>1018</v>
      </c>
      <c r="Y567" s="541"/>
      <c r="Z567" s="541"/>
      <c r="AA567" s="541"/>
      <c r="AB567" s="541"/>
      <c r="AC567" s="541"/>
      <c r="AD567" s="288" t="s">
        <v>347</v>
      </c>
      <c r="AE567" s="541"/>
      <c r="AF567" s="541"/>
      <c r="AG567" s="542" t="s">
        <v>1200</v>
      </c>
      <c r="AH567" s="541"/>
      <c r="AI567" s="551" t="s">
        <v>1201</v>
      </c>
      <c r="AJ567" s="448"/>
      <c r="AK567" s="345" t="s">
        <v>1203</v>
      </c>
      <c r="AL567" s="345" t="s">
        <v>1207</v>
      </c>
      <c r="AM567" s="345" t="s">
        <v>1208</v>
      </c>
      <c r="AN567" s="345" t="s">
        <v>1209</v>
      </c>
      <c r="AO567" s="345" t="s">
        <v>1213</v>
      </c>
      <c r="AP567" s="541"/>
      <c r="AQ567" s="345" t="s">
        <v>1210</v>
      </c>
      <c r="AR567" s="345" t="s">
        <v>1211</v>
      </c>
      <c r="AS567" s="448"/>
      <c r="AT567" s="448"/>
      <c r="AU567" s="448"/>
      <c r="AV567" s="448"/>
      <c r="AW567" s="448"/>
      <c r="AX567" s="345" t="s">
        <v>1018</v>
      </c>
      <c r="AY567" s="448"/>
      <c r="AZ567" s="448"/>
      <c r="BA567" s="448"/>
      <c r="BB567" s="448"/>
      <c r="BC567" s="448"/>
      <c r="BD567" s="448"/>
      <c r="BE567" s="448"/>
      <c r="BF567" s="448"/>
      <c r="BG567" s="448"/>
      <c r="BH567" s="345" t="s">
        <v>1018</v>
      </c>
      <c r="BI567" s="499"/>
      <c r="BJ567" s="499"/>
      <c r="BK567" s="345" t="s">
        <v>1040</v>
      </c>
      <c r="BL567" s="499" t="s">
        <v>1041</v>
      </c>
      <c r="BM567" s="499">
        <v>8</v>
      </c>
      <c r="BN567" s="510" t="s">
        <v>1042</v>
      </c>
      <c r="BO567" s="575">
        <f t="shared" si="15"/>
        <v>20</v>
      </c>
      <c r="BP567" s="575">
        <f t="shared" si="15"/>
        <v>20</v>
      </c>
      <c r="BQ567" s="575"/>
      <c r="BR567" s="575"/>
      <c r="BS567" s="575"/>
    </row>
    <row r="568" spans="1:71" ht="14.5" x14ac:dyDescent="0.35">
      <c r="A568" s="579" t="str">
        <f t="shared" si="14"/>
        <v>Velocidad Simétrica Mi NegocioNo Residencial</v>
      </c>
      <c r="B568" s="129">
        <v>98</v>
      </c>
      <c r="C568" s="277" t="s">
        <v>818</v>
      </c>
      <c r="D568" s="340" t="s">
        <v>242</v>
      </c>
      <c r="E568" s="340" t="s">
        <v>243</v>
      </c>
      <c r="F568" s="345">
        <v>679.07</v>
      </c>
      <c r="G568" s="461">
        <v>799</v>
      </c>
      <c r="H568" s="288">
        <v>2</v>
      </c>
      <c r="I568" s="288" t="s">
        <v>355</v>
      </c>
      <c r="J568" s="288" t="s">
        <v>355</v>
      </c>
      <c r="K568" s="288" t="s">
        <v>356</v>
      </c>
      <c r="L568" s="288" t="s">
        <v>356</v>
      </c>
      <c r="M568" s="288">
        <v>5</v>
      </c>
      <c r="N568" s="288" t="s">
        <v>911</v>
      </c>
      <c r="O568" s="288" t="s">
        <v>351</v>
      </c>
      <c r="P568" s="288" t="s">
        <v>351</v>
      </c>
      <c r="Q568" s="501" t="s">
        <v>1018</v>
      </c>
      <c r="R568" s="345"/>
      <c r="S568" s="345"/>
      <c r="T568" s="345"/>
      <c r="U568" s="541"/>
      <c r="V568" s="541"/>
      <c r="W568" s="541"/>
      <c r="X568" s="541" t="s">
        <v>1018</v>
      </c>
      <c r="Y568" s="541"/>
      <c r="Z568" s="541"/>
      <c r="AA568" s="541"/>
      <c r="AB568" s="541"/>
      <c r="AC568" s="541"/>
      <c r="AD568" s="288" t="s">
        <v>347</v>
      </c>
      <c r="AE568" s="541"/>
      <c r="AF568" s="541"/>
      <c r="AG568" s="542" t="s">
        <v>1200</v>
      </c>
      <c r="AH568" s="541"/>
      <c r="AI568" s="551" t="s">
        <v>1201</v>
      </c>
      <c r="AJ568" s="448"/>
      <c r="AK568" s="345" t="s">
        <v>1203</v>
      </c>
      <c r="AL568" s="345" t="s">
        <v>1207</v>
      </c>
      <c r="AM568" s="345" t="s">
        <v>1208</v>
      </c>
      <c r="AN568" s="345" t="s">
        <v>1209</v>
      </c>
      <c r="AO568" s="345" t="s">
        <v>1213</v>
      </c>
      <c r="AP568" s="541"/>
      <c r="AQ568" s="345" t="s">
        <v>1210</v>
      </c>
      <c r="AR568" s="345" t="s">
        <v>1211</v>
      </c>
      <c r="AS568" s="448"/>
      <c r="AT568" s="448"/>
      <c r="AU568" s="448"/>
      <c r="AV568" s="448"/>
      <c r="AW568" s="448"/>
      <c r="AX568" s="345" t="s">
        <v>1018</v>
      </c>
      <c r="AY568" s="448"/>
      <c r="AZ568" s="448"/>
      <c r="BA568" s="448"/>
      <c r="BB568" s="448"/>
      <c r="BC568" s="448"/>
      <c r="BD568" s="448"/>
      <c r="BE568" s="448"/>
      <c r="BF568" s="448"/>
      <c r="BG568" s="448"/>
      <c r="BH568" s="345" t="s">
        <v>1018</v>
      </c>
      <c r="BI568" s="499"/>
      <c r="BJ568" s="499"/>
      <c r="BK568" s="345" t="s">
        <v>1040</v>
      </c>
      <c r="BL568" s="499" t="s">
        <v>1041</v>
      </c>
      <c r="BM568" s="499">
        <v>8</v>
      </c>
      <c r="BN568" s="510" t="s">
        <v>1042</v>
      </c>
      <c r="BO568" s="575">
        <f t="shared" si="15"/>
        <v>100</v>
      </c>
      <c r="BP568" s="575">
        <f t="shared" si="15"/>
        <v>100</v>
      </c>
      <c r="BQ568" s="575"/>
      <c r="BR568" s="575"/>
      <c r="BS568" s="575"/>
    </row>
    <row r="569" spans="1:71" ht="14.5" x14ac:dyDescent="0.35">
      <c r="A569" s="579" t="str">
        <f t="shared" si="14"/>
        <v>Velocidad Simétrica SupernegocioNo Residencial</v>
      </c>
      <c r="B569" s="129">
        <v>99</v>
      </c>
      <c r="C569" s="277" t="s">
        <v>1043</v>
      </c>
      <c r="D569" s="340" t="s">
        <v>242</v>
      </c>
      <c r="E569" s="340" t="s">
        <v>243</v>
      </c>
      <c r="F569" s="345">
        <v>933.26</v>
      </c>
      <c r="G569" s="461">
        <v>1098.9992</v>
      </c>
      <c r="H569" s="288">
        <v>2</v>
      </c>
      <c r="I569" s="288" t="s">
        <v>355</v>
      </c>
      <c r="J569" s="288" t="s">
        <v>356</v>
      </c>
      <c r="K569" s="288" t="s">
        <v>356</v>
      </c>
      <c r="L569" s="288" t="s">
        <v>356</v>
      </c>
      <c r="M569" s="288">
        <v>5</v>
      </c>
      <c r="N569" s="288" t="s">
        <v>911</v>
      </c>
      <c r="O569" s="288" t="s">
        <v>359</v>
      </c>
      <c r="P569" s="288" t="s">
        <v>359</v>
      </c>
      <c r="Q569" s="501" t="s">
        <v>1018</v>
      </c>
      <c r="R569" s="345"/>
      <c r="S569" s="345"/>
      <c r="T569" s="345"/>
      <c r="U569" s="541"/>
      <c r="V569" s="541"/>
      <c r="W569" s="541"/>
      <c r="X569" s="541" t="s">
        <v>1018</v>
      </c>
      <c r="Y569" s="541"/>
      <c r="Z569" s="541"/>
      <c r="AA569" s="541"/>
      <c r="AB569" s="541"/>
      <c r="AC569" s="541"/>
      <c r="AD569" s="288" t="s">
        <v>347</v>
      </c>
      <c r="AE569" s="541"/>
      <c r="AF569" s="541"/>
      <c r="AG569" s="542" t="s">
        <v>1200</v>
      </c>
      <c r="AH569" s="541"/>
      <c r="AI569" s="551" t="s">
        <v>1201</v>
      </c>
      <c r="AJ569" s="448"/>
      <c r="AK569" s="345" t="s">
        <v>1203</v>
      </c>
      <c r="AL569" s="345" t="s">
        <v>1207</v>
      </c>
      <c r="AM569" s="345" t="s">
        <v>1208</v>
      </c>
      <c r="AN569" s="345" t="s">
        <v>1209</v>
      </c>
      <c r="AO569" s="345" t="s">
        <v>1213</v>
      </c>
      <c r="AP569" s="345" t="s">
        <v>1212</v>
      </c>
      <c r="AQ569" s="345" t="s">
        <v>1210</v>
      </c>
      <c r="AR569" s="345" t="s">
        <v>1211</v>
      </c>
      <c r="AS569" s="448"/>
      <c r="AT569" s="448"/>
      <c r="AU569" s="448"/>
      <c r="AV569" s="448"/>
      <c r="AW569" s="448"/>
      <c r="AX569" s="345" t="s">
        <v>1018</v>
      </c>
      <c r="AY569" s="448"/>
      <c r="AZ569" s="448"/>
      <c r="BA569" s="448"/>
      <c r="BB569" s="448"/>
      <c r="BC569" s="448"/>
      <c r="BD569" s="448"/>
      <c r="BE569" s="448"/>
      <c r="BF569" s="448"/>
      <c r="BG569" s="448"/>
      <c r="BH569" s="345" t="s">
        <v>1018</v>
      </c>
      <c r="BI569" s="499"/>
      <c r="BJ569" s="499"/>
      <c r="BK569" s="345" t="s">
        <v>1040</v>
      </c>
      <c r="BL569" s="499" t="s">
        <v>1041</v>
      </c>
      <c r="BM569" s="499">
        <v>8</v>
      </c>
      <c r="BN569" s="510" t="s">
        <v>1042</v>
      </c>
      <c r="BO569" s="575">
        <f t="shared" si="15"/>
        <v>200</v>
      </c>
      <c r="BP569" s="575">
        <f t="shared" si="15"/>
        <v>200</v>
      </c>
      <c r="BQ569" s="575"/>
      <c r="BR569" s="575"/>
      <c r="BS569" s="575"/>
    </row>
    <row r="570" spans="1:71" ht="14.5" x14ac:dyDescent="0.35">
      <c r="A570" s="579" t="str">
        <f t="shared" si="14"/>
        <v>Velocidad Simétrica Telmex Negocio Sin Límites 1No Residencial</v>
      </c>
      <c r="B570" s="129">
        <v>100</v>
      </c>
      <c r="C570" s="277" t="s">
        <v>844</v>
      </c>
      <c r="D570" s="340" t="s">
        <v>242</v>
      </c>
      <c r="E570" s="340" t="s">
        <v>243</v>
      </c>
      <c r="F570" s="461">
        <v>1647.04</v>
      </c>
      <c r="G570" s="461">
        <v>1936.0028</v>
      </c>
      <c r="H570" s="288">
        <v>2</v>
      </c>
      <c r="I570" s="288" t="s">
        <v>355</v>
      </c>
      <c r="J570" s="288" t="s">
        <v>355</v>
      </c>
      <c r="K570" s="288" t="s">
        <v>356</v>
      </c>
      <c r="L570" s="288" t="s">
        <v>356</v>
      </c>
      <c r="M570" s="288">
        <v>5</v>
      </c>
      <c r="N570" s="288" t="s">
        <v>911</v>
      </c>
      <c r="O570" s="288" t="s">
        <v>1221</v>
      </c>
      <c r="P570" s="288" t="s">
        <v>1221</v>
      </c>
      <c r="Q570" s="501" t="s">
        <v>1018</v>
      </c>
      <c r="R570" s="345"/>
      <c r="S570" s="345"/>
      <c r="T570" s="345"/>
      <c r="U570" s="345">
        <v>4</v>
      </c>
      <c r="V570" s="345" t="s">
        <v>974</v>
      </c>
      <c r="W570" s="541"/>
      <c r="X570" s="541" t="s">
        <v>1018</v>
      </c>
      <c r="Y570" s="541"/>
      <c r="Z570" s="541"/>
      <c r="AA570" s="541"/>
      <c r="AB570" s="541"/>
      <c r="AC570" s="541"/>
      <c r="AD570" s="288" t="s">
        <v>347</v>
      </c>
      <c r="AE570" s="541"/>
      <c r="AF570" s="541"/>
      <c r="AG570" s="542" t="s">
        <v>1200</v>
      </c>
      <c r="AH570" s="541"/>
      <c r="AI570" s="551" t="s">
        <v>1201</v>
      </c>
      <c r="AJ570" s="448"/>
      <c r="AK570" s="345" t="s">
        <v>1203</v>
      </c>
      <c r="AL570" s="345" t="s">
        <v>1207</v>
      </c>
      <c r="AM570" s="345" t="s">
        <v>1208</v>
      </c>
      <c r="AN570" s="541"/>
      <c r="AO570" s="541"/>
      <c r="AP570" s="345" t="s">
        <v>1212</v>
      </c>
      <c r="AQ570" s="345" t="s">
        <v>1210</v>
      </c>
      <c r="AR570" s="345" t="s">
        <v>1211</v>
      </c>
      <c r="AS570" s="448"/>
      <c r="AT570" s="448"/>
      <c r="AU570" s="448"/>
      <c r="AV570" s="448"/>
      <c r="AW570" s="448"/>
      <c r="AX570" s="345" t="s">
        <v>1018</v>
      </c>
      <c r="AY570" s="448"/>
      <c r="AZ570" s="448"/>
      <c r="BA570" s="499">
        <v>1</v>
      </c>
      <c r="BB570" s="448"/>
      <c r="BC570" s="448"/>
      <c r="BD570" s="448"/>
      <c r="BE570" s="448"/>
      <c r="BF570" s="448"/>
      <c r="BG570" s="448"/>
      <c r="BH570" s="345" t="s">
        <v>1018</v>
      </c>
      <c r="BI570" s="499"/>
      <c r="BJ570" s="499"/>
      <c r="BK570" s="345" t="s">
        <v>1040</v>
      </c>
      <c r="BL570" s="499" t="s">
        <v>1041</v>
      </c>
      <c r="BM570" s="499">
        <v>8</v>
      </c>
      <c r="BN570" s="510" t="s">
        <v>1042</v>
      </c>
      <c r="BO570" s="575">
        <f t="shared" si="15"/>
        <v>500</v>
      </c>
      <c r="BP570" s="575">
        <f t="shared" si="15"/>
        <v>500</v>
      </c>
      <c r="BQ570" s="575"/>
      <c r="BR570" s="575"/>
      <c r="BS570" s="575"/>
    </row>
    <row r="571" spans="1:71" ht="14.5" x14ac:dyDescent="0.35">
      <c r="A571" s="579" t="str">
        <f t="shared" si="14"/>
        <v>Velocidad Simétrica Telmex Negocio Sin Límites 2No Residencial</v>
      </c>
      <c r="B571" s="129">
        <v>101</v>
      </c>
      <c r="C571" s="277" t="s">
        <v>845</v>
      </c>
      <c r="D571" s="340" t="s">
        <v>242</v>
      </c>
      <c r="E571" s="340" t="s">
        <v>243</v>
      </c>
      <c r="F571" s="461">
        <v>1935</v>
      </c>
      <c r="G571" s="461">
        <v>2275.9987999999998</v>
      </c>
      <c r="H571" s="288">
        <v>4</v>
      </c>
      <c r="I571" s="288" t="s">
        <v>355</v>
      </c>
      <c r="J571" s="288" t="s">
        <v>355</v>
      </c>
      <c r="K571" s="288" t="s">
        <v>356</v>
      </c>
      <c r="L571" s="288" t="s">
        <v>356</v>
      </c>
      <c r="M571" s="288">
        <v>5</v>
      </c>
      <c r="N571" s="288" t="s">
        <v>911</v>
      </c>
      <c r="O571" s="288" t="s">
        <v>1221</v>
      </c>
      <c r="P571" s="288" t="s">
        <v>1221</v>
      </c>
      <c r="Q571" s="501" t="s">
        <v>1018</v>
      </c>
      <c r="R571" s="345"/>
      <c r="S571" s="345"/>
      <c r="T571" s="345"/>
      <c r="U571" s="345">
        <v>4</v>
      </c>
      <c r="V571" s="345" t="s">
        <v>974</v>
      </c>
      <c r="W571" s="541"/>
      <c r="X571" s="541" t="s">
        <v>1018</v>
      </c>
      <c r="Y571" s="541"/>
      <c r="Z571" s="541"/>
      <c r="AA571" s="541"/>
      <c r="AB571" s="541"/>
      <c r="AC571" s="541"/>
      <c r="AD571" s="288" t="s">
        <v>347</v>
      </c>
      <c r="AE571" s="541"/>
      <c r="AF571" s="541"/>
      <c r="AG571" s="542" t="s">
        <v>1200</v>
      </c>
      <c r="AH571" s="541"/>
      <c r="AI571" s="551" t="s">
        <v>1201</v>
      </c>
      <c r="AJ571" s="448"/>
      <c r="AK571" s="345" t="s">
        <v>1203</v>
      </c>
      <c r="AL571" s="345" t="s">
        <v>1207</v>
      </c>
      <c r="AM571" s="345" t="s">
        <v>1208</v>
      </c>
      <c r="AN571" s="541"/>
      <c r="AO571" s="541"/>
      <c r="AP571" s="345" t="s">
        <v>1212</v>
      </c>
      <c r="AQ571" s="345" t="s">
        <v>1210</v>
      </c>
      <c r="AR571" s="345" t="s">
        <v>1211</v>
      </c>
      <c r="AS571" s="448"/>
      <c r="AT571" s="448"/>
      <c r="AU571" s="448"/>
      <c r="AV571" s="448"/>
      <c r="AW571" s="448"/>
      <c r="AX571" s="345" t="s">
        <v>1018</v>
      </c>
      <c r="AY571" s="448"/>
      <c r="AZ571" s="448"/>
      <c r="BA571" s="499">
        <v>1</v>
      </c>
      <c r="BB571" s="448"/>
      <c r="BC571" s="448"/>
      <c r="BD571" s="448"/>
      <c r="BE571" s="448"/>
      <c r="BF571" s="448"/>
      <c r="BG571" s="448"/>
      <c r="BH571" s="345" t="s">
        <v>1018</v>
      </c>
      <c r="BI571" s="499"/>
      <c r="BJ571" s="499"/>
      <c r="BK571" s="345" t="s">
        <v>1040</v>
      </c>
      <c r="BL571" s="499" t="s">
        <v>1041</v>
      </c>
      <c r="BM571" s="499">
        <v>8</v>
      </c>
      <c r="BN571" s="510" t="s">
        <v>1042</v>
      </c>
      <c r="BO571" s="575">
        <f t="shared" si="15"/>
        <v>500</v>
      </c>
      <c r="BP571" s="575">
        <f t="shared" si="15"/>
        <v>500</v>
      </c>
      <c r="BQ571" s="575"/>
      <c r="BR571" s="575"/>
      <c r="BS571" s="575"/>
    </row>
    <row r="572" spans="1:71" ht="14.5" x14ac:dyDescent="0.35">
      <c r="A572" s="579" t="str">
        <f t="shared" si="14"/>
        <v>Velocidad Simétrica Telmex Negocio Sin Límites 3No Residencial</v>
      </c>
      <c r="B572" s="129">
        <v>102</v>
      </c>
      <c r="C572" s="277" t="s">
        <v>846</v>
      </c>
      <c r="D572" s="340" t="s">
        <v>242</v>
      </c>
      <c r="E572" s="340" t="s">
        <v>243</v>
      </c>
      <c r="F572" s="461">
        <v>2400.2600000000002</v>
      </c>
      <c r="G572" s="461">
        <v>2826.0047999999997</v>
      </c>
      <c r="H572" s="288">
        <v>6</v>
      </c>
      <c r="I572" s="288" t="s">
        <v>355</v>
      </c>
      <c r="J572" s="288" t="s">
        <v>355</v>
      </c>
      <c r="K572" s="288" t="s">
        <v>356</v>
      </c>
      <c r="L572" s="288" t="s">
        <v>356</v>
      </c>
      <c r="M572" s="288">
        <v>5</v>
      </c>
      <c r="N572" s="288" t="s">
        <v>911</v>
      </c>
      <c r="O572" s="288" t="s">
        <v>1226</v>
      </c>
      <c r="P572" s="288" t="s">
        <v>1226</v>
      </c>
      <c r="Q572" s="501" t="s">
        <v>1018</v>
      </c>
      <c r="R572" s="345"/>
      <c r="S572" s="345"/>
      <c r="T572" s="345"/>
      <c r="U572" s="345">
        <v>4</v>
      </c>
      <c r="V572" s="345" t="s">
        <v>974</v>
      </c>
      <c r="W572" s="541"/>
      <c r="X572" s="541" t="s">
        <v>1018</v>
      </c>
      <c r="Y572" s="541"/>
      <c r="Z572" s="541"/>
      <c r="AA572" s="541"/>
      <c r="AB572" s="541"/>
      <c r="AC572" s="541"/>
      <c r="AD572" s="288" t="s">
        <v>347</v>
      </c>
      <c r="AE572" s="541"/>
      <c r="AF572" s="541"/>
      <c r="AG572" s="542" t="s">
        <v>1200</v>
      </c>
      <c r="AH572" s="541"/>
      <c r="AI572" s="551" t="s">
        <v>1201</v>
      </c>
      <c r="AJ572" s="448"/>
      <c r="AK572" s="345" t="s">
        <v>1203</v>
      </c>
      <c r="AL572" s="345" t="s">
        <v>1207</v>
      </c>
      <c r="AM572" s="345" t="s">
        <v>1208</v>
      </c>
      <c r="AN572" s="541"/>
      <c r="AO572" s="541"/>
      <c r="AP572" s="345" t="s">
        <v>1212</v>
      </c>
      <c r="AQ572" s="345" t="s">
        <v>1210</v>
      </c>
      <c r="AR572" s="345" t="s">
        <v>1211</v>
      </c>
      <c r="AS572" s="448"/>
      <c r="AT572" s="448"/>
      <c r="AU572" s="448"/>
      <c r="AV572" s="448"/>
      <c r="AW572" s="448"/>
      <c r="AX572" s="345" t="s">
        <v>1018</v>
      </c>
      <c r="AY572" s="448"/>
      <c r="AZ572" s="448"/>
      <c r="BA572" s="499">
        <v>1</v>
      </c>
      <c r="BB572" s="448"/>
      <c r="BC572" s="448"/>
      <c r="BD572" s="448"/>
      <c r="BE572" s="448"/>
      <c r="BF572" s="448"/>
      <c r="BG572" s="448"/>
      <c r="BH572" s="345" t="s">
        <v>1018</v>
      </c>
      <c r="BI572" s="499"/>
      <c r="BJ572" s="499"/>
      <c r="BK572" s="345" t="s">
        <v>1040</v>
      </c>
      <c r="BL572" s="499" t="s">
        <v>1041</v>
      </c>
      <c r="BM572" s="499">
        <v>8</v>
      </c>
      <c r="BN572" s="510" t="s">
        <v>1042</v>
      </c>
      <c r="BO572" s="575">
        <f t="shared" si="15"/>
        <v>1000</v>
      </c>
      <c r="BP572" s="575">
        <f t="shared" si="15"/>
        <v>1000</v>
      </c>
      <c r="BQ572" s="575"/>
      <c r="BR572" s="575"/>
      <c r="BS572" s="575"/>
    </row>
    <row r="573" spans="1:71" ht="14.5" x14ac:dyDescent="0.35">
      <c r="A573" s="579" t="str">
        <f t="shared" si="14"/>
        <v>Velocidad Simétrica Conectes Negocio Netflix (1 dispositivo)No Residencial</v>
      </c>
      <c r="B573" s="576">
        <v>103</v>
      </c>
      <c r="C573" s="277" t="s">
        <v>1044</v>
      </c>
      <c r="D573" s="340" t="s">
        <v>242</v>
      </c>
      <c r="E573" s="340" t="s">
        <v>243</v>
      </c>
      <c r="F573" s="508" t="s">
        <v>1128</v>
      </c>
      <c r="G573" s="509" t="s">
        <v>1129</v>
      </c>
      <c r="H573" s="288">
        <v>1</v>
      </c>
      <c r="I573" s="288" t="s">
        <v>355</v>
      </c>
      <c r="J573" s="288" t="s">
        <v>356</v>
      </c>
      <c r="K573" s="288" t="s">
        <v>356</v>
      </c>
      <c r="L573" s="288" t="s">
        <v>356</v>
      </c>
      <c r="M573" s="288">
        <v>5</v>
      </c>
      <c r="N573" s="288" t="s">
        <v>911</v>
      </c>
      <c r="O573" s="288" t="s">
        <v>1232</v>
      </c>
      <c r="P573" s="288" t="s">
        <v>1232</v>
      </c>
      <c r="Q573" s="501" t="s">
        <v>1018</v>
      </c>
      <c r="R573" s="345"/>
      <c r="S573" s="345"/>
      <c r="T573" s="345"/>
      <c r="U573" s="345">
        <v>1</v>
      </c>
      <c r="V573" s="345" t="s">
        <v>974</v>
      </c>
      <c r="W573" s="541"/>
      <c r="X573" s="541" t="s">
        <v>1018</v>
      </c>
      <c r="Y573" s="541"/>
      <c r="Z573" s="541"/>
      <c r="AA573" s="541"/>
      <c r="AB573" s="541"/>
      <c r="AC573" s="541"/>
      <c r="AD573" s="288" t="s">
        <v>347</v>
      </c>
      <c r="AE573" s="541"/>
      <c r="AF573" s="541"/>
      <c r="AG573" s="542" t="s">
        <v>1200</v>
      </c>
      <c r="AH573" s="541"/>
      <c r="AI573" s="551" t="s">
        <v>1201</v>
      </c>
      <c r="AJ573" s="448"/>
      <c r="AK573" s="345" t="s">
        <v>1203</v>
      </c>
      <c r="AL573" s="345" t="s">
        <v>1207</v>
      </c>
      <c r="AM573" s="345" t="s">
        <v>1208</v>
      </c>
      <c r="AN573" s="345" t="s">
        <v>1209</v>
      </c>
      <c r="AO573" s="541"/>
      <c r="AP573" s="541"/>
      <c r="AQ573" s="345" t="s">
        <v>1210</v>
      </c>
      <c r="AR573" s="345" t="s">
        <v>1211</v>
      </c>
      <c r="AS573" s="448"/>
      <c r="AT573" s="448"/>
      <c r="AU573" s="448"/>
      <c r="AV573" s="448"/>
      <c r="AW573" s="448"/>
      <c r="AX573" s="345" t="s">
        <v>1018</v>
      </c>
      <c r="AY573" s="499">
        <v>1</v>
      </c>
      <c r="AZ573" s="448"/>
      <c r="BA573" s="448"/>
      <c r="BB573" s="448"/>
      <c r="BC573" s="448"/>
      <c r="BD573" s="448"/>
      <c r="BE573" s="448"/>
      <c r="BF573" s="448"/>
      <c r="BG573" s="448"/>
      <c r="BH573" s="345" t="s">
        <v>1018</v>
      </c>
      <c r="BI573" s="499"/>
      <c r="BJ573" s="499"/>
      <c r="BK573" s="345" t="s">
        <v>1040</v>
      </c>
      <c r="BL573" s="499" t="s">
        <v>1041</v>
      </c>
      <c r="BM573" s="499">
        <v>8</v>
      </c>
      <c r="BN573" s="510" t="s">
        <v>1042</v>
      </c>
      <c r="BO573" s="575">
        <f t="shared" si="15"/>
        <v>20</v>
      </c>
      <c r="BP573" s="575">
        <f t="shared" si="15"/>
        <v>20</v>
      </c>
      <c r="BQ573" s="575"/>
      <c r="BR573" s="575"/>
      <c r="BS573" s="575"/>
    </row>
    <row r="574" spans="1:71" ht="14.5" x14ac:dyDescent="0.35">
      <c r="A574" s="579" t="str">
        <f t="shared" si="14"/>
        <v>Velocidad Simétrica Conectes Negocio Netflix (2 dispositivos)No Residencial</v>
      </c>
      <c r="B574" s="576">
        <v>104</v>
      </c>
      <c r="C574" s="277" t="s">
        <v>1045</v>
      </c>
      <c r="D574" s="340" t="s">
        <v>242</v>
      </c>
      <c r="E574" s="340" t="s">
        <v>243</v>
      </c>
      <c r="F574" s="508" t="s">
        <v>1131</v>
      </c>
      <c r="G574" s="509" t="s">
        <v>1132</v>
      </c>
      <c r="H574" s="288">
        <v>1</v>
      </c>
      <c r="I574" s="288" t="s">
        <v>355</v>
      </c>
      <c r="J574" s="288" t="s">
        <v>356</v>
      </c>
      <c r="K574" s="288" t="s">
        <v>356</v>
      </c>
      <c r="L574" s="288" t="s">
        <v>356</v>
      </c>
      <c r="M574" s="288">
        <v>5</v>
      </c>
      <c r="N574" s="288" t="s">
        <v>911</v>
      </c>
      <c r="O574" s="288" t="s">
        <v>1232</v>
      </c>
      <c r="P574" s="288" t="s">
        <v>1232</v>
      </c>
      <c r="Q574" s="501" t="s">
        <v>1018</v>
      </c>
      <c r="R574" s="345"/>
      <c r="S574" s="345"/>
      <c r="T574" s="345"/>
      <c r="U574" s="345">
        <v>2</v>
      </c>
      <c r="V574" s="345" t="s">
        <v>974</v>
      </c>
      <c r="W574" s="541"/>
      <c r="X574" s="541" t="s">
        <v>1018</v>
      </c>
      <c r="Y574" s="541"/>
      <c r="Z574" s="541"/>
      <c r="AA574" s="541"/>
      <c r="AB574" s="541"/>
      <c r="AC574" s="541"/>
      <c r="AD574" s="288" t="s">
        <v>347</v>
      </c>
      <c r="AE574" s="541"/>
      <c r="AF574" s="541"/>
      <c r="AG574" s="542" t="s">
        <v>1200</v>
      </c>
      <c r="AH574" s="541"/>
      <c r="AI574" s="551" t="s">
        <v>1201</v>
      </c>
      <c r="AJ574" s="448"/>
      <c r="AK574" s="345" t="s">
        <v>1203</v>
      </c>
      <c r="AL574" s="345" t="s">
        <v>1207</v>
      </c>
      <c r="AM574" s="345" t="s">
        <v>1208</v>
      </c>
      <c r="AN574" s="345" t="s">
        <v>1209</v>
      </c>
      <c r="AO574" s="541"/>
      <c r="AP574" s="541"/>
      <c r="AQ574" s="345" t="s">
        <v>1210</v>
      </c>
      <c r="AR574" s="345" t="s">
        <v>1211</v>
      </c>
      <c r="AS574" s="448"/>
      <c r="AT574" s="448"/>
      <c r="AU574" s="448"/>
      <c r="AV574" s="448"/>
      <c r="AW574" s="448"/>
      <c r="AX574" s="345" t="s">
        <v>1018</v>
      </c>
      <c r="AY574" s="448"/>
      <c r="AZ574" s="499">
        <v>1</v>
      </c>
      <c r="BA574" s="448"/>
      <c r="BB574" s="448"/>
      <c r="BC574" s="448"/>
      <c r="BD574" s="448"/>
      <c r="BE574" s="448"/>
      <c r="BF574" s="448"/>
      <c r="BG574" s="448"/>
      <c r="BH574" s="345" t="s">
        <v>1018</v>
      </c>
      <c r="BI574" s="499"/>
      <c r="BJ574" s="499"/>
      <c r="BK574" s="345" t="s">
        <v>1040</v>
      </c>
      <c r="BL574" s="499" t="s">
        <v>1041</v>
      </c>
      <c r="BM574" s="499">
        <v>8</v>
      </c>
      <c r="BN574" s="510" t="s">
        <v>1042</v>
      </c>
      <c r="BO574" s="575">
        <f t="shared" si="15"/>
        <v>20</v>
      </c>
      <c r="BP574" s="575">
        <f t="shared" si="15"/>
        <v>20</v>
      </c>
      <c r="BQ574" s="575"/>
      <c r="BR574" s="575"/>
      <c r="BS574" s="575"/>
    </row>
    <row r="575" spans="1:71" ht="14.5" x14ac:dyDescent="0.35">
      <c r="A575" s="579" t="str">
        <f t="shared" si="14"/>
        <v>Velocidad Simétrica Conectes Negocio Netflix (4 dispositivos)No Residencial</v>
      </c>
      <c r="B575" s="576">
        <v>105</v>
      </c>
      <c r="C575" s="277" t="s">
        <v>1046</v>
      </c>
      <c r="D575" s="340" t="s">
        <v>242</v>
      </c>
      <c r="E575" s="340" t="s">
        <v>243</v>
      </c>
      <c r="F575" s="508" t="s">
        <v>1134</v>
      </c>
      <c r="G575" s="509" t="s">
        <v>1135</v>
      </c>
      <c r="H575" s="288">
        <v>1</v>
      </c>
      <c r="I575" s="288" t="s">
        <v>355</v>
      </c>
      <c r="J575" s="288" t="s">
        <v>356</v>
      </c>
      <c r="K575" s="288" t="s">
        <v>356</v>
      </c>
      <c r="L575" s="288" t="s">
        <v>356</v>
      </c>
      <c r="M575" s="288">
        <v>5</v>
      </c>
      <c r="N575" s="288" t="s">
        <v>911</v>
      </c>
      <c r="O575" s="288" t="s">
        <v>1232</v>
      </c>
      <c r="P575" s="288" t="s">
        <v>1232</v>
      </c>
      <c r="Q575" s="501" t="s">
        <v>1018</v>
      </c>
      <c r="R575" s="345"/>
      <c r="S575" s="345"/>
      <c r="T575" s="345"/>
      <c r="U575" s="345">
        <v>4</v>
      </c>
      <c r="V575" s="345" t="s">
        <v>974</v>
      </c>
      <c r="W575" s="541"/>
      <c r="X575" s="541" t="s">
        <v>1018</v>
      </c>
      <c r="Y575" s="541"/>
      <c r="Z575" s="541"/>
      <c r="AA575" s="541"/>
      <c r="AB575" s="541"/>
      <c r="AC575" s="541"/>
      <c r="AD575" s="288" t="s">
        <v>347</v>
      </c>
      <c r="AE575" s="541"/>
      <c r="AF575" s="541"/>
      <c r="AG575" s="542" t="s">
        <v>1200</v>
      </c>
      <c r="AH575" s="541"/>
      <c r="AI575" s="551" t="s">
        <v>1201</v>
      </c>
      <c r="AJ575" s="448"/>
      <c r="AK575" s="345" t="s">
        <v>1203</v>
      </c>
      <c r="AL575" s="345" t="s">
        <v>1207</v>
      </c>
      <c r="AM575" s="345" t="s">
        <v>1208</v>
      </c>
      <c r="AN575" s="345" t="s">
        <v>1209</v>
      </c>
      <c r="AO575" s="541"/>
      <c r="AP575" s="541"/>
      <c r="AQ575" s="345" t="s">
        <v>1210</v>
      </c>
      <c r="AR575" s="345" t="s">
        <v>1211</v>
      </c>
      <c r="AS575" s="448"/>
      <c r="AT575" s="448"/>
      <c r="AU575" s="448"/>
      <c r="AV575" s="448"/>
      <c r="AW575" s="448"/>
      <c r="AX575" s="345" t="s">
        <v>1018</v>
      </c>
      <c r="AY575" s="448"/>
      <c r="AZ575" s="448"/>
      <c r="BA575" s="499">
        <v>1</v>
      </c>
      <c r="BB575" s="448"/>
      <c r="BC575" s="448"/>
      <c r="BD575" s="448"/>
      <c r="BE575" s="448"/>
      <c r="BF575" s="448"/>
      <c r="BG575" s="448"/>
      <c r="BH575" s="345" t="s">
        <v>1018</v>
      </c>
      <c r="BI575" s="499"/>
      <c r="BJ575" s="499"/>
      <c r="BK575" s="345" t="s">
        <v>1040</v>
      </c>
      <c r="BL575" s="499" t="s">
        <v>1041</v>
      </c>
      <c r="BM575" s="499">
        <v>8</v>
      </c>
      <c r="BN575" s="510" t="s">
        <v>1042</v>
      </c>
      <c r="BO575" s="575">
        <f t="shared" si="15"/>
        <v>20</v>
      </c>
      <c r="BP575" s="575">
        <f t="shared" si="15"/>
        <v>20</v>
      </c>
      <c r="BQ575" s="575"/>
      <c r="BR575" s="575"/>
      <c r="BS575" s="575"/>
    </row>
    <row r="576" spans="1:71" ht="14.5" x14ac:dyDescent="0.35">
      <c r="A576" s="579" t="str">
        <f t="shared" si="14"/>
        <v>Velocidad Simétrica Mi Negocio Netflix (2 dispositivos)No Residencial</v>
      </c>
      <c r="B576" s="129">
        <v>106</v>
      </c>
      <c r="C576" s="277" t="s">
        <v>1047</v>
      </c>
      <c r="D576" s="340" t="s">
        <v>242</v>
      </c>
      <c r="E576" s="340" t="s">
        <v>243</v>
      </c>
      <c r="F576" s="553">
        <v>843.37</v>
      </c>
      <c r="G576" s="461">
        <v>989</v>
      </c>
      <c r="H576" s="288">
        <v>2</v>
      </c>
      <c r="I576" s="288" t="s">
        <v>355</v>
      </c>
      <c r="J576" s="288" t="s">
        <v>355</v>
      </c>
      <c r="K576" s="288" t="s">
        <v>356</v>
      </c>
      <c r="L576" s="288" t="s">
        <v>356</v>
      </c>
      <c r="M576" s="288">
        <v>5</v>
      </c>
      <c r="N576" s="288" t="s">
        <v>911</v>
      </c>
      <c r="O576" s="288" t="s">
        <v>351</v>
      </c>
      <c r="P576" s="288" t="s">
        <v>351</v>
      </c>
      <c r="Q576" s="501" t="s">
        <v>1018</v>
      </c>
      <c r="R576" s="345"/>
      <c r="S576" s="345"/>
      <c r="T576" s="345"/>
      <c r="U576" s="345">
        <v>2</v>
      </c>
      <c r="V576" s="345" t="s">
        <v>974</v>
      </c>
      <c r="W576" s="541"/>
      <c r="X576" s="541" t="s">
        <v>1018</v>
      </c>
      <c r="Y576" s="541"/>
      <c r="Z576" s="541"/>
      <c r="AA576" s="541"/>
      <c r="AB576" s="541"/>
      <c r="AC576" s="541"/>
      <c r="AD576" s="288" t="s">
        <v>347</v>
      </c>
      <c r="AE576" s="541"/>
      <c r="AF576" s="541"/>
      <c r="AG576" s="542" t="s">
        <v>1200</v>
      </c>
      <c r="AH576" s="541"/>
      <c r="AI576" s="551" t="s">
        <v>1201</v>
      </c>
      <c r="AJ576" s="448"/>
      <c r="AK576" s="345" t="s">
        <v>1203</v>
      </c>
      <c r="AL576" s="345" t="s">
        <v>1207</v>
      </c>
      <c r="AM576" s="345" t="s">
        <v>1208</v>
      </c>
      <c r="AN576" s="345" t="s">
        <v>1209</v>
      </c>
      <c r="AO576" s="541"/>
      <c r="AP576" s="541"/>
      <c r="AQ576" s="345" t="s">
        <v>1210</v>
      </c>
      <c r="AR576" s="345" t="s">
        <v>1211</v>
      </c>
      <c r="AS576" s="448"/>
      <c r="AT576" s="448"/>
      <c r="AU576" s="448"/>
      <c r="AV576" s="448"/>
      <c r="AW576" s="448"/>
      <c r="AX576" s="345" t="s">
        <v>1018</v>
      </c>
      <c r="AY576" s="448"/>
      <c r="AZ576" s="499">
        <v>1</v>
      </c>
      <c r="BA576" s="448"/>
      <c r="BB576" s="448"/>
      <c r="BC576" s="448"/>
      <c r="BD576" s="448"/>
      <c r="BE576" s="448"/>
      <c r="BF576" s="448"/>
      <c r="BG576" s="448"/>
      <c r="BH576" s="345" t="s">
        <v>1018</v>
      </c>
      <c r="BI576" s="499"/>
      <c r="BJ576" s="499"/>
      <c r="BK576" s="345" t="s">
        <v>1040</v>
      </c>
      <c r="BL576" s="499" t="s">
        <v>1041</v>
      </c>
      <c r="BM576" s="499">
        <v>8</v>
      </c>
      <c r="BN576" s="510" t="s">
        <v>1042</v>
      </c>
      <c r="BO576" s="575">
        <f t="shared" si="15"/>
        <v>100</v>
      </c>
      <c r="BP576" s="575">
        <f t="shared" si="15"/>
        <v>100</v>
      </c>
      <c r="BQ576" s="575"/>
      <c r="BR576" s="575"/>
      <c r="BS576" s="575"/>
    </row>
    <row r="577" spans="1:116" ht="14.5" x14ac:dyDescent="0.35">
      <c r="A577" s="579" t="str">
        <f t="shared" si="14"/>
        <v>Velocidad Simétrica Mi Negocio Netflix (4 dispositivos)No Residencial</v>
      </c>
      <c r="B577" s="129">
        <v>107</v>
      </c>
      <c r="C577" s="277" t="s">
        <v>1048</v>
      </c>
      <c r="D577" s="340" t="s">
        <v>242</v>
      </c>
      <c r="E577" s="340" t="s">
        <v>243</v>
      </c>
      <c r="F577" s="553">
        <v>912.32999999999993</v>
      </c>
      <c r="G577" s="461">
        <v>1069</v>
      </c>
      <c r="H577" s="288">
        <v>2</v>
      </c>
      <c r="I577" s="288" t="s">
        <v>355</v>
      </c>
      <c r="J577" s="288" t="s">
        <v>355</v>
      </c>
      <c r="K577" s="288" t="s">
        <v>356</v>
      </c>
      <c r="L577" s="288" t="s">
        <v>356</v>
      </c>
      <c r="M577" s="288">
        <v>5</v>
      </c>
      <c r="N577" s="288" t="s">
        <v>911</v>
      </c>
      <c r="O577" s="288" t="s">
        <v>351</v>
      </c>
      <c r="P577" s="288" t="s">
        <v>351</v>
      </c>
      <c r="Q577" s="501" t="s">
        <v>1018</v>
      </c>
      <c r="R577" s="345"/>
      <c r="S577" s="345"/>
      <c r="T577" s="345"/>
      <c r="U577" s="345">
        <v>4</v>
      </c>
      <c r="V577" s="345" t="s">
        <v>974</v>
      </c>
      <c r="W577" s="541"/>
      <c r="X577" s="541" t="s">
        <v>1018</v>
      </c>
      <c r="Y577" s="541"/>
      <c r="Z577" s="541"/>
      <c r="AA577" s="541"/>
      <c r="AB577" s="541"/>
      <c r="AC577" s="541"/>
      <c r="AD577" s="288" t="s">
        <v>347</v>
      </c>
      <c r="AE577" s="541"/>
      <c r="AF577" s="541"/>
      <c r="AG577" s="542" t="s">
        <v>1200</v>
      </c>
      <c r="AH577" s="541"/>
      <c r="AI577" s="551" t="s">
        <v>1201</v>
      </c>
      <c r="AJ577" s="448"/>
      <c r="AK577" s="345" t="s">
        <v>1203</v>
      </c>
      <c r="AL577" s="345" t="s">
        <v>1207</v>
      </c>
      <c r="AM577" s="345" t="s">
        <v>1208</v>
      </c>
      <c r="AN577" s="345" t="s">
        <v>1209</v>
      </c>
      <c r="AO577" s="541"/>
      <c r="AP577" s="345"/>
      <c r="AQ577" s="345" t="s">
        <v>1210</v>
      </c>
      <c r="AR577" s="345" t="s">
        <v>1211</v>
      </c>
      <c r="AS577" s="448"/>
      <c r="AT577" s="448"/>
      <c r="AU577" s="448"/>
      <c r="AV577" s="448"/>
      <c r="AW577" s="448"/>
      <c r="AX577" s="345" t="s">
        <v>1018</v>
      </c>
      <c r="AY577" s="448"/>
      <c r="AZ577" s="448"/>
      <c r="BA577" s="499">
        <v>1</v>
      </c>
      <c r="BB577" s="448"/>
      <c r="BC577" s="448"/>
      <c r="BD577" s="448"/>
      <c r="BE577" s="448"/>
      <c r="BF577" s="448"/>
      <c r="BG577" s="448"/>
      <c r="BH577" s="345" t="s">
        <v>1018</v>
      </c>
      <c r="BI577" s="499"/>
      <c r="BJ577" s="499"/>
      <c r="BK577" s="345" t="s">
        <v>1040</v>
      </c>
      <c r="BL577" s="499" t="s">
        <v>1041</v>
      </c>
      <c r="BM577" s="499">
        <v>8</v>
      </c>
      <c r="BN577" s="510" t="s">
        <v>1042</v>
      </c>
      <c r="BO577" s="575">
        <f t="shared" si="15"/>
        <v>100</v>
      </c>
      <c r="BP577" s="575">
        <f t="shared" si="15"/>
        <v>100</v>
      </c>
      <c r="BQ577" s="575"/>
      <c r="BR577" s="575"/>
      <c r="BS577" s="575"/>
    </row>
    <row r="578" spans="1:116" ht="14.5" x14ac:dyDescent="0.35">
      <c r="A578" s="579" t="str">
        <f t="shared" si="14"/>
        <v>Velocidad Simétrica Supernegocio Netflix (2 dispositivos)No Residencial</v>
      </c>
      <c r="B578" s="129">
        <v>108</v>
      </c>
      <c r="C578" s="277" t="s">
        <v>1049</v>
      </c>
      <c r="D578" s="340" t="s">
        <v>242</v>
      </c>
      <c r="E578" s="340" t="s">
        <v>243</v>
      </c>
      <c r="F578" s="553">
        <v>1097.55</v>
      </c>
      <c r="G578" s="461">
        <v>1288.9992</v>
      </c>
      <c r="H578" s="288">
        <v>2</v>
      </c>
      <c r="I578" s="288" t="s">
        <v>355</v>
      </c>
      <c r="J578" s="288" t="s">
        <v>356</v>
      </c>
      <c r="K578" s="288" t="s">
        <v>356</v>
      </c>
      <c r="L578" s="288" t="s">
        <v>356</v>
      </c>
      <c r="M578" s="288">
        <v>5</v>
      </c>
      <c r="N578" s="288" t="s">
        <v>911</v>
      </c>
      <c r="O578" s="288" t="s">
        <v>359</v>
      </c>
      <c r="P578" s="288" t="s">
        <v>359</v>
      </c>
      <c r="Q578" s="501" t="s">
        <v>1018</v>
      </c>
      <c r="R578" s="345"/>
      <c r="S578" s="345"/>
      <c r="T578" s="345"/>
      <c r="U578" s="345">
        <v>2</v>
      </c>
      <c r="V578" s="345" t="s">
        <v>974</v>
      </c>
      <c r="W578" s="541"/>
      <c r="X578" s="541" t="s">
        <v>1018</v>
      </c>
      <c r="Y578" s="541"/>
      <c r="Z578" s="541"/>
      <c r="AA578" s="541"/>
      <c r="AB578" s="541"/>
      <c r="AC578" s="541"/>
      <c r="AD578" s="288" t="s">
        <v>347</v>
      </c>
      <c r="AE578" s="541"/>
      <c r="AF578" s="541"/>
      <c r="AG578" s="542" t="s">
        <v>1200</v>
      </c>
      <c r="AH578" s="541"/>
      <c r="AI578" s="551" t="s">
        <v>1201</v>
      </c>
      <c r="AJ578" s="448"/>
      <c r="AK578" s="345" t="s">
        <v>1203</v>
      </c>
      <c r="AL578" s="345" t="s">
        <v>1207</v>
      </c>
      <c r="AM578" s="345" t="s">
        <v>1208</v>
      </c>
      <c r="AN578" s="345" t="s">
        <v>1209</v>
      </c>
      <c r="AO578" s="541"/>
      <c r="AP578" s="345" t="s">
        <v>1212</v>
      </c>
      <c r="AQ578" s="345" t="s">
        <v>1210</v>
      </c>
      <c r="AR578" s="345" t="s">
        <v>1211</v>
      </c>
      <c r="AS578" s="448"/>
      <c r="AT578" s="448"/>
      <c r="AU578" s="448"/>
      <c r="AV578" s="448"/>
      <c r="AW578" s="448"/>
      <c r="AX578" s="345" t="s">
        <v>1018</v>
      </c>
      <c r="AY578" s="448"/>
      <c r="AZ578" s="499">
        <v>1</v>
      </c>
      <c r="BA578" s="448"/>
      <c r="BB578" s="448"/>
      <c r="BC578" s="448"/>
      <c r="BD578" s="448"/>
      <c r="BE578" s="448"/>
      <c r="BF578" s="448"/>
      <c r="BG578" s="448"/>
      <c r="BH578" s="345" t="s">
        <v>1018</v>
      </c>
      <c r="BI578" s="499"/>
      <c r="BJ578" s="499"/>
      <c r="BK578" s="345" t="s">
        <v>1040</v>
      </c>
      <c r="BL578" s="499" t="s">
        <v>1041</v>
      </c>
      <c r="BM578" s="499">
        <v>8</v>
      </c>
      <c r="BN578" s="510" t="s">
        <v>1042</v>
      </c>
      <c r="BO578" s="575">
        <f t="shared" si="15"/>
        <v>200</v>
      </c>
      <c r="BP578" s="575">
        <f t="shared" si="15"/>
        <v>200</v>
      </c>
      <c r="BQ578" s="575"/>
      <c r="BR578" s="575"/>
      <c r="BS578" s="575"/>
    </row>
    <row r="579" spans="1:116" ht="14.5" x14ac:dyDescent="0.35">
      <c r="A579" s="579" t="str">
        <f t="shared" si="14"/>
        <v>Velocidad Simétrica Supernegocio Netflix (4 dispositivos)No Residencial</v>
      </c>
      <c r="B579" s="129">
        <v>109</v>
      </c>
      <c r="C579" s="277" t="s">
        <v>1050</v>
      </c>
      <c r="D579" s="340" t="s">
        <v>242</v>
      </c>
      <c r="E579" s="340" t="s">
        <v>243</v>
      </c>
      <c r="F579" s="553">
        <v>1147.94</v>
      </c>
      <c r="G579" s="461">
        <v>1346.9992</v>
      </c>
      <c r="H579" s="288">
        <v>2</v>
      </c>
      <c r="I579" s="288" t="s">
        <v>355</v>
      </c>
      <c r="J579" s="288" t="s">
        <v>356</v>
      </c>
      <c r="K579" s="288" t="s">
        <v>356</v>
      </c>
      <c r="L579" s="288" t="s">
        <v>356</v>
      </c>
      <c r="M579" s="288">
        <v>5</v>
      </c>
      <c r="N579" s="288" t="s">
        <v>911</v>
      </c>
      <c r="O579" s="288" t="s">
        <v>359</v>
      </c>
      <c r="P579" s="288" t="s">
        <v>359</v>
      </c>
      <c r="Q579" s="501" t="s">
        <v>1018</v>
      </c>
      <c r="R579" s="345"/>
      <c r="S579" s="345"/>
      <c r="T579" s="345"/>
      <c r="U579" s="345">
        <v>4</v>
      </c>
      <c r="V579" s="345" t="s">
        <v>974</v>
      </c>
      <c r="W579" s="541"/>
      <c r="X579" s="541" t="s">
        <v>1018</v>
      </c>
      <c r="Y579" s="541"/>
      <c r="Z579" s="541"/>
      <c r="AA579" s="541"/>
      <c r="AB579" s="541"/>
      <c r="AC579" s="541"/>
      <c r="AD579" s="288" t="s">
        <v>347</v>
      </c>
      <c r="AE579" s="541"/>
      <c r="AF579" s="541"/>
      <c r="AG579" s="542" t="s">
        <v>1200</v>
      </c>
      <c r="AH579" s="541"/>
      <c r="AI579" s="551" t="s">
        <v>1201</v>
      </c>
      <c r="AJ579" s="448"/>
      <c r="AK579" s="345" t="s">
        <v>1203</v>
      </c>
      <c r="AL579" s="345" t="s">
        <v>1207</v>
      </c>
      <c r="AM579" s="345" t="s">
        <v>1208</v>
      </c>
      <c r="AN579" s="345" t="s">
        <v>1209</v>
      </c>
      <c r="AO579" s="541"/>
      <c r="AP579" s="345" t="s">
        <v>1212</v>
      </c>
      <c r="AQ579" s="345" t="s">
        <v>1210</v>
      </c>
      <c r="AR579" s="345" t="s">
        <v>1211</v>
      </c>
      <c r="AS579" s="448"/>
      <c r="AT579" s="448"/>
      <c r="AU579" s="448"/>
      <c r="AV579" s="448"/>
      <c r="AW579" s="448"/>
      <c r="AX579" s="345" t="s">
        <v>1018</v>
      </c>
      <c r="AY579" s="448"/>
      <c r="AZ579" s="448"/>
      <c r="BA579" s="499">
        <v>1</v>
      </c>
      <c r="BB579" s="448"/>
      <c r="BC579" s="448"/>
      <c r="BD579" s="448"/>
      <c r="BE579" s="448"/>
      <c r="BF579" s="448"/>
      <c r="BG579" s="448"/>
      <c r="BH579" s="345" t="s">
        <v>1018</v>
      </c>
      <c r="BI579" s="499"/>
      <c r="BJ579" s="499"/>
      <c r="BK579" s="345" t="s">
        <v>1040</v>
      </c>
      <c r="BL579" s="499" t="s">
        <v>1041</v>
      </c>
      <c r="BM579" s="499">
        <v>8</v>
      </c>
      <c r="BN579" s="510" t="s">
        <v>1042</v>
      </c>
      <c r="BO579" s="575">
        <f t="shared" si="15"/>
        <v>200</v>
      </c>
      <c r="BP579" s="575">
        <f t="shared" si="15"/>
        <v>200</v>
      </c>
      <c r="BQ579" s="575"/>
      <c r="BR579" s="575"/>
      <c r="BS579" s="575"/>
    </row>
    <row r="580" spans="1:116" ht="14.5" hidden="1" x14ac:dyDescent="0.35">
      <c r="B580" s="129">
        <v>109</v>
      </c>
      <c r="C580" s="277" t="s">
        <v>252</v>
      </c>
      <c r="D580" s="339" t="s">
        <v>374</v>
      </c>
      <c r="E580" s="339" t="s">
        <v>375</v>
      </c>
      <c r="F580" s="345"/>
      <c r="G580" s="345"/>
      <c r="H580" s="345"/>
      <c r="I580" s="345"/>
      <c r="J580" s="345"/>
      <c r="K580" s="345"/>
      <c r="L580" s="345"/>
      <c r="M580" s="345"/>
      <c r="N580" s="345"/>
      <c r="O580" s="345"/>
      <c r="P580" s="345"/>
      <c r="Q580" s="501"/>
      <c r="R580" s="345"/>
      <c r="S580" s="345"/>
      <c r="T580" s="345"/>
      <c r="U580" s="345"/>
      <c r="V580" s="345"/>
      <c r="W580" s="345"/>
      <c r="X580" s="345"/>
      <c r="Y580" s="345"/>
      <c r="Z580" s="345"/>
      <c r="AA580" s="345"/>
      <c r="AB580" s="345"/>
      <c r="AC580" s="345"/>
      <c r="AD580" s="345"/>
      <c r="AE580" s="345"/>
      <c r="AF580" s="345"/>
      <c r="AG580" s="345"/>
      <c r="AH580" s="345"/>
      <c r="AI580" s="345"/>
      <c r="AJ580" s="345"/>
      <c r="AK580" s="345"/>
      <c r="AL580" s="345"/>
      <c r="AM580" s="345"/>
      <c r="AN580" s="345"/>
      <c r="AO580" s="345"/>
      <c r="AP580" s="345"/>
      <c r="AQ580" s="345"/>
      <c r="AR580" s="345"/>
      <c r="AS580" s="345"/>
      <c r="AT580" s="345"/>
      <c r="AU580" s="345"/>
      <c r="AV580" s="345"/>
      <c r="AW580" s="345"/>
      <c r="AX580" s="345"/>
      <c r="AY580" s="499"/>
      <c r="AZ580" s="499"/>
      <c r="BA580" s="499"/>
      <c r="BB580" s="499"/>
      <c r="BC580" s="499"/>
      <c r="BD580" s="499"/>
      <c r="BE580" s="499"/>
      <c r="BF580" s="499"/>
      <c r="BG580" s="499"/>
      <c r="BH580" s="345"/>
      <c r="BI580" s="499"/>
      <c r="BJ580" s="499"/>
      <c r="BK580" s="345"/>
      <c r="BL580" s="499"/>
      <c r="BM580" s="499"/>
      <c r="BN580" s="499"/>
      <c r="BQ580" s="262" t="e">
        <f t="shared" si="26"/>
        <v>#VALUE!</v>
      </c>
    </row>
    <row r="581" spans="1:116" x14ac:dyDescent="0.25">
      <c r="C581" s="290" t="s">
        <v>1216</v>
      </c>
      <c r="D581" s="289"/>
      <c r="E581" s="289"/>
      <c r="V581" s="262" t="s">
        <v>1217</v>
      </c>
      <c r="Y581" s="262" t="s">
        <v>1218</v>
      </c>
      <c r="AB581" s="262" t="s">
        <v>1219</v>
      </c>
      <c r="AD581" s="262" t="s">
        <v>1220</v>
      </c>
      <c r="BY581" s="430"/>
      <c r="BZ581" s="430"/>
      <c r="CA581" s="430"/>
      <c r="CB581" s="430"/>
      <c r="CC581" s="430"/>
      <c r="CD581" s="430"/>
      <c r="CE581" s="430"/>
      <c r="CF581" s="430"/>
      <c r="CG581" s="430"/>
      <c r="CH581" s="430"/>
    </row>
    <row r="582" spans="1:116" x14ac:dyDescent="0.25">
      <c r="C582" s="120" t="s">
        <v>365</v>
      </c>
      <c r="V582" s="262" t="s">
        <v>366</v>
      </c>
      <c r="Y582" s="262" t="s">
        <v>366</v>
      </c>
      <c r="AB582" s="262" t="s">
        <v>366</v>
      </c>
    </row>
    <row r="583" spans="1:116" x14ac:dyDescent="0.25">
      <c r="C583" s="262" t="s">
        <v>290</v>
      </c>
      <c r="AT583" s="546"/>
      <c r="AU583" s="546"/>
      <c r="AV583" s="546"/>
      <c r="AW583" s="546"/>
      <c r="AX583" s="546"/>
      <c r="AY583" s="546"/>
      <c r="AZ583" s="546"/>
      <c r="CH583" s="430"/>
      <c r="CI583" s="430"/>
      <c r="CJ583" s="430"/>
      <c r="CK583" s="430"/>
      <c r="CL583" s="430"/>
      <c r="CM583" s="430"/>
      <c r="CN583" s="430"/>
      <c r="CO583" s="430"/>
      <c r="CP583" s="430"/>
      <c r="CQ583" s="430"/>
      <c r="CR583" s="430"/>
      <c r="CS583" s="430"/>
      <c r="CT583" s="430"/>
      <c r="CU583" s="430"/>
      <c r="CV583" s="430"/>
      <c r="CW583" s="430"/>
      <c r="CX583" s="430"/>
      <c r="CY583" s="430"/>
      <c r="CZ583" s="430"/>
      <c r="DA583" s="430"/>
      <c r="DB583" s="430"/>
      <c r="DC583" s="430"/>
      <c r="DD583" s="430"/>
      <c r="DE583" s="430"/>
      <c r="DF583" s="430"/>
      <c r="DG583" s="430"/>
      <c r="DH583" s="430"/>
      <c r="DI583" s="430"/>
      <c r="DJ583" s="430"/>
      <c r="DK583" s="430"/>
      <c r="DL583" s="430"/>
    </row>
    <row r="584" spans="1:116" ht="14" x14ac:dyDescent="0.3">
      <c r="C584" s="511" t="s">
        <v>1233</v>
      </c>
    </row>
    <row r="585" spans="1:116" x14ac:dyDescent="0.25">
      <c r="C585" s="445" t="s">
        <v>1053</v>
      </c>
    </row>
    <row r="586" spans="1:116" outlineLevel="1" x14ac:dyDescent="0.25">
      <c r="C586" s="120"/>
      <c r="D586" s="120"/>
      <c r="E586" s="120"/>
    </row>
    <row r="587" spans="1:116" ht="15.5" outlineLevel="1" x14ac:dyDescent="0.25">
      <c r="A587" s="429">
        <v>3</v>
      </c>
      <c r="B587" s="429" t="s">
        <v>368</v>
      </c>
      <c r="C587" s="429"/>
      <c r="D587" s="430"/>
      <c r="E587" s="430"/>
      <c r="F587" s="430"/>
      <c r="G587" s="430"/>
      <c r="H587" s="430"/>
      <c r="I587" s="430"/>
      <c r="J587" s="430"/>
      <c r="K587" s="430"/>
      <c r="L587" s="430"/>
      <c r="M587" s="430"/>
      <c r="N587" s="430"/>
      <c r="O587" s="430"/>
      <c r="P587" s="430"/>
      <c r="Q587" s="430"/>
      <c r="R587" s="430"/>
      <c r="S587" s="430"/>
      <c r="T587" s="430"/>
      <c r="U587" s="430"/>
      <c r="V587" s="430"/>
      <c r="W587" s="430"/>
      <c r="X587" s="430"/>
      <c r="Y587" s="430"/>
      <c r="Z587" s="430"/>
      <c r="AA587" s="430"/>
      <c r="AB587" s="430"/>
      <c r="AC587" s="430"/>
      <c r="AD587" s="430"/>
      <c r="AE587" s="430"/>
      <c r="AF587" s="430"/>
      <c r="AG587" s="430"/>
      <c r="AH587" s="430"/>
      <c r="AI587" s="430"/>
      <c r="AJ587" s="430"/>
      <c r="AK587" s="430"/>
      <c r="AL587" s="430"/>
      <c r="AM587" s="430"/>
      <c r="AN587" s="430"/>
      <c r="AO587" s="430"/>
      <c r="AP587" s="430"/>
      <c r="AQ587" s="430"/>
      <c r="AR587" s="430"/>
      <c r="AS587" s="430"/>
      <c r="AT587" s="430"/>
      <c r="AU587" s="430"/>
      <c r="AV587" s="430"/>
      <c r="AW587" s="430"/>
      <c r="AX587" s="430"/>
      <c r="AY587" s="430"/>
      <c r="AZ587" s="430"/>
      <c r="BA587" s="430"/>
      <c r="BB587" s="430"/>
      <c r="BC587" s="430"/>
      <c r="BD587" s="430"/>
      <c r="BE587" s="430"/>
      <c r="BF587" s="430"/>
      <c r="BG587" s="430"/>
      <c r="BH587" s="430"/>
      <c r="BI587" s="430"/>
      <c r="BJ587" s="430"/>
      <c r="BK587" s="430"/>
      <c r="BL587" s="430"/>
      <c r="BM587" s="430"/>
      <c r="BN587" s="430"/>
      <c r="BO587" s="430"/>
      <c r="BP587" s="430"/>
      <c r="BQ587" s="430"/>
      <c r="BR587" s="430"/>
      <c r="BS587" s="430"/>
      <c r="BT587" s="430"/>
      <c r="BU587" s="430"/>
      <c r="BV587" s="430"/>
    </row>
    <row r="588" spans="1:116" outlineLevel="1" x14ac:dyDescent="0.25">
      <c r="B588" s="120"/>
      <c r="C588" s="120"/>
      <c r="D588" s="120"/>
      <c r="E588" s="120"/>
      <c r="F588" s="120"/>
      <c r="G588" s="120"/>
      <c r="H588" s="120"/>
      <c r="I588" s="120"/>
      <c r="J588" s="120"/>
      <c r="K588" s="120"/>
    </row>
    <row r="589" spans="1:116" ht="15.5" outlineLevel="1" x14ac:dyDescent="0.25">
      <c r="B589" s="120"/>
      <c r="C589" s="37" t="s">
        <v>369</v>
      </c>
      <c r="D589" s="120"/>
      <c r="E589" s="120"/>
      <c r="F589" s="120"/>
      <c r="G589" s="120"/>
      <c r="H589" s="120"/>
      <c r="I589" s="120"/>
      <c r="J589" s="120"/>
      <c r="K589" s="120"/>
      <c r="L589" s="120"/>
      <c r="U589" s="120"/>
      <c r="V589" s="37"/>
      <c r="W589" s="37"/>
      <c r="X589" s="37"/>
      <c r="Y589" s="37"/>
      <c r="Z589" s="37"/>
      <c r="AA589" s="37"/>
      <c r="AB589" s="37"/>
      <c r="AC589" s="37"/>
      <c r="AD589" s="37"/>
      <c r="AE589" s="120"/>
      <c r="AF589" s="120"/>
      <c r="AG589" s="120"/>
      <c r="AH589" s="120"/>
      <c r="AI589" s="120"/>
      <c r="AJ589" s="120"/>
      <c r="AK589" s="120"/>
      <c r="AL589" s="120"/>
      <c r="AM589" s="120"/>
      <c r="AN589" s="120"/>
    </row>
    <row r="590" spans="1:116" ht="12" outlineLevel="1" x14ac:dyDescent="0.25">
      <c r="B590" s="120"/>
      <c r="C590" s="450" t="s">
        <v>975</v>
      </c>
      <c r="D590" s="289"/>
      <c r="E590" s="289"/>
      <c r="F590" s="120"/>
      <c r="G590" s="120"/>
      <c r="H590" s="120"/>
      <c r="I590" s="120"/>
      <c r="J590" s="120"/>
      <c r="K590" s="120"/>
      <c r="L590" s="120"/>
    </row>
    <row r="591" spans="1:116" ht="12" outlineLevel="1" x14ac:dyDescent="0.25">
      <c r="B591" s="120"/>
      <c r="C591" s="450" t="s">
        <v>1234</v>
      </c>
      <c r="D591" s="289"/>
      <c r="E591" s="289"/>
      <c r="L591" s="120"/>
    </row>
    <row r="592" spans="1:116" outlineLevel="1" x14ac:dyDescent="0.25">
      <c r="B592" s="120"/>
      <c r="C592" s="120"/>
      <c r="D592" s="120"/>
      <c r="E592" s="120"/>
      <c r="F592" s="120"/>
      <c r="G592" s="120"/>
      <c r="H592" s="120"/>
      <c r="I592" s="120"/>
      <c r="J592" s="120"/>
      <c r="K592" s="120"/>
      <c r="L592" s="120"/>
    </row>
    <row r="593" spans="1:18" outlineLevel="1" x14ac:dyDescent="0.25">
      <c r="B593" s="120"/>
      <c r="C593" s="564" t="s">
        <v>252</v>
      </c>
      <c r="D593" s="564" t="s">
        <v>253</v>
      </c>
      <c r="E593" s="564" t="s">
        <v>254</v>
      </c>
      <c r="F593" s="776">
        <v>2021</v>
      </c>
      <c r="G593" s="777"/>
      <c r="H593" s="777"/>
      <c r="I593" s="776">
        <v>2022</v>
      </c>
      <c r="J593" s="777"/>
      <c r="K593" s="777"/>
    </row>
    <row r="594" spans="1:18" ht="80.5" outlineLevel="1" x14ac:dyDescent="0.25">
      <c r="A594" s="572" t="s">
        <v>1254</v>
      </c>
      <c r="B594" s="120"/>
      <c r="C594" s="565"/>
      <c r="D594" s="566"/>
      <c r="E594" s="566"/>
      <c r="F594" s="554" t="s">
        <v>1235</v>
      </c>
      <c r="G594" s="555" t="s">
        <v>1236</v>
      </c>
      <c r="H594" s="555" t="s">
        <v>1237</v>
      </c>
      <c r="I594" s="554" t="s">
        <v>1235</v>
      </c>
      <c r="J594" s="555" t="s">
        <v>1236</v>
      </c>
      <c r="K594" s="555" t="s">
        <v>1238</v>
      </c>
      <c r="L594" s="572" t="s">
        <v>1253</v>
      </c>
    </row>
    <row r="595" spans="1:18" ht="14.5" outlineLevel="1" x14ac:dyDescent="0.35">
      <c r="A595" s="571" t="str">
        <f>C595&amp;D595</f>
        <v>Infinitum 50Residencial</v>
      </c>
      <c r="B595" s="129">
        <v>1</v>
      </c>
      <c r="C595" s="434" t="s">
        <v>1054</v>
      </c>
      <c r="D595" s="340" t="s">
        <v>240</v>
      </c>
      <c r="E595" s="340" t="s">
        <v>241</v>
      </c>
      <c r="F595" s="691">
        <v>951769</v>
      </c>
      <c r="G595" s="691">
        <v>0</v>
      </c>
      <c r="H595" s="691">
        <v>657255</v>
      </c>
      <c r="I595" s="691">
        <v>978032</v>
      </c>
      <c r="J595" s="691">
        <v>0</v>
      </c>
      <c r="K595" s="691">
        <v>1103370</v>
      </c>
      <c r="L595" s="573" t="str">
        <f>C595&amp;D595</f>
        <v>Infinitum 50Residencial</v>
      </c>
      <c r="M595" s="568"/>
      <c r="N595" s="568"/>
      <c r="O595" s="568"/>
      <c r="P595" s="568"/>
      <c r="Q595" s="568"/>
      <c r="R595" s="568"/>
    </row>
    <row r="596" spans="1:18" ht="14.5" outlineLevel="1" x14ac:dyDescent="0.35">
      <c r="A596" s="571" t="str">
        <f t="shared" ref="A596:A659" si="27">C596&amp;D596</f>
        <v>Infinitum 500Residencial</v>
      </c>
      <c r="B596" s="129">
        <v>2</v>
      </c>
      <c r="C596" s="434" t="s">
        <v>1055</v>
      </c>
      <c r="D596" s="340" t="s">
        <v>240</v>
      </c>
      <c r="E596" s="340" t="s">
        <v>241</v>
      </c>
      <c r="F596" s="691">
        <v>7904</v>
      </c>
      <c r="G596" s="691">
        <v>0</v>
      </c>
      <c r="H596" s="691">
        <v>8344</v>
      </c>
      <c r="I596" s="691">
        <v>7514</v>
      </c>
      <c r="J596" s="691">
        <v>0</v>
      </c>
      <c r="K596" s="691">
        <v>6778</v>
      </c>
      <c r="L596" s="573" t="str">
        <f t="shared" ref="L596:L659" si="28">C596&amp;D596</f>
        <v>Infinitum 500Residencial</v>
      </c>
      <c r="M596" s="568"/>
      <c r="N596" s="568"/>
      <c r="O596" s="568"/>
      <c r="P596" s="568"/>
      <c r="Q596" s="568"/>
      <c r="R596" s="568"/>
    </row>
    <row r="597" spans="1:18" ht="14.5" outlineLevel="1" x14ac:dyDescent="0.35">
      <c r="A597" s="571" t="str">
        <f t="shared" si="27"/>
        <v>Infinitum 60Residencial</v>
      </c>
      <c r="B597" s="129">
        <v>3</v>
      </c>
      <c r="C597" s="434" t="s">
        <v>1056</v>
      </c>
      <c r="D597" s="340" t="s">
        <v>240</v>
      </c>
      <c r="E597" s="340" t="s">
        <v>241</v>
      </c>
      <c r="F597" s="691">
        <v>194659</v>
      </c>
      <c r="G597" s="691">
        <v>0</v>
      </c>
      <c r="H597" s="691">
        <v>159202</v>
      </c>
      <c r="I597" s="691">
        <v>175423</v>
      </c>
      <c r="J597" s="691">
        <v>0</v>
      </c>
      <c r="K597" s="691">
        <v>190466</v>
      </c>
      <c r="L597" s="573" t="str">
        <f t="shared" si="28"/>
        <v>Infinitum 60Residencial</v>
      </c>
      <c r="M597" s="568"/>
      <c r="N597" s="568"/>
      <c r="O597" s="568"/>
      <c r="P597" s="568"/>
      <c r="Q597" s="568"/>
      <c r="R597" s="568"/>
    </row>
    <row r="598" spans="1:18" ht="14.5" outlineLevel="1" x14ac:dyDescent="0.35">
      <c r="A598" s="571" t="str">
        <f t="shared" si="27"/>
        <v>Infinitum 100Residencial</v>
      </c>
      <c r="B598" s="129">
        <v>4</v>
      </c>
      <c r="C598" s="434" t="s">
        <v>1057</v>
      </c>
      <c r="D598" s="340" t="s">
        <v>240</v>
      </c>
      <c r="E598" s="340" t="s">
        <v>241</v>
      </c>
      <c r="F598" s="691">
        <v>0</v>
      </c>
      <c r="G598" s="691">
        <v>0</v>
      </c>
      <c r="H598" s="691">
        <v>0</v>
      </c>
      <c r="I598" s="691">
        <v>4216</v>
      </c>
      <c r="J598" s="691">
        <v>0</v>
      </c>
      <c r="K598" s="691">
        <v>5563</v>
      </c>
      <c r="L598" s="573" t="str">
        <f t="shared" si="28"/>
        <v>Infinitum 100Residencial</v>
      </c>
      <c r="M598" s="568"/>
      <c r="N598" s="568"/>
      <c r="O598" s="568"/>
      <c r="P598" s="568"/>
      <c r="Q598" s="568"/>
      <c r="R598" s="568"/>
    </row>
    <row r="599" spans="1:18" ht="14.5" outlineLevel="1" x14ac:dyDescent="0.35">
      <c r="A599" s="571" t="str">
        <f t="shared" si="27"/>
        <v>Infinitum 200Residencial</v>
      </c>
      <c r="B599" s="129">
        <v>5</v>
      </c>
      <c r="C599" s="434" t="s">
        <v>1058</v>
      </c>
      <c r="D599" s="340" t="s">
        <v>240</v>
      </c>
      <c r="E599" s="340" t="s">
        <v>241</v>
      </c>
      <c r="F599" s="691">
        <v>62901</v>
      </c>
      <c r="G599" s="691">
        <v>0</v>
      </c>
      <c r="H599" s="691">
        <v>69136</v>
      </c>
      <c r="I599" s="691">
        <v>89662</v>
      </c>
      <c r="J599" s="691">
        <v>0</v>
      </c>
      <c r="K599" s="691">
        <v>75097</v>
      </c>
      <c r="L599" s="573" t="str">
        <f t="shared" si="28"/>
        <v>Infinitum 200Residencial</v>
      </c>
      <c r="M599" s="568"/>
      <c r="N599" s="568"/>
      <c r="O599" s="568"/>
      <c r="P599" s="568"/>
      <c r="Q599" s="568"/>
      <c r="R599" s="568"/>
    </row>
    <row r="600" spans="1:18" ht="14.5" outlineLevel="1" x14ac:dyDescent="0.35">
      <c r="A600" s="571" t="str">
        <f t="shared" si="27"/>
        <v>Infinitum 279Residencial</v>
      </c>
      <c r="B600" s="129">
        <v>6</v>
      </c>
      <c r="C600" s="434" t="s">
        <v>948</v>
      </c>
      <c r="D600" s="340" t="s">
        <v>240</v>
      </c>
      <c r="E600" s="340" t="s">
        <v>241</v>
      </c>
      <c r="F600" s="691">
        <v>23100</v>
      </c>
      <c r="G600" s="691">
        <v>0</v>
      </c>
      <c r="H600" s="691">
        <v>23757</v>
      </c>
      <c r="I600" s="691">
        <v>28260</v>
      </c>
      <c r="J600" s="691">
        <v>0</v>
      </c>
      <c r="K600" s="691">
        <v>18078</v>
      </c>
      <c r="L600" s="573" t="str">
        <f t="shared" si="28"/>
        <v>Infinitum 279Residencial</v>
      </c>
      <c r="M600" s="568"/>
      <c r="N600" s="568"/>
      <c r="O600" s="568"/>
      <c r="P600" s="568"/>
      <c r="Q600" s="568"/>
      <c r="R600" s="568"/>
    </row>
    <row r="601" spans="1:18" ht="14.5" outlineLevel="1" x14ac:dyDescent="0.35">
      <c r="A601" s="571" t="str">
        <f t="shared" si="27"/>
        <v>Infinitum 299Residencial</v>
      </c>
      <c r="B601" s="129">
        <v>7</v>
      </c>
      <c r="C601" s="434" t="s">
        <v>949</v>
      </c>
      <c r="D601" s="340" t="s">
        <v>240</v>
      </c>
      <c r="E601" s="340" t="s">
        <v>241</v>
      </c>
      <c r="F601" s="691">
        <v>237</v>
      </c>
      <c r="G601" s="691">
        <v>0</v>
      </c>
      <c r="H601" s="691">
        <v>180</v>
      </c>
      <c r="I601" s="691">
        <v>267</v>
      </c>
      <c r="J601" s="691">
        <v>0</v>
      </c>
      <c r="K601" s="691">
        <v>289</v>
      </c>
      <c r="L601" s="573" t="str">
        <f t="shared" si="28"/>
        <v>Infinitum 299Residencial</v>
      </c>
      <c r="M601" s="568"/>
      <c r="N601" s="568"/>
      <c r="O601" s="568"/>
      <c r="P601" s="568"/>
      <c r="Q601" s="568"/>
      <c r="R601" s="568"/>
    </row>
    <row r="602" spans="1:18" ht="14.5" outlineLevel="1" x14ac:dyDescent="0.35">
      <c r="A602" s="571" t="str">
        <f t="shared" si="27"/>
        <v>Infinitum 299No Residencial</v>
      </c>
      <c r="B602" s="129">
        <v>8</v>
      </c>
      <c r="C602" s="434" t="s">
        <v>949</v>
      </c>
      <c r="D602" s="340" t="s">
        <v>242</v>
      </c>
      <c r="E602" s="340" t="s">
        <v>241</v>
      </c>
      <c r="F602" s="691">
        <v>1532</v>
      </c>
      <c r="G602" s="691">
        <v>0</v>
      </c>
      <c r="H602" s="691">
        <v>1500</v>
      </c>
      <c r="I602" s="691">
        <v>1216</v>
      </c>
      <c r="J602" s="691">
        <v>0</v>
      </c>
      <c r="K602" s="691">
        <v>1200</v>
      </c>
      <c r="L602" s="573" t="str">
        <f t="shared" si="28"/>
        <v>Infinitum 299No Residencial</v>
      </c>
      <c r="M602" s="568"/>
      <c r="N602" s="568"/>
      <c r="O602" s="568"/>
      <c r="P602" s="568"/>
      <c r="Q602" s="568"/>
      <c r="R602" s="568"/>
    </row>
    <row r="603" spans="1:18" ht="14.5" outlineLevel="1" x14ac:dyDescent="0.35">
      <c r="A603" s="571" t="str">
        <f t="shared" si="27"/>
        <v>Infinitum Negocio 20 MbNo Residencial</v>
      </c>
      <c r="B603" s="129">
        <v>9</v>
      </c>
      <c r="C603" s="434" t="s">
        <v>200</v>
      </c>
      <c r="D603" s="340" t="s">
        <v>242</v>
      </c>
      <c r="E603" s="340" t="s">
        <v>241</v>
      </c>
      <c r="F603" s="691">
        <v>25160</v>
      </c>
      <c r="G603" s="691">
        <v>0</v>
      </c>
      <c r="H603" s="691">
        <v>19619</v>
      </c>
      <c r="I603" s="691">
        <v>46992</v>
      </c>
      <c r="J603" s="691">
        <v>0</v>
      </c>
      <c r="K603" s="691">
        <v>41709</v>
      </c>
      <c r="L603" s="573" t="str">
        <f t="shared" si="28"/>
        <v>Infinitum Negocio 20 MbNo Residencial</v>
      </c>
      <c r="M603" s="568"/>
      <c r="N603" s="568"/>
      <c r="O603" s="568"/>
      <c r="P603" s="568"/>
      <c r="Q603" s="568"/>
      <c r="R603" s="568"/>
    </row>
    <row r="604" spans="1:18" ht="14.5" outlineLevel="1" x14ac:dyDescent="0.35">
      <c r="A604" s="571" t="str">
        <f t="shared" si="27"/>
        <v>Infinitum Negocio 60No Residencial</v>
      </c>
      <c r="B604" s="129">
        <v>10</v>
      </c>
      <c r="C604" s="434" t="s">
        <v>1059</v>
      </c>
      <c r="D604" s="340" t="s">
        <v>242</v>
      </c>
      <c r="E604" s="340" t="s">
        <v>241</v>
      </c>
      <c r="F604" s="691">
        <v>17183</v>
      </c>
      <c r="G604" s="691">
        <v>0</v>
      </c>
      <c r="H604" s="691">
        <v>12963</v>
      </c>
      <c r="I604" s="691">
        <v>20566</v>
      </c>
      <c r="J604" s="691">
        <v>0</v>
      </c>
      <c r="K604" s="691">
        <v>11849</v>
      </c>
      <c r="L604" s="573" t="str">
        <f t="shared" si="28"/>
        <v>Infinitum Negocio 60No Residencial</v>
      </c>
      <c r="M604" s="568"/>
      <c r="N604" s="568"/>
      <c r="O604" s="568"/>
      <c r="P604" s="568"/>
      <c r="Q604" s="568"/>
      <c r="R604" s="568"/>
    </row>
    <row r="605" spans="1:18" ht="14.5" outlineLevel="1" x14ac:dyDescent="0.35">
      <c r="A605" s="571" t="str">
        <f t="shared" si="27"/>
        <v>Infinitum Negocio 200No Residencial</v>
      </c>
      <c r="B605" s="129">
        <v>11</v>
      </c>
      <c r="C605" s="434" t="s">
        <v>1060</v>
      </c>
      <c r="D605" s="340" t="s">
        <v>242</v>
      </c>
      <c r="E605" s="340" t="s">
        <v>241</v>
      </c>
      <c r="F605" s="691">
        <v>4671</v>
      </c>
      <c r="G605" s="691">
        <v>0</v>
      </c>
      <c r="H605" s="691">
        <v>6727</v>
      </c>
      <c r="I605" s="691">
        <v>8358</v>
      </c>
      <c r="J605" s="691">
        <v>0</v>
      </c>
      <c r="K605" s="691">
        <v>9330</v>
      </c>
      <c r="L605" s="573" t="str">
        <f t="shared" si="28"/>
        <v>Infinitum Negocio 200No Residencial</v>
      </c>
      <c r="M605" s="568"/>
      <c r="N605" s="568"/>
      <c r="O605" s="568"/>
      <c r="P605" s="568"/>
      <c r="Q605" s="568"/>
      <c r="R605" s="568"/>
    </row>
    <row r="606" spans="1:18" ht="14.5" outlineLevel="1" x14ac:dyDescent="0.35">
      <c r="A606" s="571" t="str">
        <f t="shared" si="27"/>
        <v>Infinitum Negocio 500No Residencial</v>
      </c>
      <c r="B606" s="129">
        <v>12</v>
      </c>
      <c r="C606" s="434" t="s">
        <v>1061</v>
      </c>
      <c r="D606" s="340" t="s">
        <v>242</v>
      </c>
      <c r="E606" s="340" t="s">
        <v>241</v>
      </c>
      <c r="F606" s="691">
        <v>2217</v>
      </c>
      <c r="G606" s="691">
        <v>0</v>
      </c>
      <c r="H606" s="691">
        <v>2230</v>
      </c>
      <c r="I606" s="691">
        <v>2824</v>
      </c>
      <c r="J606" s="691">
        <v>0</v>
      </c>
      <c r="K606" s="691">
        <v>2318</v>
      </c>
      <c r="L606" s="573" t="str">
        <f t="shared" si="28"/>
        <v>Infinitum Negocio 500No Residencial</v>
      </c>
      <c r="M606" s="568"/>
      <c r="N606" s="568"/>
      <c r="O606" s="568"/>
      <c r="P606" s="568"/>
      <c r="Q606" s="568"/>
      <c r="R606" s="568"/>
    </row>
    <row r="607" spans="1:18" ht="14.5" outlineLevel="1" x14ac:dyDescent="0.35">
      <c r="A607" s="571" t="str">
        <f t="shared" si="27"/>
        <v>Paquete 249Residencial</v>
      </c>
      <c r="B607" s="129">
        <v>13</v>
      </c>
      <c r="C607" s="434" t="s">
        <v>852</v>
      </c>
      <c r="D607" s="340" t="s">
        <v>240</v>
      </c>
      <c r="E607" s="340" t="s">
        <v>243</v>
      </c>
      <c r="F607" s="691">
        <v>150212</v>
      </c>
      <c r="G607" s="691">
        <v>0</v>
      </c>
      <c r="H607" s="691">
        <v>185389</v>
      </c>
      <c r="I607" s="691">
        <v>167568</v>
      </c>
      <c r="J607" s="691">
        <v>0</v>
      </c>
      <c r="K607" s="691">
        <v>156693</v>
      </c>
      <c r="L607" s="573" t="str">
        <f t="shared" si="28"/>
        <v>Paquete 249Residencial</v>
      </c>
      <c r="M607" s="568"/>
      <c r="N607" s="568"/>
      <c r="O607" s="568"/>
      <c r="P607" s="568"/>
      <c r="Q607" s="568"/>
      <c r="R607" s="568"/>
    </row>
    <row r="608" spans="1:18" ht="14.5" outlineLevel="1" x14ac:dyDescent="0.35">
      <c r="A608" s="571" t="str">
        <f t="shared" si="27"/>
        <v>Paquete 289Residencial</v>
      </c>
      <c r="B608" s="129">
        <v>14</v>
      </c>
      <c r="C608" s="434" t="s">
        <v>204</v>
      </c>
      <c r="D608" s="340" t="s">
        <v>240</v>
      </c>
      <c r="E608" s="340" t="s">
        <v>243</v>
      </c>
      <c r="F608" s="691">
        <v>97468</v>
      </c>
      <c r="G608" s="691">
        <v>0</v>
      </c>
      <c r="H608" s="691">
        <v>100400</v>
      </c>
      <c r="I608" s="691">
        <v>83861</v>
      </c>
      <c r="J608" s="691">
        <v>0</v>
      </c>
      <c r="K608" s="691">
        <v>56002</v>
      </c>
      <c r="L608" s="573" t="str">
        <f t="shared" si="28"/>
        <v>Paquete 289Residencial</v>
      </c>
      <c r="M608" s="568"/>
      <c r="N608" s="568"/>
      <c r="O608" s="568"/>
      <c r="P608" s="568"/>
      <c r="Q608" s="568"/>
      <c r="R608" s="568"/>
    </row>
    <row r="609" spans="1:18" ht="14.5" outlineLevel="1" x14ac:dyDescent="0.35">
      <c r="A609" s="571" t="str">
        <f t="shared" si="27"/>
        <v>Paquete 435Residencial</v>
      </c>
      <c r="B609" s="129">
        <v>15</v>
      </c>
      <c r="C609" s="434" t="s">
        <v>797</v>
      </c>
      <c r="D609" s="340" t="s">
        <v>240</v>
      </c>
      <c r="E609" s="340" t="s">
        <v>243</v>
      </c>
      <c r="F609" s="691">
        <v>0</v>
      </c>
      <c r="G609" s="691">
        <v>213422</v>
      </c>
      <c r="H609" s="691">
        <v>355825</v>
      </c>
      <c r="I609" s="691">
        <v>0</v>
      </c>
      <c r="J609" s="691">
        <v>300967</v>
      </c>
      <c r="K609" s="691">
        <v>271307</v>
      </c>
      <c r="L609" s="573" t="str">
        <f t="shared" si="28"/>
        <v>Paquete 435Residencial</v>
      </c>
      <c r="M609" s="568"/>
      <c r="N609" s="568"/>
      <c r="O609" s="568"/>
      <c r="P609" s="568"/>
      <c r="Q609" s="568"/>
      <c r="R609" s="568"/>
    </row>
    <row r="610" spans="1:18" ht="14.5" outlineLevel="1" x14ac:dyDescent="0.35">
      <c r="A610" s="571" t="str">
        <f t="shared" si="27"/>
        <v>Paquete 499Residencial</v>
      </c>
      <c r="B610" s="129">
        <v>16</v>
      </c>
      <c r="C610" s="434" t="s">
        <v>798</v>
      </c>
      <c r="D610" s="340" t="s">
        <v>240</v>
      </c>
      <c r="E610" s="340" t="s">
        <v>243</v>
      </c>
      <c r="F610" s="691">
        <v>0</v>
      </c>
      <c r="G610" s="691">
        <v>221205</v>
      </c>
      <c r="H610" s="691">
        <v>171189</v>
      </c>
      <c r="I610" s="691">
        <v>0</v>
      </c>
      <c r="J610" s="691">
        <v>144839</v>
      </c>
      <c r="K610" s="691">
        <v>212161</v>
      </c>
      <c r="L610" s="573" t="str">
        <f t="shared" si="28"/>
        <v>Paquete 499Residencial</v>
      </c>
      <c r="M610" s="568"/>
      <c r="N610" s="568"/>
      <c r="O610" s="568"/>
      <c r="P610" s="568"/>
      <c r="Q610" s="568"/>
      <c r="R610" s="568"/>
    </row>
    <row r="611" spans="1:18" ht="14.5" outlineLevel="1" x14ac:dyDescent="0.35">
      <c r="A611" s="571" t="str">
        <f t="shared" si="27"/>
        <v>Paquete 599Residencial</v>
      </c>
      <c r="B611" s="129">
        <v>17</v>
      </c>
      <c r="C611" s="434" t="s">
        <v>205</v>
      </c>
      <c r="D611" s="340" t="s">
        <v>240</v>
      </c>
      <c r="E611" s="340" t="s">
        <v>243</v>
      </c>
      <c r="F611" s="691">
        <v>0</v>
      </c>
      <c r="G611" s="691">
        <v>485531</v>
      </c>
      <c r="H611" s="691">
        <v>562057</v>
      </c>
      <c r="I611" s="691">
        <v>0</v>
      </c>
      <c r="J611" s="691">
        <v>361973</v>
      </c>
      <c r="K611" s="691">
        <v>388053</v>
      </c>
      <c r="L611" s="573" t="str">
        <f t="shared" si="28"/>
        <v>Paquete 599Residencial</v>
      </c>
      <c r="M611" s="568"/>
      <c r="N611" s="568"/>
      <c r="O611" s="568"/>
      <c r="P611" s="568"/>
      <c r="Q611" s="568"/>
      <c r="R611" s="568"/>
    </row>
    <row r="612" spans="1:18" ht="14.5" outlineLevel="1" x14ac:dyDescent="0.35">
      <c r="A612" s="571" t="str">
        <f t="shared" si="27"/>
        <v>Paquete 389Residencial</v>
      </c>
      <c r="B612" s="129">
        <v>18</v>
      </c>
      <c r="C612" s="434" t="s">
        <v>708</v>
      </c>
      <c r="D612" s="340" t="s">
        <v>240</v>
      </c>
      <c r="E612" s="340" t="s">
        <v>243</v>
      </c>
      <c r="F612" s="691">
        <v>5203863</v>
      </c>
      <c r="G612" s="691">
        <v>0</v>
      </c>
      <c r="H612" s="691">
        <v>6188476</v>
      </c>
      <c r="I612" s="691">
        <v>5224093</v>
      </c>
      <c r="J612" s="691">
        <v>0</v>
      </c>
      <c r="K612" s="691">
        <v>5505220</v>
      </c>
      <c r="L612" s="573" t="str">
        <f t="shared" si="28"/>
        <v>Paquete 389Residencial</v>
      </c>
      <c r="M612" s="568"/>
      <c r="N612" s="568"/>
      <c r="O612" s="568"/>
      <c r="P612" s="568"/>
      <c r="Q612" s="568"/>
      <c r="R612" s="568"/>
    </row>
    <row r="613" spans="1:18" ht="14.5" outlineLevel="1" x14ac:dyDescent="0.35">
      <c r="A613" s="571" t="str">
        <f t="shared" si="27"/>
        <v>Paquete Conectes NegocioNo Residencial</v>
      </c>
      <c r="B613" s="129">
        <v>19</v>
      </c>
      <c r="C613" s="434" t="s">
        <v>206</v>
      </c>
      <c r="D613" s="340" t="s">
        <v>242</v>
      </c>
      <c r="E613" s="340" t="s">
        <v>243</v>
      </c>
      <c r="F613" s="691">
        <v>576267</v>
      </c>
      <c r="G613" s="691">
        <v>0</v>
      </c>
      <c r="H613" s="691">
        <v>603129</v>
      </c>
      <c r="I613" s="691">
        <v>627293</v>
      </c>
      <c r="J613" s="691">
        <v>0</v>
      </c>
      <c r="K613" s="691">
        <v>461876</v>
      </c>
      <c r="L613" s="573" t="str">
        <f t="shared" si="28"/>
        <v>Paquete Conectes NegocioNo Residencial</v>
      </c>
      <c r="M613" s="568"/>
      <c r="N613" s="568"/>
      <c r="O613" s="568"/>
      <c r="P613" s="568"/>
      <c r="Q613" s="568"/>
      <c r="R613" s="568"/>
    </row>
    <row r="614" spans="1:18" ht="14.5" outlineLevel="1" x14ac:dyDescent="0.35">
      <c r="A614" s="571" t="str">
        <f t="shared" si="27"/>
        <v>Paquete 1499Residencial</v>
      </c>
      <c r="B614" s="129">
        <v>20</v>
      </c>
      <c r="C614" s="434" t="s">
        <v>799</v>
      </c>
      <c r="D614" s="340" t="s">
        <v>240</v>
      </c>
      <c r="E614" s="340" t="s">
        <v>243</v>
      </c>
      <c r="F614" s="691">
        <v>8828</v>
      </c>
      <c r="G614" s="691">
        <v>0</v>
      </c>
      <c r="H614" s="691">
        <v>11220</v>
      </c>
      <c r="I614" s="691">
        <v>15954</v>
      </c>
      <c r="J614" s="691">
        <v>0</v>
      </c>
      <c r="K614" s="691">
        <v>14110</v>
      </c>
      <c r="L614" s="573" t="str">
        <f t="shared" si="28"/>
        <v>Paquete 1499Residencial</v>
      </c>
      <c r="M614" s="568"/>
      <c r="N614" s="568"/>
      <c r="O614" s="568"/>
      <c r="P614" s="568"/>
      <c r="Q614" s="568"/>
      <c r="R614" s="568"/>
    </row>
    <row r="615" spans="1:18" ht="14.5" outlineLevel="1" x14ac:dyDescent="0.35">
      <c r="A615" s="571" t="str">
        <f t="shared" si="27"/>
        <v>Paquete 333Residencial</v>
      </c>
      <c r="B615" s="129">
        <v>21</v>
      </c>
      <c r="C615" s="434" t="s">
        <v>853</v>
      </c>
      <c r="D615" s="340" t="s">
        <v>240</v>
      </c>
      <c r="E615" s="340" t="s">
        <v>243</v>
      </c>
      <c r="F615" s="691">
        <v>113773</v>
      </c>
      <c r="G615" s="691">
        <v>0</v>
      </c>
      <c r="H615" s="691">
        <v>121491</v>
      </c>
      <c r="I615" s="691">
        <v>66842</v>
      </c>
      <c r="J615" s="691">
        <v>0</v>
      </c>
      <c r="K615" s="691">
        <v>116762</v>
      </c>
      <c r="L615" s="573" t="str">
        <f t="shared" si="28"/>
        <v>Paquete 333Residencial</v>
      </c>
      <c r="M615" s="568"/>
      <c r="N615" s="568"/>
      <c r="O615" s="568"/>
      <c r="P615" s="568"/>
      <c r="Q615" s="568"/>
      <c r="R615" s="568"/>
    </row>
    <row r="616" spans="1:18" ht="14.5" outlineLevel="1" x14ac:dyDescent="0.35">
      <c r="A616" s="571" t="str">
        <f t="shared" si="27"/>
        <v>Paquete Mi NegocioNo Residencial</v>
      </c>
      <c r="B616" s="129">
        <v>22</v>
      </c>
      <c r="C616" s="434" t="s">
        <v>207</v>
      </c>
      <c r="D616" s="340" t="s">
        <v>242</v>
      </c>
      <c r="E616" s="340" t="s">
        <v>243</v>
      </c>
      <c r="F616" s="691">
        <v>367959</v>
      </c>
      <c r="G616" s="691">
        <v>0</v>
      </c>
      <c r="H616" s="691">
        <v>495607</v>
      </c>
      <c r="I616" s="691">
        <v>428856</v>
      </c>
      <c r="J616" s="691">
        <v>0</v>
      </c>
      <c r="K616" s="691">
        <v>490833</v>
      </c>
      <c r="L616" s="573" t="str">
        <f t="shared" si="28"/>
        <v>Paquete Mi NegocioNo Residencial</v>
      </c>
      <c r="M616" s="568"/>
      <c r="N616" s="568"/>
      <c r="O616" s="568"/>
      <c r="P616" s="568"/>
      <c r="Q616" s="568"/>
      <c r="R616" s="568"/>
    </row>
    <row r="617" spans="1:18" ht="14.5" outlineLevel="1" x14ac:dyDescent="0.35">
      <c r="A617" s="571" t="str">
        <f t="shared" si="27"/>
        <v>Paquete SuperNegocioNo Residencial</v>
      </c>
      <c r="B617" s="129">
        <v>23</v>
      </c>
      <c r="C617" s="434" t="s">
        <v>367</v>
      </c>
      <c r="D617" s="340" t="s">
        <v>242</v>
      </c>
      <c r="E617" s="340" t="s">
        <v>243</v>
      </c>
      <c r="F617" s="691">
        <v>238487</v>
      </c>
      <c r="G617" s="691">
        <v>0</v>
      </c>
      <c r="H617" s="691">
        <v>237015</v>
      </c>
      <c r="I617" s="691">
        <v>199906</v>
      </c>
      <c r="J617" s="691">
        <v>0</v>
      </c>
      <c r="K617" s="691">
        <v>245874</v>
      </c>
      <c r="L617" s="573" t="str">
        <f t="shared" si="28"/>
        <v>Paquete SuperNegocioNo Residencial</v>
      </c>
      <c r="M617" s="568"/>
      <c r="N617" s="568"/>
      <c r="O617" s="568"/>
      <c r="P617" s="568"/>
      <c r="Q617" s="568"/>
      <c r="R617" s="568"/>
    </row>
    <row r="618" spans="1:18" ht="14.5" outlineLevel="1" x14ac:dyDescent="0.35">
      <c r="A618" s="571" t="str">
        <f t="shared" si="27"/>
        <v>Paquete Infinitum 500Residencial</v>
      </c>
      <c r="B618" s="129">
        <v>24</v>
      </c>
      <c r="C618" s="434" t="s">
        <v>1067</v>
      </c>
      <c r="D618" s="340" t="s">
        <v>240</v>
      </c>
      <c r="E618" s="340" t="s">
        <v>243</v>
      </c>
      <c r="F618" s="691">
        <v>59701</v>
      </c>
      <c r="G618" s="691">
        <v>0</v>
      </c>
      <c r="H618" s="691">
        <v>48904</v>
      </c>
      <c r="I618" s="691">
        <v>61726</v>
      </c>
      <c r="J618" s="691">
        <v>0</v>
      </c>
      <c r="K618" s="691">
        <v>40659</v>
      </c>
      <c r="L618" s="573" t="str">
        <f t="shared" si="28"/>
        <v>Paquete Infinitum 500Residencial</v>
      </c>
      <c r="M618" s="568"/>
      <c r="N618" s="568"/>
      <c r="O618" s="568"/>
      <c r="P618" s="568"/>
      <c r="Q618" s="568"/>
      <c r="R618" s="568"/>
    </row>
    <row r="619" spans="1:18" ht="14.5" outlineLevel="1" x14ac:dyDescent="0.35">
      <c r="A619" s="571" t="str">
        <f t="shared" si="27"/>
        <v>Paquete Telmex Negocio Sin Límites 1No Residencial</v>
      </c>
      <c r="B619" s="129">
        <v>25</v>
      </c>
      <c r="C619" s="434" t="s">
        <v>800</v>
      </c>
      <c r="D619" s="340" t="s">
        <v>242</v>
      </c>
      <c r="E619" s="340" t="s">
        <v>243</v>
      </c>
      <c r="F619" s="691">
        <v>57263</v>
      </c>
      <c r="G619" s="691">
        <v>0</v>
      </c>
      <c r="H619" s="691">
        <v>56059</v>
      </c>
      <c r="I619" s="691">
        <v>48143</v>
      </c>
      <c r="J619" s="691">
        <v>0</v>
      </c>
      <c r="K619" s="691">
        <v>55543</v>
      </c>
      <c r="L619" s="573" t="str">
        <f t="shared" si="28"/>
        <v>Paquete Telmex Negocio Sin Límites 1No Residencial</v>
      </c>
      <c r="M619" s="568"/>
      <c r="N619" s="568"/>
      <c r="O619" s="568"/>
      <c r="P619" s="568"/>
      <c r="Q619" s="568"/>
      <c r="R619" s="568"/>
    </row>
    <row r="620" spans="1:18" ht="14.5" outlineLevel="1" x14ac:dyDescent="0.35">
      <c r="A620" s="571" t="str">
        <f t="shared" si="27"/>
        <v>Paquete Telmex Negocio Sin Límites 2No Residencial</v>
      </c>
      <c r="B620" s="129">
        <v>26</v>
      </c>
      <c r="C620" s="434" t="s">
        <v>801</v>
      </c>
      <c r="D620" s="340" t="s">
        <v>242</v>
      </c>
      <c r="E620" s="340" t="s">
        <v>243</v>
      </c>
      <c r="F620" s="691">
        <v>32359</v>
      </c>
      <c r="G620" s="691">
        <v>0</v>
      </c>
      <c r="H620" s="691">
        <v>18632</v>
      </c>
      <c r="I620" s="691">
        <v>24355</v>
      </c>
      <c r="J620" s="691">
        <v>0</v>
      </c>
      <c r="K620" s="691">
        <v>29387</v>
      </c>
      <c r="L620" s="573" t="str">
        <f t="shared" si="28"/>
        <v>Paquete Telmex Negocio Sin Límites 2No Residencial</v>
      </c>
      <c r="M620" s="568"/>
      <c r="N620" s="568"/>
      <c r="O620" s="568"/>
      <c r="P620" s="568"/>
      <c r="Q620" s="568"/>
      <c r="R620" s="568"/>
    </row>
    <row r="621" spans="1:18" ht="14.5" outlineLevel="1" x14ac:dyDescent="0.35">
      <c r="A621" s="571" t="str">
        <f t="shared" si="27"/>
        <v>Paquete Telmex Negocio Sin Límites 3No Residencial</v>
      </c>
      <c r="B621" s="129">
        <v>27</v>
      </c>
      <c r="C621" s="434" t="s">
        <v>830</v>
      </c>
      <c r="D621" s="340" t="s">
        <v>242</v>
      </c>
      <c r="E621" s="340" t="s">
        <v>243</v>
      </c>
      <c r="F621" s="691">
        <v>19108</v>
      </c>
      <c r="G621" s="691">
        <v>0</v>
      </c>
      <c r="H621" s="691">
        <v>18001</v>
      </c>
      <c r="I621" s="691">
        <v>13818</v>
      </c>
      <c r="J621" s="691">
        <v>0</v>
      </c>
      <c r="K621" s="691">
        <v>21338</v>
      </c>
      <c r="L621" s="573" t="str">
        <f t="shared" si="28"/>
        <v>Paquete Telmex Negocio Sin Límites 3No Residencial</v>
      </c>
      <c r="M621" s="568"/>
      <c r="N621" s="568"/>
      <c r="O621" s="568"/>
      <c r="P621" s="568"/>
      <c r="Q621" s="568"/>
      <c r="R621" s="568"/>
    </row>
    <row r="622" spans="1:18" ht="14.5" outlineLevel="1" x14ac:dyDescent="0.35">
      <c r="A622" s="571" t="str">
        <f t="shared" si="27"/>
        <v>Infinitum NegocioNo Residencial</v>
      </c>
      <c r="B622" s="129">
        <v>28</v>
      </c>
      <c r="C622" s="434" t="s">
        <v>201</v>
      </c>
      <c r="D622" s="340" t="s">
        <v>242</v>
      </c>
      <c r="E622" s="340" t="s">
        <v>241</v>
      </c>
      <c r="F622" s="691">
        <v>57197</v>
      </c>
      <c r="G622" s="691">
        <v>0</v>
      </c>
      <c r="H622" s="691">
        <v>62681</v>
      </c>
      <c r="I622" s="691">
        <v>55739</v>
      </c>
      <c r="J622" s="691">
        <v>0</v>
      </c>
      <c r="K622" s="691">
        <v>70477</v>
      </c>
      <c r="L622" s="573" t="str">
        <f t="shared" si="28"/>
        <v>Infinitum NegocioNo Residencial</v>
      </c>
      <c r="M622" s="568"/>
      <c r="N622" s="568"/>
      <c r="O622" s="568"/>
      <c r="P622" s="568"/>
      <c r="Q622" s="568"/>
      <c r="R622" s="568"/>
    </row>
    <row r="623" spans="1:18" ht="14.5" outlineLevel="1" x14ac:dyDescent="0.35">
      <c r="A623" s="571" t="str">
        <f t="shared" si="27"/>
        <v>Infinitum Negocio RedNo Residencial</v>
      </c>
      <c r="B623" s="129">
        <v>29</v>
      </c>
      <c r="C623" s="434" t="s">
        <v>202</v>
      </c>
      <c r="D623" s="340" t="s">
        <v>242</v>
      </c>
      <c r="E623" s="340" t="s">
        <v>241</v>
      </c>
      <c r="F623" s="691">
        <v>10256</v>
      </c>
      <c r="G623" s="691">
        <v>0</v>
      </c>
      <c r="H623" s="691">
        <v>12177</v>
      </c>
      <c r="I623" s="691">
        <v>14440</v>
      </c>
      <c r="J623" s="691">
        <v>0</v>
      </c>
      <c r="K623" s="691">
        <v>17663</v>
      </c>
      <c r="L623" s="573" t="str">
        <f t="shared" si="28"/>
        <v>Infinitum Negocio RedNo Residencial</v>
      </c>
      <c r="M623" s="568"/>
      <c r="N623" s="568"/>
      <c r="O623" s="568"/>
      <c r="P623" s="568"/>
      <c r="Q623" s="568"/>
      <c r="R623" s="568"/>
    </row>
    <row r="624" spans="1:18" ht="14.5" outlineLevel="1" x14ac:dyDescent="0.35">
      <c r="A624" s="571" t="str">
        <f t="shared" si="27"/>
        <v>Infinitum Negocio PremiumNo Residencial</v>
      </c>
      <c r="B624" s="129">
        <v>30</v>
      </c>
      <c r="C624" s="434" t="s">
        <v>203</v>
      </c>
      <c r="D624" s="340" t="s">
        <v>242</v>
      </c>
      <c r="E624" s="340" t="s">
        <v>241</v>
      </c>
      <c r="F624" s="691">
        <v>13327</v>
      </c>
      <c r="G624" s="691">
        <v>0</v>
      </c>
      <c r="H624" s="691">
        <v>14477</v>
      </c>
      <c r="I624" s="691">
        <v>10853</v>
      </c>
      <c r="J624" s="691">
        <v>0</v>
      </c>
      <c r="K624" s="691">
        <v>12899</v>
      </c>
      <c r="L624" s="573" t="str">
        <f t="shared" si="28"/>
        <v>Infinitum Negocio PremiumNo Residencial</v>
      </c>
      <c r="M624" s="568"/>
      <c r="N624" s="568"/>
      <c r="O624" s="568"/>
      <c r="P624" s="568"/>
      <c r="Q624" s="568"/>
      <c r="R624" s="568"/>
    </row>
    <row r="625" spans="1:18" ht="14.5" outlineLevel="1" x14ac:dyDescent="0.35">
      <c r="A625" s="571" t="str">
        <f t="shared" si="27"/>
        <v>Paquete Infinitum Play 20 (Netflix 1 dispositivo)Residencial</v>
      </c>
      <c r="B625" s="129">
        <v>31</v>
      </c>
      <c r="C625" s="434" t="s">
        <v>854</v>
      </c>
      <c r="D625" s="340" t="s">
        <v>240</v>
      </c>
      <c r="E625" s="340" t="s">
        <v>243</v>
      </c>
      <c r="F625" s="691">
        <v>206641</v>
      </c>
      <c r="G625" s="691">
        <v>0</v>
      </c>
      <c r="H625" s="691">
        <v>197152</v>
      </c>
      <c r="I625" s="691">
        <v>148980</v>
      </c>
      <c r="J625" s="691">
        <v>0</v>
      </c>
      <c r="K625" s="691">
        <v>154576</v>
      </c>
      <c r="L625" s="573" t="str">
        <f t="shared" si="28"/>
        <v>Paquete Infinitum Play 20 (Netflix 1 dispositivo)Residencial</v>
      </c>
      <c r="M625" s="568"/>
      <c r="N625" s="568"/>
      <c r="O625" s="568"/>
      <c r="P625" s="568"/>
      <c r="Q625" s="568"/>
      <c r="R625" s="568"/>
    </row>
    <row r="626" spans="1:18" ht="14.5" outlineLevel="1" x14ac:dyDescent="0.35">
      <c r="A626" s="571" t="str">
        <f t="shared" si="27"/>
        <v>Paquete Infinitum Play 20 (Netflix 2 dispositivos)Residencial</v>
      </c>
      <c r="B626" s="129">
        <v>32</v>
      </c>
      <c r="C626" s="434" t="s">
        <v>855</v>
      </c>
      <c r="D626" s="340" t="s">
        <v>240</v>
      </c>
      <c r="E626" s="340" t="s">
        <v>243</v>
      </c>
      <c r="F626" s="691">
        <v>202216</v>
      </c>
      <c r="G626" s="691">
        <v>0</v>
      </c>
      <c r="H626" s="691">
        <v>236499</v>
      </c>
      <c r="I626" s="691">
        <v>172996</v>
      </c>
      <c r="J626" s="691">
        <v>0</v>
      </c>
      <c r="K626" s="691">
        <v>118470</v>
      </c>
      <c r="L626" s="573" t="str">
        <f t="shared" si="28"/>
        <v>Paquete Infinitum Play 20 (Netflix 2 dispositivos)Residencial</v>
      </c>
      <c r="M626" s="568"/>
      <c r="N626" s="568"/>
      <c r="O626" s="568"/>
      <c r="P626" s="568"/>
      <c r="Q626" s="568"/>
      <c r="R626" s="568"/>
    </row>
    <row r="627" spans="1:18" ht="14.5" outlineLevel="1" x14ac:dyDescent="0.35">
      <c r="A627" s="571" t="str">
        <f t="shared" si="27"/>
        <v>Paquete Infinitum Play 20 (Netflix 4 dispositivos)Residencial</v>
      </c>
      <c r="B627" s="129">
        <v>33</v>
      </c>
      <c r="C627" s="434" t="s">
        <v>856</v>
      </c>
      <c r="D627" s="340" t="s">
        <v>240</v>
      </c>
      <c r="E627" s="340" t="s">
        <v>243</v>
      </c>
      <c r="F627" s="691">
        <v>94402</v>
      </c>
      <c r="G627" s="691">
        <v>0</v>
      </c>
      <c r="H627" s="691">
        <v>79310</v>
      </c>
      <c r="I627" s="691">
        <v>69618</v>
      </c>
      <c r="J627" s="691">
        <v>0</v>
      </c>
      <c r="K627" s="691">
        <v>67623</v>
      </c>
      <c r="L627" s="573" t="str">
        <f t="shared" si="28"/>
        <v>Paquete Infinitum Play 20 (Netflix 4 dispositivos)Residencial</v>
      </c>
      <c r="M627" s="568"/>
      <c r="N627" s="568"/>
      <c r="O627" s="568"/>
      <c r="P627" s="568"/>
      <c r="Q627" s="568"/>
      <c r="R627" s="568"/>
    </row>
    <row r="628" spans="1:18" ht="14.5" outlineLevel="1" x14ac:dyDescent="0.35">
      <c r="A628" s="571" t="str">
        <f t="shared" si="27"/>
        <v>Paquete Infinitum Play 30 (Netflix 2 dispositivos)Residencial</v>
      </c>
      <c r="B628" s="129">
        <v>34</v>
      </c>
      <c r="C628" s="434" t="s">
        <v>857</v>
      </c>
      <c r="D628" s="340" t="s">
        <v>240</v>
      </c>
      <c r="E628" s="340" t="s">
        <v>243</v>
      </c>
      <c r="F628" s="691">
        <v>52504</v>
      </c>
      <c r="G628" s="691">
        <v>0</v>
      </c>
      <c r="H628" s="691">
        <v>42476</v>
      </c>
      <c r="I628" s="691">
        <v>37120</v>
      </c>
      <c r="J628" s="691">
        <v>0</v>
      </c>
      <c r="K628" s="691">
        <v>37715</v>
      </c>
      <c r="L628" s="573" t="str">
        <f t="shared" si="28"/>
        <v>Paquete Infinitum Play 30 (Netflix 2 dispositivos)Residencial</v>
      </c>
      <c r="M628" s="568"/>
      <c r="N628" s="568"/>
      <c r="O628" s="568"/>
      <c r="P628" s="568"/>
      <c r="Q628" s="568"/>
      <c r="R628" s="568"/>
    </row>
    <row r="629" spans="1:18" ht="14.5" outlineLevel="1" x14ac:dyDescent="0.35">
      <c r="A629" s="571" t="str">
        <f t="shared" si="27"/>
        <v>Paquete Infinitum Play 30 (Netflix 4 dispositivos)Residencial</v>
      </c>
      <c r="B629" s="129">
        <v>35</v>
      </c>
      <c r="C629" s="434" t="s">
        <v>858</v>
      </c>
      <c r="D629" s="340" t="s">
        <v>240</v>
      </c>
      <c r="E629" s="340" t="s">
        <v>243</v>
      </c>
      <c r="F629" s="691">
        <v>21691</v>
      </c>
      <c r="G629" s="691">
        <v>0</v>
      </c>
      <c r="H629" s="691">
        <v>15953</v>
      </c>
      <c r="I629" s="691">
        <v>18472</v>
      </c>
      <c r="J629" s="691">
        <v>0</v>
      </c>
      <c r="K629" s="691">
        <v>18321</v>
      </c>
      <c r="L629" s="573" t="str">
        <f t="shared" si="28"/>
        <v>Paquete Infinitum Play 30 (Netflix 4 dispositivos)Residencial</v>
      </c>
      <c r="M629" s="568"/>
      <c r="N629" s="568"/>
      <c r="O629" s="568"/>
      <c r="P629" s="568"/>
      <c r="Q629" s="568"/>
      <c r="R629" s="568"/>
    </row>
    <row r="630" spans="1:18" ht="14.5" outlineLevel="1" x14ac:dyDescent="0.35">
      <c r="A630" s="571" t="str">
        <f t="shared" si="27"/>
        <v>Paquete Infinitum Play 40 (Netflix 2 dispositivos)Residencial</v>
      </c>
      <c r="B630" s="129">
        <v>36</v>
      </c>
      <c r="C630" s="434" t="s">
        <v>859</v>
      </c>
      <c r="D630" s="340" t="s">
        <v>240</v>
      </c>
      <c r="E630" s="340" t="s">
        <v>243</v>
      </c>
      <c r="F630" s="691">
        <v>14647</v>
      </c>
      <c r="G630" s="691">
        <v>0</v>
      </c>
      <c r="H630" s="691">
        <v>15314</v>
      </c>
      <c r="I630" s="691">
        <v>10060</v>
      </c>
      <c r="J630" s="691">
        <v>0</v>
      </c>
      <c r="K630" s="691">
        <v>9228</v>
      </c>
      <c r="L630" s="573" t="str">
        <f t="shared" si="28"/>
        <v>Paquete Infinitum Play 40 (Netflix 2 dispositivos)Residencial</v>
      </c>
      <c r="M630" s="568"/>
      <c r="N630" s="568"/>
      <c r="O630" s="568"/>
      <c r="P630" s="568"/>
      <c r="Q630" s="568"/>
      <c r="R630" s="568"/>
    </row>
    <row r="631" spans="1:18" ht="14.5" outlineLevel="1" x14ac:dyDescent="0.35">
      <c r="A631" s="571" t="str">
        <f t="shared" si="27"/>
        <v>Paquete Infinitum Play 40 (Netflix 4 dispositivos)Residencial</v>
      </c>
      <c r="B631" s="129">
        <v>37</v>
      </c>
      <c r="C631" s="434" t="s">
        <v>860</v>
      </c>
      <c r="D631" s="340" t="s">
        <v>240</v>
      </c>
      <c r="E631" s="340" t="s">
        <v>243</v>
      </c>
      <c r="F631" s="691">
        <v>7903</v>
      </c>
      <c r="G631" s="691">
        <v>0</v>
      </c>
      <c r="H631" s="691">
        <v>6832</v>
      </c>
      <c r="I631" s="691">
        <v>4172</v>
      </c>
      <c r="J631" s="691">
        <v>0</v>
      </c>
      <c r="K631" s="691">
        <v>4951</v>
      </c>
      <c r="L631" s="573" t="str">
        <f t="shared" si="28"/>
        <v>Paquete Infinitum Play 40 (Netflix 4 dispositivos)Residencial</v>
      </c>
      <c r="M631" s="568"/>
      <c r="N631" s="568"/>
      <c r="O631" s="568"/>
      <c r="P631" s="568"/>
      <c r="Q631" s="568"/>
      <c r="R631" s="568"/>
    </row>
    <row r="632" spans="1:18" ht="14.5" outlineLevel="1" x14ac:dyDescent="0.35">
      <c r="A632" s="571" t="str">
        <f t="shared" si="27"/>
        <v>Paquete Infinitum Play 150 (Netflix 4 dispositivos)Residencial</v>
      </c>
      <c r="B632" s="129">
        <v>38</v>
      </c>
      <c r="C632" s="434" t="s">
        <v>861</v>
      </c>
      <c r="D632" s="340" t="s">
        <v>240</v>
      </c>
      <c r="E632" s="340" t="s">
        <v>243</v>
      </c>
      <c r="F632" s="691">
        <v>58136</v>
      </c>
      <c r="G632" s="691">
        <v>0</v>
      </c>
      <c r="H632" s="691">
        <v>59394</v>
      </c>
      <c r="I632" s="691">
        <v>31201</v>
      </c>
      <c r="J632" s="691">
        <v>0</v>
      </c>
      <c r="K632" s="691">
        <v>40029</v>
      </c>
      <c r="L632" s="573" t="str">
        <f t="shared" si="28"/>
        <v>Paquete Infinitum Play 150 (Netflix 4 dispositivos)Residencial</v>
      </c>
      <c r="M632" s="568"/>
      <c r="N632" s="568"/>
      <c r="O632" s="568"/>
      <c r="P632" s="568"/>
      <c r="Q632" s="568"/>
      <c r="R632" s="568"/>
    </row>
    <row r="633" spans="1:18" ht="14.5" outlineLevel="1" x14ac:dyDescent="0.35">
      <c r="A633" s="571" t="str">
        <f t="shared" si="27"/>
        <v>Paquete Infinitum Play 150 (Netflix 2 dispositivos)Residencial</v>
      </c>
      <c r="B633" s="129">
        <v>39</v>
      </c>
      <c r="C633" s="434" t="s">
        <v>862</v>
      </c>
      <c r="D633" s="340" t="s">
        <v>240</v>
      </c>
      <c r="E633" s="340" t="s">
        <v>243</v>
      </c>
      <c r="F633" s="691">
        <v>10696</v>
      </c>
      <c r="G633" s="691">
        <v>0</v>
      </c>
      <c r="H633" s="691">
        <v>8490</v>
      </c>
      <c r="I633" s="691">
        <v>4892</v>
      </c>
      <c r="J633" s="691">
        <v>0</v>
      </c>
      <c r="K633" s="691">
        <v>6594</v>
      </c>
      <c r="L633" s="573" t="str">
        <f t="shared" si="28"/>
        <v>Paquete Infinitum Play 150 (Netflix 2 dispositivos)Residencial</v>
      </c>
      <c r="M633" s="568"/>
      <c r="N633" s="568"/>
      <c r="O633" s="568"/>
      <c r="P633" s="568"/>
      <c r="Q633" s="568"/>
      <c r="R633" s="568"/>
    </row>
    <row r="634" spans="1:18" ht="14.5" outlineLevel="1" x14ac:dyDescent="0.35">
      <c r="A634" s="571" t="str">
        <f t="shared" si="27"/>
        <v>Paquete Infinitum Netflix 500 (Netflix 4 dispositivos)Residencial</v>
      </c>
      <c r="B634" s="129">
        <v>40</v>
      </c>
      <c r="C634" s="434" t="s">
        <v>1068</v>
      </c>
      <c r="D634" s="340" t="s">
        <v>240</v>
      </c>
      <c r="E634" s="340" t="s">
        <v>243</v>
      </c>
      <c r="F634" s="691">
        <v>3686</v>
      </c>
      <c r="G634" s="691">
        <v>0</v>
      </c>
      <c r="H634" s="691">
        <v>3271</v>
      </c>
      <c r="I634" s="691">
        <v>2048</v>
      </c>
      <c r="J634" s="691">
        <v>0</v>
      </c>
      <c r="K634" s="691">
        <v>3108</v>
      </c>
      <c r="L634" s="573" t="str">
        <f t="shared" si="28"/>
        <v>Paquete Infinitum Netflix 500 (Netflix 4 dispositivos)Residencial</v>
      </c>
      <c r="M634" s="568"/>
      <c r="N634" s="568"/>
      <c r="O634" s="568"/>
      <c r="P634" s="568"/>
      <c r="Q634" s="568"/>
      <c r="R634" s="568"/>
    </row>
    <row r="635" spans="1:18" ht="14.5" outlineLevel="1" x14ac:dyDescent="0.35">
      <c r="A635" s="571" t="str">
        <f t="shared" si="27"/>
        <v>Paquete Infinitum Netflix 500 (Netflix 2 dispositivos)Residencial</v>
      </c>
      <c r="B635" s="129">
        <v>41</v>
      </c>
      <c r="C635" s="434" t="s">
        <v>1069</v>
      </c>
      <c r="D635" s="340" t="s">
        <v>240</v>
      </c>
      <c r="E635" s="340" t="s">
        <v>243</v>
      </c>
      <c r="F635" s="691">
        <v>533</v>
      </c>
      <c r="G635" s="691">
        <v>0</v>
      </c>
      <c r="H635" s="691">
        <v>552</v>
      </c>
      <c r="I635" s="691">
        <v>619</v>
      </c>
      <c r="J635" s="691">
        <v>0</v>
      </c>
      <c r="K635" s="691">
        <v>630</v>
      </c>
      <c r="L635" s="573" t="str">
        <f t="shared" si="28"/>
        <v>Paquete Infinitum Netflix 500 (Netflix 2 dispositivos)Residencial</v>
      </c>
      <c r="M635" s="568"/>
      <c r="N635" s="568"/>
      <c r="O635" s="568"/>
      <c r="P635" s="568"/>
      <c r="Q635" s="568"/>
      <c r="R635" s="568"/>
    </row>
    <row r="636" spans="1:18" ht="14.5" outlineLevel="1" x14ac:dyDescent="0.35">
      <c r="A636" s="571" t="str">
        <f t="shared" si="27"/>
        <v>Infinitum Netflix 50 (Netflix 1 dispositivo)Residencial</v>
      </c>
      <c r="B636" s="129">
        <v>42</v>
      </c>
      <c r="C636" s="434" t="s">
        <v>1070</v>
      </c>
      <c r="D636" s="340" t="s">
        <v>240</v>
      </c>
      <c r="E636" s="340" t="s">
        <v>241</v>
      </c>
      <c r="F636" s="691">
        <v>41164</v>
      </c>
      <c r="G636" s="691">
        <v>0</v>
      </c>
      <c r="H636" s="691">
        <v>42424</v>
      </c>
      <c r="I636" s="691">
        <v>40440</v>
      </c>
      <c r="J636" s="691">
        <v>0</v>
      </c>
      <c r="K636" s="691">
        <v>27895</v>
      </c>
      <c r="L636" s="573" t="str">
        <f t="shared" si="28"/>
        <v>Infinitum Netflix 50 (Netflix 1 dispositivo)Residencial</v>
      </c>
      <c r="M636" s="568"/>
      <c r="N636" s="568"/>
      <c r="O636" s="568"/>
      <c r="P636" s="568"/>
      <c r="Q636" s="568"/>
      <c r="R636" s="568"/>
    </row>
    <row r="637" spans="1:18" ht="14.5" outlineLevel="1" x14ac:dyDescent="0.35">
      <c r="A637" s="571" t="str">
        <f t="shared" si="27"/>
        <v>Infinitum Netflix 50 (Netflix 2 dispositivos)Residencial</v>
      </c>
      <c r="B637" s="129">
        <v>43</v>
      </c>
      <c r="C637" s="434" t="s">
        <v>1071</v>
      </c>
      <c r="D637" s="340" t="s">
        <v>240</v>
      </c>
      <c r="E637" s="340" t="s">
        <v>241</v>
      </c>
      <c r="F637" s="691">
        <v>40847</v>
      </c>
      <c r="G637" s="691">
        <v>0</v>
      </c>
      <c r="H637" s="691">
        <v>41551</v>
      </c>
      <c r="I637" s="691">
        <v>22663</v>
      </c>
      <c r="J637" s="691">
        <v>0</v>
      </c>
      <c r="K637" s="691">
        <v>30078</v>
      </c>
      <c r="L637" s="573" t="str">
        <f t="shared" si="28"/>
        <v>Infinitum Netflix 50 (Netflix 2 dispositivos)Residencial</v>
      </c>
      <c r="M637" s="568"/>
      <c r="N637" s="568"/>
      <c r="O637" s="568"/>
      <c r="P637" s="568"/>
      <c r="Q637" s="568"/>
      <c r="R637" s="568"/>
    </row>
    <row r="638" spans="1:18" ht="14.5" outlineLevel="1" x14ac:dyDescent="0.35">
      <c r="A638" s="571" t="str">
        <f t="shared" si="27"/>
        <v>Infinitum Netflix 50 (Netflix 4 dispositivos)Residencial</v>
      </c>
      <c r="B638" s="129">
        <v>44</v>
      </c>
      <c r="C638" s="434" t="s">
        <v>1072</v>
      </c>
      <c r="D638" s="340" t="s">
        <v>240</v>
      </c>
      <c r="E638" s="340" t="s">
        <v>241</v>
      </c>
      <c r="F638" s="691">
        <v>15380</v>
      </c>
      <c r="G638" s="691">
        <v>0</v>
      </c>
      <c r="H638" s="691">
        <v>20924</v>
      </c>
      <c r="I638" s="691">
        <v>15722</v>
      </c>
      <c r="J638" s="691">
        <v>0</v>
      </c>
      <c r="K638" s="691">
        <v>18580</v>
      </c>
      <c r="L638" s="573" t="str">
        <f t="shared" si="28"/>
        <v>Infinitum Netflix 50 (Netflix 4 dispositivos)Residencial</v>
      </c>
      <c r="M638" s="568"/>
      <c r="N638" s="568"/>
      <c r="O638" s="568"/>
      <c r="P638" s="568"/>
      <c r="Q638" s="568"/>
      <c r="R638" s="568"/>
    </row>
    <row r="639" spans="1:18" ht="14.5" outlineLevel="1" x14ac:dyDescent="0.35">
      <c r="A639" s="571" t="str">
        <f t="shared" si="27"/>
        <v>Infinitum Netflix 60 (Netflix 2 dispositivos)Residencial</v>
      </c>
      <c r="B639" s="129">
        <v>45</v>
      </c>
      <c r="C639" s="434" t="s">
        <v>1073</v>
      </c>
      <c r="D639" s="340" t="s">
        <v>240</v>
      </c>
      <c r="E639" s="340" t="s">
        <v>241</v>
      </c>
      <c r="F639" s="691">
        <v>21981</v>
      </c>
      <c r="G639" s="691">
        <v>0</v>
      </c>
      <c r="H639" s="691">
        <v>13202</v>
      </c>
      <c r="I639" s="691">
        <v>15522</v>
      </c>
      <c r="J639" s="691">
        <v>0</v>
      </c>
      <c r="K639" s="691">
        <v>12797</v>
      </c>
      <c r="L639" s="573" t="str">
        <f t="shared" si="28"/>
        <v>Infinitum Netflix 60 (Netflix 2 dispositivos)Residencial</v>
      </c>
      <c r="M639" s="568"/>
      <c r="N639" s="568"/>
      <c r="O639" s="568"/>
      <c r="P639" s="568"/>
      <c r="Q639" s="568"/>
      <c r="R639" s="568"/>
    </row>
    <row r="640" spans="1:18" ht="14.5" outlineLevel="1" x14ac:dyDescent="0.35">
      <c r="A640" s="571" t="str">
        <f t="shared" si="27"/>
        <v>Infinitum Netflix 60 (Netflix 4 dispositivos)Residencial</v>
      </c>
      <c r="B640" s="129">
        <v>46</v>
      </c>
      <c r="C640" s="434" t="s">
        <v>1074</v>
      </c>
      <c r="D640" s="340" t="s">
        <v>240</v>
      </c>
      <c r="E640" s="340" t="s">
        <v>241</v>
      </c>
      <c r="F640" s="691">
        <v>6453</v>
      </c>
      <c r="G640" s="691">
        <v>0</v>
      </c>
      <c r="H640" s="691">
        <v>8526</v>
      </c>
      <c r="I640" s="691">
        <v>5418</v>
      </c>
      <c r="J640" s="691">
        <v>0</v>
      </c>
      <c r="K640" s="691">
        <v>5452</v>
      </c>
      <c r="L640" s="573" t="str">
        <f t="shared" si="28"/>
        <v>Infinitum Netflix 60 (Netflix 4 dispositivos)Residencial</v>
      </c>
      <c r="M640" s="568"/>
      <c r="N640" s="568"/>
      <c r="O640" s="568"/>
      <c r="P640" s="568"/>
      <c r="Q640" s="568"/>
      <c r="R640" s="568"/>
    </row>
    <row r="641" spans="1:18" ht="14.5" outlineLevel="1" x14ac:dyDescent="0.35">
      <c r="A641" s="571" t="str">
        <f t="shared" si="27"/>
        <v>Infinitum Netflix 200 (Netflix 4 dispositivos)Residencial</v>
      </c>
      <c r="B641" s="129">
        <v>47</v>
      </c>
      <c r="C641" s="434" t="s">
        <v>1075</v>
      </c>
      <c r="D641" s="340" t="s">
        <v>240</v>
      </c>
      <c r="E641" s="340" t="s">
        <v>241</v>
      </c>
      <c r="F641" s="691">
        <v>7988</v>
      </c>
      <c r="G641" s="691">
        <v>0</v>
      </c>
      <c r="H641" s="691">
        <v>10693</v>
      </c>
      <c r="I641" s="691">
        <v>5668</v>
      </c>
      <c r="J641" s="691">
        <v>0</v>
      </c>
      <c r="K641" s="691">
        <v>5351</v>
      </c>
      <c r="L641" s="573" t="str">
        <f t="shared" si="28"/>
        <v>Infinitum Netflix 200 (Netflix 4 dispositivos)Residencial</v>
      </c>
      <c r="M641" s="568"/>
      <c r="N641" s="568"/>
      <c r="O641" s="568"/>
      <c r="P641" s="568"/>
      <c r="Q641" s="568"/>
      <c r="R641" s="568"/>
    </row>
    <row r="642" spans="1:18" ht="14.5" outlineLevel="1" x14ac:dyDescent="0.35">
      <c r="A642" s="571" t="str">
        <f t="shared" si="27"/>
        <v>Infinitum Netflix 200 (Netflix 2 dispositivos)Residencial</v>
      </c>
      <c r="B642" s="129">
        <v>48</v>
      </c>
      <c r="C642" s="434" t="s">
        <v>1076</v>
      </c>
      <c r="D642" s="340" t="s">
        <v>240</v>
      </c>
      <c r="E642" s="340" t="s">
        <v>241</v>
      </c>
      <c r="F642" s="691">
        <v>2220</v>
      </c>
      <c r="G642" s="691">
        <v>0</v>
      </c>
      <c r="H642" s="691">
        <v>2379</v>
      </c>
      <c r="I642" s="691">
        <v>1978</v>
      </c>
      <c r="J642" s="691">
        <v>0</v>
      </c>
      <c r="K642" s="691">
        <v>1534</v>
      </c>
      <c r="L642" s="573" t="str">
        <f t="shared" si="28"/>
        <v>Infinitum Netflix 200 (Netflix 2 dispositivos)Residencial</v>
      </c>
      <c r="M642" s="568"/>
      <c r="N642" s="568"/>
      <c r="O642" s="568"/>
      <c r="P642" s="568"/>
      <c r="Q642" s="568"/>
      <c r="R642" s="568"/>
    </row>
    <row r="643" spans="1:18" ht="14.5" outlineLevel="1" x14ac:dyDescent="0.35">
      <c r="A643" s="571" t="str">
        <f t="shared" si="27"/>
        <v>Infinitum Netflix 500 (Netflix 4 dispositivos)Residencial</v>
      </c>
      <c r="B643" s="129">
        <v>49</v>
      </c>
      <c r="C643" s="434" t="s">
        <v>1077</v>
      </c>
      <c r="D643" s="340" t="s">
        <v>240</v>
      </c>
      <c r="E643" s="340" t="s">
        <v>241</v>
      </c>
      <c r="F643" s="691">
        <v>759</v>
      </c>
      <c r="G643" s="691">
        <v>0</v>
      </c>
      <c r="H643" s="691">
        <v>908</v>
      </c>
      <c r="I643" s="691">
        <v>570</v>
      </c>
      <c r="J643" s="691">
        <v>0</v>
      </c>
      <c r="K643" s="691">
        <v>596</v>
      </c>
      <c r="L643" s="573" t="str">
        <f t="shared" si="28"/>
        <v>Infinitum Netflix 500 (Netflix 4 dispositivos)Residencial</v>
      </c>
      <c r="M643" s="568"/>
      <c r="N643" s="568"/>
      <c r="O643" s="568"/>
      <c r="P643" s="568"/>
      <c r="Q643" s="568"/>
      <c r="R643" s="568"/>
    </row>
    <row r="644" spans="1:18" ht="14.5" outlineLevel="1" x14ac:dyDescent="0.35">
      <c r="A644" s="571" t="str">
        <f t="shared" si="27"/>
        <v>Infinitum Netflix 500 (Netflix 2 dispositivos)Residencial</v>
      </c>
      <c r="B644" s="129">
        <v>50</v>
      </c>
      <c r="C644" s="434" t="s">
        <v>1078</v>
      </c>
      <c r="D644" s="340" t="s">
        <v>240</v>
      </c>
      <c r="E644" s="340" t="s">
        <v>241</v>
      </c>
      <c r="F644" s="691">
        <v>119</v>
      </c>
      <c r="G644" s="691">
        <v>0</v>
      </c>
      <c r="H644" s="691">
        <v>164</v>
      </c>
      <c r="I644" s="691">
        <v>87</v>
      </c>
      <c r="J644" s="691">
        <v>0</v>
      </c>
      <c r="K644" s="691">
        <v>99</v>
      </c>
      <c r="L644" s="573" t="str">
        <f t="shared" si="28"/>
        <v>Infinitum Netflix 500 (Netflix 2 dispositivos)Residencial</v>
      </c>
      <c r="M644" s="568"/>
      <c r="N644" s="568"/>
      <c r="O644" s="568"/>
      <c r="P644" s="568"/>
      <c r="Q644" s="568"/>
      <c r="R644" s="568"/>
    </row>
    <row r="645" spans="1:18" ht="14.5" outlineLevel="1" x14ac:dyDescent="0.35">
      <c r="A645" s="571" t="str">
        <f t="shared" si="27"/>
        <v>Paquete Conectes Negocio Netflix (Netflix 1 dispositivo)No Residencial</v>
      </c>
      <c r="B645" s="129">
        <v>51</v>
      </c>
      <c r="C645" s="434" t="s">
        <v>1079</v>
      </c>
      <c r="D645" s="340" t="s">
        <v>242</v>
      </c>
      <c r="E645" s="340" t="s">
        <v>243</v>
      </c>
      <c r="F645" s="691">
        <v>1993</v>
      </c>
      <c r="G645" s="691">
        <v>0</v>
      </c>
      <c r="H645" s="691">
        <v>2327</v>
      </c>
      <c r="I645" s="691">
        <v>2332</v>
      </c>
      <c r="J645" s="691">
        <v>0</v>
      </c>
      <c r="K645" s="691">
        <v>2553</v>
      </c>
      <c r="L645" s="573" t="str">
        <f t="shared" si="28"/>
        <v>Paquete Conectes Negocio Netflix (Netflix 1 dispositivo)No Residencial</v>
      </c>
      <c r="M645" s="568"/>
      <c r="N645" s="568"/>
      <c r="O645" s="568"/>
      <c r="P645" s="568"/>
      <c r="Q645" s="568"/>
      <c r="R645" s="568"/>
    </row>
    <row r="646" spans="1:18" ht="14.5" outlineLevel="1" x14ac:dyDescent="0.35">
      <c r="A646" s="571" t="str">
        <f t="shared" si="27"/>
        <v>Paquete Conectes Negocio Netflix (Netflix 2 dispositivos)No Residencial</v>
      </c>
      <c r="B646" s="129">
        <v>52</v>
      </c>
      <c r="C646" s="434" t="s">
        <v>1080</v>
      </c>
      <c r="D646" s="340" t="s">
        <v>242</v>
      </c>
      <c r="E646" s="340" t="s">
        <v>243</v>
      </c>
      <c r="F646" s="691">
        <v>1256</v>
      </c>
      <c r="G646" s="691">
        <v>0</v>
      </c>
      <c r="H646" s="691">
        <v>1250</v>
      </c>
      <c r="I646" s="691">
        <v>1095</v>
      </c>
      <c r="J646" s="691">
        <v>0</v>
      </c>
      <c r="K646" s="691">
        <v>1416</v>
      </c>
      <c r="L646" s="573" t="str">
        <f t="shared" si="28"/>
        <v>Paquete Conectes Negocio Netflix (Netflix 2 dispositivos)No Residencial</v>
      </c>
      <c r="M646" s="568"/>
      <c r="N646" s="568"/>
      <c r="O646" s="568"/>
      <c r="P646" s="568"/>
      <c r="Q646" s="568"/>
      <c r="R646" s="568"/>
    </row>
    <row r="647" spans="1:18" ht="14.5" outlineLevel="1" x14ac:dyDescent="0.35">
      <c r="A647" s="571" t="str">
        <f t="shared" si="27"/>
        <v>Paquete Conectes Negocio Netflix (Netflix 4 dispositivos)No Residencial</v>
      </c>
      <c r="B647" s="129">
        <v>53</v>
      </c>
      <c r="C647" s="434" t="s">
        <v>1081</v>
      </c>
      <c r="D647" s="340" t="s">
        <v>242</v>
      </c>
      <c r="E647" s="340" t="s">
        <v>243</v>
      </c>
      <c r="F647" s="691">
        <v>904</v>
      </c>
      <c r="G647" s="691">
        <v>0</v>
      </c>
      <c r="H647" s="691">
        <v>710</v>
      </c>
      <c r="I647" s="691">
        <v>1192</v>
      </c>
      <c r="J647" s="691">
        <v>0</v>
      </c>
      <c r="K647" s="691">
        <v>793</v>
      </c>
      <c r="L647" s="573" t="str">
        <f t="shared" si="28"/>
        <v>Paquete Conectes Negocio Netflix (Netflix 4 dispositivos)No Residencial</v>
      </c>
      <c r="M647" s="568"/>
      <c r="N647" s="568"/>
      <c r="O647" s="568"/>
      <c r="P647" s="568"/>
      <c r="Q647" s="568"/>
      <c r="R647" s="568"/>
    </row>
    <row r="648" spans="1:18" ht="14.5" outlineLevel="1" x14ac:dyDescent="0.35">
      <c r="A648" s="571" t="str">
        <f t="shared" si="27"/>
        <v>Paquete Mi Negocio Netflix (Netflix 2 dispositivos)No Residencial</v>
      </c>
      <c r="B648" s="129">
        <v>54</v>
      </c>
      <c r="C648" s="434" t="s">
        <v>1082</v>
      </c>
      <c r="D648" s="340" t="s">
        <v>242</v>
      </c>
      <c r="E648" s="340" t="s">
        <v>243</v>
      </c>
      <c r="F648" s="691">
        <v>1462</v>
      </c>
      <c r="G648" s="691">
        <v>0</v>
      </c>
      <c r="H648" s="691">
        <v>1086</v>
      </c>
      <c r="I648" s="691">
        <v>1071</v>
      </c>
      <c r="J648" s="691">
        <v>0</v>
      </c>
      <c r="K648" s="691">
        <v>1389</v>
      </c>
      <c r="L648" s="573" t="str">
        <f t="shared" si="28"/>
        <v>Paquete Mi Negocio Netflix (Netflix 2 dispositivos)No Residencial</v>
      </c>
      <c r="M648" s="568"/>
      <c r="N648" s="568"/>
      <c r="O648" s="568"/>
      <c r="P648" s="568"/>
      <c r="Q648" s="568"/>
      <c r="R648" s="568"/>
    </row>
    <row r="649" spans="1:18" ht="14.5" outlineLevel="1" x14ac:dyDescent="0.35">
      <c r="A649" s="571" t="str">
        <f t="shared" si="27"/>
        <v>Paquete Mi Negocio Netflix (Netflix 4 dispositivos)No Residencial</v>
      </c>
      <c r="B649" s="129">
        <v>55</v>
      </c>
      <c r="C649" s="434" t="s">
        <v>1083</v>
      </c>
      <c r="D649" s="340" t="s">
        <v>242</v>
      </c>
      <c r="E649" s="340" t="s">
        <v>243</v>
      </c>
      <c r="F649" s="691">
        <v>723</v>
      </c>
      <c r="G649" s="691">
        <v>0</v>
      </c>
      <c r="H649" s="691">
        <v>739</v>
      </c>
      <c r="I649" s="691">
        <v>724</v>
      </c>
      <c r="J649" s="691">
        <v>0</v>
      </c>
      <c r="K649" s="691">
        <v>835</v>
      </c>
      <c r="L649" s="573" t="str">
        <f t="shared" si="28"/>
        <v>Paquete Mi Negocio Netflix (Netflix 4 dispositivos)No Residencial</v>
      </c>
      <c r="M649" s="568"/>
      <c r="N649" s="568"/>
      <c r="O649" s="568"/>
      <c r="P649" s="568"/>
      <c r="Q649" s="568"/>
      <c r="R649" s="568"/>
    </row>
    <row r="650" spans="1:18" ht="14.5" outlineLevel="1" x14ac:dyDescent="0.35">
      <c r="A650" s="571" t="str">
        <f t="shared" si="27"/>
        <v>Paquete Supernegocio Netflix (Netflix 2 dispositivos)No Residencial</v>
      </c>
      <c r="B650" s="129">
        <v>56</v>
      </c>
      <c r="C650" s="434" t="s">
        <v>1084</v>
      </c>
      <c r="D650" s="340" t="s">
        <v>242</v>
      </c>
      <c r="E650" s="340" t="s">
        <v>243</v>
      </c>
      <c r="F650" s="691">
        <v>959</v>
      </c>
      <c r="G650" s="691">
        <v>0</v>
      </c>
      <c r="H650" s="691">
        <v>1360</v>
      </c>
      <c r="I650" s="691">
        <v>1250</v>
      </c>
      <c r="J650" s="691">
        <v>0</v>
      </c>
      <c r="K650" s="691">
        <v>1302</v>
      </c>
      <c r="L650" s="573" t="str">
        <f t="shared" si="28"/>
        <v>Paquete Supernegocio Netflix (Netflix 2 dispositivos)No Residencial</v>
      </c>
      <c r="M650" s="568"/>
      <c r="N650" s="568"/>
      <c r="O650" s="568"/>
      <c r="P650" s="568"/>
      <c r="Q650" s="568"/>
      <c r="R650" s="568"/>
    </row>
    <row r="651" spans="1:18" ht="14.5" outlineLevel="1" x14ac:dyDescent="0.35">
      <c r="A651" s="571" t="str">
        <f t="shared" si="27"/>
        <v>Paquete Supernegocio Netflix (Netflix 4 dispositivos)No Residencial</v>
      </c>
      <c r="B651" s="129">
        <v>57</v>
      </c>
      <c r="C651" s="434" t="s">
        <v>1085</v>
      </c>
      <c r="D651" s="340" t="s">
        <v>242</v>
      </c>
      <c r="E651" s="340" t="s">
        <v>243</v>
      </c>
      <c r="F651" s="691">
        <v>1509</v>
      </c>
      <c r="G651" s="691">
        <v>0</v>
      </c>
      <c r="H651" s="691">
        <v>1365</v>
      </c>
      <c r="I651" s="691">
        <v>1613</v>
      </c>
      <c r="J651" s="691">
        <v>0</v>
      </c>
      <c r="K651" s="691">
        <v>1095</v>
      </c>
      <c r="L651" s="573" t="str">
        <f t="shared" si="28"/>
        <v>Paquete Supernegocio Netflix (Netflix 4 dispositivos)No Residencial</v>
      </c>
      <c r="M651" s="568"/>
      <c r="N651" s="568"/>
      <c r="O651" s="568"/>
      <c r="P651" s="568"/>
      <c r="Q651" s="568"/>
      <c r="R651" s="568"/>
    </row>
    <row r="652" spans="1:18" ht="14.5" outlineLevel="1" x14ac:dyDescent="0.35">
      <c r="A652" s="571" t="str">
        <f t="shared" si="27"/>
        <v>Infinitum Netflix Negocio 50 (Netflix 1 dispositivo)No Residencial</v>
      </c>
      <c r="B652" s="129">
        <v>58</v>
      </c>
      <c r="C652" s="434" t="s">
        <v>1086</v>
      </c>
      <c r="D652" s="340" t="s">
        <v>242</v>
      </c>
      <c r="E652" s="340" t="s">
        <v>241</v>
      </c>
      <c r="F652" s="691">
        <v>381</v>
      </c>
      <c r="G652" s="691">
        <v>0</v>
      </c>
      <c r="H652" s="691">
        <v>422</v>
      </c>
      <c r="I652" s="691">
        <v>801</v>
      </c>
      <c r="J652" s="691">
        <v>0</v>
      </c>
      <c r="K652" s="691">
        <v>493</v>
      </c>
      <c r="L652" s="573" t="str">
        <f t="shared" si="28"/>
        <v>Infinitum Netflix Negocio 50 (Netflix 1 dispositivo)No Residencial</v>
      </c>
      <c r="M652" s="568"/>
      <c r="N652" s="568"/>
      <c r="O652" s="568"/>
      <c r="P652" s="568"/>
      <c r="Q652" s="568"/>
      <c r="R652" s="568"/>
    </row>
    <row r="653" spans="1:18" ht="14.5" outlineLevel="1" x14ac:dyDescent="0.35">
      <c r="A653" s="571" t="str">
        <f t="shared" si="27"/>
        <v>Infinitum Netflix Negocio 50 (Netflix 2 dispositivos)No Residencial</v>
      </c>
      <c r="B653" s="129">
        <v>59</v>
      </c>
      <c r="C653" s="434" t="s">
        <v>1087</v>
      </c>
      <c r="D653" s="340" t="s">
        <v>242</v>
      </c>
      <c r="E653" s="340" t="s">
        <v>241</v>
      </c>
      <c r="F653" s="691">
        <v>106</v>
      </c>
      <c r="G653" s="691">
        <v>0</v>
      </c>
      <c r="H653" s="691">
        <v>191</v>
      </c>
      <c r="I653" s="691">
        <v>251</v>
      </c>
      <c r="J653" s="691">
        <v>0</v>
      </c>
      <c r="K653" s="691">
        <v>232</v>
      </c>
      <c r="L653" s="573" t="str">
        <f t="shared" si="28"/>
        <v>Infinitum Netflix Negocio 50 (Netflix 2 dispositivos)No Residencial</v>
      </c>
      <c r="M653" s="568"/>
      <c r="N653" s="568"/>
      <c r="O653" s="568"/>
      <c r="P653" s="568"/>
      <c r="Q653" s="568"/>
      <c r="R653" s="568"/>
    </row>
    <row r="654" spans="1:18" ht="14.5" outlineLevel="1" x14ac:dyDescent="0.35">
      <c r="A654" s="571" t="str">
        <f t="shared" si="27"/>
        <v>Infinitum Netflix Negocio 50 (Netflix 4 dispositivos)No Residencial</v>
      </c>
      <c r="B654" s="129">
        <v>60</v>
      </c>
      <c r="C654" s="434" t="s">
        <v>1088</v>
      </c>
      <c r="D654" s="340" t="s">
        <v>242</v>
      </c>
      <c r="E654" s="340" t="s">
        <v>241</v>
      </c>
      <c r="F654" s="691">
        <v>133</v>
      </c>
      <c r="G654" s="691">
        <v>0</v>
      </c>
      <c r="H654" s="691">
        <v>88</v>
      </c>
      <c r="I654" s="691">
        <v>153</v>
      </c>
      <c r="J654" s="691">
        <v>0</v>
      </c>
      <c r="K654" s="691">
        <v>119</v>
      </c>
      <c r="L654" s="573" t="str">
        <f t="shared" si="28"/>
        <v>Infinitum Netflix Negocio 50 (Netflix 4 dispositivos)No Residencial</v>
      </c>
      <c r="M654" s="568"/>
      <c r="N654" s="568"/>
      <c r="O654" s="568"/>
      <c r="P654" s="568"/>
      <c r="Q654" s="568"/>
      <c r="R654" s="568"/>
    </row>
    <row r="655" spans="1:18" ht="14.5" outlineLevel="1" x14ac:dyDescent="0.35">
      <c r="A655" s="571" t="str">
        <f t="shared" si="27"/>
        <v>Infinitum Netflix Negocio 60 (Netflix 2 dispositivos)No Residencial</v>
      </c>
      <c r="B655" s="129">
        <v>61</v>
      </c>
      <c r="C655" s="434" t="s">
        <v>1089</v>
      </c>
      <c r="D655" s="340" t="s">
        <v>242</v>
      </c>
      <c r="E655" s="340" t="s">
        <v>241</v>
      </c>
      <c r="F655" s="691">
        <v>139</v>
      </c>
      <c r="G655" s="691">
        <v>0</v>
      </c>
      <c r="H655" s="691">
        <v>120</v>
      </c>
      <c r="I655" s="691">
        <v>113</v>
      </c>
      <c r="J655" s="691">
        <v>0</v>
      </c>
      <c r="K655" s="691">
        <v>151</v>
      </c>
      <c r="L655" s="573" t="str">
        <f t="shared" si="28"/>
        <v>Infinitum Netflix Negocio 60 (Netflix 2 dispositivos)No Residencial</v>
      </c>
      <c r="M655" s="568"/>
      <c r="N655" s="568"/>
      <c r="O655" s="568"/>
      <c r="P655" s="568"/>
      <c r="Q655" s="568"/>
      <c r="R655" s="568"/>
    </row>
    <row r="656" spans="1:18" ht="14.5" outlineLevel="1" x14ac:dyDescent="0.35">
      <c r="A656" s="571" t="str">
        <f t="shared" si="27"/>
        <v>Infinitum Netflix Negocio 60 (Netflix 4 dispositivos)No Residencial</v>
      </c>
      <c r="B656" s="129">
        <v>62</v>
      </c>
      <c r="C656" s="434" t="s">
        <v>1090</v>
      </c>
      <c r="D656" s="340" t="s">
        <v>242</v>
      </c>
      <c r="E656" s="340" t="s">
        <v>241</v>
      </c>
      <c r="F656" s="691">
        <v>34</v>
      </c>
      <c r="G656" s="691">
        <v>0</v>
      </c>
      <c r="H656" s="691">
        <v>35</v>
      </c>
      <c r="I656" s="691">
        <v>39</v>
      </c>
      <c r="J656" s="691">
        <v>0</v>
      </c>
      <c r="K656" s="691">
        <v>35</v>
      </c>
      <c r="L656" s="573" t="str">
        <f t="shared" si="28"/>
        <v>Infinitum Netflix Negocio 60 (Netflix 4 dispositivos)No Residencial</v>
      </c>
      <c r="M656" s="568"/>
      <c r="N656" s="568"/>
      <c r="O656" s="568"/>
      <c r="P656" s="568"/>
      <c r="Q656" s="568"/>
      <c r="R656" s="568"/>
    </row>
    <row r="657" spans="1:18" ht="14.5" outlineLevel="1" x14ac:dyDescent="0.35">
      <c r="A657" s="571" t="str">
        <f t="shared" si="27"/>
        <v>Infinitum Netflix Negocio 200 (Netflix 4 dispositivos)No Residencial</v>
      </c>
      <c r="B657" s="129">
        <v>63</v>
      </c>
      <c r="C657" s="434" t="s">
        <v>1091</v>
      </c>
      <c r="D657" s="340" t="s">
        <v>242</v>
      </c>
      <c r="E657" s="340" t="s">
        <v>241</v>
      </c>
      <c r="F657" s="691">
        <v>117</v>
      </c>
      <c r="G657" s="691">
        <v>0</v>
      </c>
      <c r="H657" s="691">
        <v>125</v>
      </c>
      <c r="I657" s="691">
        <v>253</v>
      </c>
      <c r="J657" s="691">
        <v>0</v>
      </c>
      <c r="K657" s="691">
        <v>170</v>
      </c>
      <c r="L657" s="573" t="str">
        <f t="shared" si="28"/>
        <v>Infinitum Netflix Negocio 200 (Netflix 4 dispositivos)No Residencial</v>
      </c>
      <c r="M657" s="568"/>
      <c r="N657" s="568"/>
      <c r="O657" s="568"/>
      <c r="P657" s="568"/>
      <c r="Q657" s="568"/>
      <c r="R657" s="568"/>
    </row>
    <row r="658" spans="1:18" ht="14.5" outlineLevel="1" x14ac:dyDescent="0.35">
      <c r="A658" s="571" t="str">
        <f t="shared" si="27"/>
        <v>Infinitum Netflix Negocio 200 (Netflix 2 dispositivos)No Residencial</v>
      </c>
      <c r="B658" s="129">
        <v>64</v>
      </c>
      <c r="C658" s="434" t="s">
        <v>1092</v>
      </c>
      <c r="D658" s="340" t="s">
        <v>242</v>
      </c>
      <c r="E658" s="340" t="s">
        <v>241</v>
      </c>
      <c r="F658" s="691">
        <v>54</v>
      </c>
      <c r="G658" s="691">
        <v>0</v>
      </c>
      <c r="H658" s="691">
        <v>64</v>
      </c>
      <c r="I658" s="691">
        <v>80</v>
      </c>
      <c r="J658" s="691">
        <v>0</v>
      </c>
      <c r="K658" s="691">
        <v>100</v>
      </c>
      <c r="L658" s="573" t="str">
        <f t="shared" si="28"/>
        <v>Infinitum Netflix Negocio 200 (Netflix 2 dispositivos)No Residencial</v>
      </c>
      <c r="M658" s="568"/>
      <c r="N658" s="568"/>
      <c r="O658" s="568"/>
      <c r="P658" s="568"/>
      <c r="Q658" s="568"/>
      <c r="R658" s="568"/>
    </row>
    <row r="659" spans="1:18" ht="14.5" outlineLevel="1" x14ac:dyDescent="0.35">
      <c r="A659" s="571" t="str">
        <f t="shared" si="27"/>
        <v>Infinitum Netflix Negocio 500 (Netflix 4 dispositivos)No Residencial</v>
      </c>
      <c r="B659" s="129">
        <v>65</v>
      </c>
      <c r="C659" s="434" t="s">
        <v>1093</v>
      </c>
      <c r="D659" s="340" t="s">
        <v>242</v>
      </c>
      <c r="E659" s="340" t="s">
        <v>241</v>
      </c>
      <c r="F659" s="691">
        <v>64</v>
      </c>
      <c r="G659" s="691">
        <v>0</v>
      </c>
      <c r="H659" s="691">
        <v>91</v>
      </c>
      <c r="I659" s="691">
        <v>116</v>
      </c>
      <c r="J659" s="691">
        <v>0</v>
      </c>
      <c r="K659" s="691">
        <v>185</v>
      </c>
      <c r="L659" s="573" t="str">
        <f t="shared" si="28"/>
        <v>Infinitum Netflix Negocio 500 (Netflix 4 dispositivos)No Residencial</v>
      </c>
      <c r="M659" s="568"/>
      <c r="N659" s="568"/>
      <c r="O659" s="568"/>
      <c r="P659" s="568"/>
      <c r="Q659" s="568"/>
      <c r="R659" s="568"/>
    </row>
    <row r="660" spans="1:18" ht="14.5" outlineLevel="1" x14ac:dyDescent="0.35">
      <c r="A660" s="571" t="str">
        <f t="shared" ref="A660:A703" si="29">C660&amp;D660</f>
        <v>Infinitum Netflix Negocio 500 (Netflix 2 dispositivos)No Residencial</v>
      </c>
      <c r="B660" s="129">
        <v>66</v>
      </c>
      <c r="C660" s="434" t="s">
        <v>1094</v>
      </c>
      <c r="D660" s="340" t="s">
        <v>242</v>
      </c>
      <c r="E660" s="340" t="s">
        <v>241</v>
      </c>
      <c r="F660" s="691">
        <v>41</v>
      </c>
      <c r="G660" s="691">
        <v>0</v>
      </c>
      <c r="H660" s="691">
        <v>34</v>
      </c>
      <c r="I660" s="691">
        <v>48</v>
      </c>
      <c r="J660" s="691">
        <v>0</v>
      </c>
      <c r="K660" s="691">
        <v>53</v>
      </c>
      <c r="L660" s="573" t="str">
        <f t="shared" ref="L660:L702" si="30">C660&amp;D660</f>
        <v>Infinitum Netflix Negocio 500 (Netflix 2 dispositivos)No Residencial</v>
      </c>
      <c r="M660" s="568"/>
      <c r="N660" s="568"/>
      <c r="O660" s="568"/>
      <c r="P660" s="568"/>
      <c r="Q660" s="568"/>
      <c r="R660" s="568"/>
    </row>
    <row r="661" spans="1:18" ht="14.5" outlineLevel="1" x14ac:dyDescent="0.35">
      <c r="A661" s="571" t="str">
        <f t="shared" si="29"/>
        <v>Paquete Infinitum Entretenimiento 30Residencial</v>
      </c>
      <c r="B661" s="129">
        <v>67</v>
      </c>
      <c r="C661" s="434" t="s">
        <v>1095</v>
      </c>
      <c r="D661" s="340" t="s">
        <v>240</v>
      </c>
      <c r="E661" s="340" t="s">
        <v>243</v>
      </c>
      <c r="F661" s="691">
        <v>0</v>
      </c>
      <c r="G661" s="691">
        <v>44718</v>
      </c>
      <c r="H661" s="691">
        <v>58959</v>
      </c>
      <c r="I661" s="691">
        <v>0</v>
      </c>
      <c r="J661" s="691">
        <v>347668</v>
      </c>
      <c r="K661" s="691">
        <v>514298</v>
      </c>
      <c r="L661" s="573" t="str">
        <f t="shared" si="30"/>
        <v>Paquete Infinitum Entretenimiento 30Residencial</v>
      </c>
      <c r="M661" s="568"/>
      <c r="N661" s="568"/>
      <c r="O661" s="568"/>
      <c r="P661" s="568"/>
      <c r="Q661" s="568"/>
      <c r="R661" s="568"/>
    </row>
    <row r="662" spans="1:18" ht="14.5" outlineLevel="1" x14ac:dyDescent="0.35">
      <c r="A662" s="571" t="str">
        <f t="shared" si="29"/>
        <v>Paquete Infinitum  Entretenimiento 40Residencial</v>
      </c>
      <c r="B662" s="129">
        <v>68</v>
      </c>
      <c r="C662" s="434" t="s">
        <v>1096</v>
      </c>
      <c r="D662" s="340" t="s">
        <v>240</v>
      </c>
      <c r="E662" s="340" t="s">
        <v>243</v>
      </c>
      <c r="F662" s="691">
        <v>0</v>
      </c>
      <c r="G662" s="691">
        <v>6320</v>
      </c>
      <c r="H662" s="691">
        <v>10493</v>
      </c>
      <c r="I662" s="691">
        <v>0</v>
      </c>
      <c r="J662" s="691">
        <v>36253</v>
      </c>
      <c r="K662" s="691">
        <v>40377</v>
      </c>
      <c r="L662" s="573" t="str">
        <f t="shared" si="30"/>
        <v>Paquete Infinitum  Entretenimiento 40Residencial</v>
      </c>
      <c r="M662" s="568"/>
      <c r="N662" s="568"/>
      <c r="O662" s="568"/>
      <c r="P662" s="568"/>
      <c r="Q662" s="568"/>
      <c r="R662" s="568"/>
    </row>
    <row r="663" spans="1:18" ht="14.5" outlineLevel="1" x14ac:dyDescent="0.35">
      <c r="A663" s="571" t="str">
        <f t="shared" si="29"/>
        <v>Paquete Infinitum Entretenimiento 50Residencial</v>
      </c>
      <c r="B663" s="129">
        <v>69</v>
      </c>
      <c r="C663" s="434" t="s">
        <v>1097</v>
      </c>
      <c r="D663" s="340" t="s">
        <v>240</v>
      </c>
      <c r="E663" s="340" t="s">
        <v>243</v>
      </c>
      <c r="F663" s="691">
        <v>0</v>
      </c>
      <c r="G663" s="691">
        <v>3919</v>
      </c>
      <c r="H663" s="691">
        <v>6039</v>
      </c>
      <c r="I663" s="691">
        <v>0</v>
      </c>
      <c r="J663" s="691">
        <v>37098</v>
      </c>
      <c r="K663" s="691">
        <v>23848</v>
      </c>
      <c r="L663" s="573" t="str">
        <f t="shared" si="30"/>
        <v>Paquete Infinitum Entretenimiento 50Residencial</v>
      </c>
      <c r="M663" s="568"/>
      <c r="N663" s="568"/>
      <c r="O663" s="568"/>
      <c r="P663" s="568"/>
      <c r="Q663" s="568"/>
      <c r="R663" s="568"/>
    </row>
    <row r="664" spans="1:18" ht="14.5" outlineLevel="1" x14ac:dyDescent="0.35">
      <c r="A664" s="571" t="str">
        <f t="shared" si="29"/>
        <v>Paquete Infinitum Entretenimiento 250Residencial</v>
      </c>
      <c r="B664" s="129">
        <v>70</v>
      </c>
      <c r="C664" s="434" t="s">
        <v>1098</v>
      </c>
      <c r="D664" s="340" t="s">
        <v>240</v>
      </c>
      <c r="E664" s="340" t="s">
        <v>243</v>
      </c>
      <c r="F664" s="691">
        <v>0</v>
      </c>
      <c r="G664" s="691">
        <v>9823</v>
      </c>
      <c r="H664" s="691">
        <v>15695</v>
      </c>
      <c r="I664" s="691">
        <v>0</v>
      </c>
      <c r="J664" s="691">
        <v>61014</v>
      </c>
      <c r="K664" s="691">
        <v>78284</v>
      </c>
      <c r="L664" s="573" t="str">
        <f t="shared" si="30"/>
        <v>Paquete Infinitum Entretenimiento 250Residencial</v>
      </c>
      <c r="M664" s="568"/>
      <c r="N664" s="568"/>
      <c r="O664" s="568"/>
      <c r="P664" s="568"/>
      <c r="Q664" s="568"/>
      <c r="R664" s="568"/>
    </row>
    <row r="665" spans="1:18" ht="14.5" outlineLevel="1" x14ac:dyDescent="0.35">
      <c r="A665" s="571" t="str">
        <f t="shared" si="29"/>
        <v>Paquete Infinitum Entretenimiento 500Residencial</v>
      </c>
      <c r="B665" s="129">
        <v>71</v>
      </c>
      <c r="C665" s="434" t="s">
        <v>1099</v>
      </c>
      <c r="D665" s="340" t="s">
        <v>240</v>
      </c>
      <c r="E665" s="340" t="s">
        <v>243</v>
      </c>
      <c r="F665" s="691">
        <v>0</v>
      </c>
      <c r="G665" s="691">
        <v>2368</v>
      </c>
      <c r="H665" s="691">
        <v>2584</v>
      </c>
      <c r="I665" s="691">
        <v>0</v>
      </c>
      <c r="J665" s="691">
        <v>11381</v>
      </c>
      <c r="K665" s="691">
        <v>9105</v>
      </c>
      <c r="L665" s="573" t="str">
        <f t="shared" si="30"/>
        <v>Paquete Infinitum Entretenimiento 500Residencial</v>
      </c>
      <c r="M665" s="568"/>
      <c r="N665" s="568"/>
      <c r="O665" s="568"/>
      <c r="P665" s="568"/>
      <c r="Q665" s="568"/>
      <c r="R665" s="568"/>
    </row>
    <row r="666" spans="1:18" ht="14.5" outlineLevel="1" x14ac:dyDescent="0.35">
      <c r="A666" s="571" t="str">
        <f t="shared" si="29"/>
        <v>Infinitum Entretenimiento 30Residencial</v>
      </c>
      <c r="B666" s="129">
        <v>72</v>
      </c>
      <c r="C666" s="434" t="s">
        <v>1100</v>
      </c>
      <c r="D666" s="340" t="s">
        <v>240</v>
      </c>
      <c r="E666" s="340" t="s">
        <v>241</v>
      </c>
      <c r="F666" s="691">
        <v>0</v>
      </c>
      <c r="G666" s="691">
        <v>21021</v>
      </c>
      <c r="H666" s="691">
        <v>13479</v>
      </c>
      <c r="I666" s="691">
        <v>0</v>
      </c>
      <c r="J666" s="691">
        <v>112970</v>
      </c>
      <c r="K666" s="691">
        <v>94115</v>
      </c>
      <c r="L666" s="573" t="str">
        <f t="shared" si="30"/>
        <v>Infinitum Entretenimiento 30Residencial</v>
      </c>
      <c r="M666" s="568"/>
      <c r="N666" s="568"/>
      <c r="O666" s="568"/>
      <c r="P666" s="568"/>
      <c r="Q666" s="568"/>
      <c r="R666" s="568"/>
    </row>
    <row r="667" spans="1:18" ht="14.5" x14ac:dyDescent="0.35">
      <c r="A667" s="571" t="str">
        <f t="shared" si="29"/>
        <v>Infinitum Entretenimiento 40Residencial</v>
      </c>
      <c r="B667" s="129">
        <v>73</v>
      </c>
      <c r="C667" s="434" t="s">
        <v>1101</v>
      </c>
      <c r="D667" s="340" t="s">
        <v>240</v>
      </c>
      <c r="E667" s="340" t="s">
        <v>241</v>
      </c>
      <c r="F667" s="691">
        <v>0</v>
      </c>
      <c r="G667" s="691">
        <v>4140</v>
      </c>
      <c r="H667" s="691">
        <v>5758</v>
      </c>
      <c r="I667" s="691">
        <v>0</v>
      </c>
      <c r="J667" s="691">
        <v>32138</v>
      </c>
      <c r="K667" s="691">
        <v>30119</v>
      </c>
      <c r="L667" s="573" t="str">
        <f t="shared" si="30"/>
        <v>Infinitum Entretenimiento 40Residencial</v>
      </c>
      <c r="M667" s="568"/>
      <c r="N667" s="568"/>
      <c r="O667" s="568"/>
      <c r="P667" s="568"/>
      <c r="Q667" s="568"/>
      <c r="R667" s="568"/>
    </row>
    <row r="668" spans="1:18" ht="14.5" x14ac:dyDescent="0.35">
      <c r="A668" s="571" t="str">
        <f t="shared" si="29"/>
        <v>Infinitum Entretenimiento 200Residencial</v>
      </c>
      <c r="B668" s="129">
        <v>74</v>
      </c>
      <c r="C668" s="434" t="s">
        <v>1102</v>
      </c>
      <c r="D668" s="340" t="s">
        <v>240</v>
      </c>
      <c r="E668" s="340" t="s">
        <v>241</v>
      </c>
      <c r="F668" s="691">
        <v>0</v>
      </c>
      <c r="G668" s="691">
        <v>4242</v>
      </c>
      <c r="H668" s="691">
        <v>3985</v>
      </c>
      <c r="I668" s="691">
        <v>0</v>
      </c>
      <c r="J668" s="691">
        <v>12392</v>
      </c>
      <c r="K668" s="691">
        <v>20601</v>
      </c>
      <c r="L668" s="573" t="str">
        <f t="shared" si="30"/>
        <v>Infinitum Entretenimiento 200Residencial</v>
      </c>
      <c r="M668" s="568"/>
      <c r="N668" s="568"/>
      <c r="O668" s="568"/>
      <c r="P668" s="568"/>
      <c r="Q668" s="568"/>
      <c r="R668" s="568"/>
    </row>
    <row r="669" spans="1:18" ht="14.5" x14ac:dyDescent="0.35">
      <c r="A669" s="571" t="str">
        <f t="shared" si="29"/>
        <v>Infinitum Entretenimiento 500Residencial</v>
      </c>
      <c r="B669" s="129">
        <v>75</v>
      </c>
      <c r="C669" s="434" t="s">
        <v>1103</v>
      </c>
      <c r="D669" s="340" t="s">
        <v>240</v>
      </c>
      <c r="E669" s="340" t="s">
        <v>241</v>
      </c>
      <c r="F669" s="691">
        <v>0</v>
      </c>
      <c r="G669" s="691">
        <v>789</v>
      </c>
      <c r="H669" s="691">
        <v>958</v>
      </c>
      <c r="I669" s="691">
        <v>0</v>
      </c>
      <c r="J669" s="691">
        <v>2065</v>
      </c>
      <c r="K669" s="691">
        <v>2363</v>
      </c>
      <c r="L669" s="573" t="str">
        <f t="shared" si="30"/>
        <v>Infinitum Entretenimiento 500Residencial</v>
      </c>
      <c r="M669" s="568"/>
      <c r="N669" s="568"/>
      <c r="O669" s="568"/>
      <c r="P669" s="568"/>
      <c r="Q669" s="568"/>
      <c r="R669" s="568"/>
    </row>
    <row r="670" spans="1:18" ht="14.5" x14ac:dyDescent="0.35">
      <c r="A670" s="571" t="str">
        <f t="shared" si="29"/>
        <v>Paquete infinitum Entretenimiento+ 30  (Netflix 1 dispositivo)Residencial</v>
      </c>
      <c r="B670" s="129">
        <v>76</v>
      </c>
      <c r="C670" s="434" t="s">
        <v>1104</v>
      </c>
      <c r="D670" s="340" t="s">
        <v>240</v>
      </c>
      <c r="E670" s="340" t="s">
        <v>243</v>
      </c>
      <c r="F670" s="691">
        <v>0</v>
      </c>
      <c r="G670" s="691">
        <v>9061</v>
      </c>
      <c r="H670" s="691">
        <v>8467</v>
      </c>
      <c r="I670" s="691">
        <v>0</v>
      </c>
      <c r="J670" s="691">
        <v>31147</v>
      </c>
      <c r="K670" s="691">
        <v>30468</v>
      </c>
      <c r="L670" s="573" t="str">
        <f t="shared" si="30"/>
        <v>Paquete infinitum Entretenimiento+ 30  (Netflix 1 dispositivo)Residencial</v>
      </c>
      <c r="M670" s="568"/>
      <c r="N670" s="568"/>
      <c r="O670" s="568"/>
      <c r="P670" s="568"/>
      <c r="Q670" s="568"/>
      <c r="R670" s="568"/>
    </row>
    <row r="671" spans="1:18" ht="14.5" x14ac:dyDescent="0.35">
      <c r="A671" s="571" t="str">
        <f t="shared" si="29"/>
        <v>Paquete infinitum Entretenimiento+ 30  (Netflix 2 dispositivos)Residencial</v>
      </c>
      <c r="B671" s="129">
        <v>77</v>
      </c>
      <c r="C671" s="434" t="s">
        <v>1105</v>
      </c>
      <c r="D671" s="340" t="s">
        <v>240</v>
      </c>
      <c r="E671" s="340" t="s">
        <v>243</v>
      </c>
      <c r="F671" s="691">
        <v>0</v>
      </c>
      <c r="G671" s="691">
        <v>12391</v>
      </c>
      <c r="H671" s="691">
        <v>8490</v>
      </c>
      <c r="I671" s="691">
        <v>0</v>
      </c>
      <c r="J671" s="691">
        <v>32148</v>
      </c>
      <c r="K671" s="691">
        <v>39315</v>
      </c>
      <c r="L671" s="573" t="str">
        <f t="shared" si="30"/>
        <v>Paquete infinitum Entretenimiento+ 30  (Netflix 2 dispositivos)Residencial</v>
      </c>
      <c r="M671" s="568"/>
      <c r="N671" s="568"/>
      <c r="O671" s="568"/>
      <c r="P671" s="568"/>
      <c r="Q671" s="568"/>
      <c r="R671" s="568"/>
    </row>
    <row r="672" spans="1:18" ht="14.5" x14ac:dyDescent="0.35">
      <c r="A672" s="571" t="str">
        <f t="shared" si="29"/>
        <v>Paquete infinitum Entretenimiento+ 30  (Netflix 4 dispositivos)Residencial</v>
      </c>
      <c r="B672" s="129">
        <v>78</v>
      </c>
      <c r="C672" s="434" t="s">
        <v>1106</v>
      </c>
      <c r="D672" s="340" t="s">
        <v>240</v>
      </c>
      <c r="E672" s="340" t="s">
        <v>243</v>
      </c>
      <c r="F672" s="691">
        <v>0</v>
      </c>
      <c r="G672" s="691">
        <v>6449</v>
      </c>
      <c r="H672" s="691">
        <v>5961</v>
      </c>
      <c r="I672" s="691">
        <v>0</v>
      </c>
      <c r="J672" s="691">
        <v>19937</v>
      </c>
      <c r="K672" s="691">
        <v>31490</v>
      </c>
      <c r="L672" s="573" t="str">
        <f t="shared" si="30"/>
        <v>Paquete infinitum Entretenimiento+ 30  (Netflix 4 dispositivos)Residencial</v>
      </c>
      <c r="M672" s="568"/>
      <c r="N672" s="568"/>
      <c r="O672" s="568"/>
      <c r="P672" s="568"/>
      <c r="Q672" s="568"/>
      <c r="R672" s="568"/>
    </row>
    <row r="673" spans="1:18" ht="14.5" x14ac:dyDescent="0.35">
      <c r="A673" s="571" t="str">
        <f t="shared" si="29"/>
        <v>Paquete Infinitum Entretenimiento+ 70   (Netflix 2 dispositivos)Residencial</v>
      </c>
      <c r="B673" s="129">
        <v>79</v>
      </c>
      <c r="C673" s="434" t="s">
        <v>1107</v>
      </c>
      <c r="D673" s="340" t="s">
        <v>240</v>
      </c>
      <c r="E673" s="340" t="s">
        <v>243</v>
      </c>
      <c r="F673" s="691">
        <v>0</v>
      </c>
      <c r="G673" s="691">
        <v>3288</v>
      </c>
      <c r="H673" s="691">
        <v>3911</v>
      </c>
      <c r="I673" s="691">
        <v>0</v>
      </c>
      <c r="J673" s="691">
        <v>12996</v>
      </c>
      <c r="K673" s="691">
        <v>12029</v>
      </c>
      <c r="L673" s="573" t="str">
        <f t="shared" si="30"/>
        <v>Paquete Infinitum Entretenimiento+ 70   (Netflix 2 dispositivos)Residencial</v>
      </c>
      <c r="M673" s="568"/>
      <c r="N673" s="568"/>
      <c r="O673" s="568"/>
      <c r="P673" s="568"/>
      <c r="Q673" s="568"/>
      <c r="R673" s="568"/>
    </row>
    <row r="674" spans="1:18" ht="14.5" x14ac:dyDescent="0.35">
      <c r="A674" s="571" t="str">
        <f t="shared" si="29"/>
        <v>Paquete Infinitum Entretenimiento+ 70   (Netflix 4 dispositivos)Residencial</v>
      </c>
      <c r="B674" s="129">
        <v>80</v>
      </c>
      <c r="C674" s="434" t="s">
        <v>1108</v>
      </c>
      <c r="D674" s="340" t="s">
        <v>240</v>
      </c>
      <c r="E674" s="340" t="s">
        <v>243</v>
      </c>
      <c r="F674" s="691">
        <v>0</v>
      </c>
      <c r="G674" s="691">
        <v>1505</v>
      </c>
      <c r="H674" s="691">
        <v>2289</v>
      </c>
      <c r="I674" s="691">
        <v>0</v>
      </c>
      <c r="J674" s="691">
        <v>8184</v>
      </c>
      <c r="K674" s="691">
        <v>4997</v>
      </c>
      <c r="L674" s="573" t="str">
        <f t="shared" si="30"/>
        <v>Paquete Infinitum Entretenimiento+ 70   (Netflix 4 dispositivos)Residencial</v>
      </c>
      <c r="M674" s="568"/>
      <c r="N674" s="568"/>
      <c r="O674" s="568"/>
      <c r="P674" s="568"/>
      <c r="Q674" s="568"/>
      <c r="R674" s="568"/>
    </row>
    <row r="675" spans="1:18" ht="14.5" x14ac:dyDescent="0.35">
      <c r="A675" s="571" t="str">
        <f t="shared" si="29"/>
        <v>Paquete Infinitum Entretenimiento+ 120    (Netflix 2 dispositivos)Residencial</v>
      </c>
      <c r="B675" s="129">
        <v>81</v>
      </c>
      <c r="C675" s="434" t="s">
        <v>1109</v>
      </c>
      <c r="D675" s="340" t="s">
        <v>240</v>
      </c>
      <c r="E675" s="340" t="s">
        <v>243</v>
      </c>
      <c r="F675" s="691">
        <v>0</v>
      </c>
      <c r="G675" s="691">
        <v>1772</v>
      </c>
      <c r="H675" s="691">
        <v>1481</v>
      </c>
      <c r="I675" s="691">
        <v>0</v>
      </c>
      <c r="J675" s="691">
        <v>3457</v>
      </c>
      <c r="K675" s="691">
        <v>4787</v>
      </c>
      <c r="L675" s="573" t="str">
        <f t="shared" si="30"/>
        <v>Paquete Infinitum Entretenimiento+ 120    (Netflix 2 dispositivos)Residencial</v>
      </c>
      <c r="M675" s="568"/>
      <c r="N675" s="568"/>
      <c r="O675" s="568"/>
      <c r="P675" s="568"/>
      <c r="Q675" s="568"/>
      <c r="R675" s="568"/>
    </row>
    <row r="676" spans="1:18" ht="14.5" x14ac:dyDescent="0.35">
      <c r="A676" s="571" t="str">
        <f t="shared" si="29"/>
        <v>Paquete Infinitum Entretenimiento+ 120    (Netflix 4 dispositivos)Residencial</v>
      </c>
      <c r="B676" s="129">
        <v>82</v>
      </c>
      <c r="C676" s="434" t="s">
        <v>1110</v>
      </c>
      <c r="D676" s="340" t="s">
        <v>240</v>
      </c>
      <c r="E676" s="340" t="s">
        <v>243</v>
      </c>
      <c r="F676" s="691">
        <v>0</v>
      </c>
      <c r="G676" s="691">
        <v>944</v>
      </c>
      <c r="H676" s="691">
        <v>985</v>
      </c>
      <c r="I676" s="691">
        <v>0</v>
      </c>
      <c r="J676" s="691">
        <v>3014</v>
      </c>
      <c r="K676" s="691">
        <v>3617</v>
      </c>
      <c r="L676" s="573" t="str">
        <f t="shared" si="30"/>
        <v>Paquete Infinitum Entretenimiento+ 120    (Netflix 4 dispositivos)Residencial</v>
      </c>
      <c r="M676" s="568"/>
      <c r="N676" s="568"/>
      <c r="O676" s="568"/>
      <c r="P676" s="568"/>
      <c r="Q676" s="568"/>
      <c r="R676" s="568"/>
    </row>
    <row r="677" spans="1:18" ht="14.5" x14ac:dyDescent="0.35">
      <c r="A677" s="571" t="str">
        <f t="shared" si="29"/>
        <v>Paquete infinitum Entretenimiento+ 200  (Netflix 4 dispositivos)Residencial</v>
      </c>
      <c r="B677" s="129">
        <v>83</v>
      </c>
      <c r="C677" s="434" t="s">
        <v>1111</v>
      </c>
      <c r="D677" s="340" t="s">
        <v>240</v>
      </c>
      <c r="E677" s="340" t="s">
        <v>243</v>
      </c>
      <c r="F677" s="691">
        <v>0</v>
      </c>
      <c r="G677" s="691">
        <v>5155</v>
      </c>
      <c r="H677" s="691">
        <v>6747</v>
      </c>
      <c r="I677" s="691">
        <v>0</v>
      </c>
      <c r="J677" s="691">
        <v>24927</v>
      </c>
      <c r="K677" s="691">
        <v>22667</v>
      </c>
      <c r="L677" s="573" t="str">
        <f t="shared" si="30"/>
        <v>Paquete infinitum Entretenimiento+ 200  (Netflix 4 dispositivos)Residencial</v>
      </c>
      <c r="M677" s="568"/>
      <c r="N677" s="568"/>
      <c r="O677" s="568"/>
      <c r="P677" s="568"/>
      <c r="Q677" s="568"/>
      <c r="R677" s="568"/>
    </row>
    <row r="678" spans="1:18" ht="14.5" x14ac:dyDescent="0.35">
      <c r="A678" s="571" t="str">
        <f t="shared" si="29"/>
        <v>Paquete infinitum Entretenimiento+ 200  (Netflix 2 dispositivos)Residencial</v>
      </c>
      <c r="B678" s="129">
        <v>84</v>
      </c>
      <c r="C678" s="434" t="s">
        <v>1112</v>
      </c>
      <c r="D678" s="340" t="s">
        <v>240</v>
      </c>
      <c r="E678" s="340" t="s">
        <v>243</v>
      </c>
      <c r="F678" s="691">
        <v>0</v>
      </c>
      <c r="G678" s="691">
        <v>1067</v>
      </c>
      <c r="H678" s="691">
        <v>964</v>
      </c>
      <c r="I678" s="691">
        <v>0</v>
      </c>
      <c r="J678" s="691">
        <v>3161</v>
      </c>
      <c r="K678" s="691">
        <v>3391</v>
      </c>
      <c r="L678" s="573" t="str">
        <f t="shared" si="30"/>
        <v>Paquete infinitum Entretenimiento+ 200  (Netflix 2 dispositivos)Residencial</v>
      </c>
      <c r="M678" s="568"/>
      <c r="N678" s="568"/>
      <c r="O678" s="568"/>
      <c r="P678" s="568"/>
      <c r="Q678" s="568"/>
      <c r="R678" s="568"/>
    </row>
    <row r="679" spans="1:18" ht="14.5" x14ac:dyDescent="0.35">
      <c r="A679" s="571" t="str">
        <f t="shared" si="29"/>
        <v>Paquete infinitum Entretenimiento+ 500 (Netflix 4 dispositivos)Residencial</v>
      </c>
      <c r="B679" s="129">
        <v>85</v>
      </c>
      <c r="C679" s="434" t="s">
        <v>1113</v>
      </c>
      <c r="D679" s="340" t="s">
        <v>240</v>
      </c>
      <c r="E679" s="340" t="s">
        <v>243</v>
      </c>
      <c r="F679" s="691">
        <v>0</v>
      </c>
      <c r="G679" s="691">
        <v>551</v>
      </c>
      <c r="H679" s="691">
        <v>904</v>
      </c>
      <c r="I679" s="691">
        <v>0</v>
      </c>
      <c r="J679" s="691">
        <v>2562</v>
      </c>
      <c r="K679" s="691">
        <v>2339</v>
      </c>
      <c r="L679" s="573" t="str">
        <f t="shared" si="30"/>
        <v>Paquete infinitum Entretenimiento+ 500 (Netflix 4 dispositivos)Residencial</v>
      </c>
      <c r="M679" s="568"/>
      <c r="N679" s="568"/>
      <c r="O679" s="568"/>
      <c r="P679" s="568"/>
      <c r="Q679" s="568"/>
      <c r="R679" s="568"/>
    </row>
    <row r="680" spans="1:18" ht="14.5" x14ac:dyDescent="0.35">
      <c r="A680" s="571" t="str">
        <f t="shared" si="29"/>
        <v>Paquete infinitum Entretenimiento+ 500  (Netflix 2 dispositivos)Residencial</v>
      </c>
      <c r="B680" s="129">
        <v>86</v>
      </c>
      <c r="C680" s="434" t="s">
        <v>1114</v>
      </c>
      <c r="D680" s="340" t="s">
        <v>240</v>
      </c>
      <c r="E680" s="340" t="s">
        <v>243</v>
      </c>
      <c r="F680" s="691">
        <v>0</v>
      </c>
      <c r="G680" s="691">
        <v>114</v>
      </c>
      <c r="H680" s="691">
        <v>150</v>
      </c>
      <c r="I680" s="691">
        <v>0</v>
      </c>
      <c r="J680" s="691">
        <v>230</v>
      </c>
      <c r="K680" s="691">
        <v>286</v>
      </c>
      <c r="L680" s="573" t="str">
        <f t="shared" si="30"/>
        <v>Paquete infinitum Entretenimiento+ 500  (Netflix 2 dispositivos)Residencial</v>
      </c>
      <c r="M680" s="568"/>
      <c r="N680" s="568"/>
      <c r="O680" s="568"/>
      <c r="P680" s="568"/>
      <c r="Q680" s="568"/>
      <c r="R680" s="568"/>
    </row>
    <row r="681" spans="1:18" ht="14.5" x14ac:dyDescent="0.35">
      <c r="A681" s="571" t="str">
        <f t="shared" si="29"/>
        <v>Infinitum Entretenimiento +30   (Netflix 1 dispositivo)Residencial</v>
      </c>
      <c r="B681" s="129">
        <v>87</v>
      </c>
      <c r="C681" s="434" t="s">
        <v>1115</v>
      </c>
      <c r="D681" s="340" t="s">
        <v>240</v>
      </c>
      <c r="E681" s="340" t="s">
        <v>241</v>
      </c>
      <c r="F681" s="691">
        <v>0</v>
      </c>
      <c r="G681" s="691">
        <v>1084</v>
      </c>
      <c r="H681" s="691">
        <v>1190</v>
      </c>
      <c r="I681" s="691">
        <v>0</v>
      </c>
      <c r="J681" s="691">
        <v>6331</v>
      </c>
      <c r="K681" s="691">
        <v>5273</v>
      </c>
      <c r="L681" s="573" t="str">
        <f t="shared" si="30"/>
        <v>Infinitum Entretenimiento +30   (Netflix 1 dispositivo)Residencial</v>
      </c>
      <c r="M681" s="568"/>
      <c r="N681" s="568"/>
      <c r="O681" s="568"/>
      <c r="P681" s="568"/>
      <c r="Q681" s="568"/>
      <c r="R681" s="568"/>
    </row>
    <row r="682" spans="1:18" ht="14.5" x14ac:dyDescent="0.35">
      <c r="A682" s="571" t="str">
        <f t="shared" si="29"/>
        <v>Infinitum Entretenimiento +30   (Netflix 2 dispositivos)Residencial</v>
      </c>
      <c r="B682" s="129">
        <v>88</v>
      </c>
      <c r="C682" s="434" t="s">
        <v>1116</v>
      </c>
      <c r="D682" s="340" t="s">
        <v>240</v>
      </c>
      <c r="E682" s="340" t="s">
        <v>241</v>
      </c>
      <c r="F682" s="691">
        <v>0</v>
      </c>
      <c r="G682" s="691">
        <v>1151</v>
      </c>
      <c r="H682" s="691">
        <v>892</v>
      </c>
      <c r="I682" s="691">
        <v>0</v>
      </c>
      <c r="J682" s="691">
        <v>7816</v>
      </c>
      <c r="K682" s="691">
        <v>8746</v>
      </c>
      <c r="L682" s="573" t="str">
        <f t="shared" si="30"/>
        <v>Infinitum Entretenimiento +30   (Netflix 2 dispositivos)Residencial</v>
      </c>
      <c r="M682" s="568"/>
      <c r="N682" s="568"/>
      <c r="O682" s="568"/>
      <c r="P682" s="568"/>
      <c r="Q682" s="568"/>
      <c r="R682" s="568"/>
    </row>
    <row r="683" spans="1:18" ht="14.5" x14ac:dyDescent="0.35">
      <c r="A683" s="571" t="str">
        <f t="shared" si="29"/>
        <v>Infinitum Entretenimiento +30   (Netflix 4 dispositivos)Residencial</v>
      </c>
      <c r="B683" s="129">
        <v>89</v>
      </c>
      <c r="C683" s="434" t="s">
        <v>1117</v>
      </c>
      <c r="D683" s="340" t="s">
        <v>240</v>
      </c>
      <c r="E683" s="340" t="s">
        <v>241</v>
      </c>
      <c r="F683" s="691">
        <v>0</v>
      </c>
      <c r="G683" s="691">
        <v>578</v>
      </c>
      <c r="H683" s="691">
        <v>519</v>
      </c>
      <c r="I683" s="691">
        <v>0</v>
      </c>
      <c r="J683" s="691">
        <v>6563</v>
      </c>
      <c r="K683" s="691">
        <v>6585</v>
      </c>
      <c r="L683" s="573" t="str">
        <f t="shared" si="30"/>
        <v>Infinitum Entretenimiento +30   (Netflix 4 dispositivos)Residencial</v>
      </c>
      <c r="M683" s="568"/>
      <c r="N683" s="568"/>
      <c r="O683" s="568"/>
      <c r="P683" s="568"/>
      <c r="Q683" s="568"/>
      <c r="R683" s="568"/>
    </row>
    <row r="684" spans="1:18" ht="14.5" x14ac:dyDescent="0.35">
      <c r="A684" s="571" t="str">
        <f t="shared" si="29"/>
        <v>Infinitum Entretenimiento+ 70  (Netflix 2 dispositivos)Residencial</v>
      </c>
      <c r="B684" s="129">
        <v>90</v>
      </c>
      <c r="C684" s="434" t="s">
        <v>1118</v>
      </c>
      <c r="D684" s="340" t="s">
        <v>240</v>
      </c>
      <c r="E684" s="340" t="s">
        <v>241</v>
      </c>
      <c r="F684" s="691">
        <v>0</v>
      </c>
      <c r="G684" s="691">
        <v>638</v>
      </c>
      <c r="H684" s="691">
        <v>476</v>
      </c>
      <c r="I684" s="691">
        <v>0</v>
      </c>
      <c r="J684" s="691">
        <v>4726</v>
      </c>
      <c r="K684" s="691">
        <v>4393</v>
      </c>
      <c r="L684" s="573" t="str">
        <f t="shared" si="30"/>
        <v>Infinitum Entretenimiento+ 70  (Netflix 2 dispositivos)Residencial</v>
      </c>
      <c r="M684" s="568"/>
      <c r="N684" s="568"/>
      <c r="O684" s="568"/>
      <c r="P684" s="568"/>
      <c r="Q684" s="568"/>
      <c r="R684" s="568"/>
    </row>
    <row r="685" spans="1:18" ht="14.5" x14ac:dyDescent="0.35">
      <c r="A685" s="571" t="str">
        <f t="shared" si="29"/>
        <v>Infinitum Entretenimiento+ 70  (Netflix 4 dispositivos)Residencial</v>
      </c>
      <c r="B685" s="129">
        <v>91</v>
      </c>
      <c r="C685" s="434" t="s">
        <v>1119</v>
      </c>
      <c r="D685" s="340" t="s">
        <v>240</v>
      </c>
      <c r="E685" s="340" t="s">
        <v>241</v>
      </c>
      <c r="F685" s="691">
        <v>0</v>
      </c>
      <c r="G685" s="691">
        <v>344</v>
      </c>
      <c r="H685" s="691">
        <v>258</v>
      </c>
      <c r="I685" s="691">
        <v>0</v>
      </c>
      <c r="J685" s="691">
        <v>1732</v>
      </c>
      <c r="K685" s="691">
        <v>2151</v>
      </c>
      <c r="L685" s="573" t="str">
        <f t="shared" si="30"/>
        <v>Infinitum Entretenimiento+ 70  (Netflix 4 dispositivos)Residencial</v>
      </c>
      <c r="M685" s="568"/>
      <c r="N685" s="568"/>
      <c r="O685" s="568"/>
      <c r="P685" s="568"/>
      <c r="Q685" s="568"/>
      <c r="R685" s="568"/>
    </row>
    <row r="686" spans="1:18" ht="14.5" x14ac:dyDescent="0.35">
      <c r="A686" s="571" t="str">
        <f t="shared" si="29"/>
        <v>Infinitum Entretenimiento+ 250  (Netflix 4 dispositivos)Residencial</v>
      </c>
      <c r="B686" s="129">
        <v>92</v>
      </c>
      <c r="C686" s="434" t="s">
        <v>1120</v>
      </c>
      <c r="D686" s="340" t="s">
        <v>240</v>
      </c>
      <c r="E686" s="340" t="s">
        <v>241</v>
      </c>
      <c r="F686" s="691">
        <v>0</v>
      </c>
      <c r="G686" s="691">
        <v>391</v>
      </c>
      <c r="H686" s="691">
        <v>472</v>
      </c>
      <c r="I686" s="691">
        <v>0</v>
      </c>
      <c r="J686" s="691">
        <v>2657</v>
      </c>
      <c r="K686" s="691">
        <v>2771</v>
      </c>
      <c r="L686" s="573" t="str">
        <f t="shared" si="30"/>
        <v>Infinitum Entretenimiento+ 250  (Netflix 4 dispositivos)Residencial</v>
      </c>
      <c r="M686" s="568"/>
      <c r="N686" s="568"/>
      <c r="O686" s="568"/>
      <c r="P686" s="568"/>
      <c r="Q686" s="568"/>
      <c r="R686" s="568"/>
    </row>
    <row r="687" spans="1:18" ht="14.5" x14ac:dyDescent="0.35">
      <c r="A687" s="571" t="str">
        <f t="shared" si="29"/>
        <v>Infinitum Entretenimiento+ 250  (Netflix 2 dispositivos)Residencial</v>
      </c>
      <c r="B687" s="129">
        <v>93</v>
      </c>
      <c r="C687" s="434" t="s">
        <v>1121</v>
      </c>
      <c r="D687" s="340" t="s">
        <v>240</v>
      </c>
      <c r="E687" s="340" t="s">
        <v>241</v>
      </c>
      <c r="F687" s="691">
        <v>0</v>
      </c>
      <c r="G687" s="691">
        <v>127</v>
      </c>
      <c r="H687" s="691">
        <v>121</v>
      </c>
      <c r="I687" s="691">
        <v>0</v>
      </c>
      <c r="J687" s="691">
        <v>737</v>
      </c>
      <c r="K687" s="691">
        <v>665</v>
      </c>
      <c r="L687" s="573" t="str">
        <f t="shared" si="30"/>
        <v>Infinitum Entretenimiento+ 250  (Netflix 2 dispositivos)Residencial</v>
      </c>
      <c r="M687" s="568"/>
      <c r="N687" s="568"/>
      <c r="O687" s="568"/>
      <c r="P687" s="568"/>
      <c r="Q687" s="568"/>
      <c r="R687" s="568"/>
    </row>
    <row r="688" spans="1:18" ht="14.5" x14ac:dyDescent="0.35">
      <c r="A688" s="571" t="str">
        <f t="shared" si="29"/>
        <v>Infinitum Entretenimiento+ 500   (Netflix 4 dispositivos)Residencial</v>
      </c>
      <c r="B688" s="129">
        <v>94</v>
      </c>
      <c r="C688" s="434" t="s">
        <v>1122</v>
      </c>
      <c r="D688" s="340" t="s">
        <v>240</v>
      </c>
      <c r="E688" s="340" t="s">
        <v>241</v>
      </c>
      <c r="F688" s="691">
        <v>0</v>
      </c>
      <c r="G688" s="691">
        <v>60</v>
      </c>
      <c r="H688" s="691">
        <v>39</v>
      </c>
      <c r="I688" s="691">
        <v>0</v>
      </c>
      <c r="J688" s="691">
        <v>454</v>
      </c>
      <c r="K688" s="691">
        <v>618</v>
      </c>
      <c r="L688" s="573" t="str">
        <f t="shared" si="30"/>
        <v>Infinitum Entretenimiento+ 500   (Netflix 4 dispositivos)Residencial</v>
      </c>
      <c r="M688" s="568"/>
      <c r="N688" s="568"/>
      <c r="O688" s="568"/>
      <c r="P688" s="568"/>
      <c r="Q688" s="568"/>
      <c r="R688" s="568"/>
    </row>
    <row r="689" spans="1:18" ht="14.5" x14ac:dyDescent="0.35">
      <c r="A689" s="571" t="str">
        <f t="shared" si="29"/>
        <v>Infinitum Entretenimiento+ 500   (Netflix 2 dispositivos)Residencial</v>
      </c>
      <c r="B689" s="129">
        <v>95</v>
      </c>
      <c r="C689" s="434" t="s">
        <v>1123</v>
      </c>
      <c r="D689" s="340" t="s">
        <v>240</v>
      </c>
      <c r="E689" s="340" t="s">
        <v>241</v>
      </c>
      <c r="F689" s="691">
        <v>0</v>
      </c>
      <c r="G689" s="691">
        <v>33</v>
      </c>
      <c r="H689" s="691">
        <v>37</v>
      </c>
      <c r="I689" s="691">
        <v>0</v>
      </c>
      <c r="J689" s="691">
        <v>103</v>
      </c>
      <c r="K689" s="691">
        <v>82</v>
      </c>
      <c r="L689" s="573" t="str">
        <f t="shared" si="30"/>
        <v>Infinitum Entretenimiento+ 500   (Netflix 2 dispositivos)Residencial</v>
      </c>
      <c r="M689" s="568"/>
      <c r="N689" s="568"/>
      <c r="O689" s="568"/>
      <c r="P689" s="568"/>
      <c r="Q689" s="568"/>
      <c r="R689" s="568"/>
    </row>
    <row r="690" spans="1:18" ht="14.5" x14ac:dyDescent="0.35">
      <c r="A690" s="571" t="str">
        <f t="shared" si="29"/>
        <v>Velocidad Simétrica Conectes NegocioNo Residencial</v>
      </c>
      <c r="B690" s="129">
        <v>96</v>
      </c>
      <c r="C690" s="277" t="s">
        <v>817</v>
      </c>
      <c r="D690" s="340" t="s">
        <v>242</v>
      </c>
      <c r="E690" s="340" t="s">
        <v>243</v>
      </c>
      <c r="F690" s="691">
        <v>9730</v>
      </c>
      <c r="G690" s="691">
        <v>0</v>
      </c>
      <c r="H690" s="691">
        <v>7608</v>
      </c>
      <c r="I690" s="691">
        <v>7704</v>
      </c>
      <c r="J690" s="691">
        <v>0</v>
      </c>
      <c r="K690" s="691">
        <v>11548</v>
      </c>
      <c r="L690" s="573" t="str">
        <f t="shared" si="30"/>
        <v>Velocidad Simétrica Conectes NegocioNo Residencial</v>
      </c>
      <c r="M690" s="568"/>
      <c r="N690" s="568"/>
      <c r="O690" s="568"/>
      <c r="P690" s="568"/>
      <c r="Q690" s="568"/>
      <c r="R690" s="568"/>
    </row>
    <row r="691" spans="1:18" ht="14.5" x14ac:dyDescent="0.35">
      <c r="A691" s="571" t="str">
        <f t="shared" si="29"/>
        <v>Velocidad Simétrica Mi NegocioNo Residencial</v>
      </c>
      <c r="B691" s="129">
        <v>97</v>
      </c>
      <c r="C691" s="277" t="s">
        <v>818</v>
      </c>
      <c r="D691" s="340" t="s">
        <v>242</v>
      </c>
      <c r="E691" s="340" t="s">
        <v>243</v>
      </c>
      <c r="F691" s="691">
        <v>11651</v>
      </c>
      <c r="G691" s="691">
        <v>0</v>
      </c>
      <c r="H691" s="691">
        <v>9898</v>
      </c>
      <c r="I691" s="691">
        <v>12683</v>
      </c>
      <c r="J691" s="691">
        <v>0</v>
      </c>
      <c r="K691" s="691">
        <v>12186</v>
      </c>
      <c r="L691" s="573" t="str">
        <f t="shared" si="30"/>
        <v>Velocidad Simétrica Mi NegocioNo Residencial</v>
      </c>
      <c r="M691" s="568"/>
      <c r="N691" s="568"/>
      <c r="O691" s="568"/>
      <c r="P691" s="568"/>
      <c r="Q691" s="568"/>
      <c r="R691" s="568"/>
    </row>
    <row r="692" spans="1:18" ht="14.5" x14ac:dyDescent="0.35">
      <c r="A692" s="571" t="str">
        <f t="shared" si="29"/>
        <v>Velocidad Simétrica SupernegocioNo Residencial</v>
      </c>
      <c r="B692" s="129">
        <v>98</v>
      </c>
      <c r="C692" s="277" t="s">
        <v>1043</v>
      </c>
      <c r="D692" s="340" t="s">
        <v>242</v>
      </c>
      <c r="E692" s="340" t="s">
        <v>243</v>
      </c>
      <c r="F692" s="691">
        <v>8155</v>
      </c>
      <c r="G692" s="691">
        <v>0</v>
      </c>
      <c r="H692" s="691">
        <v>6920</v>
      </c>
      <c r="I692" s="691">
        <v>9714</v>
      </c>
      <c r="J692" s="691">
        <v>0</v>
      </c>
      <c r="K692" s="691">
        <v>8251</v>
      </c>
      <c r="L692" s="573" t="str">
        <f t="shared" si="30"/>
        <v>Velocidad Simétrica SupernegocioNo Residencial</v>
      </c>
      <c r="M692" s="568"/>
      <c r="N692" s="568"/>
      <c r="O692" s="568"/>
      <c r="P692" s="568"/>
      <c r="Q692" s="568"/>
      <c r="R692" s="568"/>
    </row>
    <row r="693" spans="1:18" ht="14.5" x14ac:dyDescent="0.35">
      <c r="A693" s="571" t="str">
        <f t="shared" si="29"/>
        <v>Velocidad Simétrica Telmex Negocio Sin Límites 1No Residencial</v>
      </c>
      <c r="B693" s="129">
        <v>99</v>
      </c>
      <c r="C693" s="277" t="s">
        <v>844</v>
      </c>
      <c r="D693" s="340" t="s">
        <v>242</v>
      </c>
      <c r="E693" s="340" t="s">
        <v>243</v>
      </c>
      <c r="F693" s="691">
        <v>2796</v>
      </c>
      <c r="G693" s="691">
        <v>0</v>
      </c>
      <c r="H693" s="691">
        <v>2233</v>
      </c>
      <c r="I693" s="691">
        <v>4094</v>
      </c>
      <c r="J693" s="691">
        <v>0</v>
      </c>
      <c r="K693" s="691">
        <v>2556</v>
      </c>
      <c r="L693" s="573" t="str">
        <f t="shared" si="30"/>
        <v>Velocidad Simétrica Telmex Negocio Sin Límites 1No Residencial</v>
      </c>
      <c r="M693" s="568"/>
      <c r="N693" s="568"/>
      <c r="O693" s="568"/>
      <c r="P693" s="568"/>
      <c r="Q693" s="568"/>
      <c r="R693" s="568"/>
    </row>
    <row r="694" spans="1:18" ht="14.5" x14ac:dyDescent="0.35">
      <c r="A694" s="571" t="str">
        <f t="shared" si="29"/>
        <v>Velocidad Simétrica Telmex Negocio Sin Límites 2No Residencial</v>
      </c>
      <c r="B694" s="129">
        <v>100</v>
      </c>
      <c r="C694" s="277" t="s">
        <v>845</v>
      </c>
      <c r="D694" s="340" t="s">
        <v>242</v>
      </c>
      <c r="E694" s="340" t="s">
        <v>243</v>
      </c>
      <c r="F694" s="691">
        <v>3957</v>
      </c>
      <c r="G694" s="691">
        <v>0</v>
      </c>
      <c r="H694" s="691">
        <v>2898</v>
      </c>
      <c r="I694" s="691">
        <v>3786</v>
      </c>
      <c r="J694" s="691">
        <v>0</v>
      </c>
      <c r="K694" s="691">
        <v>3727</v>
      </c>
      <c r="L694" s="573" t="str">
        <f t="shared" si="30"/>
        <v>Velocidad Simétrica Telmex Negocio Sin Límites 2No Residencial</v>
      </c>
      <c r="M694" s="568"/>
      <c r="N694" s="568"/>
      <c r="O694" s="568"/>
      <c r="P694" s="568"/>
      <c r="Q694" s="568"/>
      <c r="R694" s="568"/>
    </row>
    <row r="695" spans="1:18" ht="14.5" x14ac:dyDescent="0.35">
      <c r="A695" s="571" t="str">
        <f t="shared" si="29"/>
        <v>Velocidad Simétrica Telmex Negocio Sin Límites 3No Residencial</v>
      </c>
      <c r="B695" s="129">
        <v>101</v>
      </c>
      <c r="C695" s="277" t="s">
        <v>846</v>
      </c>
      <c r="D695" s="340" t="s">
        <v>242</v>
      </c>
      <c r="E695" s="340" t="s">
        <v>243</v>
      </c>
      <c r="F695" s="691">
        <v>2029</v>
      </c>
      <c r="G695" s="691">
        <v>0</v>
      </c>
      <c r="H695" s="691">
        <v>2977</v>
      </c>
      <c r="I695" s="691">
        <v>2687</v>
      </c>
      <c r="J695" s="691">
        <v>0</v>
      </c>
      <c r="K695" s="691">
        <v>2264</v>
      </c>
      <c r="L695" s="573" t="str">
        <f t="shared" si="30"/>
        <v>Velocidad Simétrica Telmex Negocio Sin Límites 3No Residencial</v>
      </c>
      <c r="M695" s="568"/>
      <c r="N695" s="568"/>
      <c r="O695" s="568"/>
      <c r="P695" s="568"/>
      <c r="Q695" s="568"/>
      <c r="R695" s="568"/>
    </row>
    <row r="696" spans="1:18" ht="14.5" x14ac:dyDescent="0.35">
      <c r="A696" s="571" t="str">
        <f t="shared" si="29"/>
        <v>Velocidad Simétrica Conectes Negocio Netflix (1 dispositivo)No Residencial</v>
      </c>
      <c r="B696" s="129">
        <v>102</v>
      </c>
      <c r="C696" s="277" t="s">
        <v>1044</v>
      </c>
      <c r="D696" s="340" t="s">
        <v>242</v>
      </c>
      <c r="E696" s="340" t="s">
        <v>243</v>
      </c>
      <c r="F696" s="691">
        <v>0</v>
      </c>
      <c r="G696" s="690">
        <v>0</v>
      </c>
      <c r="H696" s="691">
        <v>0</v>
      </c>
      <c r="I696" s="691">
        <v>5</v>
      </c>
      <c r="J696" s="691">
        <v>0</v>
      </c>
      <c r="K696" s="691">
        <v>5</v>
      </c>
      <c r="L696" s="573" t="str">
        <f t="shared" si="30"/>
        <v>Velocidad Simétrica Conectes Negocio Netflix (1 dispositivo)No Residencial</v>
      </c>
      <c r="M696" s="568"/>
      <c r="N696" s="568"/>
      <c r="O696" s="568"/>
      <c r="P696" s="568"/>
      <c r="Q696" s="568"/>
      <c r="R696" s="568"/>
    </row>
    <row r="697" spans="1:18" ht="14.5" x14ac:dyDescent="0.35">
      <c r="A697" s="571" t="str">
        <f t="shared" si="29"/>
        <v>Velocidad Simétrica Conectes Negocio Netflix (2 dispositivos)No Residencial</v>
      </c>
      <c r="B697" s="129">
        <v>103</v>
      </c>
      <c r="C697" s="277" t="s">
        <v>1045</v>
      </c>
      <c r="D697" s="340" t="s">
        <v>242</v>
      </c>
      <c r="E697" s="340" t="s">
        <v>243</v>
      </c>
      <c r="F697" s="691">
        <v>0</v>
      </c>
      <c r="G697" s="690">
        <v>0</v>
      </c>
      <c r="H697" s="691">
        <v>0</v>
      </c>
      <c r="I697" s="691">
        <v>4</v>
      </c>
      <c r="J697" s="691">
        <v>0</v>
      </c>
      <c r="K697" s="691">
        <v>5</v>
      </c>
      <c r="L697" s="573" t="str">
        <f t="shared" si="30"/>
        <v>Velocidad Simétrica Conectes Negocio Netflix (2 dispositivos)No Residencial</v>
      </c>
      <c r="M697" s="568"/>
      <c r="N697" s="568"/>
      <c r="O697" s="568"/>
      <c r="P697" s="568"/>
      <c r="Q697" s="568"/>
      <c r="R697" s="568"/>
    </row>
    <row r="698" spans="1:18" ht="14.5" x14ac:dyDescent="0.35">
      <c r="A698" s="571" t="str">
        <f t="shared" si="29"/>
        <v>Velocidad Simétrica Conectes Negocio Netflix (4 dispositivos)No Residencial</v>
      </c>
      <c r="B698" s="129">
        <v>104</v>
      </c>
      <c r="C698" s="277" t="s">
        <v>1046</v>
      </c>
      <c r="D698" s="340" t="s">
        <v>242</v>
      </c>
      <c r="E698" s="340" t="s">
        <v>243</v>
      </c>
      <c r="F698" s="691">
        <v>0</v>
      </c>
      <c r="G698" s="690">
        <v>0</v>
      </c>
      <c r="H698" s="691">
        <v>0</v>
      </c>
      <c r="I698" s="691">
        <v>5</v>
      </c>
      <c r="J698" s="691">
        <v>0</v>
      </c>
      <c r="K698" s="691">
        <v>4</v>
      </c>
      <c r="L698" s="573" t="str">
        <f t="shared" si="30"/>
        <v>Velocidad Simétrica Conectes Negocio Netflix (4 dispositivos)No Residencial</v>
      </c>
      <c r="M698" s="568"/>
      <c r="N698" s="568"/>
      <c r="O698" s="568"/>
      <c r="P698" s="568"/>
      <c r="Q698" s="568"/>
      <c r="R698" s="568"/>
    </row>
    <row r="699" spans="1:18" ht="14.5" x14ac:dyDescent="0.35">
      <c r="A699" s="571" t="str">
        <f t="shared" si="29"/>
        <v>Velocidad Simétrica Mi Negocio Netflix (2 dispositivos)No Residencial</v>
      </c>
      <c r="B699" s="129">
        <v>105</v>
      </c>
      <c r="C699" s="277" t="s">
        <v>1047</v>
      </c>
      <c r="D699" s="340" t="s">
        <v>242</v>
      </c>
      <c r="E699" s="340" t="s">
        <v>243</v>
      </c>
      <c r="F699" s="691">
        <v>1</v>
      </c>
      <c r="G699" s="691">
        <v>0</v>
      </c>
      <c r="H699" s="691">
        <v>1</v>
      </c>
      <c r="I699" s="691">
        <v>15</v>
      </c>
      <c r="J699" s="691">
        <v>0</v>
      </c>
      <c r="K699" s="691">
        <v>18</v>
      </c>
      <c r="L699" s="573" t="str">
        <f t="shared" si="30"/>
        <v>Velocidad Simétrica Mi Negocio Netflix (2 dispositivos)No Residencial</v>
      </c>
      <c r="M699" s="568"/>
      <c r="N699" s="568"/>
      <c r="O699" s="568"/>
      <c r="P699" s="568"/>
      <c r="Q699" s="568"/>
      <c r="R699" s="568"/>
    </row>
    <row r="700" spans="1:18" ht="14.5" x14ac:dyDescent="0.35">
      <c r="A700" s="571" t="str">
        <f t="shared" si="29"/>
        <v>Velocidad Simétrica Mi Negocio Netflix (4 dispositivos)No Residencial</v>
      </c>
      <c r="B700" s="129">
        <v>106</v>
      </c>
      <c r="C700" s="277" t="s">
        <v>1048</v>
      </c>
      <c r="D700" s="340" t="s">
        <v>242</v>
      </c>
      <c r="E700" s="340" t="s">
        <v>243</v>
      </c>
      <c r="F700" s="691">
        <v>1</v>
      </c>
      <c r="G700" s="691">
        <v>0</v>
      </c>
      <c r="H700" s="691">
        <v>1</v>
      </c>
      <c r="I700" s="691">
        <v>5</v>
      </c>
      <c r="J700" s="691">
        <v>0</v>
      </c>
      <c r="K700" s="691">
        <v>4</v>
      </c>
      <c r="L700" s="573" t="str">
        <f t="shared" si="30"/>
        <v>Velocidad Simétrica Mi Negocio Netflix (4 dispositivos)No Residencial</v>
      </c>
      <c r="M700" s="568"/>
      <c r="N700" s="568"/>
      <c r="O700" s="568"/>
      <c r="P700" s="568"/>
      <c r="Q700" s="568"/>
      <c r="R700" s="568"/>
    </row>
    <row r="701" spans="1:18" ht="14.5" x14ac:dyDescent="0.35">
      <c r="A701" s="571" t="str">
        <f t="shared" si="29"/>
        <v>Velocidad Simétrica Supernegocio Netflix (2 dispositivos)No Residencial</v>
      </c>
      <c r="B701" s="129">
        <v>107</v>
      </c>
      <c r="C701" s="277" t="s">
        <v>1049</v>
      </c>
      <c r="D701" s="340" t="s">
        <v>242</v>
      </c>
      <c r="E701" s="340" t="s">
        <v>243</v>
      </c>
      <c r="F701" s="691">
        <v>6</v>
      </c>
      <c r="G701" s="691">
        <v>0</v>
      </c>
      <c r="H701" s="691">
        <v>6</v>
      </c>
      <c r="I701" s="691">
        <v>44</v>
      </c>
      <c r="J701" s="691">
        <v>0</v>
      </c>
      <c r="K701" s="691">
        <v>38</v>
      </c>
      <c r="L701" s="573" t="str">
        <f t="shared" si="30"/>
        <v>Velocidad Simétrica Supernegocio Netflix (2 dispositivos)No Residencial</v>
      </c>
      <c r="M701" s="568"/>
      <c r="N701" s="568"/>
      <c r="O701" s="568"/>
      <c r="P701" s="568"/>
      <c r="Q701" s="568"/>
      <c r="R701" s="568"/>
    </row>
    <row r="702" spans="1:18" ht="14.5" x14ac:dyDescent="0.35">
      <c r="A702" s="571" t="str">
        <f t="shared" si="29"/>
        <v>Velocidad Simétrica Supernegocio Netflix (4 dispositivos)No Residencial</v>
      </c>
      <c r="B702" s="129">
        <v>108</v>
      </c>
      <c r="C702" s="277" t="s">
        <v>1050</v>
      </c>
      <c r="D702" s="340" t="s">
        <v>242</v>
      </c>
      <c r="E702" s="340" t="s">
        <v>243</v>
      </c>
      <c r="F702" s="691">
        <v>5</v>
      </c>
      <c r="G702" s="691">
        <v>0</v>
      </c>
      <c r="H702" s="691">
        <v>4</v>
      </c>
      <c r="I702" s="691">
        <v>48</v>
      </c>
      <c r="J702" s="691">
        <v>0</v>
      </c>
      <c r="K702" s="691">
        <v>45</v>
      </c>
      <c r="L702" s="573" t="str">
        <f t="shared" si="30"/>
        <v>Velocidad Simétrica Supernegocio Netflix (4 dispositivos)No Residencial</v>
      </c>
      <c r="M702" s="568"/>
      <c r="N702" s="568"/>
      <c r="O702" s="568"/>
      <c r="P702" s="568"/>
      <c r="Q702" s="568"/>
      <c r="R702" s="568"/>
    </row>
    <row r="703" spans="1:18" ht="14.5" x14ac:dyDescent="0.35">
      <c r="A703" s="571" t="str">
        <f t="shared" si="29"/>
        <v>Nombre de Plan/PaqueteEspecifique Modalidad</v>
      </c>
      <c r="B703" s="129">
        <v>109</v>
      </c>
      <c r="C703" s="277" t="s">
        <v>252</v>
      </c>
      <c r="D703" s="339" t="s">
        <v>374</v>
      </c>
      <c r="E703" s="339" t="s">
        <v>375</v>
      </c>
      <c r="F703" s="353"/>
      <c r="G703" s="353"/>
      <c r="H703" s="353"/>
      <c r="I703" s="353"/>
      <c r="J703" s="353"/>
      <c r="K703" s="353"/>
      <c r="M703" s="568"/>
      <c r="N703" s="568"/>
      <c r="O703" s="568"/>
      <c r="P703" s="568"/>
      <c r="Q703" s="568"/>
      <c r="R703" s="568"/>
    </row>
    <row r="704" spans="1:18" x14ac:dyDescent="0.25">
      <c r="B704" s="120"/>
      <c r="C704" s="120"/>
      <c r="D704" s="120"/>
      <c r="E704" s="120"/>
      <c r="F704" s="120"/>
      <c r="G704" s="120"/>
      <c r="H704" s="120"/>
      <c r="I704" s="120"/>
      <c r="J704" s="120"/>
      <c r="K704" s="120"/>
      <c r="M704" s="57"/>
      <c r="N704" s="57"/>
      <c r="O704" s="57"/>
      <c r="P704" s="57"/>
      <c r="Q704" s="57"/>
      <c r="R704" s="57"/>
    </row>
    <row r="705" spans="2:18" outlineLevel="1" x14ac:dyDescent="0.25">
      <c r="B705" s="120"/>
      <c r="C705" s="120" t="s">
        <v>365</v>
      </c>
      <c r="D705" s="120"/>
      <c r="E705" s="120"/>
      <c r="F705" s="120"/>
      <c r="G705" s="120"/>
      <c r="H705" s="120"/>
      <c r="I705" s="120"/>
      <c r="J705" s="120"/>
      <c r="K705" s="275"/>
      <c r="L705" s="120"/>
      <c r="M705" s="692"/>
      <c r="N705" s="692"/>
      <c r="O705" s="692"/>
      <c r="P705" s="57"/>
      <c r="Q705" s="57"/>
      <c r="R705" s="57"/>
    </row>
    <row r="706" spans="2:18" outlineLevel="1" x14ac:dyDescent="0.25">
      <c r="B706" s="120"/>
      <c r="C706" s="262" t="s">
        <v>290</v>
      </c>
      <c r="D706" s="120"/>
      <c r="E706" s="120"/>
      <c r="F706" s="120"/>
      <c r="G706" s="120"/>
      <c r="H706" s="120"/>
      <c r="I706" s="120"/>
      <c r="J706" s="120"/>
      <c r="K706" s="275"/>
      <c r="L706" s="120"/>
      <c r="M706" s="692"/>
      <c r="N706" s="692"/>
      <c r="O706" s="692"/>
      <c r="P706" s="57"/>
      <c r="Q706" s="57"/>
      <c r="R706" s="57"/>
    </row>
    <row r="707" spans="2:18" ht="14" outlineLevel="1" x14ac:dyDescent="0.3">
      <c r="B707" s="120"/>
      <c r="C707" s="511" t="s">
        <v>1233</v>
      </c>
      <c r="D707" s="120"/>
      <c r="E707" s="120"/>
      <c r="F707" s="120"/>
      <c r="G707" s="120"/>
      <c r="H707" s="120"/>
      <c r="I707" s="120"/>
      <c r="J707" s="120"/>
      <c r="K707" s="120"/>
      <c r="M707" s="57"/>
      <c r="N707" s="57"/>
      <c r="O707" s="57"/>
      <c r="P707" s="57"/>
      <c r="Q707" s="57"/>
      <c r="R707" s="57"/>
    </row>
    <row r="708" spans="2:18" ht="15.5" outlineLevel="1" x14ac:dyDescent="0.25">
      <c r="B708" s="120"/>
      <c r="C708" s="37" t="s">
        <v>976</v>
      </c>
      <c r="D708" s="120"/>
      <c r="E708" s="120"/>
      <c r="F708" s="120"/>
      <c r="G708" s="120"/>
      <c r="H708" s="120"/>
      <c r="I708" s="120"/>
      <c r="J708" s="120"/>
      <c r="K708" s="275"/>
      <c r="L708" s="120"/>
      <c r="M708" s="57"/>
      <c r="N708" s="57"/>
      <c r="O708" s="57"/>
      <c r="P708" s="57"/>
      <c r="Q708" s="57"/>
      <c r="R708" s="57"/>
    </row>
    <row r="709" spans="2:18" ht="12" outlineLevel="1" x14ac:dyDescent="0.25">
      <c r="B709" s="120"/>
      <c r="C709" s="126" t="s">
        <v>292</v>
      </c>
      <c r="G709" s="120"/>
      <c r="H709" s="120"/>
      <c r="I709" s="120"/>
      <c r="J709" s="120"/>
      <c r="K709" s="120"/>
      <c r="L709" s="120"/>
    </row>
    <row r="710" spans="2:18" ht="12" outlineLevel="1" x14ac:dyDescent="0.25">
      <c r="B710" s="120"/>
      <c r="C710" s="126" t="s">
        <v>371</v>
      </c>
      <c r="G710" s="120"/>
      <c r="H710" s="120"/>
      <c r="I710" s="120"/>
      <c r="J710" s="120"/>
      <c r="K710" s="120"/>
      <c r="L710" s="120"/>
    </row>
    <row r="711" spans="2:18" ht="12" outlineLevel="1" x14ac:dyDescent="0.25">
      <c r="B711" s="120"/>
      <c r="C711" s="450" t="s">
        <v>1240</v>
      </c>
      <c r="D711" s="289"/>
      <c r="E711" s="289"/>
      <c r="F711" s="450"/>
      <c r="G711" s="120"/>
      <c r="H711" s="120"/>
      <c r="I711" s="120"/>
      <c r="J711" s="120"/>
      <c r="K711" s="120"/>
      <c r="L711" s="120"/>
    </row>
    <row r="712" spans="2:18" ht="12" outlineLevel="1" x14ac:dyDescent="0.25">
      <c r="B712" s="120"/>
      <c r="C712" s="126"/>
      <c r="G712" s="120"/>
      <c r="H712" s="120"/>
      <c r="I712" s="120"/>
      <c r="J712" s="120"/>
      <c r="K712" s="120"/>
      <c r="L712" s="120"/>
    </row>
    <row r="713" spans="2:18" outlineLevel="1" x14ac:dyDescent="0.25">
      <c r="B713" s="120"/>
      <c r="C713" s="431" t="s">
        <v>252</v>
      </c>
      <c r="D713" s="431" t="s">
        <v>253</v>
      </c>
      <c r="E713" s="431" t="s">
        <v>254</v>
      </c>
      <c r="F713" s="447">
        <v>2021</v>
      </c>
      <c r="G713" s="447">
        <v>2022</v>
      </c>
      <c r="H713" s="431" t="s">
        <v>258</v>
      </c>
      <c r="I713" s="120"/>
    </row>
    <row r="714" spans="2:18" ht="14.5" outlineLevel="1" x14ac:dyDescent="0.35">
      <c r="B714" s="129">
        <v>1</v>
      </c>
      <c r="C714" s="277" t="s">
        <v>296</v>
      </c>
      <c r="D714" s="340" t="s">
        <v>240</v>
      </c>
      <c r="E714" s="340" t="s">
        <v>174</v>
      </c>
      <c r="F714" s="691">
        <v>74</v>
      </c>
      <c r="G714" s="691">
        <v>89</v>
      </c>
      <c r="H714" s="345"/>
      <c r="I714" s="120"/>
    </row>
    <row r="715" spans="2:18" ht="14.5" outlineLevel="1" x14ac:dyDescent="0.35">
      <c r="B715" s="129">
        <v>2</v>
      </c>
      <c r="C715" s="277" t="s">
        <v>297</v>
      </c>
      <c r="D715" s="340" t="s">
        <v>240</v>
      </c>
      <c r="E715" s="340" t="s">
        <v>174</v>
      </c>
      <c r="F715" s="691">
        <v>1151</v>
      </c>
      <c r="G715" s="691">
        <v>1039</v>
      </c>
      <c r="H715" s="345"/>
      <c r="I715" s="120"/>
    </row>
    <row r="716" spans="2:18" ht="14.5" outlineLevel="1" x14ac:dyDescent="0.35">
      <c r="B716" s="129">
        <v>3</v>
      </c>
      <c r="C716" s="277" t="s">
        <v>298</v>
      </c>
      <c r="D716" s="340" t="s">
        <v>240</v>
      </c>
      <c r="E716" s="340" t="s">
        <v>174</v>
      </c>
      <c r="F716" s="691">
        <v>1343</v>
      </c>
      <c r="G716" s="691">
        <v>1076</v>
      </c>
      <c r="H716" s="345"/>
      <c r="I716" s="120"/>
    </row>
    <row r="717" spans="2:18" ht="14.5" outlineLevel="1" x14ac:dyDescent="0.35">
      <c r="B717" s="129">
        <v>4</v>
      </c>
      <c r="C717" s="277" t="s">
        <v>303</v>
      </c>
      <c r="D717" s="340" t="s">
        <v>240</v>
      </c>
      <c r="E717" s="340" t="s">
        <v>174</v>
      </c>
      <c r="F717" s="691">
        <v>843</v>
      </c>
      <c r="G717" s="691">
        <v>1062</v>
      </c>
      <c r="H717" s="345"/>
      <c r="I717" s="120"/>
    </row>
    <row r="718" spans="2:18" ht="14.5" outlineLevel="1" x14ac:dyDescent="0.35">
      <c r="B718" s="129">
        <v>5</v>
      </c>
      <c r="C718" s="277" t="s">
        <v>304</v>
      </c>
      <c r="D718" s="340" t="s">
        <v>240</v>
      </c>
      <c r="E718" s="340" t="s">
        <v>174</v>
      </c>
      <c r="F718" s="691">
        <v>20</v>
      </c>
      <c r="G718" s="691">
        <v>15</v>
      </c>
      <c r="H718" s="345"/>
      <c r="I718" s="120"/>
    </row>
    <row r="719" spans="2:18" ht="14.5" outlineLevel="1" x14ac:dyDescent="0.35">
      <c r="B719" s="129">
        <v>6</v>
      </c>
      <c r="C719" s="277" t="s">
        <v>305</v>
      </c>
      <c r="D719" s="340" t="s">
        <v>240</v>
      </c>
      <c r="E719" s="340" t="s">
        <v>174</v>
      </c>
      <c r="F719" s="691">
        <v>37</v>
      </c>
      <c r="G719" s="691">
        <v>33</v>
      </c>
      <c r="H719" s="345"/>
      <c r="I719" s="120"/>
    </row>
    <row r="720" spans="2:18" ht="14.5" outlineLevel="1" x14ac:dyDescent="0.35">
      <c r="B720" s="129">
        <v>7</v>
      </c>
      <c r="C720" s="277" t="s">
        <v>306</v>
      </c>
      <c r="D720" s="340" t="s">
        <v>242</v>
      </c>
      <c r="E720" s="340" t="s">
        <v>174</v>
      </c>
      <c r="F720" s="691">
        <v>95</v>
      </c>
      <c r="G720" s="691">
        <v>84</v>
      </c>
      <c r="H720" s="345"/>
      <c r="I720" s="120"/>
    </row>
    <row r="721" spans="2:9" ht="14.5" outlineLevel="1" x14ac:dyDescent="0.35">
      <c r="B721" s="129">
        <v>8</v>
      </c>
      <c r="C721" s="277" t="s">
        <v>307</v>
      </c>
      <c r="D721" s="340" t="s">
        <v>240</v>
      </c>
      <c r="E721" s="340" t="s">
        <v>174</v>
      </c>
      <c r="F721" s="691">
        <v>2712</v>
      </c>
      <c r="G721" s="691">
        <v>2016</v>
      </c>
      <c r="H721" s="345"/>
      <c r="I721" s="120"/>
    </row>
    <row r="722" spans="2:9" ht="14.5" outlineLevel="1" x14ac:dyDescent="0.35">
      <c r="B722" s="129">
        <v>9</v>
      </c>
      <c r="C722" s="277" t="s">
        <v>308</v>
      </c>
      <c r="D722" s="340" t="s">
        <v>240</v>
      </c>
      <c r="E722" s="340" t="s">
        <v>174</v>
      </c>
      <c r="F722" s="691">
        <v>1682</v>
      </c>
      <c r="G722" s="691">
        <v>1246</v>
      </c>
      <c r="H722" s="345"/>
      <c r="I722" s="120"/>
    </row>
    <row r="723" spans="2:9" ht="14.5" outlineLevel="1" x14ac:dyDescent="0.35">
      <c r="B723" s="129">
        <v>10</v>
      </c>
      <c r="C723" s="277" t="s">
        <v>309</v>
      </c>
      <c r="D723" s="340" t="s">
        <v>240</v>
      </c>
      <c r="E723" s="340" t="s">
        <v>174</v>
      </c>
      <c r="F723" s="691">
        <v>800</v>
      </c>
      <c r="G723" s="691">
        <v>1183</v>
      </c>
      <c r="H723" s="345"/>
      <c r="I723" s="120"/>
    </row>
    <row r="724" spans="2:9" ht="14.5" outlineLevel="1" x14ac:dyDescent="0.35">
      <c r="B724" s="129">
        <v>11</v>
      </c>
      <c r="C724" s="277" t="s">
        <v>310</v>
      </c>
      <c r="D724" s="340" t="s">
        <v>242</v>
      </c>
      <c r="E724" s="340" t="s">
        <v>174</v>
      </c>
      <c r="F724" s="691">
        <v>8633</v>
      </c>
      <c r="G724" s="691">
        <v>7559</v>
      </c>
      <c r="H724" s="345"/>
      <c r="I724" s="120"/>
    </row>
    <row r="725" spans="2:9" ht="14.5" outlineLevel="1" x14ac:dyDescent="0.35">
      <c r="B725" s="129">
        <v>12</v>
      </c>
      <c r="C725" s="277" t="s">
        <v>319</v>
      </c>
      <c r="D725" s="340" t="s">
        <v>242</v>
      </c>
      <c r="E725" s="340" t="s">
        <v>174</v>
      </c>
      <c r="F725" s="691">
        <v>2220</v>
      </c>
      <c r="G725" s="691">
        <v>2003</v>
      </c>
      <c r="H725" s="345"/>
      <c r="I725" s="120"/>
    </row>
    <row r="726" spans="2:9" ht="14.5" outlineLevel="1" x14ac:dyDescent="0.35">
      <c r="B726" s="129">
        <v>13</v>
      </c>
      <c r="C726" s="277" t="s">
        <v>320</v>
      </c>
      <c r="D726" s="340" t="s">
        <v>242</v>
      </c>
      <c r="E726" s="340" t="s">
        <v>174</v>
      </c>
      <c r="F726" s="691">
        <v>1495</v>
      </c>
      <c r="G726" s="691">
        <v>1321</v>
      </c>
      <c r="H726" s="345"/>
      <c r="I726" s="120"/>
    </row>
    <row r="727" spans="2:9" ht="14.5" outlineLevel="1" x14ac:dyDescent="0.35">
      <c r="B727" s="129">
        <v>14</v>
      </c>
      <c r="C727" s="277" t="s">
        <v>226</v>
      </c>
      <c r="D727" s="340" t="s">
        <v>242</v>
      </c>
      <c r="E727" s="340" t="s">
        <v>174</v>
      </c>
      <c r="F727" s="691">
        <v>1172179</v>
      </c>
      <c r="G727" s="691">
        <v>978563</v>
      </c>
      <c r="H727" s="345"/>
      <c r="I727" s="120"/>
    </row>
    <row r="728" spans="2:9" ht="14.5" outlineLevel="1" x14ac:dyDescent="0.35">
      <c r="B728" s="129">
        <v>15</v>
      </c>
      <c r="C728" s="277" t="s">
        <v>225</v>
      </c>
      <c r="D728" s="340" t="s">
        <v>240</v>
      </c>
      <c r="E728" s="340" t="s">
        <v>174</v>
      </c>
      <c r="F728" s="691">
        <v>850962</v>
      </c>
      <c r="G728" s="691">
        <v>624138</v>
      </c>
      <c r="H728" s="345"/>
      <c r="I728" s="120"/>
    </row>
    <row r="729" spans="2:9" ht="14.5" outlineLevel="1" x14ac:dyDescent="0.35">
      <c r="B729" s="129">
        <v>16</v>
      </c>
      <c r="C729" s="277" t="s">
        <v>321</v>
      </c>
      <c r="D729" s="340" t="s">
        <v>240</v>
      </c>
      <c r="E729" s="340" t="s">
        <v>174</v>
      </c>
      <c r="F729" s="691">
        <v>3325</v>
      </c>
      <c r="G729" s="691">
        <v>2013</v>
      </c>
      <c r="H729" s="345"/>
      <c r="I729" s="120"/>
    </row>
    <row r="730" spans="2:9" ht="14.5" outlineLevel="1" x14ac:dyDescent="0.35">
      <c r="B730" s="129">
        <v>17</v>
      </c>
      <c r="C730" s="277" t="s">
        <v>322</v>
      </c>
      <c r="D730" s="340" t="s">
        <v>240</v>
      </c>
      <c r="E730" s="340" t="s">
        <v>174</v>
      </c>
      <c r="F730" s="691">
        <v>110</v>
      </c>
      <c r="G730" s="691">
        <v>103</v>
      </c>
      <c r="H730" s="345"/>
      <c r="I730" s="120"/>
    </row>
    <row r="731" spans="2:9" ht="14.5" outlineLevel="1" x14ac:dyDescent="0.35">
      <c r="B731" s="129">
        <v>18</v>
      </c>
      <c r="C731" s="277" t="s">
        <v>323</v>
      </c>
      <c r="D731" s="340" t="s">
        <v>240</v>
      </c>
      <c r="E731" s="340" t="s">
        <v>174</v>
      </c>
      <c r="F731" s="691">
        <v>71</v>
      </c>
      <c r="G731" s="691">
        <v>101</v>
      </c>
      <c r="H731" s="345"/>
      <c r="I731" s="120"/>
    </row>
    <row r="732" spans="2:9" ht="14.5" outlineLevel="1" x14ac:dyDescent="0.35">
      <c r="B732" s="129">
        <v>19</v>
      </c>
      <c r="C732" s="277" t="s">
        <v>324</v>
      </c>
      <c r="D732" s="340" t="s">
        <v>242</v>
      </c>
      <c r="E732" s="340" t="s">
        <v>174</v>
      </c>
      <c r="F732" s="691">
        <v>2464</v>
      </c>
      <c r="G732" s="691">
        <v>2603</v>
      </c>
      <c r="H732" s="345"/>
      <c r="I732" s="120"/>
    </row>
    <row r="733" spans="2:9" ht="14.5" outlineLevel="1" x14ac:dyDescent="0.35">
      <c r="B733" s="129">
        <v>20</v>
      </c>
      <c r="C733" s="277" t="s">
        <v>325</v>
      </c>
      <c r="D733" s="340" t="s">
        <v>242</v>
      </c>
      <c r="E733" s="340" t="s">
        <v>174</v>
      </c>
      <c r="F733" s="691">
        <v>570</v>
      </c>
      <c r="G733" s="691">
        <v>660</v>
      </c>
      <c r="H733" s="345"/>
      <c r="I733" s="120"/>
    </row>
    <row r="734" spans="2:9" ht="14.5" outlineLevel="1" x14ac:dyDescent="0.35">
      <c r="B734" s="129">
        <v>21</v>
      </c>
      <c r="C734" s="277" t="s">
        <v>326</v>
      </c>
      <c r="D734" s="340" t="s">
        <v>242</v>
      </c>
      <c r="E734" s="340" t="s">
        <v>174</v>
      </c>
      <c r="F734" s="691">
        <v>2931</v>
      </c>
      <c r="G734" s="691">
        <v>2597</v>
      </c>
      <c r="H734" s="345"/>
      <c r="I734" s="120"/>
    </row>
    <row r="735" spans="2:9" ht="14.5" outlineLevel="1" x14ac:dyDescent="0.35">
      <c r="B735" s="129">
        <v>22</v>
      </c>
      <c r="C735" s="277" t="s">
        <v>327</v>
      </c>
      <c r="D735" s="340" t="s">
        <v>263</v>
      </c>
      <c r="E735" s="340" t="s">
        <v>174</v>
      </c>
      <c r="F735" s="691">
        <v>693</v>
      </c>
      <c r="G735" s="691">
        <v>496</v>
      </c>
      <c r="H735" s="345"/>
      <c r="I735" s="120"/>
    </row>
    <row r="736" spans="2:9" ht="14.5" outlineLevel="1" x14ac:dyDescent="0.35">
      <c r="B736" s="129">
        <v>23</v>
      </c>
      <c r="C736" s="277" t="s">
        <v>330</v>
      </c>
      <c r="D736" s="340" t="s">
        <v>242</v>
      </c>
      <c r="E736" s="340" t="s">
        <v>174</v>
      </c>
      <c r="F736" s="691">
        <v>3217</v>
      </c>
      <c r="G736" s="691">
        <v>3435</v>
      </c>
      <c r="H736" s="345"/>
      <c r="I736" s="120"/>
    </row>
    <row r="737" spans="2:9" ht="14.5" outlineLevel="1" x14ac:dyDescent="0.35">
      <c r="B737" s="129">
        <v>24</v>
      </c>
      <c r="C737" s="277" t="s">
        <v>890</v>
      </c>
      <c r="D737" s="340" t="s">
        <v>263</v>
      </c>
      <c r="E737" s="340" t="s">
        <v>241</v>
      </c>
      <c r="F737" s="691">
        <v>3005</v>
      </c>
      <c r="G737" s="691">
        <v>1006</v>
      </c>
      <c r="H737" s="556" t="s">
        <v>1241</v>
      </c>
      <c r="I737" s="120"/>
    </row>
    <row r="738" spans="2:9" ht="14.5" outlineLevel="1" x14ac:dyDescent="0.35">
      <c r="B738" s="129">
        <v>25</v>
      </c>
      <c r="C738" s="277" t="s">
        <v>891</v>
      </c>
      <c r="D738" s="340" t="s">
        <v>263</v>
      </c>
      <c r="E738" s="340" t="s">
        <v>241</v>
      </c>
      <c r="F738" s="691">
        <v>135</v>
      </c>
      <c r="G738" s="691">
        <v>78</v>
      </c>
      <c r="H738" s="556" t="s">
        <v>1241</v>
      </c>
      <c r="I738" s="120"/>
    </row>
    <row r="739" spans="2:9" ht="14.5" outlineLevel="1" x14ac:dyDescent="0.35">
      <c r="B739" s="129">
        <v>26</v>
      </c>
      <c r="C739" s="277" t="s">
        <v>892</v>
      </c>
      <c r="D739" s="340" t="s">
        <v>263</v>
      </c>
      <c r="E739" s="340" t="s">
        <v>241</v>
      </c>
      <c r="F739" s="691">
        <v>132</v>
      </c>
      <c r="G739" s="691">
        <v>53</v>
      </c>
      <c r="H739" s="556" t="s">
        <v>1241</v>
      </c>
      <c r="I739" s="120"/>
    </row>
    <row r="740" spans="2:9" ht="14.5" outlineLevel="1" x14ac:dyDescent="0.35">
      <c r="B740" s="129">
        <v>27</v>
      </c>
      <c r="C740" s="277" t="s">
        <v>893</v>
      </c>
      <c r="D740" s="340" t="s">
        <v>263</v>
      </c>
      <c r="E740" s="340" t="s">
        <v>241</v>
      </c>
      <c r="F740" s="691">
        <v>923</v>
      </c>
      <c r="G740" s="691">
        <v>176</v>
      </c>
      <c r="H740" s="556" t="s">
        <v>1241</v>
      </c>
      <c r="I740" s="120"/>
    </row>
    <row r="741" spans="2:9" ht="14.5" outlineLevel="1" x14ac:dyDescent="0.35">
      <c r="B741" s="129">
        <v>28</v>
      </c>
      <c r="C741" s="277" t="s">
        <v>894</v>
      </c>
      <c r="D741" s="340" t="s">
        <v>263</v>
      </c>
      <c r="E741" s="340" t="s">
        <v>241</v>
      </c>
      <c r="F741" s="691">
        <v>37</v>
      </c>
      <c r="G741" s="691">
        <v>10</v>
      </c>
      <c r="H741" s="556" t="s">
        <v>1241</v>
      </c>
      <c r="I741" s="120"/>
    </row>
    <row r="742" spans="2:9" ht="14.5" outlineLevel="1" x14ac:dyDescent="0.35">
      <c r="B742" s="129">
        <v>29</v>
      </c>
      <c r="C742" s="277" t="s">
        <v>895</v>
      </c>
      <c r="D742" s="340" t="s">
        <v>263</v>
      </c>
      <c r="E742" s="340" t="s">
        <v>241</v>
      </c>
      <c r="F742" s="691">
        <v>25</v>
      </c>
      <c r="G742" s="691">
        <v>10</v>
      </c>
      <c r="H742" s="556" t="s">
        <v>1241</v>
      </c>
      <c r="I742" s="120"/>
    </row>
    <row r="743" spans="2:9" ht="14.5" outlineLevel="1" x14ac:dyDescent="0.35">
      <c r="B743" s="129">
        <v>30</v>
      </c>
      <c r="C743" s="277" t="s">
        <v>896</v>
      </c>
      <c r="D743" s="340" t="s">
        <v>263</v>
      </c>
      <c r="E743" s="340" t="s">
        <v>241</v>
      </c>
      <c r="F743" s="691">
        <v>695</v>
      </c>
      <c r="G743" s="691">
        <v>401</v>
      </c>
      <c r="H743" s="556" t="s">
        <v>1241</v>
      </c>
      <c r="I743" s="120"/>
    </row>
    <row r="744" spans="2:9" ht="14.5" outlineLevel="1" x14ac:dyDescent="0.35">
      <c r="B744" s="129">
        <v>31</v>
      </c>
      <c r="C744" s="277" t="s">
        <v>897</v>
      </c>
      <c r="D744" s="340" t="s">
        <v>263</v>
      </c>
      <c r="E744" s="340" t="s">
        <v>241</v>
      </c>
      <c r="F744" s="691">
        <v>95</v>
      </c>
      <c r="G744" s="691">
        <v>24</v>
      </c>
      <c r="H744" s="556" t="s">
        <v>1241</v>
      </c>
      <c r="I744" s="120"/>
    </row>
    <row r="745" spans="2:9" ht="14.5" outlineLevel="1" x14ac:dyDescent="0.35">
      <c r="B745" s="129">
        <v>32</v>
      </c>
      <c r="C745" s="277" t="s">
        <v>898</v>
      </c>
      <c r="D745" s="340" t="s">
        <v>263</v>
      </c>
      <c r="E745" s="340" t="s">
        <v>241</v>
      </c>
      <c r="F745" s="691">
        <v>58</v>
      </c>
      <c r="G745" s="691">
        <v>22</v>
      </c>
      <c r="H745" s="556" t="s">
        <v>1241</v>
      </c>
      <c r="I745" s="120"/>
    </row>
    <row r="746" spans="2:9" ht="14.5" outlineLevel="1" x14ac:dyDescent="0.35">
      <c r="B746" s="129">
        <v>33</v>
      </c>
      <c r="C746" s="277" t="s">
        <v>899</v>
      </c>
      <c r="D746" s="340" t="s">
        <v>240</v>
      </c>
      <c r="E746" s="340" t="s">
        <v>241</v>
      </c>
      <c r="F746" s="691">
        <v>240</v>
      </c>
      <c r="G746" s="691">
        <v>104</v>
      </c>
      <c r="H746" s="556" t="s">
        <v>1241</v>
      </c>
      <c r="I746" s="120"/>
    </row>
    <row r="747" spans="2:9" ht="14.5" outlineLevel="1" x14ac:dyDescent="0.35">
      <c r="B747" s="129">
        <v>34</v>
      </c>
      <c r="C747" s="277" t="s">
        <v>900</v>
      </c>
      <c r="D747" s="340" t="s">
        <v>240</v>
      </c>
      <c r="E747" s="340" t="s">
        <v>241</v>
      </c>
      <c r="F747" s="691">
        <v>15</v>
      </c>
      <c r="G747" s="691">
        <v>4</v>
      </c>
      <c r="H747" s="556" t="s">
        <v>1241</v>
      </c>
      <c r="I747" s="120"/>
    </row>
    <row r="748" spans="2:9" ht="14.5" outlineLevel="1" x14ac:dyDescent="0.35">
      <c r="B748" s="129">
        <v>35</v>
      </c>
      <c r="C748" s="277" t="s">
        <v>901</v>
      </c>
      <c r="D748" s="340" t="s">
        <v>240</v>
      </c>
      <c r="E748" s="340" t="s">
        <v>241</v>
      </c>
      <c r="F748" s="691">
        <v>12</v>
      </c>
      <c r="G748" s="691">
        <v>5</v>
      </c>
      <c r="H748" s="556" t="s">
        <v>1241</v>
      </c>
      <c r="I748" s="120"/>
    </row>
    <row r="749" spans="2:9" ht="14.5" outlineLevel="1" x14ac:dyDescent="0.35">
      <c r="B749" s="129">
        <v>36</v>
      </c>
      <c r="C749" s="277" t="s">
        <v>902</v>
      </c>
      <c r="D749" s="340" t="s">
        <v>240</v>
      </c>
      <c r="E749" s="340" t="s">
        <v>241</v>
      </c>
      <c r="F749" s="691">
        <v>42</v>
      </c>
      <c r="G749" s="691">
        <v>26</v>
      </c>
      <c r="H749" s="556" t="s">
        <v>1241</v>
      </c>
      <c r="I749" s="120"/>
    </row>
    <row r="750" spans="2:9" ht="14.5" outlineLevel="1" x14ac:dyDescent="0.35">
      <c r="B750" s="129">
        <v>37</v>
      </c>
      <c r="C750" s="277" t="s">
        <v>903</v>
      </c>
      <c r="D750" s="340" t="s">
        <v>240</v>
      </c>
      <c r="E750" s="340" t="s">
        <v>241</v>
      </c>
      <c r="F750" s="691">
        <v>5</v>
      </c>
      <c r="G750" s="691">
        <v>2</v>
      </c>
      <c r="H750" s="556" t="s">
        <v>1241</v>
      </c>
      <c r="I750" s="120"/>
    </row>
    <row r="751" spans="2:9" ht="14.5" outlineLevel="1" x14ac:dyDescent="0.35">
      <c r="B751" s="129">
        <v>38</v>
      </c>
      <c r="C751" s="277" t="s">
        <v>904</v>
      </c>
      <c r="D751" s="340" t="s">
        <v>240</v>
      </c>
      <c r="E751" s="340" t="s">
        <v>241</v>
      </c>
      <c r="F751" s="691">
        <v>4</v>
      </c>
      <c r="G751" s="691">
        <v>3</v>
      </c>
      <c r="H751" s="556" t="s">
        <v>1241</v>
      </c>
      <c r="I751" s="120"/>
    </row>
    <row r="752" spans="2:9" ht="14.5" outlineLevel="1" x14ac:dyDescent="0.35">
      <c r="B752" s="129">
        <v>39</v>
      </c>
      <c r="C752" s="277" t="s">
        <v>905</v>
      </c>
      <c r="D752" s="340" t="s">
        <v>240</v>
      </c>
      <c r="E752" s="340" t="s">
        <v>241</v>
      </c>
      <c r="F752" s="691">
        <v>108</v>
      </c>
      <c r="G752" s="691">
        <v>37</v>
      </c>
      <c r="H752" s="556" t="s">
        <v>1241</v>
      </c>
      <c r="I752" s="120"/>
    </row>
    <row r="753" spans="1:21" ht="14.5" outlineLevel="1" x14ac:dyDescent="0.35">
      <c r="B753" s="129">
        <v>40</v>
      </c>
      <c r="C753" s="277" t="s">
        <v>906</v>
      </c>
      <c r="D753" s="340" t="s">
        <v>240</v>
      </c>
      <c r="E753" s="340" t="s">
        <v>241</v>
      </c>
      <c r="F753" s="691">
        <v>9</v>
      </c>
      <c r="G753" s="691">
        <v>1</v>
      </c>
      <c r="H753" s="556" t="s">
        <v>1241</v>
      </c>
      <c r="I753" s="120"/>
    </row>
    <row r="754" spans="1:21" ht="14.5" outlineLevel="1" x14ac:dyDescent="0.35">
      <c r="B754" s="129">
        <v>41</v>
      </c>
      <c r="C754" s="277" t="s">
        <v>907</v>
      </c>
      <c r="D754" s="340" t="s">
        <v>240</v>
      </c>
      <c r="E754" s="340" t="s">
        <v>241</v>
      </c>
      <c r="F754" s="691">
        <v>3</v>
      </c>
      <c r="G754" s="691">
        <v>1</v>
      </c>
      <c r="H754" s="556" t="s">
        <v>1241</v>
      </c>
      <c r="I754" s="120"/>
    </row>
    <row r="755" spans="1:21" ht="14.5" outlineLevel="1" x14ac:dyDescent="0.35">
      <c r="B755" s="129">
        <v>42</v>
      </c>
      <c r="C755" s="277" t="s">
        <v>252</v>
      </c>
      <c r="D755" s="339" t="s">
        <v>374</v>
      </c>
      <c r="E755" s="339" t="s">
        <v>375</v>
      </c>
      <c r="F755" s="690">
        <v>0</v>
      </c>
      <c r="G755" s="690">
        <v>0</v>
      </c>
      <c r="H755" s="345"/>
      <c r="I755" s="120"/>
    </row>
    <row r="756" spans="1:21" x14ac:dyDescent="0.25">
      <c r="C756" s="120"/>
      <c r="I756" s="120"/>
    </row>
    <row r="757" spans="1:21" x14ac:dyDescent="0.25">
      <c r="C757" s="120" t="s">
        <v>365</v>
      </c>
    </row>
    <row r="758" spans="1:21" outlineLevel="1" x14ac:dyDescent="0.25">
      <c r="C758" s="262" t="s">
        <v>290</v>
      </c>
    </row>
    <row r="759" spans="1:21" outlineLevel="1" x14ac:dyDescent="0.25"/>
    <row r="760" spans="1:21" outlineLevel="1" x14ac:dyDescent="0.25"/>
    <row r="761" spans="1:21" outlineLevel="1" x14ac:dyDescent="0.25">
      <c r="A761" s="262">
        <v>1</v>
      </c>
      <c r="B761" s="262">
        <v>2</v>
      </c>
      <c r="C761" s="262">
        <f>B761+1</f>
        <v>3</v>
      </c>
      <c r="D761" s="262">
        <f t="shared" ref="D761:M761" si="31">C761+1</f>
        <v>4</v>
      </c>
      <c r="E761" s="262">
        <f t="shared" si="31"/>
        <v>5</v>
      </c>
      <c r="F761" s="262">
        <f t="shared" si="31"/>
        <v>6</v>
      </c>
      <c r="G761" s="262">
        <f t="shared" si="31"/>
        <v>7</v>
      </c>
      <c r="H761" s="262">
        <f t="shared" si="31"/>
        <v>8</v>
      </c>
      <c r="I761" s="262">
        <f t="shared" si="31"/>
        <v>9</v>
      </c>
      <c r="J761" s="262">
        <f t="shared" si="31"/>
        <v>10</v>
      </c>
      <c r="K761" s="262">
        <f t="shared" si="31"/>
        <v>11</v>
      </c>
      <c r="L761" s="262">
        <f t="shared" si="31"/>
        <v>12</v>
      </c>
      <c r="M761" s="262">
        <f t="shared" si="31"/>
        <v>13</v>
      </c>
    </row>
    <row r="762" spans="1:21" ht="15.5" outlineLevel="1" x14ac:dyDescent="0.25">
      <c r="B762" s="120"/>
      <c r="C762" s="37" t="s">
        <v>977</v>
      </c>
      <c r="D762" s="120"/>
      <c r="E762" s="120"/>
      <c r="F762" s="120"/>
      <c r="G762" s="120"/>
      <c r="H762" s="120"/>
      <c r="I762" s="120"/>
      <c r="J762" s="120"/>
      <c r="K762" s="120"/>
      <c r="L762" s="120"/>
    </row>
    <row r="763" spans="1:21" ht="12" outlineLevel="1" x14ac:dyDescent="0.25">
      <c r="B763" s="120"/>
      <c r="C763" s="126" t="s">
        <v>1242</v>
      </c>
      <c r="D763" s="120"/>
      <c r="E763" s="120"/>
      <c r="F763" s="120"/>
      <c r="G763" s="120"/>
      <c r="H763" s="120"/>
      <c r="I763" s="120"/>
      <c r="J763" s="120"/>
      <c r="K763" s="120"/>
      <c r="L763" s="120"/>
      <c r="M763" s="120"/>
    </row>
    <row r="764" spans="1:21" ht="12" outlineLevel="1" x14ac:dyDescent="0.25">
      <c r="B764" s="120"/>
      <c r="C764" s="450" t="s">
        <v>1234</v>
      </c>
      <c r="D764" s="289"/>
      <c r="E764" s="289"/>
      <c r="F764" s="120"/>
      <c r="G764" s="120"/>
      <c r="H764" s="120"/>
      <c r="I764" s="120"/>
      <c r="J764" s="120"/>
      <c r="K764" s="120"/>
      <c r="L764" s="120"/>
      <c r="M764" s="120"/>
    </row>
    <row r="765" spans="1:21" outlineLevel="1" x14ac:dyDescent="0.25">
      <c r="B765" s="120"/>
      <c r="C765" s="120"/>
      <c r="D765" s="120"/>
      <c r="E765" s="120"/>
      <c r="F765" s="770">
        <v>2021</v>
      </c>
      <c r="G765" s="770"/>
      <c r="H765" s="770"/>
      <c r="I765" s="770"/>
      <c r="J765" s="770">
        <v>2022</v>
      </c>
      <c r="K765" s="770"/>
      <c r="L765" s="770"/>
      <c r="M765" s="770"/>
    </row>
    <row r="766" spans="1:21" ht="57.5" outlineLevel="1" x14ac:dyDescent="0.25">
      <c r="B766" s="120"/>
      <c r="C766" s="431" t="s">
        <v>252</v>
      </c>
      <c r="D766" s="431" t="s">
        <v>253</v>
      </c>
      <c r="E766" s="503" t="s">
        <v>254</v>
      </c>
      <c r="F766" s="557" t="s">
        <v>824</v>
      </c>
      <c r="G766" s="557" t="s">
        <v>825</v>
      </c>
      <c r="H766" s="557" t="s">
        <v>826</v>
      </c>
      <c r="I766" s="557" t="s">
        <v>258</v>
      </c>
      <c r="J766" s="557" t="s">
        <v>824</v>
      </c>
      <c r="K766" s="557" t="s">
        <v>825</v>
      </c>
      <c r="L766" s="557" t="s">
        <v>826</v>
      </c>
      <c r="M766" s="558" t="s">
        <v>258</v>
      </c>
    </row>
    <row r="767" spans="1:21" ht="14.5" outlineLevel="1" x14ac:dyDescent="0.35">
      <c r="A767" s="577" t="str">
        <f>C767&amp;D767</f>
        <v>Infinitum 50Residencial</v>
      </c>
      <c r="B767" s="129">
        <v>1</v>
      </c>
      <c r="C767" s="434" t="s">
        <v>1054</v>
      </c>
      <c r="D767" s="340" t="s">
        <v>240</v>
      </c>
      <c r="E767" s="340" t="s">
        <v>241</v>
      </c>
      <c r="F767" s="693">
        <v>321663</v>
      </c>
      <c r="G767" s="693">
        <v>417766</v>
      </c>
      <c r="H767" s="693">
        <v>118368</v>
      </c>
      <c r="I767" s="693">
        <v>0</v>
      </c>
      <c r="J767" s="693">
        <v>332296</v>
      </c>
      <c r="K767" s="693">
        <v>589816</v>
      </c>
      <c r="L767" s="693">
        <v>99468</v>
      </c>
      <c r="M767" s="559"/>
      <c r="N767" s="284"/>
      <c r="O767" s="284"/>
      <c r="P767" s="284"/>
      <c r="Q767" s="284"/>
      <c r="R767" s="284"/>
      <c r="S767" s="284"/>
      <c r="T767" s="284"/>
      <c r="U767" s="284"/>
    </row>
    <row r="768" spans="1:21" ht="14.5" outlineLevel="1" x14ac:dyDescent="0.35">
      <c r="A768" s="577" t="str">
        <f t="shared" ref="A768:A831" si="32">C768&amp;D768</f>
        <v>Infinitum 500Residencial</v>
      </c>
      <c r="B768" s="129">
        <v>2</v>
      </c>
      <c r="C768" s="434" t="s">
        <v>1055</v>
      </c>
      <c r="D768" s="340" t="s">
        <v>240</v>
      </c>
      <c r="E768" s="340" t="s">
        <v>241</v>
      </c>
      <c r="F768" s="693">
        <v>16</v>
      </c>
      <c r="G768" s="693">
        <v>8171</v>
      </c>
      <c r="H768" s="693">
        <v>7</v>
      </c>
      <c r="I768" s="693">
        <v>0</v>
      </c>
      <c r="J768" s="693">
        <v>9</v>
      </c>
      <c r="K768" s="693">
        <v>10666</v>
      </c>
      <c r="L768" s="693">
        <v>3</v>
      </c>
      <c r="M768" s="559"/>
      <c r="N768" s="284"/>
      <c r="O768" s="284"/>
      <c r="P768" s="284"/>
      <c r="Q768" s="284"/>
      <c r="R768" s="284"/>
      <c r="S768" s="284"/>
      <c r="T768" s="284"/>
      <c r="U768" s="284"/>
    </row>
    <row r="769" spans="1:21" ht="14.5" outlineLevel="1" x14ac:dyDescent="0.35">
      <c r="A769" s="577" t="str">
        <f t="shared" si="32"/>
        <v>Infinitum 60Residencial</v>
      </c>
      <c r="B769" s="129">
        <v>3</v>
      </c>
      <c r="C769" s="434" t="s">
        <v>1056</v>
      </c>
      <c r="D769" s="340" t="s">
        <v>240</v>
      </c>
      <c r="E769" s="340" t="s">
        <v>241</v>
      </c>
      <c r="F769" s="693">
        <v>10955</v>
      </c>
      <c r="G769" s="693">
        <v>177202</v>
      </c>
      <c r="H769" s="693">
        <v>45083</v>
      </c>
      <c r="I769" s="693">
        <v>0</v>
      </c>
      <c r="J769" s="693">
        <v>6234</v>
      </c>
      <c r="K769" s="693">
        <v>145283</v>
      </c>
      <c r="L769" s="693">
        <v>24635</v>
      </c>
      <c r="M769" s="559"/>
      <c r="N769" s="284"/>
      <c r="O769" s="284"/>
      <c r="P769" s="284"/>
      <c r="Q769" s="284"/>
      <c r="R769" s="284"/>
      <c r="S769" s="284"/>
      <c r="T769" s="284"/>
      <c r="U769" s="284"/>
    </row>
    <row r="770" spans="1:21" ht="14.5" outlineLevel="1" x14ac:dyDescent="0.35">
      <c r="A770" s="577" t="str">
        <f t="shared" si="32"/>
        <v>Infinitum 100Residencial</v>
      </c>
      <c r="B770" s="129">
        <v>4</v>
      </c>
      <c r="C770" s="434" t="s">
        <v>1057</v>
      </c>
      <c r="D770" s="340" t="s">
        <v>240</v>
      </c>
      <c r="E770" s="340" t="s">
        <v>241</v>
      </c>
      <c r="F770" s="693">
        <v>0</v>
      </c>
      <c r="G770" s="693">
        <v>0</v>
      </c>
      <c r="H770" s="693">
        <v>0</v>
      </c>
      <c r="I770" s="693">
        <v>0</v>
      </c>
      <c r="J770" s="693">
        <v>6</v>
      </c>
      <c r="K770" s="693">
        <v>5971</v>
      </c>
      <c r="L770" s="693">
        <v>1</v>
      </c>
      <c r="M770" s="559"/>
      <c r="N770" s="284"/>
      <c r="O770" s="284"/>
      <c r="P770" s="284"/>
      <c r="Q770" s="284"/>
      <c r="R770" s="284"/>
      <c r="S770" s="284"/>
      <c r="T770" s="284"/>
      <c r="U770" s="284"/>
    </row>
    <row r="771" spans="1:21" ht="14.5" outlineLevel="1" x14ac:dyDescent="0.35">
      <c r="A771" s="577" t="str">
        <f t="shared" si="32"/>
        <v>Infinitum 200Residencial</v>
      </c>
      <c r="B771" s="129">
        <v>5</v>
      </c>
      <c r="C771" s="434" t="s">
        <v>1058</v>
      </c>
      <c r="D771" s="340" t="s">
        <v>240</v>
      </c>
      <c r="E771" s="340" t="s">
        <v>241</v>
      </c>
      <c r="F771" s="693">
        <v>260</v>
      </c>
      <c r="G771" s="693">
        <v>80198</v>
      </c>
      <c r="H771" s="693">
        <v>2100</v>
      </c>
      <c r="I771" s="693">
        <v>0</v>
      </c>
      <c r="J771" s="693">
        <v>162</v>
      </c>
      <c r="K771" s="693">
        <v>90779</v>
      </c>
      <c r="L771" s="693">
        <v>1560</v>
      </c>
      <c r="M771" s="559"/>
      <c r="N771" s="284"/>
      <c r="O771" s="284"/>
      <c r="P771" s="284"/>
      <c r="Q771" s="284"/>
      <c r="R771" s="284"/>
      <c r="S771" s="284"/>
      <c r="T771" s="284"/>
      <c r="U771" s="284"/>
    </row>
    <row r="772" spans="1:21" ht="14.5" outlineLevel="1" x14ac:dyDescent="0.35">
      <c r="A772" s="577" t="str">
        <f t="shared" si="32"/>
        <v>Infinitum 279Residencial</v>
      </c>
      <c r="B772" s="129">
        <v>6</v>
      </c>
      <c r="C772" s="434" t="s">
        <v>948</v>
      </c>
      <c r="D772" s="340" t="s">
        <v>240</v>
      </c>
      <c r="E772" s="340" t="s">
        <v>241</v>
      </c>
      <c r="F772" s="693">
        <v>7438</v>
      </c>
      <c r="G772" s="693">
        <v>9654</v>
      </c>
      <c r="H772" s="693">
        <v>2810</v>
      </c>
      <c r="I772" s="693">
        <v>0</v>
      </c>
      <c r="J772" s="693">
        <v>9913</v>
      </c>
      <c r="K772" s="693">
        <v>14980</v>
      </c>
      <c r="L772" s="693">
        <v>3504</v>
      </c>
      <c r="M772" s="559"/>
      <c r="N772" s="284"/>
      <c r="O772" s="284"/>
      <c r="P772" s="284"/>
      <c r="Q772" s="284"/>
      <c r="R772" s="284"/>
      <c r="S772" s="284"/>
      <c r="T772" s="284"/>
      <c r="U772" s="284"/>
    </row>
    <row r="773" spans="1:21" ht="14.5" outlineLevel="1" x14ac:dyDescent="0.35">
      <c r="A773" s="577" t="str">
        <f t="shared" si="32"/>
        <v>Infinitum 299Residencial</v>
      </c>
      <c r="B773" s="129">
        <v>7</v>
      </c>
      <c r="C773" s="434" t="s">
        <v>949</v>
      </c>
      <c r="D773" s="340" t="s">
        <v>240</v>
      </c>
      <c r="E773" s="340" t="s">
        <v>241</v>
      </c>
      <c r="F773" s="693">
        <v>41</v>
      </c>
      <c r="G773" s="693">
        <v>107</v>
      </c>
      <c r="H773" s="693">
        <v>31</v>
      </c>
      <c r="I773" s="693">
        <v>0</v>
      </c>
      <c r="J773" s="693">
        <v>43</v>
      </c>
      <c r="K773" s="693">
        <v>161</v>
      </c>
      <c r="L773" s="693">
        <v>26</v>
      </c>
      <c r="M773" s="559"/>
      <c r="N773" s="284"/>
      <c r="O773" s="284"/>
      <c r="P773" s="284"/>
      <c r="Q773" s="284"/>
      <c r="R773" s="284"/>
      <c r="S773" s="284"/>
      <c r="T773" s="284"/>
      <c r="U773" s="284"/>
    </row>
    <row r="774" spans="1:21" ht="14.5" outlineLevel="1" x14ac:dyDescent="0.35">
      <c r="A774" s="577" t="str">
        <f t="shared" si="32"/>
        <v>Infinitum 299No Residencial</v>
      </c>
      <c r="B774" s="129">
        <v>8</v>
      </c>
      <c r="C774" s="434" t="s">
        <v>949</v>
      </c>
      <c r="D774" s="340" t="s">
        <v>242</v>
      </c>
      <c r="E774" s="340" t="s">
        <v>241</v>
      </c>
      <c r="F774" s="693">
        <v>587</v>
      </c>
      <c r="G774" s="693">
        <v>712</v>
      </c>
      <c r="H774" s="693">
        <v>377</v>
      </c>
      <c r="I774" s="693">
        <v>0</v>
      </c>
      <c r="J774" s="693">
        <v>371</v>
      </c>
      <c r="K774" s="693">
        <v>623</v>
      </c>
      <c r="L774" s="693">
        <v>223</v>
      </c>
      <c r="M774" s="559"/>
      <c r="N774" s="284"/>
      <c r="O774" s="284"/>
      <c r="P774" s="284"/>
      <c r="Q774" s="284"/>
      <c r="R774" s="284"/>
      <c r="S774" s="284"/>
      <c r="T774" s="284"/>
      <c r="U774" s="284"/>
    </row>
    <row r="775" spans="1:21" ht="14.5" outlineLevel="1" x14ac:dyDescent="0.35">
      <c r="A775" s="577" t="str">
        <f t="shared" si="32"/>
        <v>Infinitum Negocio 20 MbNo Residencial</v>
      </c>
      <c r="B775" s="129">
        <v>9</v>
      </c>
      <c r="C775" s="434" t="s">
        <v>200</v>
      </c>
      <c r="D775" s="340" t="s">
        <v>242</v>
      </c>
      <c r="E775" s="340" t="s">
        <v>241</v>
      </c>
      <c r="F775" s="693">
        <v>7919</v>
      </c>
      <c r="G775" s="693">
        <v>9268</v>
      </c>
      <c r="H775" s="693">
        <v>2293</v>
      </c>
      <c r="I775" s="693">
        <v>0</v>
      </c>
      <c r="J775" s="693">
        <v>13185</v>
      </c>
      <c r="K775" s="693">
        <v>28051</v>
      </c>
      <c r="L775" s="693">
        <v>3579</v>
      </c>
      <c r="M775" s="559"/>
      <c r="N775" s="284"/>
      <c r="O775" s="284"/>
      <c r="P775" s="284"/>
      <c r="Q775" s="284"/>
      <c r="R775" s="284"/>
      <c r="S775" s="284"/>
      <c r="T775" s="284"/>
      <c r="U775" s="284"/>
    </row>
    <row r="776" spans="1:21" ht="14.5" outlineLevel="1" x14ac:dyDescent="0.35">
      <c r="A776" s="577" t="str">
        <f t="shared" si="32"/>
        <v>Infinitum Negocio 60No Residencial</v>
      </c>
      <c r="B776" s="129">
        <v>10</v>
      </c>
      <c r="C776" s="434" t="s">
        <v>1059</v>
      </c>
      <c r="D776" s="340" t="s">
        <v>242</v>
      </c>
      <c r="E776" s="340" t="s">
        <v>241</v>
      </c>
      <c r="F776" s="693">
        <v>3262</v>
      </c>
      <c r="G776" s="693">
        <v>10570</v>
      </c>
      <c r="H776" s="693">
        <v>1685</v>
      </c>
      <c r="I776" s="693">
        <v>0</v>
      </c>
      <c r="J776" s="693">
        <v>2840</v>
      </c>
      <c r="K776" s="693">
        <v>10030</v>
      </c>
      <c r="L776" s="693">
        <v>1588</v>
      </c>
      <c r="M776" s="559"/>
      <c r="N776" s="284"/>
      <c r="O776" s="284"/>
      <c r="P776" s="284"/>
      <c r="Q776" s="284"/>
      <c r="R776" s="284"/>
      <c r="S776" s="284"/>
      <c r="T776" s="284"/>
      <c r="U776" s="284"/>
    </row>
    <row r="777" spans="1:21" ht="14.5" outlineLevel="1" x14ac:dyDescent="0.35">
      <c r="A777" s="577" t="str">
        <f t="shared" si="32"/>
        <v>Infinitum Negocio 200No Residencial</v>
      </c>
      <c r="B777" s="129">
        <v>11</v>
      </c>
      <c r="C777" s="434" t="s">
        <v>1060</v>
      </c>
      <c r="D777" s="340" t="s">
        <v>242</v>
      </c>
      <c r="E777" s="340" t="s">
        <v>241</v>
      </c>
      <c r="F777" s="693">
        <v>268</v>
      </c>
      <c r="G777" s="693">
        <v>5378</v>
      </c>
      <c r="H777" s="693">
        <v>222</v>
      </c>
      <c r="I777" s="693">
        <v>0</v>
      </c>
      <c r="J777" s="693">
        <v>185</v>
      </c>
      <c r="K777" s="693">
        <v>9211</v>
      </c>
      <c r="L777" s="693">
        <v>212</v>
      </c>
      <c r="M777" s="559"/>
      <c r="N777" s="284"/>
      <c r="O777" s="284"/>
      <c r="P777" s="284"/>
      <c r="Q777" s="284"/>
      <c r="R777" s="284"/>
      <c r="S777" s="284"/>
      <c r="T777" s="284"/>
      <c r="U777" s="284"/>
    </row>
    <row r="778" spans="1:21" ht="14.5" outlineLevel="1" x14ac:dyDescent="0.35">
      <c r="A778" s="577" t="str">
        <f t="shared" si="32"/>
        <v>Infinitum Negocio 500No Residencial</v>
      </c>
      <c r="B778" s="129">
        <v>12</v>
      </c>
      <c r="C778" s="434" t="s">
        <v>1061</v>
      </c>
      <c r="D778" s="340" t="s">
        <v>242</v>
      </c>
      <c r="E778" s="340" t="s">
        <v>241</v>
      </c>
      <c r="F778" s="693">
        <v>27</v>
      </c>
      <c r="G778" s="693">
        <v>3246</v>
      </c>
      <c r="H778" s="693">
        <v>9</v>
      </c>
      <c r="I778" s="693">
        <v>0</v>
      </c>
      <c r="J778" s="693">
        <v>15</v>
      </c>
      <c r="K778" s="693">
        <v>4059</v>
      </c>
      <c r="L778" s="693">
        <v>12</v>
      </c>
      <c r="M778" s="559"/>
      <c r="N778" s="284"/>
      <c r="O778" s="284"/>
      <c r="P778" s="284"/>
      <c r="Q778" s="284"/>
      <c r="R778" s="284"/>
      <c r="S778" s="284"/>
      <c r="T778" s="284"/>
      <c r="U778" s="284"/>
    </row>
    <row r="779" spans="1:21" ht="14.5" outlineLevel="1" x14ac:dyDescent="0.35">
      <c r="A779" s="577" t="str">
        <f t="shared" si="32"/>
        <v>Paquete 249Residencial</v>
      </c>
      <c r="B779" s="129">
        <v>13</v>
      </c>
      <c r="C779" s="434" t="s">
        <v>852</v>
      </c>
      <c r="D779" s="340" t="s">
        <v>240</v>
      </c>
      <c r="E779" s="340" t="s">
        <v>243</v>
      </c>
      <c r="F779" s="693">
        <v>97229</v>
      </c>
      <c r="G779" s="693">
        <v>52397</v>
      </c>
      <c r="H779" s="693">
        <v>23716</v>
      </c>
      <c r="I779" s="693">
        <v>0</v>
      </c>
      <c r="J779" s="693">
        <v>45888</v>
      </c>
      <c r="K779" s="693">
        <v>66398</v>
      </c>
      <c r="L779" s="693">
        <v>14186</v>
      </c>
      <c r="M779" s="559"/>
      <c r="N779" s="284"/>
      <c r="O779" s="284"/>
      <c r="P779" s="284"/>
      <c r="Q779" s="284"/>
      <c r="R779" s="284"/>
      <c r="S779" s="284"/>
      <c r="T779" s="284"/>
      <c r="U779" s="284"/>
    </row>
    <row r="780" spans="1:21" ht="14.5" outlineLevel="1" x14ac:dyDescent="0.35">
      <c r="A780" s="577" t="str">
        <f t="shared" si="32"/>
        <v>Paquete 289Residencial</v>
      </c>
      <c r="B780" s="129">
        <v>14</v>
      </c>
      <c r="C780" s="434" t="s">
        <v>204</v>
      </c>
      <c r="D780" s="340" t="s">
        <v>240</v>
      </c>
      <c r="E780" s="340" t="s">
        <v>243</v>
      </c>
      <c r="F780" s="693">
        <v>37897</v>
      </c>
      <c r="G780" s="693">
        <v>29895</v>
      </c>
      <c r="H780" s="693">
        <v>17672</v>
      </c>
      <c r="I780" s="693">
        <v>0</v>
      </c>
      <c r="J780" s="693">
        <v>40442</v>
      </c>
      <c r="K780" s="693">
        <v>38479</v>
      </c>
      <c r="L780" s="693">
        <v>12245</v>
      </c>
      <c r="M780" s="559"/>
      <c r="N780" s="284"/>
      <c r="O780" s="284"/>
      <c r="P780" s="284"/>
      <c r="Q780" s="284"/>
      <c r="R780" s="284"/>
      <c r="S780" s="284"/>
      <c r="T780" s="284"/>
      <c r="U780" s="284"/>
    </row>
    <row r="781" spans="1:21" ht="14.5" outlineLevel="1" x14ac:dyDescent="0.35">
      <c r="A781" s="577" t="str">
        <f t="shared" si="32"/>
        <v>Paquete 435Residencial</v>
      </c>
      <c r="B781" s="129">
        <v>15</v>
      </c>
      <c r="C781" s="434" t="s">
        <v>797</v>
      </c>
      <c r="D781" s="340" t="s">
        <v>240</v>
      </c>
      <c r="E781" s="340" t="s">
        <v>243</v>
      </c>
      <c r="F781" s="693">
        <v>39158</v>
      </c>
      <c r="G781" s="693">
        <v>157634</v>
      </c>
      <c r="H781" s="693">
        <v>40662</v>
      </c>
      <c r="I781" s="693">
        <v>0</v>
      </c>
      <c r="J781" s="693">
        <v>15940</v>
      </c>
      <c r="K781" s="693">
        <v>252839</v>
      </c>
      <c r="L781" s="693">
        <v>24531</v>
      </c>
      <c r="M781" s="559"/>
      <c r="N781" s="284"/>
      <c r="O781" s="284"/>
      <c r="P781" s="284"/>
      <c r="Q781" s="284"/>
      <c r="R781" s="284"/>
      <c r="S781" s="284"/>
      <c r="T781" s="284"/>
      <c r="U781" s="284"/>
    </row>
    <row r="782" spans="1:21" ht="14.5" outlineLevel="1" x14ac:dyDescent="0.35">
      <c r="A782" s="577" t="str">
        <f t="shared" si="32"/>
        <v>Paquete 499Residencial</v>
      </c>
      <c r="B782" s="129">
        <v>16</v>
      </c>
      <c r="C782" s="434" t="s">
        <v>798</v>
      </c>
      <c r="D782" s="340" t="s">
        <v>240</v>
      </c>
      <c r="E782" s="340" t="s">
        <v>243</v>
      </c>
      <c r="F782" s="693">
        <v>12687</v>
      </c>
      <c r="G782" s="693">
        <v>120337</v>
      </c>
      <c r="H782" s="693">
        <v>24185</v>
      </c>
      <c r="I782" s="693">
        <v>0</v>
      </c>
      <c r="J782" s="693">
        <v>8684</v>
      </c>
      <c r="K782" s="693">
        <v>189161</v>
      </c>
      <c r="L782" s="693">
        <v>14407</v>
      </c>
      <c r="M782" s="559"/>
      <c r="N782" s="284"/>
      <c r="O782" s="284"/>
      <c r="P782" s="284"/>
      <c r="Q782" s="284"/>
      <c r="R782" s="284"/>
      <c r="S782" s="284"/>
      <c r="T782" s="284"/>
      <c r="U782" s="284"/>
    </row>
    <row r="783" spans="1:21" ht="14.5" outlineLevel="1" x14ac:dyDescent="0.35">
      <c r="A783" s="577" t="str">
        <f t="shared" si="32"/>
        <v>Paquete 599Residencial</v>
      </c>
      <c r="B783" s="129">
        <v>17</v>
      </c>
      <c r="C783" s="434" t="s">
        <v>205</v>
      </c>
      <c r="D783" s="340" t="s">
        <v>240</v>
      </c>
      <c r="E783" s="340" t="s">
        <v>243</v>
      </c>
      <c r="F783" s="693">
        <v>80085</v>
      </c>
      <c r="G783" s="693">
        <v>388384</v>
      </c>
      <c r="H783" s="693">
        <v>45278</v>
      </c>
      <c r="I783" s="693">
        <v>0</v>
      </c>
      <c r="J783" s="693">
        <v>62425</v>
      </c>
      <c r="K783" s="693">
        <v>403104</v>
      </c>
      <c r="L783" s="693">
        <v>52383</v>
      </c>
      <c r="M783" s="559"/>
      <c r="N783" s="284"/>
      <c r="O783" s="284"/>
      <c r="P783" s="284"/>
      <c r="Q783" s="284"/>
      <c r="R783" s="284"/>
      <c r="S783" s="284"/>
      <c r="T783" s="284"/>
      <c r="U783" s="284"/>
    </row>
    <row r="784" spans="1:21" ht="14.5" outlineLevel="1" x14ac:dyDescent="0.35">
      <c r="A784" s="577" t="str">
        <f t="shared" si="32"/>
        <v>Paquete 389Residencial</v>
      </c>
      <c r="B784" s="129">
        <v>18</v>
      </c>
      <c r="C784" s="434" t="s">
        <v>708</v>
      </c>
      <c r="D784" s="340" t="s">
        <v>240</v>
      </c>
      <c r="E784" s="340" t="s">
        <v>243</v>
      </c>
      <c r="F784" s="693">
        <v>2426416</v>
      </c>
      <c r="G784" s="693">
        <v>1876417</v>
      </c>
      <c r="H784" s="693">
        <v>852170</v>
      </c>
      <c r="I784" s="693">
        <v>0</v>
      </c>
      <c r="J784" s="693">
        <v>1663243</v>
      </c>
      <c r="K784" s="693">
        <v>1770177</v>
      </c>
      <c r="L784" s="693">
        <v>523079</v>
      </c>
      <c r="M784" s="559"/>
      <c r="N784" s="284"/>
      <c r="O784" s="284"/>
      <c r="P784" s="284"/>
      <c r="Q784" s="284"/>
      <c r="R784" s="284"/>
      <c r="S784" s="284"/>
      <c r="T784" s="284"/>
      <c r="U784" s="284"/>
    </row>
    <row r="785" spans="1:21" ht="14.5" outlineLevel="1" x14ac:dyDescent="0.35">
      <c r="A785" s="577" t="str">
        <f t="shared" si="32"/>
        <v>Paquete Conectes NegocioNo Residencial</v>
      </c>
      <c r="B785" s="129">
        <v>19</v>
      </c>
      <c r="C785" s="434" t="s">
        <v>206</v>
      </c>
      <c r="D785" s="340" t="s">
        <v>242</v>
      </c>
      <c r="E785" s="340" t="s">
        <v>243</v>
      </c>
      <c r="F785" s="693">
        <v>221495</v>
      </c>
      <c r="G785" s="693">
        <v>247720</v>
      </c>
      <c r="H785" s="693">
        <v>77572</v>
      </c>
      <c r="I785" s="693">
        <v>0</v>
      </c>
      <c r="J785" s="693">
        <v>224196</v>
      </c>
      <c r="K785" s="693">
        <v>368154</v>
      </c>
      <c r="L785" s="693">
        <v>83957</v>
      </c>
      <c r="M785" s="559">
        <v>0</v>
      </c>
      <c r="N785" s="284"/>
      <c r="O785" s="284"/>
      <c r="P785" s="284"/>
      <c r="Q785" s="284"/>
      <c r="R785" s="284"/>
      <c r="S785" s="284"/>
      <c r="T785" s="284"/>
      <c r="U785" s="284"/>
    </row>
    <row r="786" spans="1:21" ht="14.5" outlineLevel="1" x14ac:dyDescent="0.35">
      <c r="A786" s="577" t="str">
        <f t="shared" si="32"/>
        <v>Paquete 1499Residencial</v>
      </c>
      <c r="B786" s="129">
        <v>20</v>
      </c>
      <c r="C786" s="434" t="s">
        <v>799</v>
      </c>
      <c r="D786" s="340" t="s">
        <v>240</v>
      </c>
      <c r="E786" s="340" t="s">
        <v>243</v>
      </c>
      <c r="F786" s="693">
        <v>12</v>
      </c>
      <c r="G786" s="693">
        <v>14109</v>
      </c>
      <c r="H786" s="693">
        <v>5</v>
      </c>
      <c r="I786" s="693">
        <v>0</v>
      </c>
      <c r="J786" s="693">
        <v>2</v>
      </c>
      <c r="K786" s="693">
        <v>15294</v>
      </c>
      <c r="L786" s="693">
        <v>5</v>
      </c>
      <c r="M786" s="559"/>
      <c r="N786" s="284"/>
      <c r="O786" s="284"/>
      <c r="P786" s="284"/>
      <c r="Q786" s="284"/>
      <c r="R786" s="284"/>
      <c r="S786" s="284"/>
      <c r="T786" s="284"/>
      <c r="U786" s="284"/>
    </row>
    <row r="787" spans="1:21" ht="14.5" outlineLevel="1" x14ac:dyDescent="0.35">
      <c r="A787" s="577" t="str">
        <f t="shared" si="32"/>
        <v>Paquete 333Residencial</v>
      </c>
      <c r="B787" s="129">
        <v>21</v>
      </c>
      <c r="C787" s="434" t="s">
        <v>853</v>
      </c>
      <c r="D787" s="340" t="s">
        <v>240</v>
      </c>
      <c r="E787" s="340" t="s">
        <v>243</v>
      </c>
      <c r="F787" s="693">
        <v>38818</v>
      </c>
      <c r="G787" s="693">
        <v>30267</v>
      </c>
      <c r="H787" s="693">
        <v>16460</v>
      </c>
      <c r="I787" s="693">
        <v>0</v>
      </c>
      <c r="J787" s="693">
        <v>37510</v>
      </c>
      <c r="K787" s="693">
        <v>46179</v>
      </c>
      <c r="L787" s="693">
        <v>15511</v>
      </c>
      <c r="M787" s="559"/>
      <c r="N787" s="284"/>
      <c r="O787" s="284"/>
      <c r="P787" s="284"/>
      <c r="Q787" s="284"/>
      <c r="R787" s="284"/>
      <c r="S787" s="284"/>
      <c r="T787" s="284"/>
      <c r="U787" s="284"/>
    </row>
    <row r="788" spans="1:21" ht="14.5" outlineLevel="1" x14ac:dyDescent="0.35">
      <c r="A788" s="577" t="str">
        <f t="shared" si="32"/>
        <v>Paquete Mi NegocioNo Residencial</v>
      </c>
      <c r="B788" s="129">
        <v>22</v>
      </c>
      <c r="C788" s="434" t="s">
        <v>207</v>
      </c>
      <c r="D788" s="340" t="s">
        <v>242</v>
      </c>
      <c r="E788" s="340" t="s">
        <v>243</v>
      </c>
      <c r="F788" s="693">
        <v>133364</v>
      </c>
      <c r="G788" s="693">
        <v>159084</v>
      </c>
      <c r="H788" s="693">
        <v>43211</v>
      </c>
      <c r="I788" s="693">
        <v>0</v>
      </c>
      <c r="J788" s="693">
        <v>92567</v>
      </c>
      <c r="K788" s="693">
        <v>264712</v>
      </c>
      <c r="L788" s="693">
        <v>61542</v>
      </c>
      <c r="M788" s="559">
        <v>0</v>
      </c>
      <c r="N788" s="284"/>
      <c r="O788" s="284"/>
      <c r="P788" s="284"/>
      <c r="Q788" s="284"/>
      <c r="R788" s="284"/>
      <c r="S788" s="284"/>
      <c r="T788" s="284"/>
      <c r="U788" s="284"/>
    </row>
    <row r="789" spans="1:21" ht="14.5" outlineLevel="1" x14ac:dyDescent="0.35">
      <c r="A789" s="577" t="str">
        <f t="shared" si="32"/>
        <v>Paquete SuperNegocioNo Residencial</v>
      </c>
      <c r="B789" s="129">
        <v>23</v>
      </c>
      <c r="C789" s="434" t="s">
        <v>367</v>
      </c>
      <c r="D789" s="340" t="s">
        <v>242</v>
      </c>
      <c r="E789" s="340" t="s">
        <v>243</v>
      </c>
      <c r="F789" s="693">
        <v>57593</v>
      </c>
      <c r="G789" s="693">
        <v>120245</v>
      </c>
      <c r="H789" s="693">
        <v>32058</v>
      </c>
      <c r="I789" s="693">
        <v>0</v>
      </c>
      <c r="J789" s="693">
        <v>36872</v>
      </c>
      <c r="K789" s="693">
        <v>125173</v>
      </c>
      <c r="L789" s="693">
        <v>19451</v>
      </c>
      <c r="M789" s="559">
        <v>0</v>
      </c>
      <c r="N789" s="284"/>
      <c r="O789" s="284"/>
      <c r="P789" s="284"/>
      <c r="Q789" s="284"/>
      <c r="R789" s="284"/>
      <c r="S789" s="284"/>
      <c r="T789" s="284"/>
      <c r="U789" s="284"/>
    </row>
    <row r="790" spans="1:21" ht="14.5" outlineLevel="1" x14ac:dyDescent="0.35">
      <c r="A790" s="577" t="str">
        <f t="shared" si="32"/>
        <v>Paquete Infinitum 500Residencial</v>
      </c>
      <c r="B790" s="129">
        <v>24</v>
      </c>
      <c r="C790" s="434" t="s">
        <v>1067</v>
      </c>
      <c r="D790" s="340" t="s">
        <v>240</v>
      </c>
      <c r="E790" s="340" t="s">
        <v>243</v>
      </c>
      <c r="F790" s="693">
        <v>4305</v>
      </c>
      <c r="G790" s="693">
        <v>42217</v>
      </c>
      <c r="H790" s="693">
        <v>2345</v>
      </c>
      <c r="I790" s="693">
        <v>0</v>
      </c>
      <c r="J790" s="693">
        <v>3111</v>
      </c>
      <c r="K790" s="693">
        <v>56216</v>
      </c>
      <c r="L790" s="693">
        <v>1425</v>
      </c>
      <c r="M790" s="559"/>
      <c r="N790" s="284"/>
      <c r="O790" s="284"/>
      <c r="P790" s="284"/>
      <c r="Q790" s="284"/>
      <c r="R790" s="284"/>
      <c r="S790" s="284"/>
      <c r="T790" s="284"/>
      <c r="U790" s="284"/>
    </row>
    <row r="791" spans="1:21" ht="14.5" outlineLevel="1" x14ac:dyDescent="0.35">
      <c r="A791" s="577" t="str">
        <f t="shared" si="32"/>
        <v>Paquete Telmex Negocio Sin Límites 1No Residencial</v>
      </c>
      <c r="B791" s="129">
        <v>25</v>
      </c>
      <c r="C791" s="434" t="s">
        <v>800</v>
      </c>
      <c r="D791" s="340" t="s">
        <v>242</v>
      </c>
      <c r="E791" s="340" t="s">
        <v>243</v>
      </c>
      <c r="F791" s="693">
        <v>10771</v>
      </c>
      <c r="G791" s="693">
        <v>46221</v>
      </c>
      <c r="H791" s="693">
        <v>5805</v>
      </c>
      <c r="I791" s="693">
        <v>0</v>
      </c>
      <c r="J791" s="693">
        <v>9845</v>
      </c>
      <c r="K791" s="693">
        <v>45486</v>
      </c>
      <c r="L791" s="693">
        <v>4150</v>
      </c>
      <c r="M791" s="559"/>
      <c r="N791" s="284"/>
      <c r="O791" s="284"/>
      <c r="P791" s="284"/>
      <c r="Q791" s="284"/>
      <c r="R791" s="284"/>
      <c r="S791" s="284"/>
      <c r="T791" s="284"/>
      <c r="U791" s="284"/>
    </row>
    <row r="792" spans="1:21" ht="14.5" outlineLevel="1" x14ac:dyDescent="0.35">
      <c r="A792" s="577" t="str">
        <f t="shared" si="32"/>
        <v>Paquete Telmex Negocio Sin Límites 2No Residencial</v>
      </c>
      <c r="B792" s="129">
        <v>26</v>
      </c>
      <c r="C792" s="434" t="s">
        <v>801</v>
      </c>
      <c r="D792" s="340" t="s">
        <v>242</v>
      </c>
      <c r="E792" s="340" t="s">
        <v>243</v>
      </c>
      <c r="F792" s="693">
        <v>3389</v>
      </c>
      <c r="G792" s="693">
        <v>22885</v>
      </c>
      <c r="H792" s="693">
        <v>2287</v>
      </c>
      <c r="I792" s="693">
        <v>0</v>
      </c>
      <c r="J792" s="693">
        <v>2748</v>
      </c>
      <c r="K792" s="693">
        <v>19368</v>
      </c>
      <c r="L792" s="693">
        <v>1504</v>
      </c>
      <c r="M792" s="559"/>
      <c r="N792" s="284"/>
      <c r="O792" s="284"/>
      <c r="P792" s="284"/>
      <c r="Q792" s="284"/>
      <c r="R792" s="284"/>
      <c r="S792" s="284"/>
      <c r="T792" s="284"/>
      <c r="U792" s="284"/>
    </row>
    <row r="793" spans="1:21" ht="14.5" outlineLevel="1" x14ac:dyDescent="0.35">
      <c r="A793" s="577" t="str">
        <f t="shared" si="32"/>
        <v>Paquete Telmex Negocio Sin Límites 3No Residencial</v>
      </c>
      <c r="B793" s="129">
        <v>27</v>
      </c>
      <c r="C793" s="434" t="s">
        <v>830</v>
      </c>
      <c r="D793" s="340" t="s">
        <v>242</v>
      </c>
      <c r="E793" s="340" t="s">
        <v>243</v>
      </c>
      <c r="F793" s="693">
        <v>2208</v>
      </c>
      <c r="G793" s="693">
        <v>13033</v>
      </c>
      <c r="H793" s="693">
        <v>984</v>
      </c>
      <c r="I793" s="693">
        <v>0</v>
      </c>
      <c r="J793" s="693">
        <v>2650</v>
      </c>
      <c r="K793" s="693">
        <v>14654</v>
      </c>
      <c r="L793" s="693">
        <v>1226</v>
      </c>
      <c r="M793" s="559"/>
      <c r="N793" s="284"/>
      <c r="O793" s="284"/>
      <c r="P793" s="284"/>
      <c r="Q793" s="284"/>
      <c r="R793" s="284"/>
      <c r="S793" s="284"/>
      <c r="T793" s="284"/>
      <c r="U793" s="284"/>
    </row>
    <row r="794" spans="1:21" ht="14.5" outlineLevel="1" x14ac:dyDescent="0.35">
      <c r="A794" s="577" t="str">
        <f t="shared" si="32"/>
        <v>Infinitum NegocioNo Residencial</v>
      </c>
      <c r="B794" s="129">
        <v>28</v>
      </c>
      <c r="C794" s="434" t="s">
        <v>201</v>
      </c>
      <c r="D794" s="340" t="s">
        <v>242</v>
      </c>
      <c r="E794" s="340" t="s">
        <v>241</v>
      </c>
      <c r="F794" s="693">
        <v>36931</v>
      </c>
      <c r="G794" s="693">
        <v>18157</v>
      </c>
      <c r="H794" s="693">
        <v>9791</v>
      </c>
      <c r="I794" s="693">
        <v>0</v>
      </c>
      <c r="J794" s="693">
        <v>30578</v>
      </c>
      <c r="K794" s="693">
        <v>17179</v>
      </c>
      <c r="L794" s="693">
        <v>7574</v>
      </c>
      <c r="M794" s="559"/>
      <c r="N794" s="284"/>
      <c r="O794" s="284"/>
      <c r="P794" s="284"/>
      <c r="Q794" s="284"/>
      <c r="R794" s="284"/>
      <c r="S794" s="284"/>
      <c r="T794" s="284"/>
      <c r="U794" s="284"/>
    </row>
    <row r="795" spans="1:21" ht="14.5" outlineLevel="1" x14ac:dyDescent="0.35">
      <c r="A795" s="577" t="str">
        <f t="shared" si="32"/>
        <v>Infinitum Negocio RedNo Residencial</v>
      </c>
      <c r="B795" s="129">
        <v>29</v>
      </c>
      <c r="C795" s="434" t="s">
        <v>202</v>
      </c>
      <c r="D795" s="340" t="s">
        <v>242</v>
      </c>
      <c r="E795" s="340" t="s">
        <v>241</v>
      </c>
      <c r="F795" s="693">
        <v>7962</v>
      </c>
      <c r="G795" s="693">
        <v>4768</v>
      </c>
      <c r="H795" s="693">
        <v>1559</v>
      </c>
      <c r="I795" s="693">
        <v>0</v>
      </c>
      <c r="J795" s="693">
        <v>6295</v>
      </c>
      <c r="K795" s="693">
        <v>6004</v>
      </c>
      <c r="L795" s="693">
        <v>1419</v>
      </c>
      <c r="M795" s="559"/>
      <c r="N795" s="284"/>
      <c r="O795" s="284"/>
      <c r="P795" s="284"/>
      <c r="Q795" s="284"/>
      <c r="R795" s="284"/>
      <c r="S795" s="284"/>
      <c r="T795" s="284"/>
      <c r="U795" s="284"/>
    </row>
    <row r="796" spans="1:21" ht="14.5" outlineLevel="1" x14ac:dyDescent="0.35">
      <c r="A796" s="577" t="str">
        <f t="shared" si="32"/>
        <v>Infinitum Negocio PremiumNo Residencial</v>
      </c>
      <c r="B796" s="129">
        <v>30</v>
      </c>
      <c r="C796" s="434" t="s">
        <v>203</v>
      </c>
      <c r="D796" s="340" t="s">
        <v>242</v>
      </c>
      <c r="E796" s="340" t="s">
        <v>241</v>
      </c>
      <c r="F796" s="693">
        <v>3907</v>
      </c>
      <c r="G796" s="693">
        <v>8646</v>
      </c>
      <c r="H796" s="693">
        <v>1315</v>
      </c>
      <c r="I796" s="693">
        <v>0</v>
      </c>
      <c r="J796" s="693">
        <v>3178</v>
      </c>
      <c r="K796" s="693">
        <v>9224</v>
      </c>
      <c r="L796" s="693">
        <v>1630</v>
      </c>
      <c r="M796" s="559"/>
      <c r="N796" s="284"/>
      <c r="O796" s="284"/>
      <c r="P796" s="284"/>
      <c r="Q796" s="284"/>
      <c r="R796" s="284"/>
      <c r="S796" s="284"/>
      <c r="T796" s="284"/>
      <c r="U796" s="284"/>
    </row>
    <row r="797" spans="1:21" ht="14.5" outlineLevel="1" x14ac:dyDescent="0.35">
      <c r="A797" s="577" t="str">
        <f t="shared" si="32"/>
        <v>Paquete Infinitum Play 20 (Netflix 1 dispositivo)Residencial</v>
      </c>
      <c r="B797" s="129">
        <v>31</v>
      </c>
      <c r="C797" s="434" t="s">
        <v>854</v>
      </c>
      <c r="D797" s="340" t="s">
        <v>240</v>
      </c>
      <c r="E797" s="340" t="s">
        <v>243</v>
      </c>
      <c r="F797" s="693">
        <v>57098</v>
      </c>
      <c r="G797" s="693">
        <v>76882</v>
      </c>
      <c r="H797" s="693">
        <v>42707</v>
      </c>
      <c r="I797" s="693">
        <v>0</v>
      </c>
      <c r="J797" s="693">
        <v>57501</v>
      </c>
      <c r="K797" s="693">
        <v>119645</v>
      </c>
      <c r="L797" s="693">
        <v>30817</v>
      </c>
      <c r="M797" s="559"/>
      <c r="N797" s="284"/>
      <c r="O797" s="284"/>
      <c r="P797" s="284"/>
      <c r="Q797" s="284"/>
      <c r="R797" s="284"/>
      <c r="S797" s="284"/>
      <c r="T797" s="284"/>
      <c r="U797" s="284"/>
    </row>
    <row r="798" spans="1:21" ht="14.5" outlineLevel="1" x14ac:dyDescent="0.35">
      <c r="A798" s="577" t="str">
        <f t="shared" si="32"/>
        <v>Paquete Infinitum Play 20 (Netflix 2 dispositivos)Residencial</v>
      </c>
      <c r="B798" s="129">
        <v>32</v>
      </c>
      <c r="C798" s="434" t="s">
        <v>855</v>
      </c>
      <c r="D798" s="340" t="s">
        <v>240</v>
      </c>
      <c r="E798" s="340" t="s">
        <v>243</v>
      </c>
      <c r="F798" s="693">
        <v>83617</v>
      </c>
      <c r="G798" s="693">
        <v>91752</v>
      </c>
      <c r="H798" s="693">
        <v>32392</v>
      </c>
      <c r="I798" s="693">
        <v>0</v>
      </c>
      <c r="J798" s="693">
        <v>52388</v>
      </c>
      <c r="K798" s="693">
        <v>97938</v>
      </c>
      <c r="L798" s="693">
        <v>19123</v>
      </c>
      <c r="M798" s="559"/>
      <c r="N798" s="284"/>
      <c r="O798" s="284"/>
      <c r="P798" s="284"/>
      <c r="Q798" s="284"/>
      <c r="R798" s="284"/>
      <c r="S798" s="284"/>
      <c r="T798" s="284"/>
      <c r="U798" s="284"/>
    </row>
    <row r="799" spans="1:21" ht="14.5" outlineLevel="1" x14ac:dyDescent="0.35">
      <c r="A799" s="577" t="str">
        <f t="shared" si="32"/>
        <v>Paquete Infinitum Play 20 (Netflix 4 dispositivos)Residencial</v>
      </c>
      <c r="B799" s="129">
        <v>33</v>
      </c>
      <c r="C799" s="434" t="s">
        <v>856</v>
      </c>
      <c r="D799" s="340" t="s">
        <v>240</v>
      </c>
      <c r="E799" s="340" t="s">
        <v>243</v>
      </c>
      <c r="F799" s="693">
        <v>47490</v>
      </c>
      <c r="G799" s="693">
        <v>35517</v>
      </c>
      <c r="H799" s="693">
        <v>10969</v>
      </c>
      <c r="I799" s="693">
        <v>0</v>
      </c>
      <c r="J799" s="693">
        <v>21355</v>
      </c>
      <c r="K799" s="693">
        <v>36932</v>
      </c>
      <c r="L799" s="693">
        <v>10947</v>
      </c>
      <c r="M799" s="559"/>
      <c r="N799" s="284"/>
      <c r="O799" s="284"/>
      <c r="P799" s="284"/>
      <c r="Q799" s="284"/>
      <c r="R799" s="284"/>
      <c r="S799" s="284"/>
      <c r="T799" s="284"/>
      <c r="U799" s="284"/>
    </row>
    <row r="800" spans="1:21" ht="14.5" outlineLevel="1" x14ac:dyDescent="0.35">
      <c r="A800" s="577" t="str">
        <f t="shared" si="32"/>
        <v>Paquete Infinitum Play 30 (Netflix 2 dispositivos)Residencial</v>
      </c>
      <c r="B800" s="129">
        <v>34</v>
      </c>
      <c r="C800" s="434" t="s">
        <v>857</v>
      </c>
      <c r="D800" s="340" t="s">
        <v>240</v>
      </c>
      <c r="E800" s="340" t="s">
        <v>243</v>
      </c>
      <c r="F800" s="693">
        <v>2510</v>
      </c>
      <c r="G800" s="693">
        <v>26045</v>
      </c>
      <c r="H800" s="693">
        <v>9624</v>
      </c>
      <c r="I800" s="693">
        <v>0</v>
      </c>
      <c r="J800" s="693">
        <v>1293</v>
      </c>
      <c r="K800" s="693">
        <v>33076</v>
      </c>
      <c r="L800" s="693">
        <v>4587</v>
      </c>
      <c r="M800" s="559"/>
      <c r="N800" s="284"/>
      <c r="O800" s="284"/>
      <c r="P800" s="284"/>
      <c r="Q800" s="284"/>
      <c r="R800" s="284"/>
      <c r="S800" s="284"/>
      <c r="T800" s="284"/>
      <c r="U800" s="284"/>
    </row>
    <row r="801" spans="1:21" ht="14.5" outlineLevel="1" x14ac:dyDescent="0.35">
      <c r="A801" s="577" t="str">
        <f t="shared" si="32"/>
        <v>Paquete Infinitum Play 30 (Netflix 4 dispositivos)Residencial</v>
      </c>
      <c r="B801" s="129">
        <v>35</v>
      </c>
      <c r="C801" s="434" t="s">
        <v>858</v>
      </c>
      <c r="D801" s="340" t="s">
        <v>240</v>
      </c>
      <c r="E801" s="340" t="s">
        <v>243</v>
      </c>
      <c r="F801" s="693">
        <v>1346</v>
      </c>
      <c r="G801" s="693">
        <v>16920</v>
      </c>
      <c r="H801" s="693">
        <v>4427</v>
      </c>
      <c r="I801" s="693">
        <v>0</v>
      </c>
      <c r="J801" s="693">
        <v>713</v>
      </c>
      <c r="K801" s="693">
        <v>8971</v>
      </c>
      <c r="L801" s="693">
        <v>2591</v>
      </c>
      <c r="M801" s="559"/>
      <c r="N801" s="284"/>
      <c r="O801" s="284"/>
      <c r="P801" s="284"/>
      <c r="Q801" s="284"/>
      <c r="R801" s="284"/>
      <c r="S801" s="284"/>
      <c r="T801" s="284"/>
      <c r="U801" s="284"/>
    </row>
    <row r="802" spans="1:21" ht="14.5" outlineLevel="1" x14ac:dyDescent="0.35">
      <c r="A802" s="577" t="str">
        <f t="shared" si="32"/>
        <v>Paquete Infinitum Play 40 (Netflix 2 dispositivos)Residencial</v>
      </c>
      <c r="B802" s="129">
        <v>36</v>
      </c>
      <c r="C802" s="434" t="s">
        <v>859</v>
      </c>
      <c r="D802" s="340" t="s">
        <v>240</v>
      </c>
      <c r="E802" s="340" t="s">
        <v>243</v>
      </c>
      <c r="F802" s="693">
        <v>328</v>
      </c>
      <c r="G802" s="693">
        <v>8419</v>
      </c>
      <c r="H802" s="693">
        <v>1584</v>
      </c>
      <c r="I802" s="693">
        <v>0</v>
      </c>
      <c r="J802" s="693">
        <v>166</v>
      </c>
      <c r="K802" s="693">
        <v>12809</v>
      </c>
      <c r="L802" s="693">
        <v>1079</v>
      </c>
      <c r="M802" s="559"/>
      <c r="N802" s="284"/>
      <c r="O802" s="284"/>
      <c r="P802" s="284"/>
      <c r="Q802" s="284"/>
      <c r="R802" s="284"/>
      <c r="S802" s="284"/>
      <c r="T802" s="284"/>
      <c r="U802" s="284"/>
    </row>
    <row r="803" spans="1:21" ht="14.5" outlineLevel="1" x14ac:dyDescent="0.35">
      <c r="A803" s="577" t="str">
        <f t="shared" si="32"/>
        <v>Paquete Infinitum Play 40 (Netflix 4 dispositivos)Residencial</v>
      </c>
      <c r="B803" s="129">
        <v>37</v>
      </c>
      <c r="C803" s="434" t="s">
        <v>860</v>
      </c>
      <c r="D803" s="340" t="s">
        <v>240</v>
      </c>
      <c r="E803" s="340" t="s">
        <v>243</v>
      </c>
      <c r="F803" s="693">
        <v>278</v>
      </c>
      <c r="G803" s="693">
        <v>6055</v>
      </c>
      <c r="H803" s="693">
        <v>1177</v>
      </c>
      <c r="I803" s="693">
        <v>0</v>
      </c>
      <c r="J803" s="693">
        <v>115</v>
      </c>
      <c r="K803" s="693">
        <v>4776</v>
      </c>
      <c r="L803" s="693">
        <v>841</v>
      </c>
      <c r="M803" s="559"/>
      <c r="N803" s="284"/>
      <c r="O803" s="284"/>
      <c r="P803" s="284"/>
      <c r="Q803" s="284"/>
      <c r="R803" s="284"/>
      <c r="S803" s="284"/>
      <c r="T803" s="284"/>
      <c r="U803" s="284"/>
    </row>
    <row r="804" spans="1:21" ht="14.5" outlineLevel="1" x14ac:dyDescent="0.35">
      <c r="A804" s="577" t="str">
        <f t="shared" si="32"/>
        <v>Paquete Infinitum Play 150 (Netflix 4 dispositivos)Residencial</v>
      </c>
      <c r="B804" s="129">
        <v>38</v>
      </c>
      <c r="C804" s="434" t="s">
        <v>861</v>
      </c>
      <c r="D804" s="340" t="s">
        <v>240</v>
      </c>
      <c r="E804" s="340" t="s">
        <v>243</v>
      </c>
      <c r="F804" s="693">
        <v>127</v>
      </c>
      <c r="G804" s="693">
        <v>41637</v>
      </c>
      <c r="H804" s="693">
        <v>1193</v>
      </c>
      <c r="I804" s="693">
        <v>0</v>
      </c>
      <c r="J804" s="693">
        <v>97</v>
      </c>
      <c r="K804" s="693">
        <v>24941</v>
      </c>
      <c r="L804" s="693">
        <v>488</v>
      </c>
      <c r="M804" s="559"/>
      <c r="N804" s="284"/>
      <c r="O804" s="284"/>
      <c r="P804" s="284"/>
      <c r="Q804" s="284"/>
      <c r="R804" s="284"/>
      <c r="S804" s="284"/>
      <c r="T804" s="284"/>
      <c r="U804" s="284"/>
    </row>
    <row r="805" spans="1:21" ht="14.5" outlineLevel="1" x14ac:dyDescent="0.35">
      <c r="A805" s="577" t="str">
        <f t="shared" si="32"/>
        <v>Paquete Infinitum Play 150 (Netflix 2 dispositivos)Residencial</v>
      </c>
      <c r="B805" s="129">
        <v>39</v>
      </c>
      <c r="C805" s="434" t="s">
        <v>862</v>
      </c>
      <c r="D805" s="340" t="s">
        <v>240</v>
      </c>
      <c r="E805" s="340" t="s">
        <v>243</v>
      </c>
      <c r="F805" s="693">
        <v>54</v>
      </c>
      <c r="G805" s="693">
        <v>7435</v>
      </c>
      <c r="H805" s="693">
        <v>407</v>
      </c>
      <c r="I805" s="693">
        <v>0</v>
      </c>
      <c r="J805" s="693">
        <v>25</v>
      </c>
      <c r="K805" s="693">
        <v>7385</v>
      </c>
      <c r="L805" s="693">
        <v>194</v>
      </c>
      <c r="M805" s="559"/>
      <c r="N805" s="284"/>
      <c r="O805" s="284"/>
      <c r="P805" s="284"/>
      <c r="Q805" s="284"/>
      <c r="R805" s="284"/>
      <c r="S805" s="284"/>
      <c r="T805" s="284"/>
      <c r="U805" s="284"/>
    </row>
    <row r="806" spans="1:21" ht="14.5" outlineLevel="1" x14ac:dyDescent="0.35">
      <c r="A806" s="577" t="str">
        <f t="shared" si="32"/>
        <v>Paquete Infinitum Netflix 500 (Netflix 4 dispositivos)Residencial</v>
      </c>
      <c r="B806" s="129">
        <v>40</v>
      </c>
      <c r="C806" s="434" t="s">
        <v>1068</v>
      </c>
      <c r="D806" s="340" t="s">
        <v>240</v>
      </c>
      <c r="E806" s="340" t="s">
        <v>243</v>
      </c>
      <c r="F806" s="693">
        <v>3</v>
      </c>
      <c r="G806" s="693">
        <v>3363</v>
      </c>
      <c r="H806" s="693">
        <v>2</v>
      </c>
      <c r="I806" s="693">
        <v>0</v>
      </c>
      <c r="J806" s="693">
        <v>2</v>
      </c>
      <c r="K806" s="693">
        <v>3156</v>
      </c>
      <c r="L806" s="693">
        <v>0</v>
      </c>
      <c r="M806" s="559"/>
      <c r="N806" s="284"/>
      <c r="O806" s="284"/>
      <c r="P806" s="284"/>
      <c r="Q806" s="284"/>
      <c r="R806" s="284"/>
      <c r="S806" s="284"/>
      <c r="T806" s="284"/>
      <c r="U806" s="284"/>
    </row>
    <row r="807" spans="1:21" ht="14.5" outlineLevel="1" x14ac:dyDescent="0.35">
      <c r="A807" s="577" t="str">
        <f t="shared" si="32"/>
        <v>Paquete Infinitum Netflix 500 (Netflix 2 dispositivos)Residencial</v>
      </c>
      <c r="B807" s="129">
        <v>41</v>
      </c>
      <c r="C807" s="434" t="s">
        <v>1069</v>
      </c>
      <c r="D807" s="340" t="s">
        <v>240</v>
      </c>
      <c r="E807" s="340" t="s">
        <v>243</v>
      </c>
      <c r="F807" s="693">
        <v>1</v>
      </c>
      <c r="G807" s="693">
        <v>599</v>
      </c>
      <c r="H807" s="693">
        <v>0</v>
      </c>
      <c r="I807" s="693">
        <v>0</v>
      </c>
      <c r="J807" s="693">
        <v>0</v>
      </c>
      <c r="K807" s="693">
        <v>444</v>
      </c>
      <c r="L807" s="693">
        <v>0</v>
      </c>
      <c r="M807" s="559"/>
      <c r="N807" s="284"/>
      <c r="O807" s="284"/>
      <c r="P807" s="284"/>
      <c r="Q807" s="284"/>
      <c r="R807" s="284"/>
      <c r="S807" s="284"/>
      <c r="T807" s="284"/>
      <c r="U807" s="284"/>
    </row>
    <row r="808" spans="1:21" ht="14.5" outlineLevel="1" x14ac:dyDescent="0.35">
      <c r="A808" s="577" t="str">
        <f t="shared" si="32"/>
        <v>Infinitum Netflix 50 (Netflix 1 dispositivo)Residencial</v>
      </c>
      <c r="B808" s="129">
        <v>42</v>
      </c>
      <c r="C808" s="434" t="s">
        <v>1070</v>
      </c>
      <c r="D808" s="340" t="s">
        <v>240</v>
      </c>
      <c r="E808" s="340" t="s">
        <v>241</v>
      </c>
      <c r="F808" s="693">
        <v>11961</v>
      </c>
      <c r="G808" s="693">
        <v>17902</v>
      </c>
      <c r="H808" s="693">
        <v>4194</v>
      </c>
      <c r="I808" s="693">
        <v>0</v>
      </c>
      <c r="J808" s="693">
        <v>9313</v>
      </c>
      <c r="K808" s="693">
        <v>16884</v>
      </c>
      <c r="L808" s="693">
        <v>3964</v>
      </c>
      <c r="M808" s="559"/>
      <c r="N808" s="284"/>
      <c r="O808" s="284"/>
      <c r="P808" s="284"/>
      <c r="Q808" s="284"/>
      <c r="R808" s="284"/>
      <c r="S808" s="284"/>
      <c r="T808" s="284"/>
      <c r="U808" s="284"/>
    </row>
    <row r="809" spans="1:21" ht="14.5" outlineLevel="1" x14ac:dyDescent="0.35">
      <c r="A809" s="577" t="str">
        <f t="shared" si="32"/>
        <v>Infinitum Netflix 50 (Netflix 2 dispositivos)Residencial</v>
      </c>
      <c r="B809" s="129">
        <v>43</v>
      </c>
      <c r="C809" s="434" t="s">
        <v>1071</v>
      </c>
      <c r="D809" s="340" t="s">
        <v>240</v>
      </c>
      <c r="E809" s="340" t="s">
        <v>241</v>
      </c>
      <c r="F809" s="693">
        <v>15015</v>
      </c>
      <c r="G809" s="693">
        <v>18519</v>
      </c>
      <c r="H809" s="693">
        <v>5471</v>
      </c>
      <c r="I809" s="693">
        <v>0</v>
      </c>
      <c r="J809" s="693">
        <v>11419</v>
      </c>
      <c r="K809" s="693">
        <v>13696</v>
      </c>
      <c r="L809" s="693">
        <v>4077</v>
      </c>
      <c r="M809" s="559"/>
      <c r="N809" s="284"/>
      <c r="O809" s="284"/>
      <c r="P809" s="284"/>
      <c r="Q809" s="284"/>
      <c r="R809" s="284"/>
      <c r="S809" s="284"/>
      <c r="T809" s="284"/>
      <c r="U809" s="284"/>
    </row>
    <row r="810" spans="1:21" ht="14.5" outlineLevel="1" x14ac:dyDescent="0.35">
      <c r="A810" s="577" t="str">
        <f t="shared" si="32"/>
        <v>Infinitum Netflix 50 (Netflix 4 dispositivos)Residencial</v>
      </c>
      <c r="B810" s="129">
        <v>44</v>
      </c>
      <c r="C810" s="434" t="s">
        <v>1072</v>
      </c>
      <c r="D810" s="340" t="s">
        <v>240</v>
      </c>
      <c r="E810" s="340" t="s">
        <v>241</v>
      </c>
      <c r="F810" s="693">
        <v>7718</v>
      </c>
      <c r="G810" s="693">
        <v>9140</v>
      </c>
      <c r="H810" s="693">
        <v>2226</v>
      </c>
      <c r="I810" s="693">
        <v>0</v>
      </c>
      <c r="J810" s="693">
        <v>3931</v>
      </c>
      <c r="K810" s="693">
        <v>8529</v>
      </c>
      <c r="L810" s="693">
        <v>1669</v>
      </c>
      <c r="M810" s="559"/>
      <c r="N810" s="284"/>
      <c r="O810" s="284"/>
      <c r="P810" s="284"/>
      <c r="Q810" s="284"/>
      <c r="R810" s="284"/>
      <c r="S810" s="284"/>
      <c r="T810" s="284"/>
      <c r="U810" s="284"/>
    </row>
    <row r="811" spans="1:21" ht="14.5" outlineLevel="1" x14ac:dyDescent="0.35">
      <c r="A811" s="577" t="str">
        <f t="shared" si="32"/>
        <v>Infinitum Netflix 60 (Netflix 2 dispositivos)Residencial</v>
      </c>
      <c r="B811" s="129">
        <v>45</v>
      </c>
      <c r="C811" s="434" t="s">
        <v>1073</v>
      </c>
      <c r="D811" s="340" t="s">
        <v>240</v>
      </c>
      <c r="E811" s="340" t="s">
        <v>241</v>
      </c>
      <c r="F811" s="693">
        <v>1244</v>
      </c>
      <c r="G811" s="693">
        <v>13952</v>
      </c>
      <c r="H811" s="693">
        <v>3275</v>
      </c>
      <c r="I811" s="693">
        <v>0</v>
      </c>
      <c r="J811" s="693">
        <v>799</v>
      </c>
      <c r="K811" s="693">
        <v>12270</v>
      </c>
      <c r="L811" s="693">
        <v>1414</v>
      </c>
      <c r="M811" s="559"/>
      <c r="N811" s="284"/>
      <c r="O811" s="284"/>
      <c r="P811" s="284"/>
      <c r="Q811" s="284"/>
      <c r="R811" s="284"/>
      <c r="S811" s="284"/>
      <c r="T811" s="284"/>
      <c r="U811" s="284"/>
    </row>
    <row r="812" spans="1:21" ht="14.5" outlineLevel="1" x14ac:dyDescent="0.35">
      <c r="A812" s="577" t="str">
        <f t="shared" si="32"/>
        <v>Infinitum Netflix 60 (Netflix 4 dispositivos)Residencial</v>
      </c>
      <c r="B812" s="129">
        <v>46</v>
      </c>
      <c r="C812" s="434" t="s">
        <v>1074</v>
      </c>
      <c r="D812" s="340" t="s">
        <v>240</v>
      </c>
      <c r="E812" s="340" t="s">
        <v>241</v>
      </c>
      <c r="F812" s="693">
        <v>412</v>
      </c>
      <c r="G812" s="693">
        <v>6019</v>
      </c>
      <c r="H812" s="693">
        <v>1581</v>
      </c>
      <c r="I812" s="693">
        <v>0</v>
      </c>
      <c r="J812" s="693">
        <v>261</v>
      </c>
      <c r="K812" s="693">
        <v>3725</v>
      </c>
      <c r="L812" s="693">
        <v>531</v>
      </c>
      <c r="M812" s="559"/>
      <c r="N812" s="284"/>
      <c r="O812" s="284"/>
      <c r="P812" s="284"/>
      <c r="Q812" s="284"/>
      <c r="R812" s="284"/>
      <c r="S812" s="284"/>
      <c r="T812" s="284"/>
      <c r="U812" s="284"/>
    </row>
    <row r="813" spans="1:21" ht="14.5" outlineLevel="1" x14ac:dyDescent="0.35">
      <c r="A813" s="577" t="str">
        <f t="shared" si="32"/>
        <v>Infinitum Netflix 200 (Netflix 4 dispositivos)Residencial</v>
      </c>
      <c r="B813" s="129">
        <v>47</v>
      </c>
      <c r="C813" s="434" t="s">
        <v>1075</v>
      </c>
      <c r="D813" s="340" t="s">
        <v>240</v>
      </c>
      <c r="E813" s="340" t="s">
        <v>241</v>
      </c>
      <c r="F813" s="693">
        <v>18</v>
      </c>
      <c r="G813" s="693">
        <v>5952</v>
      </c>
      <c r="H813" s="693">
        <v>179</v>
      </c>
      <c r="I813" s="693">
        <v>0</v>
      </c>
      <c r="J813" s="693">
        <v>10</v>
      </c>
      <c r="K813" s="693">
        <v>7798</v>
      </c>
      <c r="L813" s="693">
        <v>93</v>
      </c>
      <c r="M813" s="559"/>
      <c r="N813" s="284"/>
      <c r="O813" s="284"/>
      <c r="P813" s="284"/>
      <c r="Q813" s="284"/>
      <c r="R813" s="284"/>
      <c r="S813" s="284"/>
      <c r="T813" s="284"/>
      <c r="U813" s="284"/>
    </row>
    <row r="814" spans="1:21" ht="14.5" outlineLevel="1" x14ac:dyDescent="0.35">
      <c r="A814" s="577" t="str">
        <f t="shared" si="32"/>
        <v>Infinitum Netflix 200 (Netflix 2 dispositivos)Residencial</v>
      </c>
      <c r="B814" s="129">
        <v>48</v>
      </c>
      <c r="C814" s="434" t="s">
        <v>1076</v>
      </c>
      <c r="D814" s="340" t="s">
        <v>240</v>
      </c>
      <c r="E814" s="340" t="s">
        <v>241</v>
      </c>
      <c r="F814" s="693">
        <v>10</v>
      </c>
      <c r="G814" s="693">
        <v>2548</v>
      </c>
      <c r="H814" s="693">
        <v>45</v>
      </c>
      <c r="I814" s="693">
        <v>0</v>
      </c>
      <c r="J814" s="693">
        <v>6</v>
      </c>
      <c r="K814" s="693">
        <v>1403</v>
      </c>
      <c r="L814" s="693">
        <v>38</v>
      </c>
      <c r="M814" s="559"/>
      <c r="N814" s="284"/>
      <c r="O814" s="284"/>
      <c r="P814" s="284"/>
      <c r="Q814" s="284"/>
      <c r="R814" s="284"/>
      <c r="S814" s="284"/>
      <c r="T814" s="284"/>
      <c r="U814" s="284"/>
    </row>
    <row r="815" spans="1:21" ht="14.5" outlineLevel="1" x14ac:dyDescent="0.35">
      <c r="A815" s="577" t="str">
        <f t="shared" si="32"/>
        <v>Infinitum Netflix 500 (Netflix 4 dispositivos)Residencial</v>
      </c>
      <c r="B815" s="129">
        <v>49</v>
      </c>
      <c r="C815" s="434" t="s">
        <v>1077</v>
      </c>
      <c r="D815" s="340" t="s">
        <v>240</v>
      </c>
      <c r="E815" s="340" t="s">
        <v>241</v>
      </c>
      <c r="F815" s="693">
        <v>1</v>
      </c>
      <c r="G815" s="693">
        <v>1115</v>
      </c>
      <c r="H815" s="693">
        <v>2</v>
      </c>
      <c r="I815" s="693">
        <v>0</v>
      </c>
      <c r="J815" s="693">
        <v>0</v>
      </c>
      <c r="K815" s="693">
        <v>927</v>
      </c>
      <c r="L815" s="693">
        <v>1</v>
      </c>
      <c r="M815" s="559"/>
      <c r="N815" s="284"/>
      <c r="O815" s="284"/>
      <c r="P815" s="284"/>
      <c r="Q815" s="284"/>
      <c r="R815" s="284"/>
      <c r="S815" s="284"/>
      <c r="T815" s="284"/>
      <c r="U815" s="284"/>
    </row>
    <row r="816" spans="1:21" ht="14.5" outlineLevel="1" x14ac:dyDescent="0.35">
      <c r="A816" s="577" t="str">
        <f t="shared" si="32"/>
        <v>Infinitum Netflix 500 (Netflix 2 dispositivos)Residencial</v>
      </c>
      <c r="B816" s="129">
        <v>50</v>
      </c>
      <c r="C816" s="434" t="s">
        <v>1078</v>
      </c>
      <c r="D816" s="340" t="s">
        <v>240</v>
      </c>
      <c r="E816" s="340" t="s">
        <v>241</v>
      </c>
      <c r="F816" s="693">
        <v>1</v>
      </c>
      <c r="G816" s="693">
        <v>110</v>
      </c>
      <c r="H816" s="693">
        <v>0</v>
      </c>
      <c r="I816" s="693">
        <v>0</v>
      </c>
      <c r="J816" s="693">
        <v>0</v>
      </c>
      <c r="K816" s="693">
        <v>95</v>
      </c>
      <c r="L816" s="693">
        <v>0</v>
      </c>
      <c r="M816" s="559"/>
      <c r="N816" s="284"/>
      <c r="O816" s="284"/>
      <c r="P816" s="284"/>
      <c r="Q816" s="284"/>
      <c r="R816" s="284"/>
      <c r="S816" s="284"/>
      <c r="T816" s="284"/>
      <c r="U816" s="284"/>
    </row>
    <row r="817" spans="1:21" ht="14.5" outlineLevel="1" x14ac:dyDescent="0.35">
      <c r="A817" s="577" t="str">
        <f t="shared" si="32"/>
        <v>Paquete Conectes Negocio Netflix (Netflix 1 dispositivo)No Residencial</v>
      </c>
      <c r="B817" s="129">
        <v>51</v>
      </c>
      <c r="C817" s="434" t="s">
        <v>1079</v>
      </c>
      <c r="D817" s="340" t="s">
        <v>242</v>
      </c>
      <c r="E817" s="340" t="s">
        <v>243</v>
      </c>
      <c r="F817" s="693">
        <v>584</v>
      </c>
      <c r="G817" s="693">
        <v>1056</v>
      </c>
      <c r="H817" s="693">
        <v>309</v>
      </c>
      <c r="I817" s="693">
        <v>0</v>
      </c>
      <c r="J817" s="693">
        <v>542</v>
      </c>
      <c r="K817" s="693">
        <v>1361</v>
      </c>
      <c r="L817" s="693">
        <v>244</v>
      </c>
      <c r="M817" s="559"/>
      <c r="N817" s="284"/>
      <c r="O817" s="284"/>
      <c r="P817" s="284"/>
      <c r="Q817" s="284"/>
      <c r="R817" s="284"/>
      <c r="S817" s="284"/>
      <c r="T817" s="284"/>
      <c r="U817" s="284"/>
    </row>
    <row r="818" spans="1:21" ht="14.5" outlineLevel="1" x14ac:dyDescent="0.35">
      <c r="A818" s="577" t="str">
        <f t="shared" si="32"/>
        <v>Paquete Conectes Negocio Netflix (Netflix 2 dispositivos)No Residencial</v>
      </c>
      <c r="B818" s="129">
        <v>52</v>
      </c>
      <c r="C818" s="434" t="s">
        <v>1080</v>
      </c>
      <c r="D818" s="340" t="s">
        <v>242</v>
      </c>
      <c r="E818" s="340" t="s">
        <v>243</v>
      </c>
      <c r="F818" s="693">
        <v>440</v>
      </c>
      <c r="G818" s="693">
        <v>397</v>
      </c>
      <c r="H818" s="693">
        <v>162</v>
      </c>
      <c r="I818" s="693">
        <v>0</v>
      </c>
      <c r="J818" s="693">
        <v>253</v>
      </c>
      <c r="K818" s="693">
        <v>785</v>
      </c>
      <c r="L818" s="693">
        <v>94</v>
      </c>
      <c r="M818" s="559"/>
      <c r="N818" s="284"/>
      <c r="O818" s="284"/>
      <c r="P818" s="284"/>
      <c r="Q818" s="284"/>
      <c r="R818" s="284"/>
      <c r="S818" s="284"/>
      <c r="T818" s="284"/>
      <c r="U818" s="284"/>
    </row>
    <row r="819" spans="1:21" ht="14.5" outlineLevel="1" x14ac:dyDescent="0.35">
      <c r="A819" s="577" t="str">
        <f t="shared" si="32"/>
        <v>Paquete Conectes Negocio Netflix (Netflix 4 dispositivos)No Residencial</v>
      </c>
      <c r="B819" s="129">
        <v>53</v>
      </c>
      <c r="C819" s="434" t="s">
        <v>1081</v>
      </c>
      <c r="D819" s="340" t="s">
        <v>242</v>
      </c>
      <c r="E819" s="340" t="s">
        <v>243</v>
      </c>
      <c r="F819" s="693">
        <v>242</v>
      </c>
      <c r="G819" s="693">
        <v>364</v>
      </c>
      <c r="H819" s="693">
        <v>80</v>
      </c>
      <c r="I819" s="693">
        <v>0</v>
      </c>
      <c r="J819" s="693">
        <v>221</v>
      </c>
      <c r="K819" s="693">
        <v>507</v>
      </c>
      <c r="L819" s="693">
        <v>72</v>
      </c>
      <c r="M819" s="559"/>
      <c r="N819" s="284"/>
      <c r="O819" s="284"/>
      <c r="P819" s="284"/>
      <c r="Q819" s="284"/>
      <c r="R819" s="284"/>
      <c r="S819" s="284"/>
      <c r="T819" s="284"/>
      <c r="U819" s="284"/>
    </row>
    <row r="820" spans="1:21" ht="14.5" outlineLevel="1" x14ac:dyDescent="0.35">
      <c r="A820" s="577" t="str">
        <f t="shared" si="32"/>
        <v>Paquete Mi Negocio Netflix (Netflix 2 dispositivos)No Residencial</v>
      </c>
      <c r="B820" s="129">
        <v>54</v>
      </c>
      <c r="C820" s="434" t="s">
        <v>1082</v>
      </c>
      <c r="D820" s="340" t="s">
        <v>242</v>
      </c>
      <c r="E820" s="340" t="s">
        <v>243</v>
      </c>
      <c r="F820" s="693">
        <v>214</v>
      </c>
      <c r="G820" s="693">
        <v>749</v>
      </c>
      <c r="H820" s="693">
        <v>176</v>
      </c>
      <c r="I820" s="693">
        <v>0</v>
      </c>
      <c r="J820" s="693">
        <v>123</v>
      </c>
      <c r="K820" s="693">
        <v>776</v>
      </c>
      <c r="L820" s="693">
        <v>155</v>
      </c>
      <c r="M820" s="559">
        <v>0</v>
      </c>
      <c r="N820" s="284"/>
      <c r="O820" s="284"/>
      <c r="P820" s="284"/>
      <c r="Q820" s="284"/>
      <c r="R820" s="284"/>
      <c r="S820" s="284"/>
      <c r="T820" s="284"/>
      <c r="U820" s="284"/>
    </row>
    <row r="821" spans="1:21" ht="14.5" outlineLevel="1" x14ac:dyDescent="0.35">
      <c r="A821" s="577" t="str">
        <f t="shared" si="32"/>
        <v>Paquete Mi Negocio Netflix (Netflix 4 dispositivos)No Residencial</v>
      </c>
      <c r="B821" s="129">
        <v>55</v>
      </c>
      <c r="C821" s="434" t="s">
        <v>1083</v>
      </c>
      <c r="D821" s="340" t="s">
        <v>242</v>
      </c>
      <c r="E821" s="340" t="s">
        <v>243</v>
      </c>
      <c r="F821" s="693">
        <v>154</v>
      </c>
      <c r="G821" s="693">
        <v>347</v>
      </c>
      <c r="H821" s="693">
        <v>66</v>
      </c>
      <c r="I821" s="693">
        <v>0</v>
      </c>
      <c r="J821" s="693">
        <v>120</v>
      </c>
      <c r="K821" s="693">
        <v>639</v>
      </c>
      <c r="L821" s="693">
        <v>63</v>
      </c>
      <c r="M821" s="559">
        <v>0</v>
      </c>
      <c r="N821" s="284"/>
      <c r="O821" s="284"/>
      <c r="P821" s="284"/>
      <c r="Q821" s="284"/>
      <c r="R821" s="284"/>
      <c r="S821" s="284"/>
      <c r="T821" s="284"/>
      <c r="U821" s="284"/>
    </row>
    <row r="822" spans="1:21" ht="14.5" outlineLevel="1" x14ac:dyDescent="0.35">
      <c r="A822" s="577" t="str">
        <f t="shared" si="32"/>
        <v>Paquete Supernegocio Netflix (Netflix 2 dispositivos)No Residencial</v>
      </c>
      <c r="B822" s="129">
        <v>56</v>
      </c>
      <c r="C822" s="434" t="s">
        <v>1084</v>
      </c>
      <c r="D822" s="340" t="s">
        <v>242</v>
      </c>
      <c r="E822" s="340" t="s">
        <v>243</v>
      </c>
      <c r="F822" s="693">
        <v>103</v>
      </c>
      <c r="G822" s="693">
        <v>1041</v>
      </c>
      <c r="H822" s="693">
        <v>46</v>
      </c>
      <c r="I822" s="693">
        <v>0</v>
      </c>
      <c r="J822" s="693">
        <v>75</v>
      </c>
      <c r="K822" s="693">
        <v>695</v>
      </c>
      <c r="L822" s="693">
        <v>49</v>
      </c>
      <c r="M822" s="559">
        <v>0</v>
      </c>
      <c r="N822" s="284"/>
      <c r="O822" s="284"/>
      <c r="P822" s="284"/>
      <c r="Q822" s="284"/>
      <c r="R822" s="284"/>
      <c r="S822" s="284"/>
      <c r="T822" s="284"/>
      <c r="U822" s="284"/>
    </row>
    <row r="823" spans="1:21" ht="14.5" outlineLevel="1" x14ac:dyDescent="0.35">
      <c r="A823" s="577" t="str">
        <f t="shared" si="32"/>
        <v>Paquete Supernegocio Netflix (Netflix 4 dispositivos)No Residencial</v>
      </c>
      <c r="B823" s="129">
        <v>57</v>
      </c>
      <c r="C823" s="434" t="s">
        <v>1085</v>
      </c>
      <c r="D823" s="340" t="s">
        <v>242</v>
      </c>
      <c r="E823" s="340" t="s">
        <v>243</v>
      </c>
      <c r="F823" s="693">
        <v>39</v>
      </c>
      <c r="G823" s="693">
        <v>1505</v>
      </c>
      <c r="H823" s="693">
        <v>30</v>
      </c>
      <c r="I823" s="693">
        <v>0</v>
      </c>
      <c r="J823" s="693">
        <v>40</v>
      </c>
      <c r="K823" s="693">
        <v>1770</v>
      </c>
      <c r="L823" s="693">
        <v>18</v>
      </c>
      <c r="M823" s="559">
        <v>0</v>
      </c>
      <c r="N823" s="284"/>
      <c r="O823" s="284"/>
      <c r="P823" s="284"/>
      <c r="Q823" s="284"/>
      <c r="R823" s="284"/>
      <c r="S823" s="284"/>
      <c r="T823" s="284"/>
      <c r="U823" s="284"/>
    </row>
    <row r="824" spans="1:21" ht="14.5" outlineLevel="1" x14ac:dyDescent="0.35">
      <c r="A824" s="577" t="str">
        <f t="shared" si="32"/>
        <v>Infinitum Netflix Negocio 50 (Netflix 1 dispositivo)No Residencial</v>
      </c>
      <c r="B824" s="129">
        <v>58</v>
      </c>
      <c r="C824" s="434" t="s">
        <v>1086</v>
      </c>
      <c r="D824" s="340" t="s">
        <v>242</v>
      </c>
      <c r="E824" s="340" t="s">
        <v>241</v>
      </c>
      <c r="F824" s="693">
        <v>175</v>
      </c>
      <c r="G824" s="693">
        <v>263</v>
      </c>
      <c r="H824" s="693">
        <v>30</v>
      </c>
      <c r="I824" s="693">
        <v>0</v>
      </c>
      <c r="J824" s="693">
        <v>171</v>
      </c>
      <c r="K824" s="693">
        <v>581</v>
      </c>
      <c r="L824" s="693">
        <v>44</v>
      </c>
      <c r="M824" s="559"/>
      <c r="N824" s="284"/>
      <c r="O824" s="284"/>
      <c r="P824" s="284"/>
      <c r="Q824" s="284"/>
      <c r="R824" s="284"/>
      <c r="S824" s="284"/>
      <c r="T824" s="284"/>
      <c r="U824" s="284"/>
    </row>
    <row r="825" spans="1:21" ht="14.5" x14ac:dyDescent="0.35">
      <c r="A825" s="577" t="str">
        <f t="shared" si="32"/>
        <v>Infinitum Netflix Negocio 50 (Netflix 2 dispositivos)No Residencial</v>
      </c>
      <c r="B825" s="129">
        <v>59</v>
      </c>
      <c r="C825" s="434" t="s">
        <v>1087</v>
      </c>
      <c r="D825" s="340" t="s">
        <v>242</v>
      </c>
      <c r="E825" s="340" t="s">
        <v>241</v>
      </c>
      <c r="F825" s="693">
        <v>37</v>
      </c>
      <c r="G825" s="693">
        <v>80</v>
      </c>
      <c r="H825" s="693">
        <v>10</v>
      </c>
      <c r="I825" s="693">
        <v>0</v>
      </c>
      <c r="J825" s="693">
        <v>81</v>
      </c>
      <c r="K825" s="693">
        <v>221</v>
      </c>
      <c r="L825" s="693">
        <v>17</v>
      </c>
      <c r="M825" s="559"/>
      <c r="N825" s="284"/>
      <c r="O825" s="284"/>
      <c r="P825" s="284"/>
      <c r="Q825" s="284"/>
      <c r="R825" s="284"/>
      <c r="S825" s="284"/>
      <c r="T825" s="284"/>
      <c r="U825" s="284"/>
    </row>
    <row r="826" spans="1:21" ht="14.5" x14ac:dyDescent="0.35">
      <c r="A826" s="577" t="str">
        <f t="shared" si="32"/>
        <v>Infinitum Netflix Negocio 50 (Netflix 4 dispositivos)No Residencial</v>
      </c>
      <c r="B826" s="129">
        <v>60</v>
      </c>
      <c r="C826" s="434" t="s">
        <v>1088</v>
      </c>
      <c r="D826" s="340" t="s">
        <v>242</v>
      </c>
      <c r="E826" s="340" t="s">
        <v>241</v>
      </c>
      <c r="F826" s="693">
        <v>22</v>
      </c>
      <c r="G826" s="693">
        <v>57</v>
      </c>
      <c r="H826" s="693">
        <v>6</v>
      </c>
      <c r="I826" s="693">
        <v>0</v>
      </c>
      <c r="J826" s="693">
        <v>35</v>
      </c>
      <c r="K826" s="693">
        <v>76</v>
      </c>
      <c r="L826" s="693">
        <v>15</v>
      </c>
      <c r="M826" s="559"/>
      <c r="N826" s="284"/>
      <c r="O826" s="284"/>
      <c r="P826" s="284"/>
      <c r="Q826" s="284"/>
      <c r="R826" s="284"/>
      <c r="S826" s="284"/>
      <c r="T826" s="284"/>
      <c r="U826" s="284"/>
    </row>
    <row r="827" spans="1:21" ht="14.5" x14ac:dyDescent="0.35">
      <c r="A827" s="577" t="str">
        <f t="shared" si="32"/>
        <v>Infinitum Netflix Negocio 60 (Netflix 2 dispositivos)No Residencial</v>
      </c>
      <c r="B827" s="129">
        <v>61</v>
      </c>
      <c r="C827" s="434" t="s">
        <v>1089</v>
      </c>
      <c r="D827" s="340" t="s">
        <v>242</v>
      </c>
      <c r="E827" s="340" t="s">
        <v>241</v>
      </c>
      <c r="F827" s="693">
        <v>16</v>
      </c>
      <c r="G827" s="693">
        <v>85</v>
      </c>
      <c r="H827" s="693">
        <v>7</v>
      </c>
      <c r="I827" s="693">
        <v>0</v>
      </c>
      <c r="J827" s="693">
        <v>9</v>
      </c>
      <c r="K827" s="693">
        <v>88</v>
      </c>
      <c r="L827" s="693">
        <v>7</v>
      </c>
      <c r="M827" s="559"/>
      <c r="N827" s="284"/>
      <c r="O827" s="284"/>
      <c r="P827" s="284"/>
      <c r="Q827" s="284"/>
      <c r="R827" s="284"/>
      <c r="S827" s="284"/>
      <c r="T827" s="284"/>
      <c r="U827" s="284"/>
    </row>
    <row r="828" spans="1:21" ht="14.5" x14ac:dyDescent="0.35">
      <c r="A828" s="577" t="str">
        <f t="shared" si="32"/>
        <v>Infinitum Netflix Negocio 60 (Netflix 4 dispositivos)No Residencial</v>
      </c>
      <c r="B828" s="129">
        <v>62</v>
      </c>
      <c r="C828" s="434" t="s">
        <v>1090</v>
      </c>
      <c r="D828" s="340" t="s">
        <v>242</v>
      </c>
      <c r="E828" s="340" t="s">
        <v>241</v>
      </c>
      <c r="F828" s="693">
        <v>3</v>
      </c>
      <c r="G828" s="693">
        <v>18</v>
      </c>
      <c r="H828" s="693">
        <v>3</v>
      </c>
      <c r="I828" s="693">
        <v>0</v>
      </c>
      <c r="J828" s="693">
        <v>1</v>
      </c>
      <c r="K828" s="693">
        <v>38</v>
      </c>
      <c r="L828" s="693">
        <v>2</v>
      </c>
      <c r="M828" s="559"/>
      <c r="N828" s="284"/>
      <c r="O828" s="284"/>
      <c r="P828" s="284"/>
      <c r="Q828" s="284"/>
      <c r="R828" s="284"/>
      <c r="S828" s="284"/>
      <c r="T828" s="284"/>
      <c r="U828" s="284"/>
    </row>
    <row r="829" spans="1:21" ht="14.5" x14ac:dyDescent="0.35">
      <c r="A829" s="577" t="str">
        <f t="shared" si="32"/>
        <v>Infinitum Netflix Negocio 200 (Netflix 4 dispositivos)No Residencial</v>
      </c>
      <c r="B829" s="129">
        <v>63</v>
      </c>
      <c r="C829" s="434" t="s">
        <v>1091</v>
      </c>
      <c r="D829" s="340" t="s">
        <v>242</v>
      </c>
      <c r="E829" s="340" t="s">
        <v>241</v>
      </c>
      <c r="F829" s="693">
        <v>3</v>
      </c>
      <c r="G829" s="693">
        <v>104</v>
      </c>
      <c r="H829" s="693">
        <v>5</v>
      </c>
      <c r="I829" s="693">
        <v>0</v>
      </c>
      <c r="J829" s="693">
        <v>2</v>
      </c>
      <c r="K829" s="693">
        <v>162</v>
      </c>
      <c r="L829" s="693">
        <v>3</v>
      </c>
      <c r="M829" s="559"/>
      <c r="N829" s="284"/>
      <c r="O829" s="284"/>
      <c r="P829" s="284"/>
      <c r="Q829" s="284"/>
      <c r="R829" s="284"/>
      <c r="S829" s="284"/>
      <c r="T829" s="284"/>
      <c r="U829" s="284"/>
    </row>
    <row r="830" spans="1:21" ht="14.5" x14ac:dyDescent="0.35">
      <c r="A830" s="577" t="str">
        <f t="shared" si="32"/>
        <v>Infinitum Netflix Negocio 200 (Netflix 2 dispositivos)No Residencial</v>
      </c>
      <c r="B830" s="129">
        <v>64</v>
      </c>
      <c r="C830" s="434" t="s">
        <v>1092</v>
      </c>
      <c r="D830" s="340" t="s">
        <v>242</v>
      </c>
      <c r="E830" s="340" t="s">
        <v>241</v>
      </c>
      <c r="F830" s="693">
        <v>1</v>
      </c>
      <c r="G830" s="693">
        <v>67</v>
      </c>
      <c r="H830" s="693">
        <v>4</v>
      </c>
      <c r="I830" s="693">
        <v>0</v>
      </c>
      <c r="J830" s="693">
        <v>1</v>
      </c>
      <c r="K830" s="693">
        <v>73</v>
      </c>
      <c r="L830" s="693">
        <v>2</v>
      </c>
      <c r="M830" s="559"/>
      <c r="N830" s="284"/>
      <c r="O830" s="284"/>
      <c r="P830" s="284"/>
      <c r="Q830" s="284"/>
      <c r="R830" s="284"/>
      <c r="S830" s="284"/>
      <c r="T830" s="284"/>
      <c r="U830" s="284"/>
    </row>
    <row r="831" spans="1:21" ht="14.5" x14ac:dyDescent="0.35">
      <c r="A831" s="577" t="str">
        <f t="shared" si="32"/>
        <v>Infinitum Netflix Negocio 500 (Netflix 4 dispositivos)No Residencial</v>
      </c>
      <c r="B831" s="129">
        <v>65</v>
      </c>
      <c r="C831" s="434" t="s">
        <v>1093</v>
      </c>
      <c r="D831" s="340" t="s">
        <v>242</v>
      </c>
      <c r="E831" s="340" t="s">
        <v>241</v>
      </c>
      <c r="F831" s="693">
        <v>2</v>
      </c>
      <c r="G831" s="693">
        <v>77</v>
      </c>
      <c r="H831" s="693">
        <v>0</v>
      </c>
      <c r="I831" s="693">
        <v>0</v>
      </c>
      <c r="J831" s="693">
        <v>0</v>
      </c>
      <c r="K831" s="693">
        <v>180</v>
      </c>
      <c r="L831" s="693">
        <v>1</v>
      </c>
      <c r="M831" s="559"/>
      <c r="N831" s="284"/>
      <c r="O831" s="284"/>
      <c r="P831" s="284"/>
      <c r="Q831" s="284"/>
      <c r="R831" s="284"/>
      <c r="S831" s="284"/>
      <c r="T831" s="284"/>
      <c r="U831" s="284"/>
    </row>
    <row r="832" spans="1:21" ht="14.5" x14ac:dyDescent="0.35">
      <c r="A832" s="577" t="str">
        <f t="shared" ref="A832:A873" si="33">C832&amp;D832</f>
        <v>Infinitum Netflix Negocio 500 (Netflix 2 dispositivos)No Residencial</v>
      </c>
      <c r="B832" s="129">
        <v>66</v>
      </c>
      <c r="C832" s="434" t="s">
        <v>1094</v>
      </c>
      <c r="D832" s="340" t="s">
        <v>242</v>
      </c>
      <c r="E832" s="340" t="s">
        <v>241</v>
      </c>
      <c r="F832" s="693">
        <v>0</v>
      </c>
      <c r="G832" s="693">
        <v>35</v>
      </c>
      <c r="H832" s="693">
        <v>0</v>
      </c>
      <c r="I832" s="693">
        <v>0</v>
      </c>
      <c r="J832" s="693">
        <v>0</v>
      </c>
      <c r="K832" s="693">
        <v>52</v>
      </c>
      <c r="L832" s="693">
        <v>0</v>
      </c>
      <c r="M832" s="559"/>
      <c r="N832" s="284"/>
      <c r="O832" s="284"/>
      <c r="P832" s="284"/>
      <c r="Q832" s="284"/>
      <c r="R832" s="284"/>
      <c r="S832" s="284"/>
      <c r="T832" s="284"/>
      <c r="U832" s="284"/>
    </row>
    <row r="833" spans="1:75" ht="14.5" x14ac:dyDescent="0.35">
      <c r="A833" s="577" t="str">
        <f t="shared" si="33"/>
        <v>Paquete Infinitum Entretenimiento 30Residencial</v>
      </c>
      <c r="B833" s="129">
        <v>67</v>
      </c>
      <c r="C833" s="434" t="s">
        <v>1095</v>
      </c>
      <c r="D833" s="340" t="s">
        <v>240</v>
      </c>
      <c r="E833" s="340" t="s">
        <v>243</v>
      </c>
      <c r="F833" s="693">
        <v>16923</v>
      </c>
      <c r="G833" s="693">
        <v>26748</v>
      </c>
      <c r="H833" s="693">
        <v>8557</v>
      </c>
      <c r="I833" s="693">
        <v>0</v>
      </c>
      <c r="J833" s="693">
        <v>95022</v>
      </c>
      <c r="K833" s="693">
        <v>214503</v>
      </c>
      <c r="L833" s="693">
        <v>71905</v>
      </c>
      <c r="M833" s="559"/>
      <c r="N833" s="284"/>
      <c r="O833" s="284"/>
      <c r="P833" s="284"/>
      <c r="Q833" s="284"/>
      <c r="R833" s="284"/>
      <c r="S833" s="284"/>
      <c r="T833" s="284"/>
      <c r="U833" s="284"/>
    </row>
    <row r="834" spans="1:75" ht="14.5" x14ac:dyDescent="0.35">
      <c r="A834" s="577" t="str">
        <f t="shared" si="33"/>
        <v>Paquete Infinitum  Entretenimiento 40Residencial</v>
      </c>
      <c r="B834" s="129">
        <v>68</v>
      </c>
      <c r="C834" s="434" t="s">
        <v>1096</v>
      </c>
      <c r="D834" s="340" t="s">
        <v>240</v>
      </c>
      <c r="E834" s="340" t="s">
        <v>243</v>
      </c>
      <c r="F834" s="693">
        <v>638</v>
      </c>
      <c r="G834" s="693">
        <v>5278</v>
      </c>
      <c r="H834" s="693">
        <v>1547</v>
      </c>
      <c r="I834" s="693">
        <v>0</v>
      </c>
      <c r="J834" s="693">
        <v>3117</v>
      </c>
      <c r="K834" s="693">
        <v>39753</v>
      </c>
      <c r="L834" s="693">
        <v>4101</v>
      </c>
      <c r="M834" s="559"/>
      <c r="N834" s="284"/>
      <c r="O834" s="284"/>
      <c r="P834" s="284"/>
      <c r="Q834" s="284"/>
      <c r="R834" s="284"/>
      <c r="S834" s="284"/>
      <c r="T834" s="284"/>
      <c r="U834" s="284"/>
    </row>
    <row r="835" spans="1:75" ht="14.5" x14ac:dyDescent="0.35">
      <c r="A835" s="577" t="str">
        <f t="shared" si="33"/>
        <v>Paquete Infinitum Entretenimiento 50Residencial</v>
      </c>
      <c r="B835" s="129">
        <v>69</v>
      </c>
      <c r="C835" s="434" t="s">
        <v>1097</v>
      </c>
      <c r="D835" s="340" t="s">
        <v>240</v>
      </c>
      <c r="E835" s="340" t="s">
        <v>243</v>
      </c>
      <c r="F835" s="693">
        <v>161</v>
      </c>
      <c r="G835" s="693">
        <v>3117</v>
      </c>
      <c r="H835" s="693">
        <v>787</v>
      </c>
      <c r="I835" s="693">
        <v>0</v>
      </c>
      <c r="J835" s="693">
        <v>1068</v>
      </c>
      <c r="K835" s="693">
        <v>23463</v>
      </c>
      <c r="L835" s="693">
        <v>3063</v>
      </c>
      <c r="M835" s="559"/>
      <c r="N835" s="284"/>
      <c r="O835" s="284"/>
      <c r="P835" s="284"/>
      <c r="Q835" s="284"/>
      <c r="R835" s="284"/>
      <c r="S835" s="284"/>
      <c r="T835" s="284"/>
      <c r="U835" s="284"/>
    </row>
    <row r="836" spans="1:75" ht="14.5" x14ac:dyDescent="0.35">
      <c r="A836" s="577" t="str">
        <f t="shared" si="33"/>
        <v>Paquete Infinitum Entretenimiento 250Residencial</v>
      </c>
      <c r="B836" s="129">
        <v>70</v>
      </c>
      <c r="C836" s="434" t="s">
        <v>1098</v>
      </c>
      <c r="D836" s="340" t="s">
        <v>240</v>
      </c>
      <c r="E836" s="340" t="s">
        <v>243</v>
      </c>
      <c r="F836" s="693">
        <v>314</v>
      </c>
      <c r="G836" s="693">
        <v>12029</v>
      </c>
      <c r="H836" s="693">
        <v>200</v>
      </c>
      <c r="I836" s="693">
        <v>0</v>
      </c>
      <c r="J836" s="693">
        <v>6924</v>
      </c>
      <c r="K836" s="693">
        <v>81548</v>
      </c>
      <c r="L836" s="693">
        <v>4978</v>
      </c>
      <c r="M836" s="559"/>
      <c r="N836" s="284"/>
      <c r="O836" s="284"/>
      <c r="P836" s="284"/>
      <c r="Q836" s="284"/>
      <c r="R836" s="284"/>
      <c r="S836" s="284"/>
      <c r="T836" s="284"/>
      <c r="U836" s="284"/>
    </row>
    <row r="837" spans="1:75" ht="14.5" x14ac:dyDescent="0.35">
      <c r="A837" s="577" t="str">
        <f t="shared" si="33"/>
        <v>Paquete Infinitum Entretenimiento 500Residencial</v>
      </c>
      <c r="B837" s="129">
        <v>71</v>
      </c>
      <c r="C837" s="434" t="s">
        <v>1099</v>
      </c>
      <c r="D837" s="340" t="s">
        <v>240</v>
      </c>
      <c r="E837" s="340" t="s">
        <v>243</v>
      </c>
      <c r="F837" s="693">
        <v>3</v>
      </c>
      <c r="G837" s="693">
        <v>1993</v>
      </c>
      <c r="H837" s="693">
        <v>5</v>
      </c>
      <c r="I837" s="693">
        <v>0</v>
      </c>
      <c r="J837" s="693">
        <v>145</v>
      </c>
      <c r="K837" s="693">
        <v>10614</v>
      </c>
      <c r="L837" s="693">
        <v>125</v>
      </c>
      <c r="M837" s="559"/>
      <c r="N837" s="284"/>
      <c r="O837" s="284"/>
      <c r="P837" s="284"/>
      <c r="Q837" s="284"/>
      <c r="R837" s="284"/>
      <c r="S837" s="284"/>
      <c r="T837" s="284"/>
      <c r="U837" s="284"/>
    </row>
    <row r="838" spans="1:75" ht="14.5" x14ac:dyDescent="0.35">
      <c r="A838" s="577" t="str">
        <f t="shared" si="33"/>
        <v>Infinitum Entretenimiento 30Residencial</v>
      </c>
      <c r="B838" s="129">
        <v>72</v>
      </c>
      <c r="C838" s="434" t="s">
        <v>1100</v>
      </c>
      <c r="D838" s="340" t="s">
        <v>240</v>
      </c>
      <c r="E838" s="340" t="s">
        <v>241</v>
      </c>
      <c r="F838" s="693">
        <v>5368</v>
      </c>
      <c r="G838" s="693">
        <v>6879</v>
      </c>
      <c r="H838" s="693">
        <v>2887</v>
      </c>
      <c r="I838" s="693">
        <v>0</v>
      </c>
      <c r="J838" s="693">
        <v>25555</v>
      </c>
      <c r="K838" s="693">
        <v>42409</v>
      </c>
      <c r="L838" s="693">
        <v>8682</v>
      </c>
      <c r="M838" s="559"/>
      <c r="N838" s="284"/>
      <c r="O838" s="284"/>
      <c r="P838" s="284"/>
      <c r="Q838" s="284"/>
      <c r="R838" s="284"/>
      <c r="S838" s="284"/>
      <c r="T838" s="284"/>
      <c r="U838" s="284"/>
      <c r="BW838" s="430"/>
    </row>
    <row r="839" spans="1:75" ht="14.5" x14ac:dyDescent="0.35">
      <c r="A839" s="577" t="str">
        <f t="shared" si="33"/>
        <v>Infinitum Entretenimiento 40Residencial</v>
      </c>
      <c r="B839" s="129">
        <v>73</v>
      </c>
      <c r="C839" s="434" t="s">
        <v>1101</v>
      </c>
      <c r="D839" s="340" t="s">
        <v>240</v>
      </c>
      <c r="E839" s="340" t="s">
        <v>241</v>
      </c>
      <c r="F839" s="693">
        <v>169</v>
      </c>
      <c r="G839" s="693">
        <v>3513</v>
      </c>
      <c r="H839" s="693">
        <v>666</v>
      </c>
      <c r="I839" s="693">
        <v>0</v>
      </c>
      <c r="J839" s="693">
        <v>1334</v>
      </c>
      <c r="K839" s="693">
        <v>24760</v>
      </c>
      <c r="L839" s="693">
        <v>3951</v>
      </c>
      <c r="M839" s="559"/>
      <c r="N839" s="284"/>
      <c r="O839" s="284"/>
      <c r="P839" s="284"/>
      <c r="Q839" s="284"/>
      <c r="R839" s="284"/>
      <c r="S839" s="284"/>
      <c r="T839" s="284"/>
      <c r="U839" s="284"/>
    </row>
    <row r="840" spans="1:75" ht="14.5" x14ac:dyDescent="0.35">
      <c r="A840" s="577" t="str">
        <f t="shared" si="33"/>
        <v>Infinitum Entretenimiento 120Residencial</v>
      </c>
      <c r="B840" s="129">
        <v>74</v>
      </c>
      <c r="C840" s="434" t="s">
        <v>1243</v>
      </c>
      <c r="D840" s="340" t="s">
        <v>240</v>
      </c>
      <c r="E840" s="340" t="s">
        <v>241</v>
      </c>
      <c r="F840" s="693">
        <v>0</v>
      </c>
      <c r="G840" s="693">
        <v>0</v>
      </c>
      <c r="H840" s="693">
        <v>0</v>
      </c>
      <c r="I840" s="693">
        <v>0</v>
      </c>
      <c r="J840" s="693">
        <v>0</v>
      </c>
      <c r="K840" s="693">
        <v>452</v>
      </c>
      <c r="L840" s="693">
        <v>1</v>
      </c>
      <c r="M840" s="559"/>
      <c r="N840" s="284"/>
      <c r="O840" s="284"/>
      <c r="P840" s="284"/>
      <c r="Q840" s="284"/>
      <c r="R840" s="284"/>
      <c r="S840" s="284"/>
      <c r="T840" s="284"/>
      <c r="U840" s="284"/>
    </row>
    <row r="841" spans="1:75" ht="14.5" x14ac:dyDescent="0.35">
      <c r="A841" s="577" t="str">
        <f t="shared" si="33"/>
        <v>Infinitum Entretenimiento 200Residencial</v>
      </c>
      <c r="B841" s="129">
        <v>75</v>
      </c>
      <c r="C841" s="434" t="s">
        <v>1102</v>
      </c>
      <c r="D841" s="340" t="s">
        <v>240</v>
      </c>
      <c r="E841" s="340" t="s">
        <v>241</v>
      </c>
      <c r="F841" s="693">
        <v>14</v>
      </c>
      <c r="G841" s="693">
        <v>4655</v>
      </c>
      <c r="H841" s="693">
        <v>24</v>
      </c>
      <c r="I841" s="693">
        <v>0</v>
      </c>
      <c r="J841" s="693">
        <v>35</v>
      </c>
      <c r="K841" s="693">
        <v>19724</v>
      </c>
      <c r="L841" s="693">
        <v>262</v>
      </c>
      <c r="M841" s="559"/>
      <c r="N841" s="284"/>
      <c r="O841" s="284"/>
      <c r="P841" s="284"/>
      <c r="Q841" s="284"/>
      <c r="R841" s="284"/>
      <c r="S841" s="284"/>
      <c r="T841" s="284"/>
      <c r="U841" s="284"/>
    </row>
    <row r="842" spans="1:75" ht="14.5" x14ac:dyDescent="0.35">
      <c r="A842" s="577" t="str">
        <f t="shared" si="33"/>
        <v>Infinitum Entretenimiento 500Residencial</v>
      </c>
      <c r="B842" s="129">
        <v>76</v>
      </c>
      <c r="C842" s="434" t="s">
        <v>1103</v>
      </c>
      <c r="D842" s="340" t="s">
        <v>240</v>
      </c>
      <c r="E842" s="340" t="s">
        <v>241</v>
      </c>
      <c r="F842" s="693">
        <v>2</v>
      </c>
      <c r="G842" s="693">
        <v>1260</v>
      </c>
      <c r="H842" s="693">
        <v>0</v>
      </c>
      <c r="I842" s="693">
        <v>0</v>
      </c>
      <c r="J842" s="693">
        <v>3</v>
      </c>
      <c r="K842" s="693">
        <v>2657</v>
      </c>
      <c r="L842" s="693">
        <v>1</v>
      </c>
      <c r="M842" s="559"/>
      <c r="N842" s="284"/>
      <c r="O842" s="284"/>
      <c r="P842" s="284"/>
      <c r="Q842" s="284"/>
      <c r="R842" s="284"/>
      <c r="S842" s="284"/>
      <c r="T842" s="284"/>
      <c r="U842" s="284"/>
    </row>
    <row r="843" spans="1:75" ht="14.5" x14ac:dyDescent="0.35">
      <c r="A843" s="577" t="str">
        <f t="shared" si="33"/>
        <v>Paquete infinitum Entretenimiento+ 30  (Netflix 1 dispositivo)Residencial</v>
      </c>
      <c r="B843" s="129">
        <v>77</v>
      </c>
      <c r="C843" s="434" t="s">
        <v>1104</v>
      </c>
      <c r="D843" s="340" t="s">
        <v>240</v>
      </c>
      <c r="E843" s="340" t="s">
        <v>243</v>
      </c>
      <c r="F843" s="693">
        <v>3249</v>
      </c>
      <c r="G843" s="693">
        <v>4607</v>
      </c>
      <c r="H843" s="693">
        <v>1609</v>
      </c>
      <c r="I843" s="693">
        <v>0</v>
      </c>
      <c r="J843" s="693">
        <v>11913</v>
      </c>
      <c r="K843" s="693">
        <v>22644</v>
      </c>
      <c r="L843" s="693">
        <v>4494</v>
      </c>
      <c r="M843" s="559"/>
      <c r="N843" s="284"/>
      <c r="O843" s="284"/>
      <c r="P843" s="284"/>
      <c r="Q843" s="284"/>
      <c r="R843" s="284"/>
      <c r="S843" s="284"/>
      <c r="T843" s="284"/>
      <c r="U843" s="284"/>
    </row>
    <row r="844" spans="1:75" ht="14.5" x14ac:dyDescent="0.35">
      <c r="A844" s="577" t="str">
        <f t="shared" si="33"/>
        <v>Paquete infinitum Entretenimiento+ 30  (Netflix 2 dispositivos)Residencial</v>
      </c>
      <c r="B844" s="129">
        <v>78</v>
      </c>
      <c r="C844" s="434" t="s">
        <v>1105</v>
      </c>
      <c r="D844" s="340" t="s">
        <v>240</v>
      </c>
      <c r="E844" s="340" t="s">
        <v>243</v>
      </c>
      <c r="F844" s="693">
        <v>3679</v>
      </c>
      <c r="G844" s="693">
        <v>3761</v>
      </c>
      <c r="H844" s="693">
        <v>1753</v>
      </c>
      <c r="I844" s="693">
        <v>0</v>
      </c>
      <c r="J844" s="693">
        <v>14028</v>
      </c>
      <c r="K844" s="693">
        <v>17936</v>
      </c>
      <c r="L844" s="693">
        <v>8047</v>
      </c>
      <c r="M844" s="559"/>
      <c r="N844" s="284"/>
      <c r="O844" s="284"/>
      <c r="P844" s="284"/>
      <c r="Q844" s="284"/>
      <c r="R844" s="284"/>
      <c r="S844" s="284"/>
      <c r="T844" s="284"/>
      <c r="U844" s="284"/>
    </row>
    <row r="845" spans="1:75" ht="14.5" x14ac:dyDescent="0.35">
      <c r="A845" s="577" t="str">
        <f t="shared" si="33"/>
        <v>Paquete infinitum Entretenimiento+ 30  (Netflix 4 dispositivos)Residencial</v>
      </c>
      <c r="B845" s="129">
        <v>79</v>
      </c>
      <c r="C845" s="434" t="s">
        <v>1106</v>
      </c>
      <c r="D845" s="340" t="s">
        <v>240</v>
      </c>
      <c r="E845" s="340" t="s">
        <v>243</v>
      </c>
      <c r="F845" s="693">
        <v>3283</v>
      </c>
      <c r="G845" s="693">
        <v>3663</v>
      </c>
      <c r="H845" s="693">
        <v>1286</v>
      </c>
      <c r="I845" s="693">
        <v>0</v>
      </c>
      <c r="J845" s="693">
        <v>10421</v>
      </c>
      <c r="K845" s="693">
        <v>11134</v>
      </c>
      <c r="L845" s="693">
        <v>5457</v>
      </c>
      <c r="M845" s="559"/>
      <c r="N845" s="284"/>
      <c r="O845" s="284"/>
      <c r="P845" s="284"/>
      <c r="Q845" s="284"/>
      <c r="R845" s="284"/>
      <c r="S845" s="284"/>
      <c r="T845" s="284"/>
      <c r="U845" s="284"/>
    </row>
    <row r="846" spans="1:75" ht="14.5" x14ac:dyDescent="0.35">
      <c r="A846" s="577" t="str">
        <f t="shared" si="33"/>
        <v>Paquete Infinitum Entretenimiento+ 70   (Netflix 2 dispositivos)Residencial</v>
      </c>
      <c r="B846" s="129">
        <v>80</v>
      </c>
      <c r="C846" s="434" t="s">
        <v>1107</v>
      </c>
      <c r="D846" s="340" t="s">
        <v>240</v>
      </c>
      <c r="E846" s="340" t="s">
        <v>243</v>
      </c>
      <c r="F846" s="693">
        <v>176</v>
      </c>
      <c r="G846" s="693">
        <v>2358</v>
      </c>
      <c r="H846" s="693">
        <v>494</v>
      </c>
      <c r="I846" s="693">
        <v>0</v>
      </c>
      <c r="J846" s="693">
        <v>379</v>
      </c>
      <c r="K846" s="693">
        <v>7728</v>
      </c>
      <c r="L846" s="693">
        <v>1508</v>
      </c>
      <c r="M846" s="559"/>
      <c r="N846" s="284"/>
      <c r="O846" s="284"/>
      <c r="P846" s="284"/>
      <c r="Q846" s="284"/>
      <c r="R846" s="284"/>
      <c r="S846" s="284"/>
      <c r="T846" s="284"/>
      <c r="U846" s="284"/>
    </row>
    <row r="847" spans="1:75" ht="14.5" x14ac:dyDescent="0.35">
      <c r="A847" s="577" t="str">
        <f t="shared" si="33"/>
        <v>Paquete Infinitum Entretenimiento+ 70   (Netflix 4 dispositivos)Residencial</v>
      </c>
      <c r="B847" s="129">
        <v>81</v>
      </c>
      <c r="C847" s="434" t="s">
        <v>1108</v>
      </c>
      <c r="D847" s="340" t="s">
        <v>240</v>
      </c>
      <c r="E847" s="340" t="s">
        <v>243</v>
      </c>
      <c r="F847" s="693">
        <v>148</v>
      </c>
      <c r="G847" s="693">
        <v>1748</v>
      </c>
      <c r="H847" s="693">
        <v>382</v>
      </c>
      <c r="I847" s="693">
        <v>0</v>
      </c>
      <c r="J847" s="693">
        <v>270</v>
      </c>
      <c r="K847" s="693">
        <v>3618</v>
      </c>
      <c r="L847" s="693">
        <v>1349</v>
      </c>
      <c r="M847" s="559"/>
      <c r="N847" s="284"/>
      <c r="O847" s="284"/>
      <c r="P847" s="284"/>
      <c r="Q847" s="284"/>
      <c r="R847" s="284"/>
      <c r="S847" s="284"/>
      <c r="T847" s="284"/>
      <c r="U847" s="284"/>
    </row>
    <row r="848" spans="1:75" ht="14.5" x14ac:dyDescent="0.35">
      <c r="A848" s="577" t="str">
        <f t="shared" si="33"/>
        <v>Paquete Infinitum Entretenimiento+ 120    (Netflix 2 dispositivos)Residencial</v>
      </c>
      <c r="B848" s="129">
        <v>82</v>
      </c>
      <c r="C848" s="434" t="s">
        <v>1109</v>
      </c>
      <c r="D848" s="340" t="s">
        <v>240</v>
      </c>
      <c r="E848" s="340" t="s">
        <v>243</v>
      </c>
      <c r="F848" s="693">
        <v>36</v>
      </c>
      <c r="G848" s="693">
        <v>1094</v>
      </c>
      <c r="H848" s="693">
        <v>382</v>
      </c>
      <c r="I848" s="693">
        <v>0</v>
      </c>
      <c r="J848" s="693">
        <v>77</v>
      </c>
      <c r="K848" s="693">
        <v>4250</v>
      </c>
      <c r="L848" s="693">
        <v>550</v>
      </c>
      <c r="M848" s="559"/>
      <c r="N848" s="284"/>
      <c r="O848" s="284"/>
      <c r="P848" s="284"/>
      <c r="Q848" s="284"/>
      <c r="R848" s="284"/>
      <c r="S848" s="284"/>
      <c r="T848" s="284"/>
      <c r="U848" s="284"/>
    </row>
    <row r="849" spans="1:21" ht="14.5" x14ac:dyDescent="0.35">
      <c r="A849" s="577" t="str">
        <f t="shared" si="33"/>
        <v>Paquete Infinitum Entretenimiento+ 120    (Netflix 4 dispositivos)Residencial</v>
      </c>
      <c r="B849" s="129">
        <v>83</v>
      </c>
      <c r="C849" s="434" t="s">
        <v>1110</v>
      </c>
      <c r="D849" s="340" t="s">
        <v>240</v>
      </c>
      <c r="E849" s="340" t="s">
        <v>243</v>
      </c>
      <c r="F849" s="693">
        <v>35</v>
      </c>
      <c r="G849" s="693">
        <v>563</v>
      </c>
      <c r="H849" s="693">
        <v>292</v>
      </c>
      <c r="I849" s="693">
        <v>0</v>
      </c>
      <c r="J849" s="693">
        <v>94</v>
      </c>
      <c r="K849" s="693">
        <v>3187</v>
      </c>
      <c r="L849" s="693">
        <v>482</v>
      </c>
      <c r="M849" s="559"/>
      <c r="N849" s="284"/>
      <c r="O849" s="284"/>
      <c r="P849" s="284"/>
      <c r="Q849" s="284"/>
      <c r="R849" s="284"/>
      <c r="S849" s="284"/>
      <c r="T849" s="284"/>
      <c r="U849" s="284"/>
    </row>
    <row r="850" spans="1:21" ht="14.5" x14ac:dyDescent="0.35">
      <c r="A850" s="577" t="str">
        <f t="shared" si="33"/>
        <v>Paquete infinitum Entretenimiento+ 200  (Netflix 4 dispositivos)Residencial</v>
      </c>
      <c r="B850" s="129">
        <v>84</v>
      </c>
      <c r="C850" s="434" t="s">
        <v>1111</v>
      </c>
      <c r="D850" s="340" t="s">
        <v>240</v>
      </c>
      <c r="E850" s="340" t="s">
        <v>243</v>
      </c>
      <c r="F850" s="693">
        <v>17</v>
      </c>
      <c r="G850" s="693">
        <v>4715</v>
      </c>
      <c r="H850" s="693">
        <v>98</v>
      </c>
      <c r="I850" s="693">
        <v>0</v>
      </c>
      <c r="J850" s="693">
        <v>41</v>
      </c>
      <c r="K850" s="693">
        <v>18778</v>
      </c>
      <c r="L850" s="693">
        <v>217</v>
      </c>
      <c r="M850" s="559"/>
      <c r="N850" s="284"/>
      <c r="O850" s="284"/>
      <c r="P850" s="284"/>
      <c r="Q850" s="284"/>
      <c r="R850" s="284"/>
      <c r="S850" s="284"/>
      <c r="T850" s="284"/>
      <c r="U850" s="284"/>
    </row>
    <row r="851" spans="1:21" ht="14.5" x14ac:dyDescent="0.35">
      <c r="A851" s="577" t="str">
        <f t="shared" si="33"/>
        <v>Paquete infinitum Entretenimiento+ 200  (Netflix 2 dispositivos)Residencial</v>
      </c>
      <c r="B851" s="129">
        <v>85</v>
      </c>
      <c r="C851" s="434" t="s">
        <v>1112</v>
      </c>
      <c r="D851" s="340" t="s">
        <v>240</v>
      </c>
      <c r="E851" s="340" t="s">
        <v>243</v>
      </c>
      <c r="F851" s="693">
        <v>10</v>
      </c>
      <c r="G851" s="693">
        <v>946</v>
      </c>
      <c r="H851" s="693">
        <v>151</v>
      </c>
      <c r="I851" s="693">
        <v>0</v>
      </c>
      <c r="J851" s="693">
        <v>20</v>
      </c>
      <c r="K851" s="693">
        <v>3497</v>
      </c>
      <c r="L851" s="693">
        <v>158</v>
      </c>
      <c r="M851" s="559"/>
      <c r="N851" s="284"/>
      <c r="O851" s="284"/>
      <c r="P851" s="284"/>
      <c r="Q851" s="284"/>
      <c r="R851" s="284"/>
      <c r="S851" s="284"/>
      <c r="T851" s="284"/>
      <c r="U851" s="284"/>
    </row>
    <row r="852" spans="1:21" ht="14.5" x14ac:dyDescent="0.35">
      <c r="A852" s="577" t="str">
        <f t="shared" si="33"/>
        <v>Paquete infinitum Entretenimiento+ 500 (Netflix 4 dispositivos)Residencial</v>
      </c>
      <c r="B852" s="129">
        <v>86</v>
      </c>
      <c r="C852" s="434" t="s">
        <v>1113</v>
      </c>
      <c r="D852" s="340" t="s">
        <v>240</v>
      </c>
      <c r="E852" s="340" t="s">
        <v>243</v>
      </c>
      <c r="F852" s="693">
        <v>0</v>
      </c>
      <c r="G852" s="693">
        <v>674</v>
      </c>
      <c r="H852" s="693">
        <v>0</v>
      </c>
      <c r="I852" s="693">
        <v>0</v>
      </c>
      <c r="J852" s="693">
        <v>1</v>
      </c>
      <c r="K852" s="693">
        <v>1491</v>
      </c>
      <c r="L852" s="693">
        <v>0</v>
      </c>
      <c r="M852" s="559"/>
      <c r="N852" s="284"/>
      <c r="O852" s="284"/>
      <c r="P852" s="284"/>
      <c r="Q852" s="284"/>
      <c r="R852" s="284"/>
      <c r="S852" s="284"/>
      <c r="T852" s="284"/>
      <c r="U852" s="284"/>
    </row>
    <row r="853" spans="1:21" ht="14.5" x14ac:dyDescent="0.35">
      <c r="A853" s="577" t="str">
        <f t="shared" si="33"/>
        <v>Paquete infinitum Entretenimiento+ 500  (Netflix 2 dispositivos)Residencial</v>
      </c>
      <c r="B853" s="129">
        <v>87</v>
      </c>
      <c r="C853" s="434" t="s">
        <v>1114</v>
      </c>
      <c r="D853" s="340" t="s">
        <v>240</v>
      </c>
      <c r="E853" s="340" t="s">
        <v>243</v>
      </c>
      <c r="F853" s="693">
        <v>0</v>
      </c>
      <c r="G853" s="693">
        <v>152</v>
      </c>
      <c r="H853" s="693">
        <v>0</v>
      </c>
      <c r="I853" s="693">
        <v>0</v>
      </c>
      <c r="J853" s="693">
        <v>0</v>
      </c>
      <c r="K853" s="693">
        <v>309</v>
      </c>
      <c r="L853" s="693">
        <v>0</v>
      </c>
      <c r="M853" s="559"/>
      <c r="N853" s="284"/>
      <c r="O853" s="284"/>
      <c r="P853" s="284"/>
      <c r="Q853" s="284"/>
      <c r="R853" s="284"/>
      <c r="S853" s="284"/>
      <c r="T853" s="284"/>
      <c r="U853" s="284"/>
    </row>
    <row r="854" spans="1:21" ht="14.5" x14ac:dyDescent="0.35">
      <c r="A854" s="577" t="str">
        <f t="shared" si="33"/>
        <v>Infinitum Entretenimiento +30   (Netflix 1 dispositivo)Residencial</v>
      </c>
      <c r="B854" s="129">
        <v>88</v>
      </c>
      <c r="C854" s="434" t="s">
        <v>1115</v>
      </c>
      <c r="D854" s="340" t="s">
        <v>240</v>
      </c>
      <c r="E854" s="340" t="s">
        <v>241</v>
      </c>
      <c r="F854" s="693">
        <v>574</v>
      </c>
      <c r="G854" s="693">
        <v>433</v>
      </c>
      <c r="H854" s="693">
        <v>180</v>
      </c>
      <c r="I854" s="693">
        <v>0</v>
      </c>
      <c r="J854" s="693">
        <v>2530</v>
      </c>
      <c r="K854" s="693">
        <v>5040</v>
      </c>
      <c r="L854" s="693">
        <v>883</v>
      </c>
      <c r="M854" s="559"/>
      <c r="N854" s="284"/>
      <c r="O854" s="284"/>
      <c r="P854" s="284"/>
      <c r="Q854" s="284"/>
      <c r="R854" s="284"/>
      <c r="S854" s="284"/>
      <c r="T854" s="284"/>
      <c r="U854" s="284"/>
    </row>
    <row r="855" spans="1:21" ht="14.5" x14ac:dyDescent="0.35">
      <c r="A855" s="577" t="str">
        <f t="shared" si="33"/>
        <v>Infinitum Entretenimiento +30   (Netflix 2 dispositivos)Residencial</v>
      </c>
      <c r="B855" s="129">
        <v>89</v>
      </c>
      <c r="C855" s="434" t="s">
        <v>1116</v>
      </c>
      <c r="D855" s="340" t="s">
        <v>240</v>
      </c>
      <c r="E855" s="340" t="s">
        <v>241</v>
      </c>
      <c r="F855" s="693">
        <v>571</v>
      </c>
      <c r="G855" s="693">
        <v>444</v>
      </c>
      <c r="H855" s="693">
        <v>159</v>
      </c>
      <c r="I855" s="693">
        <v>0</v>
      </c>
      <c r="J855" s="693">
        <v>3021</v>
      </c>
      <c r="K855" s="693">
        <v>5157</v>
      </c>
      <c r="L855" s="693">
        <v>1245</v>
      </c>
      <c r="M855" s="559"/>
      <c r="N855" s="284"/>
      <c r="O855" s="284"/>
      <c r="P855" s="284"/>
      <c r="Q855" s="284"/>
      <c r="R855" s="284"/>
      <c r="S855" s="284"/>
      <c r="T855" s="284"/>
      <c r="U855" s="284"/>
    </row>
    <row r="856" spans="1:21" ht="14.5" x14ac:dyDescent="0.35">
      <c r="A856" s="577" t="str">
        <f t="shared" si="33"/>
        <v>Infinitum Entretenimiento +30   (Netflix 4 dispositivos)Residencial</v>
      </c>
      <c r="B856" s="129">
        <v>90</v>
      </c>
      <c r="C856" s="434" t="s">
        <v>1117</v>
      </c>
      <c r="D856" s="340" t="s">
        <v>240</v>
      </c>
      <c r="E856" s="340" t="s">
        <v>241</v>
      </c>
      <c r="F856" s="693">
        <v>258</v>
      </c>
      <c r="G856" s="693">
        <v>283</v>
      </c>
      <c r="H856" s="693">
        <v>110</v>
      </c>
      <c r="I856" s="693">
        <v>0</v>
      </c>
      <c r="J856" s="693">
        <v>1907</v>
      </c>
      <c r="K856" s="693">
        <v>2112</v>
      </c>
      <c r="L856" s="693">
        <v>779</v>
      </c>
      <c r="M856" s="559"/>
      <c r="N856" s="284"/>
      <c r="O856" s="284"/>
      <c r="P856" s="284"/>
      <c r="Q856" s="284"/>
      <c r="R856" s="284"/>
      <c r="S856" s="284"/>
      <c r="T856" s="284"/>
      <c r="U856" s="284"/>
    </row>
    <row r="857" spans="1:21" ht="14.5" x14ac:dyDescent="0.35">
      <c r="A857" s="577" t="str">
        <f t="shared" si="33"/>
        <v>Infinitum Entretenimiento+ 250  (Netflix 4 dispositivos)Residencial</v>
      </c>
      <c r="B857" s="129">
        <v>91</v>
      </c>
      <c r="C857" s="434" t="s">
        <v>1120</v>
      </c>
      <c r="D857" s="340" t="s">
        <v>240</v>
      </c>
      <c r="E857" s="340" t="s">
        <v>241</v>
      </c>
      <c r="F857" s="693">
        <v>0</v>
      </c>
      <c r="G857" s="693">
        <v>357</v>
      </c>
      <c r="H857" s="693">
        <v>10</v>
      </c>
      <c r="I857" s="693">
        <v>0</v>
      </c>
      <c r="J857" s="693">
        <v>5</v>
      </c>
      <c r="K857" s="693">
        <v>2943</v>
      </c>
      <c r="L857" s="693">
        <v>29</v>
      </c>
      <c r="M857" s="559"/>
      <c r="N857" s="284"/>
      <c r="O857" s="284"/>
      <c r="P857" s="284"/>
      <c r="Q857" s="284"/>
      <c r="R857" s="284"/>
      <c r="S857" s="284"/>
      <c r="T857" s="284"/>
      <c r="U857" s="284"/>
    </row>
    <row r="858" spans="1:21" ht="14.5" x14ac:dyDescent="0.35">
      <c r="A858" s="577" t="str">
        <f t="shared" si="33"/>
        <v>Infinitum Entretenimiento+ 250  (Netflix 2 dispositivos)Residencial</v>
      </c>
      <c r="B858" s="129">
        <v>92</v>
      </c>
      <c r="C858" s="434" t="s">
        <v>1121</v>
      </c>
      <c r="D858" s="340" t="s">
        <v>240</v>
      </c>
      <c r="E858" s="340" t="s">
        <v>241</v>
      </c>
      <c r="F858" s="693">
        <v>1</v>
      </c>
      <c r="G858" s="693">
        <v>96</v>
      </c>
      <c r="H858" s="693">
        <v>13</v>
      </c>
      <c r="I858" s="693">
        <v>0</v>
      </c>
      <c r="J858" s="693">
        <v>4</v>
      </c>
      <c r="K858" s="693">
        <v>640</v>
      </c>
      <c r="L858" s="693">
        <v>25</v>
      </c>
      <c r="M858" s="559"/>
      <c r="N858" s="284"/>
      <c r="O858" s="284"/>
      <c r="P858" s="284"/>
      <c r="Q858" s="284"/>
      <c r="R858" s="284"/>
      <c r="S858" s="284"/>
      <c r="T858" s="284"/>
      <c r="U858" s="284"/>
    </row>
    <row r="859" spans="1:21" ht="14.5" x14ac:dyDescent="0.35">
      <c r="A859" s="577" t="str">
        <f t="shared" si="33"/>
        <v>Infinitum Entretenimiento+ 500   (Netflix 4 dispositivos)Residencial</v>
      </c>
      <c r="B859" s="129">
        <v>93</v>
      </c>
      <c r="C859" s="434" t="s">
        <v>1122</v>
      </c>
      <c r="D859" s="340" t="s">
        <v>240</v>
      </c>
      <c r="E859" s="340" t="s">
        <v>241</v>
      </c>
      <c r="F859" s="693">
        <v>0</v>
      </c>
      <c r="G859" s="693">
        <v>45</v>
      </c>
      <c r="H859" s="693">
        <v>0</v>
      </c>
      <c r="I859" s="693">
        <v>0</v>
      </c>
      <c r="J859" s="693">
        <v>0</v>
      </c>
      <c r="K859" s="693">
        <v>490</v>
      </c>
      <c r="L859" s="693">
        <v>1</v>
      </c>
      <c r="M859" s="559"/>
      <c r="N859" s="284"/>
      <c r="O859" s="284"/>
      <c r="P859" s="284"/>
      <c r="Q859" s="284"/>
      <c r="R859" s="284"/>
      <c r="S859" s="284"/>
      <c r="T859" s="284"/>
      <c r="U859" s="284"/>
    </row>
    <row r="860" spans="1:21" ht="14.5" x14ac:dyDescent="0.35">
      <c r="A860" s="577" t="str">
        <f t="shared" si="33"/>
        <v>Infinitum Entretenimiento+ 500   (Netflix 2 dispositivos)Residencial</v>
      </c>
      <c r="B860" s="129">
        <v>94</v>
      </c>
      <c r="C860" s="434" t="s">
        <v>1123</v>
      </c>
      <c r="D860" s="340" t="s">
        <v>240</v>
      </c>
      <c r="E860" s="340" t="s">
        <v>241</v>
      </c>
      <c r="F860" s="693">
        <v>0</v>
      </c>
      <c r="G860" s="693">
        <v>22</v>
      </c>
      <c r="H860" s="693">
        <v>0</v>
      </c>
      <c r="I860" s="693">
        <v>0</v>
      </c>
      <c r="J860" s="693">
        <v>0</v>
      </c>
      <c r="K860" s="693">
        <v>87</v>
      </c>
      <c r="L860" s="693">
        <v>0</v>
      </c>
      <c r="M860" s="559"/>
      <c r="N860" s="284"/>
      <c r="O860" s="284"/>
      <c r="P860" s="284"/>
      <c r="Q860" s="284"/>
      <c r="R860" s="284"/>
      <c r="S860" s="284"/>
      <c r="T860" s="284"/>
      <c r="U860" s="284"/>
    </row>
    <row r="861" spans="1:21" ht="14.5" x14ac:dyDescent="0.35">
      <c r="A861" s="577" t="str">
        <f t="shared" si="33"/>
        <v>Velocidad Simétrica Conectes NegocioNo Residencial</v>
      </c>
      <c r="B861" s="129">
        <v>95</v>
      </c>
      <c r="C861" s="277" t="s">
        <v>817</v>
      </c>
      <c r="D861" s="340" t="s">
        <v>242</v>
      </c>
      <c r="E861" s="340" t="s">
        <v>243</v>
      </c>
      <c r="F861" s="693">
        <v>63</v>
      </c>
      <c r="G861" s="693">
        <v>9342</v>
      </c>
      <c r="H861" s="693">
        <v>18</v>
      </c>
      <c r="I861" s="693">
        <v>0</v>
      </c>
      <c r="J861" s="693">
        <v>51</v>
      </c>
      <c r="K861" s="693">
        <v>10147</v>
      </c>
      <c r="L861" s="693">
        <v>14</v>
      </c>
      <c r="M861" s="559">
        <v>0</v>
      </c>
      <c r="N861" s="284"/>
      <c r="O861" s="284"/>
      <c r="P861" s="284"/>
      <c r="Q861" s="284"/>
      <c r="R861" s="284"/>
      <c r="S861" s="284"/>
      <c r="T861" s="284"/>
      <c r="U861" s="284"/>
    </row>
    <row r="862" spans="1:21" ht="14.5" x14ac:dyDescent="0.35">
      <c r="A862" s="577" t="str">
        <f t="shared" si="33"/>
        <v>Velocidad Simétrica Mi NegocioNo Residencial</v>
      </c>
      <c r="B862" s="129">
        <v>96</v>
      </c>
      <c r="C862" s="277" t="s">
        <v>818</v>
      </c>
      <c r="D862" s="340" t="s">
        <v>242</v>
      </c>
      <c r="E862" s="340" t="s">
        <v>243</v>
      </c>
      <c r="F862" s="693">
        <v>22</v>
      </c>
      <c r="G862" s="693">
        <v>11886</v>
      </c>
      <c r="H862" s="693">
        <v>9</v>
      </c>
      <c r="I862" s="693">
        <v>0</v>
      </c>
      <c r="J862" s="693">
        <v>18</v>
      </c>
      <c r="K862" s="693">
        <v>14987</v>
      </c>
      <c r="L862" s="693">
        <v>15</v>
      </c>
      <c r="M862" s="559">
        <v>0</v>
      </c>
      <c r="N862" s="284"/>
      <c r="O862" s="284"/>
      <c r="P862" s="284"/>
      <c r="Q862" s="284"/>
      <c r="R862" s="284"/>
      <c r="S862" s="284"/>
      <c r="T862" s="284"/>
      <c r="U862" s="284"/>
    </row>
    <row r="863" spans="1:21" ht="14.5" x14ac:dyDescent="0.35">
      <c r="A863" s="577" t="str">
        <f t="shared" si="33"/>
        <v>Velocidad Simétrica SupernegocioNo Residencial</v>
      </c>
      <c r="B863" s="129">
        <v>97</v>
      </c>
      <c r="C863" s="277" t="s">
        <v>1043</v>
      </c>
      <c r="D863" s="340" t="s">
        <v>242</v>
      </c>
      <c r="E863" s="340" t="s">
        <v>243</v>
      </c>
      <c r="F863" s="693">
        <v>10</v>
      </c>
      <c r="G863" s="693">
        <v>11117</v>
      </c>
      <c r="H863" s="693">
        <v>3</v>
      </c>
      <c r="I863" s="693">
        <v>0</v>
      </c>
      <c r="J863" s="693">
        <v>7</v>
      </c>
      <c r="K863" s="693">
        <v>11862</v>
      </c>
      <c r="L863" s="693">
        <v>6</v>
      </c>
      <c r="M863" s="559">
        <v>0</v>
      </c>
      <c r="N863" s="284"/>
      <c r="O863" s="284"/>
      <c r="P863" s="284"/>
      <c r="Q863" s="284"/>
      <c r="R863" s="284"/>
      <c r="S863" s="284"/>
      <c r="T863" s="284"/>
      <c r="U863" s="284"/>
    </row>
    <row r="864" spans="1:21" ht="14.5" x14ac:dyDescent="0.35">
      <c r="A864" s="577" t="str">
        <f t="shared" si="33"/>
        <v>Velocidad Simétrica Telmex Negocio Sin Límites 1No Residencial</v>
      </c>
      <c r="B864" s="129">
        <v>98</v>
      </c>
      <c r="C864" s="277" t="s">
        <v>844</v>
      </c>
      <c r="D864" s="340" t="s">
        <v>242</v>
      </c>
      <c r="E864" s="340" t="s">
        <v>243</v>
      </c>
      <c r="F864" s="693">
        <v>3</v>
      </c>
      <c r="G864" s="693">
        <v>2645</v>
      </c>
      <c r="H864" s="693">
        <v>1</v>
      </c>
      <c r="I864" s="693">
        <v>0</v>
      </c>
      <c r="J864" s="693">
        <v>2</v>
      </c>
      <c r="K864" s="693">
        <v>3084</v>
      </c>
      <c r="L864" s="693">
        <v>1</v>
      </c>
      <c r="M864" s="559"/>
      <c r="N864" s="284"/>
      <c r="O864" s="284"/>
      <c r="P864" s="284"/>
      <c r="Q864" s="284"/>
      <c r="R864" s="284"/>
      <c r="S864" s="284"/>
      <c r="T864" s="284"/>
      <c r="U864" s="284"/>
    </row>
    <row r="865" spans="1:116" ht="14.5" x14ac:dyDescent="0.35">
      <c r="A865" s="577" t="str">
        <f t="shared" si="33"/>
        <v>Velocidad Simétrica Telmex Negocio Sin Límites 2No Residencial</v>
      </c>
      <c r="B865" s="129">
        <v>99</v>
      </c>
      <c r="C865" s="277" t="s">
        <v>845</v>
      </c>
      <c r="D865" s="340" t="s">
        <v>242</v>
      </c>
      <c r="E865" s="340" t="s">
        <v>243</v>
      </c>
      <c r="F865" s="693">
        <v>5</v>
      </c>
      <c r="G865" s="693">
        <v>3735</v>
      </c>
      <c r="H865" s="693">
        <v>0</v>
      </c>
      <c r="I865" s="693">
        <v>0</v>
      </c>
      <c r="J865" s="693">
        <v>3</v>
      </c>
      <c r="K865" s="693">
        <v>5340</v>
      </c>
      <c r="L865" s="693">
        <v>1</v>
      </c>
      <c r="M865" s="559"/>
      <c r="N865" s="284"/>
      <c r="O865" s="284"/>
      <c r="P865" s="284"/>
      <c r="Q865" s="284"/>
      <c r="R865" s="284"/>
      <c r="S865" s="284"/>
      <c r="T865" s="284"/>
      <c r="U865" s="284"/>
    </row>
    <row r="866" spans="1:116" ht="14.5" x14ac:dyDescent="0.35">
      <c r="A866" s="577" t="str">
        <f t="shared" si="33"/>
        <v>Velocidad Simétrica Telmex Negocio Sin Límites 3No Residencial</v>
      </c>
      <c r="B866" s="129">
        <v>100</v>
      </c>
      <c r="C866" s="277" t="s">
        <v>846</v>
      </c>
      <c r="D866" s="340" t="s">
        <v>242</v>
      </c>
      <c r="E866" s="340" t="s">
        <v>243</v>
      </c>
      <c r="F866" s="693">
        <v>3</v>
      </c>
      <c r="G866" s="693">
        <v>2068</v>
      </c>
      <c r="H866" s="693">
        <v>0</v>
      </c>
      <c r="I866" s="693">
        <v>0</v>
      </c>
      <c r="J866" s="693">
        <v>2</v>
      </c>
      <c r="K866" s="693">
        <v>3577</v>
      </c>
      <c r="L866" s="693">
        <v>0</v>
      </c>
      <c r="M866" s="559"/>
      <c r="N866" s="284"/>
      <c r="O866" s="284"/>
      <c r="P866" s="284"/>
      <c r="Q866" s="284"/>
      <c r="R866" s="284"/>
      <c r="S866" s="284"/>
      <c r="T866" s="284"/>
      <c r="U866" s="284"/>
    </row>
    <row r="867" spans="1:116" ht="14.5" x14ac:dyDescent="0.35">
      <c r="A867" s="577" t="str">
        <f t="shared" si="33"/>
        <v>Velocidad Simétrica Conectes Negocio Netflix (1 dispositivo) No Residencial</v>
      </c>
      <c r="B867" s="129">
        <v>101</v>
      </c>
      <c r="C867" s="277" t="s">
        <v>1239</v>
      </c>
      <c r="D867" s="340" t="s">
        <v>242</v>
      </c>
      <c r="E867" s="340" t="s">
        <v>243</v>
      </c>
      <c r="F867" s="693">
        <v>0</v>
      </c>
      <c r="G867" s="693">
        <v>0</v>
      </c>
      <c r="H867" s="693">
        <v>0</v>
      </c>
      <c r="I867" s="693">
        <v>0</v>
      </c>
      <c r="J867" s="693">
        <v>0</v>
      </c>
      <c r="K867" s="693">
        <v>4</v>
      </c>
      <c r="L867" s="693">
        <v>0</v>
      </c>
      <c r="M867" s="559"/>
      <c r="N867" s="284"/>
      <c r="O867" s="284"/>
      <c r="P867" s="284"/>
      <c r="Q867" s="284"/>
      <c r="R867" s="284"/>
      <c r="S867" s="284"/>
      <c r="T867" s="284"/>
      <c r="U867" s="284"/>
    </row>
    <row r="868" spans="1:116" ht="14.5" x14ac:dyDescent="0.35">
      <c r="A868" s="577" t="str">
        <f t="shared" si="33"/>
        <v>Velocidad Simétrica Conectes Negocio Netflix (2 dispositivos)No Residencial</v>
      </c>
      <c r="B868" s="129">
        <v>102</v>
      </c>
      <c r="C868" s="277" t="s">
        <v>1045</v>
      </c>
      <c r="D868" s="340" t="s">
        <v>242</v>
      </c>
      <c r="E868" s="340" t="s">
        <v>243</v>
      </c>
      <c r="F868" s="693">
        <v>0</v>
      </c>
      <c r="G868" s="693">
        <v>0</v>
      </c>
      <c r="H868" s="693">
        <v>0</v>
      </c>
      <c r="I868" s="693">
        <v>0</v>
      </c>
      <c r="J868" s="693">
        <v>0</v>
      </c>
      <c r="K868" s="693">
        <v>4</v>
      </c>
      <c r="L868" s="693">
        <v>0</v>
      </c>
      <c r="M868" s="559"/>
      <c r="N868" s="284"/>
      <c r="O868" s="284"/>
      <c r="P868" s="284"/>
      <c r="Q868" s="284"/>
      <c r="R868" s="284"/>
      <c r="S868" s="284"/>
      <c r="T868" s="284"/>
      <c r="U868" s="284"/>
    </row>
    <row r="869" spans="1:116" ht="14.5" x14ac:dyDescent="0.35">
      <c r="A869" s="577" t="str">
        <f t="shared" si="33"/>
        <v>Velocidad Simétrica Conectes Negocio Netflix (4 dispositivos)No Residencial</v>
      </c>
      <c r="B869" s="129">
        <v>103</v>
      </c>
      <c r="C869" s="277" t="s">
        <v>1046</v>
      </c>
      <c r="D869" s="340" t="s">
        <v>242</v>
      </c>
      <c r="E869" s="340" t="s">
        <v>243</v>
      </c>
      <c r="F869" s="693">
        <v>0</v>
      </c>
      <c r="G869" s="693">
        <v>0</v>
      </c>
      <c r="H869" s="693">
        <v>0</v>
      </c>
      <c r="I869" s="693">
        <v>0</v>
      </c>
      <c r="J869" s="693">
        <v>0</v>
      </c>
      <c r="K869" s="693">
        <v>4</v>
      </c>
      <c r="L869" s="693">
        <v>0</v>
      </c>
      <c r="M869" s="559"/>
      <c r="N869" s="284"/>
      <c r="O869" s="284"/>
      <c r="P869" s="284"/>
      <c r="Q869" s="284"/>
      <c r="R869" s="284"/>
      <c r="S869" s="284"/>
      <c r="T869" s="284"/>
      <c r="U869" s="284"/>
    </row>
    <row r="870" spans="1:116" ht="14.5" x14ac:dyDescent="0.35">
      <c r="A870" s="577" t="str">
        <f t="shared" si="33"/>
        <v>Velocidad Simétrica Mi Negocio Netflix (2 dispositivos)No Residencial</v>
      </c>
      <c r="B870" s="129">
        <v>104</v>
      </c>
      <c r="C870" s="277" t="s">
        <v>1047</v>
      </c>
      <c r="D870" s="340" t="s">
        <v>242</v>
      </c>
      <c r="E870" s="340" t="s">
        <v>243</v>
      </c>
      <c r="F870" s="693">
        <v>0</v>
      </c>
      <c r="G870" s="693">
        <v>1</v>
      </c>
      <c r="H870" s="693">
        <v>0</v>
      </c>
      <c r="I870" s="693">
        <v>0</v>
      </c>
      <c r="J870" s="693">
        <v>0</v>
      </c>
      <c r="K870" s="693">
        <v>18</v>
      </c>
      <c r="L870" s="693">
        <v>0</v>
      </c>
      <c r="M870" s="559"/>
      <c r="N870" s="284"/>
      <c r="O870" s="284"/>
      <c r="P870" s="284"/>
      <c r="Q870" s="284"/>
      <c r="R870" s="284"/>
      <c r="S870" s="284"/>
      <c r="T870" s="284"/>
      <c r="U870" s="284"/>
    </row>
    <row r="871" spans="1:116" ht="14.5" x14ac:dyDescent="0.35">
      <c r="A871" s="577" t="str">
        <f t="shared" si="33"/>
        <v>Velocidad Simétrica Mi Negocio Netflix (4 dispositivos)No Residencial</v>
      </c>
      <c r="B871" s="129">
        <v>105</v>
      </c>
      <c r="C871" s="277" t="s">
        <v>1048</v>
      </c>
      <c r="D871" s="340" t="s">
        <v>242</v>
      </c>
      <c r="E871" s="340" t="s">
        <v>243</v>
      </c>
      <c r="F871" s="693">
        <v>0</v>
      </c>
      <c r="G871" s="693">
        <v>1</v>
      </c>
      <c r="H871" s="693">
        <v>0</v>
      </c>
      <c r="I871" s="693">
        <v>0</v>
      </c>
      <c r="J871" s="693">
        <v>0</v>
      </c>
      <c r="K871" s="693">
        <v>5</v>
      </c>
      <c r="L871" s="693">
        <v>0</v>
      </c>
      <c r="M871" s="559"/>
      <c r="N871" s="284"/>
      <c r="O871" s="284"/>
      <c r="P871" s="284"/>
      <c r="Q871" s="284"/>
      <c r="R871" s="284"/>
      <c r="S871" s="284"/>
      <c r="T871" s="284"/>
      <c r="U871" s="284"/>
    </row>
    <row r="872" spans="1:116" ht="14.5" x14ac:dyDescent="0.35">
      <c r="A872" s="577" t="str">
        <f t="shared" si="33"/>
        <v>Velocidad Simétrica Supernegocio Netflix (2 dispositivos)No Residencial</v>
      </c>
      <c r="B872" s="129">
        <v>106</v>
      </c>
      <c r="C872" s="277" t="s">
        <v>1049</v>
      </c>
      <c r="D872" s="340" t="s">
        <v>242</v>
      </c>
      <c r="E872" s="340" t="s">
        <v>243</v>
      </c>
      <c r="F872" s="693">
        <v>0</v>
      </c>
      <c r="G872" s="693">
        <v>5</v>
      </c>
      <c r="H872" s="693">
        <v>0</v>
      </c>
      <c r="I872" s="693">
        <v>0</v>
      </c>
      <c r="J872" s="693">
        <v>0</v>
      </c>
      <c r="K872" s="693">
        <v>31</v>
      </c>
      <c r="L872" s="693">
        <v>0</v>
      </c>
      <c r="M872" s="559"/>
      <c r="N872" s="284"/>
      <c r="O872" s="284"/>
      <c r="P872" s="284"/>
      <c r="Q872" s="284"/>
      <c r="R872" s="284"/>
      <c r="S872" s="284"/>
      <c r="T872" s="284"/>
      <c r="U872" s="284"/>
    </row>
    <row r="873" spans="1:116" ht="14.5" x14ac:dyDescent="0.35">
      <c r="A873" s="577" t="str">
        <f t="shared" si="33"/>
        <v>Velocidad Simétrica Supernegocio Netflix (4 dispositivos)No Residencial</v>
      </c>
      <c r="B873" s="129">
        <v>107</v>
      </c>
      <c r="C873" s="277" t="s">
        <v>1050</v>
      </c>
      <c r="D873" s="340" t="s">
        <v>242</v>
      </c>
      <c r="E873" s="340" t="s">
        <v>243</v>
      </c>
      <c r="F873" s="693">
        <v>0</v>
      </c>
      <c r="G873" s="693">
        <v>3</v>
      </c>
      <c r="H873" s="693">
        <v>0</v>
      </c>
      <c r="I873" s="693">
        <v>0</v>
      </c>
      <c r="J873" s="693">
        <v>0</v>
      </c>
      <c r="K873" s="693">
        <v>41</v>
      </c>
      <c r="L873" s="693">
        <v>0</v>
      </c>
      <c r="M873" s="559"/>
      <c r="N873" s="284"/>
      <c r="O873" s="284"/>
      <c r="P873" s="284"/>
      <c r="Q873" s="284"/>
      <c r="R873" s="284"/>
      <c r="S873" s="284"/>
      <c r="T873" s="284"/>
      <c r="U873" s="284"/>
    </row>
    <row r="874" spans="1:116" ht="14.5" x14ac:dyDescent="0.35">
      <c r="A874" s="370"/>
      <c r="B874" s="129">
        <v>108</v>
      </c>
      <c r="C874" s="277" t="s">
        <v>252</v>
      </c>
      <c r="D874" s="339" t="s">
        <v>374</v>
      </c>
      <c r="E874" s="339" t="s">
        <v>375</v>
      </c>
      <c r="F874" s="691">
        <v>0</v>
      </c>
      <c r="G874" s="691">
        <v>0</v>
      </c>
      <c r="H874" s="691">
        <v>0</v>
      </c>
      <c r="I874" s="693">
        <v>0</v>
      </c>
      <c r="J874" s="691">
        <v>0</v>
      </c>
      <c r="K874" s="691">
        <v>0</v>
      </c>
      <c r="L874" s="691">
        <v>0</v>
      </c>
      <c r="M874" s="353"/>
      <c r="N874" s="284"/>
      <c r="O874" s="284"/>
      <c r="P874" s="284"/>
      <c r="Q874" s="284"/>
      <c r="R874" s="284"/>
      <c r="S874" s="284"/>
      <c r="T874" s="284"/>
      <c r="U874" s="284"/>
    </row>
    <row r="875" spans="1:116" ht="12" x14ac:dyDescent="0.25">
      <c r="A875" s="370"/>
      <c r="B875" s="120"/>
      <c r="C875" s="120"/>
      <c r="D875" s="120"/>
      <c r="E875" s="120"/>
      <c r="F875" s="445"/>
      <c r="G875" s="445"/>
      <c r="H875" s="560"/>
      <c r="I875" s="561"/>
      <c r="J875" s="561">
        <f>SUM(J767:J874)</f>
        <v>2990498</v>
      </c>
      <c r="K875" s="561">
        <f t="shared" ref="K875:L875" si="34">SUM(K767:K874)</f>
        <v>5660863</v>
      </c>
      <c r="L875" s="561">
        <f t="shared" si="34"/>
        <v>1180606</v>
      </c>
      <c r="M875" s="561"/>
      <c r="CH875" s="430"/>
      <c r="CI875" s="430"/>
      <c r="CJ875" s="430"/>
      <c r="CK875" s="430"/>
      <c r="CL875" s="430"/>
      <c r="CM875" s="430"/>
      <c r="CN875" s="430"/>
      <c r="CO875" s="430"/>
      <c r="CP875" s="430"/>
      <c r="CQ875" s="430"/>
      <c r="CR875" s="430"/>
      <c r="CS875" s="430"/>
      <c r="CT875" s="430"/>
      <c r="CU875" s="430"/>
      <c r="CV875" s="430"/>
      <c r="CW875" s="430"/>
      <c r="CX875" s="430"/>
      <c r="CY875" s="430"/>
      <c r="CZ875" s="430"/>
      <c r="DA875" s="430"/>
      <c r="DB875" s="430"/>
      <c r="DC875" s="430"/>
      <c r="DD875" s="430"/>
      <c r="DE875" s="430"/>
      <c r="DF875" s="430"/>
      <c r="DG875" s="430"/>
      <c r="DH875" s="430"/>
      <c r="DI875" s="430"/>
      <c r="DJ875" s="430"/>
      <c r="DK875" s="430"/>
      <c r="DL875" s="430"/>
    </row>
    <row r="876" spans="1:116" x14ac:dyDescent="0.25">
      <c r="B876" s="120"/>
      <c r="C876" s="120" t="s">
        <v>365</v>
      </c>
      <c r="D876" s="120"/>
      <c r="E876" s="120"/>
      <c r="F876" s="120"/>
      <c r="G876" s="120"/>
      <c r="H876" s="281"/>
      <c r="I876" s="275"/>
      <c r="J876" s="642">
        <f>J875/(SUM($J$875:$L$875))</f>
        <v>0.30416070354996105</v>
      </c>
      <c r="K876" s="642">
        <f t="shared" ref="K876:L876" si="35">K875/(SUM($J$875:$L$875))</f>
        <v>0.57576098455171787</v>
      </c>
      <c r="L876" s="642">
        <f t="shared" si="35"/>
        <v>0.12007831189832106</v>
      </c>
    </row>
    <row r="877" spans="1:116" x14ac:dyDescent="0.25">
      <c r="B877" s="120"/>
      <c r="C877" s="262" t="s">
        <v>290</v>
      </c>
      <c r="D877" s="120"/>
      <c r="E877" s="120"/>
      <c r="F877" s="120"/>
      <c r="G877" s="120"/>
      <c r="H877" s="281"/>
      <c r="I877" s="120"/>
      <c r="J877" s="120"/>
      <c r="K877" s="120"/>
      <c r="L877" s="283"/>
    </row>
    <row r="878" spans="1:116" x14ac:dyDescent="0.25">
      <c r="B878" s="120"/>
      <c r="D878" s="120"/>
      <c r="E878" s="120"/>
      <c r="F878" s="120"/>
      <c r="G878" s="120"/>
      <c r="H878" s="281"/>
      <c r="I878" s="120"/>
      <c r="J878" s="120"/>
      <c r="K878" s="120"/>
      <c r="L878" s="281"/>
    </row>
    <row r="879" spans="1:116" ht="15.5" outlineLevel="1" x14ac:dyDescent="0.25">
      <c r="A879" s="429">
        <v>4</v>
      </c>
      <c r="B879" s="429" t="s">
        <v>376</v>
      </c>
      <c r="C879" s="429"/>
      <c r="D879" s="430"/>
      <c r="E879" s="430"/>
      <c r="F879" s="430"/>
      <c r="G879" s="430"/>
      <c r="H879" s="430"/>
      <c r="I879" s="430"/>
      <c r="J879" s="430"/>
      <c r="K879" s="430"/>
      <c r="L879" s="451"/>
      <c r="M879" s="430"/>
      <c r="N879" s="430"/>
      <c r="O879" s="430"/>
      <c r="P879" s="430"/>
      <c r="Q879" s="430"/>
      <c r="R879" s="430"/>
      <c r="S879" s="430"/>
      <c r="T879" s="430"/>
      <c r="AS879" s="430"/>
      <c r="AT879" s="430"/>
      <c r="AU879" s="430"/>
      <c r="AV879" s="430"/>
      <c r="AW879" s="430"/>
      <c r="AX879" s="430"/>
      <c r="AY879" s="430"/>
      <c r="AZ879" s="430"/>
      <c r="BA879" s="430"/>
      <c r="BB879" s="430"/>
      <c r="BC879" s="430"/>
      <c r="BD879" s="430"/>
      <c r="BE879" s="430"/>
      <c r="BF879" s="430"/>
      <c r="BG879" s="430"/>
      <c r="BH879" s="430"/>
      <c r="BI879" s="430"/>
      <c r="BJ879" s="430"/>
      <c r="BK879" s="430"/>
      <c r="BL879" s="430"/>
      <c r="BM879" s="430"/>
      <c r="BN879" s="430"/>
      <c r="BO879" s="430"/>
      <c r="BP879" s="430"/>
      <c r="BQ879" s="430"/>
      <c r="BR879" s="430"/>
      <c r="BS879" s="430"/>
      <c r="BT879" s="430"/>
      <c r="BU879" s="430"/>
      <c r="BV879" s="430"/>
    </row>
    <row r="880" spans="1:116" outlineLevel="1" x14ac:dyDescent="0.25"/>
    <row r="881" spans="2:20" ht="15.5" outlineLevel="1" x14ac:dyDescent="0.25">
      <c r="B881" s="120"/>
      <c r="C881" s="37" t="s">
        <v>376</v>
      </c>
      <c r="D881" s="120"/>
      <c r="E881" s="120"/>
      <c r="F881" s="120"/>
      <c r="G881" s="120"/>
      <c r="H881" s="120"/>
      <c r="I881" s="120"/>
      <c r="J881" s="120"/>
      <c r="K881" s="120"/>
      <c r="L881" s="120"/>
      <c r="M881" s="120"/>
      <c r="N881" s="120"/>
      <c r="O881" s="120"/>
      <c r="P881" s="120"/>
      <c r="Q881" s="120"/>
      <c r="R881" s="120"/>
      <c r="S881" s="120"/>
      <c r="T881" s="120"/>
    </row>
    <row r="882" spans="2:20" ht="12" outlineLevel="1" x14ac:dyDescent="0.25">
      <c r="B882" s="120"/>
      <c r="C882" s="126" t="s">
        <v>377</v>
      </c>
      <c r="D882" s="120"/>
      <c r="E882" s="120"/>
      <c r="F882" s="120"/>
      <c r="G882" s="120"/>
      <c r="H882" s="120"/>
      <c r="I882" s="120"/>
      <c r="J882" s="120"/>
      <c r="K882" s="120"/>
      <c r="L882" s="120"/>
      <c r="M882" s="120"/>
      <c r="N882" s="120"/>
      <c r="O882" s="120"/>
      <c r="P882" s="120"/>
      <c r="Q882" s="120"/>
      <c r="R882" s="120"/>
      <c r="S882" s="120"/>
      <c r="T882" s="120"/>
    </row>
    <row r="883" spans="2:20" ht="12" outlineLevel="1" x14ac:dyDescent="0.25">
      <c r="B883" s="120"/>
      <c r="C883" s="450" t="s">
        <v>1244</v>
      </c>
      <c r="D883" s="289"/>
      <c r="E883" s="289"/>
      <c r="F883" s="120"/>
      <c r="G883" s="120"/>
      <c r="H883" s="120"/>
      <c r="I883" s="120"/>
      <c r="J883" s="120"/>
      <c r="K883" s="120"/>
      <c r="L883" s="120"/>
      <c r="M883" s="120"/>
      <c r="N883" s="120"/>
      <c r="O883" s="120"/>
      <c r="P883" s="120"/>
      <c r="Q883" s="120"/>
      <c r="R883" s="120"/>
      <c r="S883" s="120"/>
      <c r="T883" s="120"/>
    </row>
    <row r="884" spans="2:20" outlineLevel="1" x14ac:dyDescent="0.25">
      <c r="B884" s="120"/>
      <c r="C884" s="102" t="s">
        <v>331</v>
      </c>
      <c r="G884" s="120"/>
      <c r="H884" s="120"/>
      <c r="I884" s="120"/>
      <c r="J884" s="120"/>
      <c r="K884" s="120"/>
      <c r="L884" s="120"/>
      <c r="M884" s="120"/>
      <c r="N884" s="120"/>
      <c r="O884" s="120"/>
      <c r="P884" s="120"/>
      <c r="Q884" s="120"/>
      <c r="R884" s="120"/>
      <c r="S884" s="120"/>
      <c r="T884" s="120"/>
    </row>
    <row r="885" spans="2:20" outlineLevel="1" x14ac:dyDescent="0.25">
      <c r="B885" s="120"/>
      <c r="C885" s="446">
        <v>2021</v>
      </c>
      <c r="I885" s="120"/>
      <c r="J885" s="120"/>
      <c r="K885" s="120"/>
      <c r="L885" s="120"/>
      <c r="M885" s="120"/>
      <c r="N885" s="120"/>
      <c r="O885" s="120"/>
      <c r="P885" s="120"/>
      <c r="Q885" s="120"/>
      <c r="R885" s="120"/>
      <c r="S885" s="120"/>
      <c r="T885" s="120"/>
    </row>
    <row r="886" spans="2:20" outlineLevel="1" x14ac:dyDescent="0.25">
      <c r="B886" s="120"/>
      <c r="C886" s="120"/>
      <c r="D886" s="179"/>
      <c r="E886" s="179"/>
      <c r="I886" s="120"/>
      <c r="J886" s="120"/>
      <c r="K886" s="120"/>
      <c r="L886" s="120"/>
      <c r="M886" s="120"/>
      <c r="N886" s="120"/>
      <c r="O886" s="120"/>
      <c r="P886" s="120"/>
      <c r="Q886" s="120"/>
      <c r="R886" s="120"/>
      <c r="S886" s="120"/>
      <c r="T886" s="120"/>
    </row>
    <row r="887" spans="2:20" ht="34.5" outlineLevel="1" x14ac:dyDescent="0.25">
      <c r="B887" s="120"/>
      <c r="C887" s="431" t="s">
        <v>252</v>
      </c>
      <c r="D887" s="431" t="s">
        <v>378</v>
      </c>
      <c r="E887" s="431" t="s">
        <v>379</v>
      </c>
      <c r="F887" s="431" t="s">
        <v>380</v>
      </c>
      <c r="G887" s="431" t="s">
        <v>381</v>
      </c>
      <c r="H887" s="431" t="s">
        <v>382</v>
      </c>
      <c r="I887" s="431" t="s">
        <v>383</v>
      </c>
      <c r="J887" s="431" t="s">
        <v>1245</v>
      </c>
      <c r="K887" s="431" t="s">
        <v>1246</v>
      </c>
      <c r="L887" s="431" t="s">
        <v>258</v>
      </c>
    </row>
    <row r="888" spans="2:20" ht="14.5" outlineLevel="1" x14ac:dyDescent="0.35">
      <c r="B888" s="129">
        <v>1</v>
      </c>
      <c r="C888" s="434" t="s">
        <v>415</v>
      </c>
      <c r="D888" s="694" t="s">
        <v>1247</v>
      </c>
      <c r="E888" s="694" t="s">
        <v>1247</v>
      </c>
      <c r="F888" s="694" t="s">
        <v>1247</v>
      </c>
      <c r="G888" s="694" t="s">
        <v>1247</v>
      </c>
      <c r="H888" s="694" t="s">
        <v>1247</v>
      </c>
      <c r="I888" s="694" t="s">
        <v>1247</v>
      </c>
      <c r="J888" s="694" t="s">
        <v>1247</v>
      </c>
      <c r="K888" s="694" t="s">
        <v>1247</v>
      </c>
      <c r="L888" s="345"/>
    </row>
    <row r="889" spans="2:20" ht="14.5" outlineLevel="1" x14ac:dyDescent="0.35">
      <c r="B889" s="129">
        <v>2</v>
      </c>
      <c r="C889" s="434" t="s">
        <v>815</v>
      </c>
      <c r="D889" s="694" t="s">
        <v>1247</v>
      </c>
      <c r="E889" s="694" t="s">
        <v>1247</v>
      </c>
      <c r="F889" s="694" t="s">
        <v>1247</v>
      </c>
      <c r="G889" s="694" t="s">
        <v>1247</v>
      </c>
      <c r="H889" s="694" t="s">
        <v>1247</v>
      </c>
      <c r="I889" s="694" t="s">
        <v>1247</v>
      </c>
      <c r="J889" s="694" t="s">
        <v>1247</v>
      </c>
      <c r="K889" s="694" t="s">
        <v>1247</v>
      </c>
      <c r="L889" s="345"/>
    </row>
    <row r="890" spans="2:20" ht="14.5" outlineLevel="1" x14ac:dyDescent="0.35">
      <c r="B890" s="129">
        <v>3</v>
      </c>
      <c r="C890" s="434" t="s">
        <v>823</v>
      </c>
      <c r="D890" s="694" t="s">
        <v>1247</v>
      </c>
      <c r="E890" s="694" t="s">
        <v>1247</v>
      </c>
      <c r="F890" s="694" t="s">
        <v>1247</v>
      </c>
      <c r="G890" s="694" t="s">
        <v>1247</v>
      </c>
      <c r="H890" s="694" t="s">
        <v>1247</v>
      </c>
      <c r="I890" s="694" t="s">
        <v>1247</v>
      </c>
      <c r="J890" s="694" t="s">
        <v>1247</v>
      </c>
      <c r="K890" s="694" t="s">
        <v>1247</v>
      </c>
      <c r="L890" s="345"/>
    </row>
    <row r="891" spans="2:20" ht="14.5" outlineLevel="1" x14ac:dyDescent="0.35">
      <c r="B891" s="129">
        <v>4</v>
      </c>
      <c r="C891" s="434" t="s">
        <v>848</v>
      </c>
      <c r="D891" s="694" t="s">
        <v>1247</v>
      </c>
      <c r="E891" s="694" t="s">
        <v>1247</v>
      </c>
      <c r="F891" s="694" t="s">
        <v>1247</v>
      </c>
      <c r="G891" s="694" t="s">
        <v>1247</v>
      </c>
      <c r="H891" s="694" t="s">
        <v>1247</v>
      </c>
      <c r="I891" s="694" t="s">
        <v>1247</v>
      </c>
      <c r="J891" s="694" t="s">
        <v>1247</v>
      </c>
      <c r="K891" s="694" t="s">
        <v>1247</v>
      </c>
      <c r="L891" s="345"/>
    </row>
    <row r="892" spans="2:20" ht="14.5" outlineLevel="1" x14ac:dyDescent="0.35">
      <c r="B892" s="129">
        <v>5</v>
      </c>
      <c r="C892" s="434" t="s">
        <v>948</v>
      </c>
      <c r="D892" s="694" t="s">
        <v>1247</v>
      </c>
      <c r="E892" s="694" t="s">
        <v>1247</v>
      </c>
      <c r="F892" s="694" t="s">
        <v>1247</v>
      </c>
      <c r="G892" s="694" t="s">
        <v>1247</v>
      </c>
      <c r="H892" s="694" t="s">
        <v>1247</v>
      </c>
      <c r="I892" s="694" t="s">
        <v>1247</v>
      </c>
      <c r="J892" s="694" t="s">
        <v>1247</v>
      </c>
      <c r="K892" s="694" t="s">
        <v>1247</v>
      </c>
      <c r="L892" s="345"/>
    </row>
    <row r="893" spans="2:20" ht="14.5" outlineLevel="1" x14ac:dyDescent="0.35">
      <c r="B893" s="129">
        <v>6</v>
      </c>
      <c r="C893" s="434" t="s">
        <v>949</v>
      </c>
      <c r="D893" s="694" t="s">
        <v>1247</v>
      </c>
      <c r="E893" s="694" t="s">
        <v>1247</v>
      </c>
      <c r="F893" s="694" t="s">
        <v>1247</v>
      </c>
      <c r="G893" s="694" t="s">
        <v>1247</v>
      </c>
      <c r="H893" s="694" t="s">
        <v>1247</v>
      </c>
      <c r="I893" s="694" t="s">
        <v>1247</v>
      </c>
      <c r="J893" s="694" t="s">
        <v>1247</v>
      </c>
      <c r="K893" s="694" t="s">
        <v>1247</v>
      </c>
      <c r="L893" s="345"/>
    </row>
    <row r="894" spans="2:20" ht="14.5" outlineLevel="1" x14ac:dyDescent="0.35">
      <c r="B894" s="129">
        <v>7</v>
      </c>
      <c r="C894" s="434" t="s">
        <v>949</v>
      </c>
      <c r="D894" s="694" t="s">
        <v>1247</v>
      </c>
      <c r="E894" s="694" t="s">
        <v>1247</v>
      </c>
      <c r="F894" s="694" t="s">
        <v>1247</v>
      </c>
      <c r="G894" s="694" t="s">
        <v>1247</v>
      </c>
      <c r="H894" s="694" t="s">
        <v>1247</v>
      </c>
      <c r="I894" s="694" t="s">
        <v>1247</v>
      </c>
      <c r="J894" s="694" t="s">
        <v>1247</v>
      </c>
      <c r="K894" s="694" t="s">
        <v>1247</v>
      </c>
      <c r="L894" s="345"/>
    </row>
    <row r="895" spans="2:20" ht="14.5" outlineLevel="1" x14ac:dyDescent="0.35">
      <c r="B895" s="129">
        <v>8</v>
      </c>
      <c r="C895" s="434" t="s">
        <v>200</v>
      </c>
      <c r="D895" s="694" t="s">
        <v>1247</v>
      </c>
      <c r="E895" s="694" t="s">
        <v>1247</v>
      </c>
      <c r="F895" s="694" t="s">
        <v>1247</v>
      </c>
      <c r="G895" s="694" t="s">
        <v>1247</v>
      </c>
      <c r="H895" s="694" t="s">
        <v>1247</v>
      </c>
      <c r="I895" s="694" t="s">
        <v>1247</v>
      </c>
      <c r="J895" s="694" t="s">
        <v>1247</v>
      </c>
      <c r="K895" s="694" t="s">
        <v>1247</v>
      </c>
      <c r="L895" s="345"/>
    </row>
    <row r="896" spans="2:20" ht="14.5" outlineLevel="1" x14ac:dyDescent="0.35">
      <c r="B896" s="129">
        <v>9</v>
      </c>
      <c r="C896" s="434" t="s">
        <v>849</v>
      </c>
      <c r="D896" s="694" t="s">
        <v>1247</v>
      </c>
      <c r="E896" s="694" t="s">
        <v>1247</v>
      </c>
      <c r="F896" s="694" t="s">
        <v>1247</v>
      </c>
      <c r="G896" s="694" t="s">
        <v>1247</v>
      </c>
      <c r="H896" s="694" t="s">
        <v>1247</v>
      </c>
      <c r="I896" s="694" t="s">
        <v>1247</v>
      </c>
      <c r="J896" s="694" t="s">
        <v>1247</v>
      </c>
      <c r="K896" s="694" t="s">
        <v>1247</v>
      </c>
      <c r="L896" s="345"/>
    </row>
    <row r="897" spans="2:12" ht="14.5" outlineLevel="1" x14ac:dyDescent="0.35">
      <c r="B897" s="129">
        <v>10</v>
      </c>
      <c r="C897" s="434" t="s">
        <v>850</v>
      </c>
      <c r="D897" s="694" t="s">
        <v>1247</v>
      </c>
      <c r="E897" s="694" t="s">
        <v>1247</v>
      </c>
      <c r="F897" s="694" t="s">
        <v>1247</v>
      </c>
      <c r="G897" s="694" t="s">
        <v>1247</v>
      </c>
      <c r="H897" s="694" t="s">
        <v>1247</v>
      </c>
      <c r="I897" s="694" t="s">
        <v>1247</v>
      </c>
      <c r="J897" s="694" t="s">
        <v>1247</v>
      </c>
      <c r="K897" s="694" t="s">
        <v>1247</v>
      </c>
      <c r="L897" s="345"/>
    </row>
    <row r="898" spans="2:12" ht="14.5" outlineLevel="1" x14ac:dyDescent="0.35">
      <c r="B898" s="129">
        <v>11</v>
      </c>
      <c r="C898" s="434" t="s">
        <v>851</v>
      </c>
      <c r="D898" s="694" t="s">
        <v>1247</v>
      </c>
      <c r="E898" s="694" t="s">
        <v>1247</v>
      </c>
      <c r="F898" s="694" t="s">
        <v>1247</v>
      </c>
      <c r="G898" s="694" t="s">
        <v>1247</v>
      </c>
      <c r="H898" s="694" t="s">
        <v>1247</v>
      </c>
      <c r="I898" s="694" t="s">
        <v>1247</v>
      </c>
      <c r="J898" s="694" t="s">
        <v>1247</v>
      </c>
      <c r="K898" s="694" t="s">
        <v>1247</v>
      </c>
      <c r="L898" s="345"/>
    </row>
    <row r="899" spans="2:12" ht="14.5" outlineLevel="1" x14ac:dyDescent="0.35">
      <c r="B899" s="129">
        <v>12</v>
      </c>
      <c r="C899" s="434" t="s">
        <v>852</v>
      </c>
      <c r="D899" s="694">
        <v>6393469</v>
      </c>
      <c r="E899" s="694">
        <v>31956628</v>
      </c>
      <c r="F899" s="694">
        <v>77992</v>
      </c>
      <c r="G899" s="694">
        <v>724158</v>
      </c>
      <c r="H899" s="694">
        <v>13467</v>
      </c>
      <c r="I899" s="694">
        <v>148619</v>
      </c>
      <c r="J899" s="694">
        <v>11335932</v>
      </c>
      <c r="K899" s="694">
        <v>33038016</v>
      </c>
      <c r="L899" s="345"/>
    </row>
    <row r="900" spans="2:12" ht="14.5" outlineLevel="1" x14ac:dyDescent="0.35">
      <c r="B900" s="129">
        <v>13</v>
      </c>
      <c r="C900" s="434" t="s">
        <v>204</v>
      </c>
      <c r="D900" s="694">
        <v>6977721</v>
      </c>
      <c r="E900" s="694">
        <v>29510916</v>
      </c>
      <c r="F900" s="694">
        <v>48043</v>
      </c>
      <c r="G900" s="694">
        <v>382951</v>
      </c>
      <c r="H900" s="694">
        <v>6082</v>
      </c>
      <c r="I900" s="694">
        <v>48998</v>
      </c>
      <c r="J900" s="694">
        <v>5798659</v>
      </c>
      <c r="K900" s="694">
        <v>20613199</v>
      </c>
      <c r="L900" s="345"/>
    </row>
    <row r="901" spans="2:12" ht="14.5" outlineLevel="1" x14ac:dyDescent="0.35">
      <c r="B901" s="129">
        <v>14</v>
      </c>
      <c r="C901" s="434" t="s">
        <v>797</v>
      </c>
      <c r="D901" s="694">
        <v>27017038</v>
      </c>
      <c r="E901" s="694">
        <v>210204469</v>
      </c>
      <c r="F901" s="694">
        <v>1427540</v>
      </c>
      <c r="G901" s="694">
        <v>9551539</v>
      </c>
      <c r="H901" s="694">
        <v>143260</v>
      </c>
      <c r="I901" s="694">
        <v>957362</v>
      </c>
      <c r="J901" s="694">
        <v>44363076</v>
      </c>
      <c r="K901" s="694">
        <v>203196400</v>
      </c>
      <c r="L901" s="345"/>
    </row>
    <row r="902" spans="2:12" ht="14.5" outlineLevel="1" x14ac:dyDescent="0.35">
      <c r="B902" s="129">
        <v>15</v>
      </c>
      <c r="C902" s="434" t="s">
        <v>798</v>
      </c>
      <c r="D902" s="694">
        <v>17774115</v>
      </c>
      <c r="E902" s="694">
        <v>125958355</v>
      </c>
      <c r="F902" s="694">
        <v>1030464</v>
      </c>
      <c r="G902" s="694">
        <v>8475344</v>
      </c>
      <c r="H902" s="694">
        <v>97791</v>
      </c>
      <c r="I902" s="694">
        <v>953178</v>
      </c>
      <c r="J902" s="694">
        <v>26783676</v>
      </c>
      <c r="K902" s="694">
        <v>77261755</v>
      </c>
      <c r="L902" s="345"/>
    </row>
    <row r="903" spans="2:12" ht="14.5" outlineLevel="1" x14ac:dyDescent="0.35">
      <c r="B903" s="129">
        <v>16</v>
      </c>
      <c r="C903" s="434" t="s">
        <v>205</v>
      </c>
      <c r="D903" s="694">
        <v>89787122</v>
      </c>
      <c r="E903" s="694">
        <v>652581818</v>
      </c>
      <c r="F903" s="694">
        <v>6254407</v>
      </c>
      <c r="G903" s="694">
        <v>43177391</v>
      </c>
      <c r="H903" s="694">
        <v>1112330</v>
      </c>
      <c r="I903" s="694">
        <v>6766075</v>
      </c>
      <c r="J903" s="694">
        <v>101668441</v>
      </c>
      <c r="K903" s="694">
        <v>311364880</v>
      </c>
      <c r="L903" s="345"/>
    </row>
    <row r="904" spans="2:12" ht="14.5" outlineLevel="1" x14ac:dyDescent="0.35">
      <c r="B904" s="129">
        <v>17</v>
      </c>
      <c r="C904" s="434" t="s">
        <v>708</v>
      </c>
      <c r="D904" s="694">
        <v>430485974</v>
      </c>
      <c r="E904" s="694">
        <v>2339372058</v>
      </c>
      <c r="F904" s="694">
        <v>30223924</v>
      </c>
      <c r="G904" s="694">
        <v>330754955</v>
      </c>
      <c r="H904" s="694">
        <v>3027022</v>
      </c>
      <c r="I904" s="694">
        <v>37946255</v>
      </c>
      <c r="J904" s="694">
        <v>588489675</v>
      </c>
      <c r="K904" s="694">
        <v>2825197451</v>
      </c>
      <c r="L904" s="345"/>
    </row>
    <row r="905" spans="2:12" ht="14.5" outlineLevel="1" x14ac:dyDescent="0.35">
      <c r="B905" s="129">
        <v>18</v>
      </c>
      <c r="C905" s="434" t="s">
        <v>206</v>
      </c>
      <c r="D905" s="694">
        <v>65237065</v>
      </c>
      <c r="E905" s="694">
        <v>138688866</v>
      </c>
      <c r="F905" s="694">
        <v>1561129</v>
      </c>
      <c r="G905" s="694">
        <v>2919643</v>
      </c>
      <c r="H905" s="694">
        <v>279111</v>
      </c>
      <c r="I905" s="694">
        <v>1469923</v>
      </c>
      <c r="J905" s="694">
        <v>69264860</v>
      </c>
      <c r="K905" s="694">
        <v>110445584</v>
      </c>
      <c r="L905" s="345"/>
    </row>
    <row r="906" spans="2:12" ht="14.5" outlineLevel="1" x14ac:dyDescent="0.35">
      <c r="B906" s="129">
        <v>19</v>
      </c>
      <c r="C906" s="434" t="s">
        <v>799</v>
      </c>
      <c r="D906" s="694">
        <v>224032</v>
      </c>
      <c r="E906" s="694">
        <v>1001267</v>
      </c>
      <c r="F906" s="694">
        <v>14118</v>
      </c>
      <c r="G906" s="694">
        <v>138861</v>
      </c>
      <c r="H906" s="694">
        <v>2529</v>
      </c>
      <c r="I906" s="694">
        <v>23069</v>
      </c>
      <c r="J906" s="694">
        <v>173053</v>
      </c>
      <c r="K906" s="694">
        <v>660024</v>
      </c>
      <c r="L906" s="345"/>
    </row>
    <row r="907" spans="2:12" ht="14.5" outlineLevel="1" x14ac:dyDescent="0.35">
      <c r="B907" s="129">
        <v>20</v>
      </c>
      <c r="C907" s="434" t="s">
        <v>853</v>
      </c>
      <c r="D907" s="694">
        <v>7730544</v>
      </c>
      <c r="E907" s="694">
        <v>50550693</v>
      </c>
      <c r="F907" s="694">
        <v>64656</v>
      </c>
      <c r="G907" s="694">
        <v>537462</v>
      </c>
      <c r="H907" s="694">
        <v>7669</v>
      </c>
      <c r="I907" s="694">
        <v>76809</v>
      </c>
      <c r="J907" s="694">
        <v>4745715</v>
      </c>
      <c r="K907" s="694">
        <v>20411904</v>
      </c>
      <c r="L907" s="345"/>
    </row>
    <row r="908" spans="2:12" ht="14.5" outlineLevel="1" x14ac:dyDescent="0.35">
      <c r="B908" s="129">
        <v>21</v>
      </c>
      <c r="C908" s="434" t="s">
        <v>207</v>
      </c>
      <c r="D908" s="694">
        <v>104432536</v>
      </c>
      <c r="E908" s="694">
        <v>207573007</v>
      </c>
      <c r="F908" s="694">
        <v>2017682</v>
      </c>
      <c r="G908" s="694">
        <v>2636401</v>
      </c>
      <c r="H908" s="694">
        <v>381744</v>
      </c>
      <c r="I908" s="694">
        <v>1233482</v>
      </c>
      <c r="J908" s="694">
        <v>107048054</v>
      </c>
      <c r="K908" s="694">
        <v>121101006</v>
      </c>
      <c r="L908" s="345"/>
    </row>
    <row r="909" spans="2:12" ht="14.5" outlineLevel="1" x14ac:dyDescent="0.35">
      <c r="B909" s="129">
        <v>22</v>
      </c>
      <c r="C909" s="434" t="s">
        <v>367</v>
      </c>
      <c r="D909" s="694">
        <v>56168886</v>
      </c>
      <c r="E909" s="694">
        <v>144108765</v>
      </c>
      <c r="F909" s="694">
        <v>983399</v>
      </c>
      <c r="G909" s="694">
        <v>2065954</v>
      </c>
      <c r="H909" s="694">
        <v>182794</v>
      </c>
      <c r="I909" s="694">
        <v>725377</v>
      </c>
      <c r="J909" s="694">
        <v>57418904</v>
      </c>
      <c r="K909" s="694">
        <v>85906742</v>
      </c>
      <c r="L909" s="345"/>
    </row>
    <row r="910" spans="2:12" ht="14.5" outlineLevel="1" x14ac:dyDescent="0.35">
      <c r="B910" s="129">
        <v>23</v>
      </c>
      <c r="C910" s="434" t="s">
        <v>208</v>
      </c>
      <c r="D910" s="694">
        <v>9716191</v>
      </c>
      <c r="E910" s="694">
        <v>41749952</v>
      </c>
      <c r="F910" s="694">
        <v>546465</v>
      </c>
      <c r="G910" s="694">
        <v>5062145</v>
      </c>
      <c r="H910" s="694">
        <v>68235</v>
      </c>
      <c r="I910" s="694">
        <v>699015</v>
      </c>
      <c r="J910" s="694">
        <v>5126347</v>
      </c>
      <c r="K910" s="694">
        <v>28046397</v>
      </c>
      <c r="L910" s="345"/>
    </row>
    <row r="911" spans="2:12" ht="14.5" outlineLevel="1" x14ac:dyDescent="0.35">
      <c r="B911" s="129">
        <v>24</v>
      </c>
      <c r="C911" s="434" t="s">
        <v>800</v>
      </c>
      <c r="D911" s="694">
        <v>17725257</v>
      </c>
      <c r="E911" s="694">
        <v>38633416</v>
      </c>
      <c r="F911" s="694">
        <v>266076</v>
      </c>
      <c r="G911" s="694">
        <v>869039</v>
      </c>
      <c r="H911" s="694">
        <v>47472</v>
      </c>
      <c r="I911" s="694">
        <v>243682</v>
      </c>
      <c r="J911" s="694">
        <v>13869660</v>
      </c>
      <c r="K911" s="694">
        <v>23246233</v>
      </c>
      <c r="L911" s="345"/>
    </row>
    <row r="912" spans="2:12" ht="14.5" outlineLevel="1" x14ac:dyDescent="0.35">
      <c r="B912" s="129">
        <v>25</v>
      </c>
      <c r="C912" s="434" t="s">
        <v>801</v>
      </c>
      <c r="D912" s="694">
        <v>9958996</v>
      </c>
      <c r="E912" s="694">
        <v>10096678</v>
      </c>
      <c r="F912" s="694">
        <v>144220</v>
      </c>
      <c r="G912" s="694">
        <v>259741</v>
      </c>
      <c r="H912" s="694">
        <v>21144</v>
      </c>
      <c r="I912" s="694">
        <v>93993</v>
      </c>
      <c r="J912" s="694">
        <v>6329324</v>
      </c>
      <c r="K912" s="694">
        <v>6114886</v>
      </c>
      <c r="L912" s="345"/>
    </row>
    <row r="913" spans="2:12" ht="14.5" outlineLevel="1" x14ac:dyDescent="0.35">
      <c r="B913" s="129">
        <v>26</v>
      </c>
      <c r="C913" s="434" t="s">
        <v>830</v>
      </c>
      <c r="D913" s="694">
        <v>3937335</v>
      </c>
      <c r="E913" s="694">
        <v>11067820</v>
      </c>
      <c r="F913" s="694">
        <v>170298</v>
      </c>
      <c r="G913" s="694">
        <v>401681</v>
      </c>
      <c r="H913" s="694">
        <v>14552</v>
      </c>
      <c r="I913" s="694">
        <v>47333</v>
      </c>
      <c r="J913" s="694">
        <v>4010970</v>
      </c>
      <c r="K913" s="694">
        <v>4511764</v>
      </c>
      <c r="L913" s="345"/>
    </row>
    <row r="914" spans="2:12" ht="14.5" outlineLevel="1" x14ac:dyDescent="0.35">
      <c r="B914" s="129">
        <v>27</v>
      </c>
      <c r="C914" s="434" t="s">
        <v>201</v>
      </c>
      <c r="D914" s="694">
        <v>9867792</v>
      </c>
      <c r="E914" s="694">
        <v>13791994</v>
      </c>
      <c r="F914" s="694">
        <v>64721</v>
      </c>
      <c r="G914" s="694">
        <v>186223</v>
      </c>
      <c r="H914" s="694">
        <v>38501</v>
      </c>
      <c r="I914" s="694">
        <v>149727</v>
      </c>
      <c r="J914" s="694">
        <v>7826851</v>
      </c>
      <c r="K914" s="694">
        <v>16901774</v>
      </c>
      <c r="L914" s="345"/>
    </row>
    <row r="915" spans="2:12" ht="14.5" outlineLevel="1" x14ac:dyDescent="0.35">
      <c r="B915" s="129">
        <v>28</v>
      </c>
      <c r="C915" s="434" t="s">
        <v>202</v>
      </c>
      <c r="D915" s="694">
        <v>2003470</v>
      </c>
      <c r="E915" s="694">
        <v>3532821</v>
      </c>
      <c r="F915" s="694">
        <v>15166</v>
      </c>
      <c r="G915" s="694">
        <v>40376</v>
      </c>
      <c r="H915" s="694">
        <v>11505</v>
      </c>
      <c r="I915" s="694">
        <v>34910</v>
      </c>
      <c r="J915" s="694">
        <v>2554356</v>
      </c>
      <c r="K915" s="694">
        <v>2542305</v>
      </c>
      <c r="L915" s="345"/>
    </row>
    <row r="916" spans="2:12" ht="14.5" outlineLevel="1" x14ac:dyDescent="0.35">
      <c r="B916" s="129">
        <v>29</v>
      </c>
      <c r="C916" s="434" t="s">
        <v>203</v>
      </c>
      <c r="D916" s="694">
        <v>2317607</v>
      </c>
      <c r="E916" s="694">
        <v>2987854</v>
      </c>
      <c r="F916" s="694">
        <v>14016</v>
      </c>
      <c r="G916" s="694">
        <v>44024</v>
      </c>
      <c r="H916" s="694">
        <v>7702</v>
      </c>
      <c r="I916" s="694">
        <v>39865</v>
      </c>
      <c r="J916" s="694">
        <v>2569460</v>
      </c>
      <c r="K916" s="694">
        <v>3443476</v>
      </c>
      <c r="L916" s="345"/>
    </row>
    <row r="917" spans="2:12" ht="14.5" outlineLevel="1" x14ac:dyDescent="0.35">
      <c r="B917" s="129">
        <v>30</v>
      </c>
      <c r="C917" s="434" t="s">
        <v>854</v>
      </c>
      <c r="D917" s="694">
        <v>21579294</v>
      </c>
      <c r="E917" s="694">
        <v>145868539</v>
      </c>
      <c r="F917" s="694">
        <v>1187809</v>
      </c>
      <c r="G917" s="694">
        <v>6582281</v>
      </c>
      <c r="H917" s="694">
        <v>131892</v>
      </c>
      <c r="I917" s="694">
        <v>1323139</v>
      </c>
      <c r="J917" s="694">
        <v>46260031</v>
      </c>
      <c r="K917" s="694">
        <v>125382989</v>
      </c>
      <c r="L917" s="345"/>
    </row>
    <row r="918" spans="2:12" ht="14.5" outlineLevel="1" x14ac:dyDescent="0.35">
      <c r="B918" s="129">
        <v>31</v>
      </c>
      <c r="C918" s="434" t="s">
        <v>855</v>
      </c>
      <c r="D918" s="694">
        <v>15385461</v>
      </c>
      <c r="E918" s="694">
        <v>109642029</v>
      </c>
      <c r="F918" s="694">
        <v>693597</v>
      </c>
      <c r="G918" s="694">
        <v>6807394</v>
      </c>
      <c r="H918" s="694">
        <v>126856</v>
      </c>
      <c r="I918" s="694">
        <v>1062073</v>
      </c>
      <c r="J918" s="694">
        <v>31099264</v>
      </c>
      <c r="K918" s="694">
        <v>104142781</v>
      </c>
      <c r="L918" s="345"/>
    </row>
    <row r="919" spans="2:12" ht="14.5" outlineLevel="1" x14ac:dyDescent="0.35">
      <c r="B919" s="129">
        <v>32</v>
      </c>
      <c r="C919" s="434" t="s">
        <v>856</v>
      </c>
      <c r="D919" s="694">
        <v>8804677</v>
      </c>
      <c r="E919" s="694">
        <v>63818137</v>
      </c>
      <c r="F919" s="694">
        <v>321306</v>
      </c>
      <c r="G919" s="694">
        <v>4439088</v>
      </c>
      <c r="H919" s="694">
        <v>54608</v>
      </c>
      <c r="I919" s="694">
        <v>453842</v>
      </c>
      <c r="J919" s="694">
        <v>19188516</v>
      </c>
      <c r="K919" s="694">
        <v>62778431</v>
      </c>
      <c r="L919" s="345"/>
    </row>
    <row r="920" spans="2:12" ht="14.5" outlineLevel="1" x14ac:dyDescent="0.35">
      <c r="B920" s="129">
        <v>33</v>
      </c>
      <c r="C920" s="434" t="s">
        <v>857</v>
      </c>
      <c r="D920" s="694">
        <v>3505598</v>
      </c>
      <c r="E920" s="694">
        <v>28835681</v>
      </c>
      <c r="F920" s="694">
        <v>179459</v>
      </c>
      <c r="G920" s="694">
        <v>1077141</v>
      </c>
      <c r="H920" s="694">
        <v>15101</v>
      </c>
      <c r="I920" s="694">
        <v>198292</v>
      </c>
      <c r="J920" s="694">
        <v>6207062</v>
      </c>
      <c r="K920" s="694">
        <v>27705189</v>
      </c>
      <c r="L920" s="345"/>
    </row>
    <row r="921" spans="2:12" ht="14.5" outlineLevel="1" x14ac:dyDescent="0.35">
      <c r="B921" s="129">
        <v>34</v>
      </c>
      <c r="C921" s="434" t="s">
        <v>858</v>
      </c>
      <c r="D921" s="694">
        <v>2470472</v>
      </c>
      <c r="E921" s="694">
        <v>14765134</v>
      </c>
      <c r="F921" s="694">
        <v>68138</v>
      </c>
      <c r="G921" s="694">
        <v>711552</v>
      </c>
      <c r="H921" s="694">
        <v>7434</v>
      </c>
      <c r="I921" s="694">
        <v>99903</v>
      </c>
      <c r="J921" s="694">
        <v>2667140</v>
      </c>
      <c r="K921" s="694">
        <v>12449835</v>
      </c>
      <c r="L921" s="345"/>
    </row>
    <row r="922" spans="2:12" ht="14.5" outlineLevel="1" x14ac:dyDescent="0.35">
      <c r="B922" s="129">
        <v>35</v>
      </c>
      <c r="C922" s="434" t="s">
        <v>859</v>
      </c>
      <c r="D922" s="694">
        <v>1876194</v>
      </c>
      <c r="E922" s="694">
        <v>11866584</v>
      </c>
      <c r="F922" s="694">
        <v>46996</v>
      </c>
      <c r="G922" s="694">
        <v>554221</v>
      </c>
      <c r="H922" s="694">
        <v>4674</v>
      </c>
      <c r="I922" s="694">
        <v>46952</v>
      </c>
      <c r="J922" s="694">
        <v>2715360</v>
      </c>
      <c r="K922" s="694">
        <v>6673179</v>
      </c>
      <c r="L922" s="345"/>
    </row>
    <row r="923" spans="2:12" ht="14.5" outlineLevel="1" x14ac:dyDescent="0.35">
      <c r="B923" s="129">
        <v>36</v>
      </c>
      <c r="C923" s="434" t="s">
        <v>860</v>
      </c>
      <c r="D923" s="694">
        <v>761266</v>
      </c>
      <c r="E923" s="694">
        <v>6068119</v>
      </c>
      <c r="F923" s="694">
        <v>24240</v>
      </c>
      <c r="G923" s="694">
        <v>293011</v>
      </c>
      <c r="H923" s="694">
        <v>2344</v>
      </c>
      <c r="I923" s="694">
        <v>18725</v>
      </c>
      <c r="J923" s="694">
        <v>946688</v>
      </c>
      <c r="K923" s="694">
        <v>3196293</v>
      </c>
      <c r="L923" s="345"/>
    </row>
    <row r="924" spans="2:12" ht="14.5" outlineLevel="1" x14ac:dyDescent="0.35">
      <c r="B924" s="129">
        <v>37</v>
      </c>
      <c r="C924" s="434" t="s">
        <v>861</v>
      </c>
      <c r="D924" s="694">
        <v>4591552</v>
      </c>
      <c r="E924" s="694">
        <v>30079707</v>
      </c>
      <c r="F924" s="694">
        <v>162569</v>
      </c>
      <c r="G924" s="694">
        <v>1593147</v>
      </c>
      <c r="H924" s="694">
        <v>28215</v>
      </c>
      <c r="I924" s="694">
        <v>489623</v>
      </c>
      <c r="J924" s="694">
        <v>7188265</v>
      </c>
      <c r="K924" s="694">
        <v>19949624</v>
      </c>
      <c r="L924" s="345"/>
    </row>
    <row r="925" spans="2:12" ht="14.5" outlineLevel="1" x14ac:dyDescent="0.35">
      <c r="B925" s="129">
        <v>38</v>
      </c>
      <c r="C925" s="434" t="s">
        <v>862</v>
      </c>
      <c r="D925" s="694">
        <v>1039860</v>
      </c>
      <c r="E925" s="694">
        <v>5325706</v>
      </c>
      <c r="F925" s="694">
        <v>35519</v>
      </c>
      <c r="G925" s="694">
        <v>432306</v>
      </c>
      <c r="H925" s="694">
        <v>5333</v>
      </c>
      <c r="I925" s="694">
        <v>90603</v>
      </c>
      <c r="J925" s="694">
        <v>1207241</v>
      </c>
      <c r="K925" s="694">
        <v>4472334</v>
      </c>
      <c r="L925" s="345"/>
    </row>
    <row r="926" spans="2:12" ht="14.5" outlineLevel="1" x14ac:dyDescent="0.35">
      <c r="B926" s="129">
        <v>39</v>
      </c>
      <c r="C926" s="434" t="s">
        <v>863</v>
      </c>
      <c r="D926" s="694">
        <v>492440</v>
      </c>
      <c r="E926" s="694">
        <v>2951569</v>
      </c>
      <c r="F926" s="694">
        <v>16682</v>
      </c>
      <c r="G926" s="694">
        <v>198959</v>
      </c>
      <c r="H926" s="694">
        <v>7926</v>
      </c>
      <c r="I926" s="694">
        <v>85400</v>
      </c>
      <c r="J926" s="694">
        <v>250686</v>
      </c>
      <c r="K926" s="694">
        <v>1316891</v>
      </c>
      <c r="L926" s="345"/>
    </row>
    <row r="927" spans="2:12" ht="14.5" outlineLevel="1" x14ac:dyDescent="0.35">
      <c r="B927" s="129">
        <v>40</v>
      </c>
      <c r="C927" s="434" t="s">
        <v>864</v>
      </c>
      <c r="D927" s="694">
        <v>73921</v>
      </c>
      <c r="E927" s="694">
        <v>460369</v>
      </c>
      <c r="F927" s="694">
        <v>3231</v>
      </c>
      <c r="G927" s="694">
        <v>33070</v>
      </c>
      <c r="H927" s="694">
        <v>1633</v>
      </c>
      <c r="I927" s="694">
        <v>17374</v>
      </c>
      <c r="J927" s="694">
        <v>53452</v>
      </c>
      <c r="K927" s="694">
        <v>241786</v>
      </c>
      <c r="L927" s="345"/>
    </row>
    <row r="928" spans="2:12" ht="14.5" outlineLevel="1" x14ac:dyDescent="0.35">
      <c r="B928" s="129">
        <v>41</v>
      </c>
      <c r="C928" s="434" t="s">
        <v>865</v>
      </c>
      <c r="D928" s="694" t="s">
        <v>1247</v>
      </c>
      <c r="E928" s="694" t="s">
        <v>1247</v>
      </c>
      <c r="F928" s="694" t="s">
        <v>1247</v>
      </c>
      <c r="G928" s="694" t="s">
        <v>1247</v>
      </c>
      <c r="H928" s="694" t="s">
        <v>1247</v>
      </c>
      <c r="I928" s="694" t="s">
        <v>1247</v>
      </c>
      <c r="J928" s="694" t="s">
        <v>1247</v>
      </c>
      <c r="K928" s="694" t="s">
        <v>1247</v>
      </c>
      <c r="L928" s="345"/>
    </row>
    <row r="929" spans="2:12" ht="14.5" outlineLevel="1" x14ac:dyDescent="0.35">
      <c r="B929" s="129">
        <v>42</v>
      </c>
      <c r="C929" s="434" t="s">
        <v>866</v>
      </c>
      <c r="D929" s="694" t="s">
        <v>1247</v>
      </c>
      <c r="E929" s="694" t="s">
        <v>1247</v>
      </c>
      <c r="F929" s="694" t="s">
        <v>1247</v>
      </c>
      <c r="G929" s="694" t="s">
        <v>1247</v>
      </c>
      <c r="H929" s="694" t="s">
        <v>1247</v>
      </c>
      <c r="I929" s="694" t="s">
        <v>1247</v>
      </c>
      <c r="J929" s="694" t="s">
        <v>1247</v>
      </c>
      <c r="K929" s="694" t="s">
        <v>1247</v>
      </c>
      <c r="L929" s="345"/>
    </row>
    <row r="930" spans="2:12" ht="14.5" outlineLevel="1" x14ac:dyDescent="0.35">
      <c r="B930" s="129">
        <v>43</v>
      </c>
      <c r="C930" s="434" t="s">
        <v>867</v>
      </c>
      <c r="D930" s="694" t="s">
        <v>1247</v>
      </c>
      <c r="E930" s="694" t="s">
        <v>1247</v>
      </c>
      <c r="F930" s="694" t="s">
        <v>1247</v>
      </c>
      <c r="G930" s="694" t="s">
        <v>1247</v>
      </c>
      <c r="H930" s="694" t="s">
        <v>1247</v>
      </c>
      <c r="I930" s="694" t="s">
        <v>1247</v>
      </c>
      <c r="J930" s="694" t="s">
        <v>1247</v>
      </c>
      <c r="K930" s="694" t="s">
        <v>1247</v>
      </c>
      <c r="L930" s="345"/>
    </row>
    <row r="931" spans="2:12" ht="14.5" outlineLevel="1" x14ac:dyDescent="0.35">
      <c r="B931" s="129">
        <v>44</v>
      </c>
      <c r="C931" s="434" t="s">
        <v>868</v>
      </c>
      <c r="D931" s="694" t="s">
        <v>1247</v>
      </c>
      <c r="E931" s="694" t="s">
        <v>1247</v>
      </c>
      <c r="F931" s="694" t="s">
        <v>1247</v>
      </c>
      <c r="G931" s="694" t="s">
        <v>1247</v>
      </c>
      <c r="H931" s="694" t="s">
        <v>1247</v>
      </c>
      <c r="I931" s="694" t="s">
        <v>1247</v>
      </c>
      <c r="J931" s="694" t="s">
        <v>1247</v>
      </c>
      <c r="K931" s="694" t="s">
        <v>1247</v>
      </c>
      <c r="L931" s="345"/>
    </row>
    <row r="932" spans="2:12" ht="14.5" outlineLevel="1" x14ac:dyDescent="0.35">
      <c r="B932" s="129">
        <v>45</v>
      </c>
      <c r="C932" s="434" t="s">
        <v>869</v>
      </c>
      <c r="D932" s="694" t="s">
        <v>1247</v>
      </c>
      <c r="E932" s="694" t="s">
        <v>1247</v>
      </c>
      <c r="F932" s="694" t="s">
        <v>1247</v>
      </c>
      <c r="G932" s="694" t="s">
        <v>1247</v>
      </c>
      <c r="H932" s="694" t="s">
        <v>1247</v>
      </c>
      <c r="I932" s="694" t="s">
        <v>1247</v>
      </c>
      <c r="J932" s="694" t="s">
        <v>1247</v>
      </c>
      <c r="K932" s="694" t="s">
        <v>1247</v>
      </c>
      <c r="L932" s="345"/>
    </row>
    <row r="933" spans="2:12" ht="14.5" outlineLevel="1" x14ac:dyDescent="0.35">
      <c r="B933" s="129">
        <v>46</v>
      </c>
      <c r="C933" s="434" t="s">
        <v>870</v>
      </c>
      <c r="D933" s="694" t="s">
        <v>1247</v>
      </c>
      <c r="E933" s="694" t="s">
        <v>1247</v>
      </c>
      <c r="F933" s="694" t="s">
        <v>1247</v>
      </c>
      <c r="G933" s="694" t="s">
        <v>1247</v>
      </c>
      <c r="H933" s="694" t="s">
        <v>1247</v>
      </c>
      <c r="I933" s="694" t="s">
        <v>1247</v>
      </c>
      <c r="J933" s="694" t="s">
        <v>1247</v>
      </c>
      <c r="K933" s="694" t="s">
        <v>1247</v>
      </c>
      <c r="L933" s="345"/>
    </row>
    <row r="934" spans="2:12" ht="14.5" outlineLevel="1" x14ac:dyDescent="0.35">
      <c r="B934" s="129">
        <v>47</v>
      </c>
      <c r="C934" s="434" t="s">
        <v>871</v>
      </c>
      <c r="D934" s="694" t="s">
        <v>1247</v>
      </c>
      <c r="E934" s="694" t="s">
        <v>1247</v>
      </c>
      <c r="F934" s="694" t="s">
        <v>1247</v>
      </c>
      <c r="G934" s="694" t="s">
        <v>1247</v>
      </c>
      <c r="H934" s="694" t="s">
        <v>1247</v>
      </c>
      <c r="I934" s="694" t="s">
        <v>1247</v>
      </c>
      <c r="J934" s="694" t="s">
        <v>1247</v>
      </c>
      <c r="K934" s="694" t="s">
        <v>1247</v>
      </c>
      <c r="L934" s="345"/>
    </row>
    <row r="935" spans="2:12" ht="14.5" outlineLevel="1" x14ac:dyDescent="0.35">
      <c r="B935" s="129">
        <v>48</v>
      </c>
      <c r="C935" s="434" t="s">
        <v>872</v>
      </c>
      <c r="D935" s="694" t="s">
        <v>1247</v>
      </c>
      <c r="E935" s="694" t="s">
        <v>1247</v>
      </c>
      <c r="F935" s="694" t="s">
        <v>1247</v>
      </c>
      <c r="G935" s="694" t="s">
        <v>1247</v>
      </c>
      <c r="H935" s="694" t="s">
        <v>1247</v>
      </c>
      <c r="I935" s="694" t="s">
        <v>1247</v>
      </c>
      <c r="J935" s="694" t="s">
        <v>1247</v>
      </c>
      <c r="K935" s="694" t="s">
        <v>1247</v>
      </c>
      <c r="L935" s="345"/>
    </row>
    <row r="936" spans="2:12" ht="14.5" outlineLevel="1" x14ac:dyDescent="0.35">
      <c r="B936" s="129">
        <v>49</v>
      </c>
      <c r="C936" s="434" t="s">
        <v>873</v>
      </c>
      <c r="D936" s="694" t="s">
        <v>1247</v>
      </c>
      <c r="E936" s="694" t="s">
        <v>1247</v>
      </c>
      <c r="F936" s="694" t="s">
        <v>1247</v>
      </c>
      <c r="G936" s="694" t="s">
        <v>1247</v>
      </c>
      <c r="H936" s="694" t="s">
        <v>1247</v>
      </c>
      <c r="I936" s="694" t="s">
        <v>1247</v>
      </c>
      <c r="J936" s="694" t="s">
        <v>1247</v>
      </c>
      <c r="K936" s="694" t="s">
        <v>1247</v>
      </c>
      <c r="L936" s="345"/>
    </row>
    <row r="937" spans="2:12" ht="14.5" outlineLevel="1" x14ac:dyDescent="0.35">
      <c r="B937" s="129">
        <v>50</v>
      </c>
      <c r="C937" s="434" t="s">
        <v>874</v>
      </c>
      <c r="D937" s="694">
        <v>360941</v>
      </c>
      <c r="E937" s="694">
        <v>586866</v>
      </c>
      <c r="F937" s="694">
        <v>6155</v>
      </c>
      <c r="G937" s="694">
        <v>11761</v>
      </c>
      <c r="H937" s="694">
        <v>1144</v>
      </c>
      <c r="I937" s="694">
        <v>7345</v>
      </c>
      <c r="J937" s="694">
        <v>396379</v>
      </c>
      <c r="K937" s="694">
        <v>518643</v>
      </c>
      <c r="L937" s="345"/>
    </row>
    <row r="938" spans="2:12" ht="14.5" outlineLevel="1" x14ac:dyDescent="0.35">
      <c r="B938" s="129">
        <v>51</v>
      </c>
      <c r="C938" s="434" t="s">
        <v>875</v>
      </c>
      <c r="D938" s="694">
        <v>191228</v>
      </c>
      <c r="E938" s="694">
        <v>201040</v>
      </c>
      <c r="F938" s="694">
        <v>2836</v>
      </c>
      <c r="G938" s="694">
        <v>9033</v>
      </c>
      <c r="H938" s="694">
        <v>601</v>
      </c>
      <c r="I938" s="694">
        <v>2805</v>
      </c>
      <c r="J938" s="694">
        <v>168443</v>
      </c>
      <c r="K938" s="694">
        <v>195467</v>
      </c>
      <c r="L938" s="345"/>
    </row>
    <row r="939" spans="2:12" ht="14.5" outlineLevel="1" x14ac:dyDescent="0.35">
      <c r="B939" s="129">
        <v>52</v>
      </c>
      <c r="C939" s="434" t="s">
        <v>876</v>
      </c>
      <c r="D939" s="694">
        <v>98298</v>
      </c>
      <c r="E939" s="694">
        <v>204308</v>
      </c>
      <c r="F939" s="694">
        <v>2454</v>
      </c>
      <c r="G939" s="694">
        <v>5452</v>
      </c>
      <c r="H939" s="694">
        <v>629</v>
      </c>
      <c r="I939" s="694">
        <v>2689</v>
      </c>
      <c r="J939" s="694">
        <v>125474</v>
      </c>
      <c r="K939" s="694">
        <v>187550</v>
      </c>
      <c r="L939" s="345"/>
    </row>
    <row r="940" spans="2:12" ht="14.5" outlineLevel="1" x14ac:dyDescent="0.35">
      <c r="B940" s="129">
        <v>53</v>
      </c>
      <c r="C940" s="434" t="s">
        <v>877</v>
      </c>
      <c r="D940" s="694">
        <v>162041</v>
      </c>
      <c r="E940" s="694">
        <v>318314</v>
      </c>
      <c r="F940" s="694">
        <v>3483</v>
      </c>
      <c r="G940" s="694">
        <v>7852</v>
      </c>
      <c r="H940" s="694">
        <v>1539</v>
      </c>
      <c r="I940" s="694">
        <v>6513</v>
      </c>
      <c r="J940" s="694">
        <v>204238</v>
      </c>
      <c r="K940" s="694">
        <v>357697</v>
      </c>
      <c r="L940" s="345"/>
    </row>
    <row r="941" spans="2:12" ht="14.5" outlineLevel="1" x14ac:dyDescent="0.35">
      <c r="B941" s="129">
        <v>54</v>
      </c>
      <c r="C941" s="434" t="s">
        <v>878</v>
      </c>
      <c r="D941" s="694">
        <v>127358</v>
      </c>
      <c r="E941" s="694">
        <v>259277</v>
      </c>
      <c r="F941" s="694">
        <v>2759</v>
      </c>
      <c r="G941" s="694">
        <v>3687</v>
      </c>
      <c r="H941" s="694">
        <v>896</v>
      </c>
      <c r="I941" s="694">
        <v>3364</v>
      </c>
      <c r="J941" s="694">
        <v>145423</v>
      </c>
      <c r="K941" s="694">
        <v>226867</v>
      </c>
      <c r="L941" s="345"/>
    </row>
    <row r="942" spans="2:12" ht="14.5" outlineLevel="1" x14ac:dyDescent="0.35">
      <c r="B942" s="129">
        <v>55</v>
      </c>
      <c r="C942" s="434" t="s">
        <v>879</v>
      </c>
      <c r="D942" s="694">
        <v>289514</v>
      </c>
      <c r="E942" s="694">
        <v>407743</v>
      </c>
      <c r="F942" s="694">
        <v>2747</v>
      </c>
      <c r="G942" s="694">
        <v>4400</v>
      </c>
      <c r="H942" s="694">
        <v>472</v>
      </c>
      <c r="I942" s="694">
        <v>1099</v>
      </c>
      <c r="J942" s="694">
        <v>246964</v>
      </c>
      <c r="K942" s="694">
        <v>371867</v>
      </c>
      <c r="L942" s="345"/>
    </row>
    <row r="943" spans="2:12" ht="14.5" outlineLevel="1" x14ac:dyDescent="0.35">
      <c r="B943" s="129">
        <v>56</v>
      </c>
      <c r="C943" s="434" t="s">
        <v>880</v>
      </c>
      <c r="D943" s="694">
        <v>198103</v>
      </c>
      <c r="E943" s="694">
        <v>387991</v>
      </c>
      <c r="F943" s="694">
        <v>2260</v>
      </c>
      <c r="G943" s="694">
        <v>7563</v>
      </c>
      <c r="H943" s="694">
        <v>552</v>
      </c>
      <c r="I943" s="694">
        <v>1818</v>
      </c>
      <c r="J943" s="694">
        <v>338646</v>
      </c>
      <c r="K943" s="694">
        <v>504932</v>
      </c>
      <c r="L943" s="345"/>
    </row>
    <row r="944" spans="2:12" ht="14.5" outlineLevel="1" x14ac:dyDescent="0.35">
      <c r="B944" s="129">
        <v>57</v>
      </c>
      <c r="C944" s="434" t="s">
        <v>881</v>
      </c>
      <c r="D944" s="694" t="s">
        <v>1247</v>
      </c>
      <c r="E944" s="694" t="s">
        <v>1247</v>
      </c>
      <c r="F944" s="694" t="s">
        <v>1247</v>
      </c>
      <c r="G944" s="694" t="s">
        <v>1247</v>
      </c>
      <c r="H944" s="694" t="s">
        <v>1247</v>
      </c>
      <c r="I944" s="694" t="s">
        <v>1247</v>
      </c>
      <c r="J944" s="694" t="s">
        <v>1247</v>
      </c>
      <c r="K944" s="694" t="s">
        <v>1247</v>
      </c>
      <c r="L944" s="345"/>
    </row>
    <row r="945" spans="2:12" ht="14.5" outlineLevel="1" x14ac:dyDescent="0.35">
      <c r="B945" s="129">
        <v>58</v>
      </c>
      <c r="C945" s="434" t="s">
        <v>882</v>
      </c>
      <c r="D945" s="694" t="s">
        <v>1247</v>
      </c>
      <c r="E945" s="694" t="s">
        <v>1247</v>
      </c>
      <c r="F945" s="694" t="s">
        <v>1247</v>
      </c>
      <c r="G945" s="694" t="s">
        <v>1247</v>
      </c>
      <c r="H945" s="694" t="s">
        <v>1247</v>
      </c>
      <c r="I945" s="694" t="s">
        <v>1247</v>
      </c>
      <c r="J945" s="694" t="s">
        <v>1247</v>
      </c>
      <c r="K945" s="694" t="s">
        <v>1247</v>
      </c>
      <c r="L945" s="345"/>
    </row>
    <row r="946" spans="2:12" ht="14.5" outlineLevel="1" x14ac:dyDescent="0.35">
      <c r="B946" s="129">
        <v>59</v>
      </c>
      <c r="C946" s="434" t="s">
        <v>883</v>
      </c>
      <c r="D946" s="694" t="s">
        <v>1247</v>
      </c>
      <c r="E946" s="694" t="s">
        <v>1247</v>
      </c>
      <c r="F946" s="694" t="s">
        <v>1247</v>
      </c>
      <c r="G946" s="694" t="s">
        <v>1247</v>
      </c>
      <c r="H946" s="694" t="s">
        <v>1247</v>
      </c>
      <c r="I946" s="694" t="s">
        <v>1247</v>
      </c>
      <c r="J946" s="694" t="s">
        <v>1247</v>
      </c>
      <c r="K946" s="694" t="s">
        <v>1247</v>
      </c>
      <c r="L946" s="345"/>
    </row>
    <row r="947" spans="2:12" ht="14.5" outlineLevel="1" x14ac:dyDescent="0.35">
      <c r="B947" s="129">
        <v>60</v>
      </c>
      <c r="C947" s="434" t="s">
        <v>884</v>
      </c>
      <c r="D947" s="694" t="s">
        <v>1247</v>
      </c>
      <c r="E947" s="694" t="s">
        <v>1247</v>
      </c>
      <c r="F947" s="694" t="s">
        <v>1247</v>
      </c>
      <c r="G947" s="694" t="s">
        <v>1247</v>
      </c>
      <c r="H947" s="694" t="s">
        <v>1247</v>
      </c>
      <c r="I947" s="694" t="s">
        <v>1247</v>
      </c>
      <c r="J947" s="694" t="s">
        <v>1247</v>
      </c>
      <c r="K947" s="694" t="s">
        <v>1247</v>
      </c>
      <c r="L947" s="345"/>
    </row>
    <row r="948" spans="2:12" ht="14.5" outlineLevel="1" x14ac:dyDescent="0.35">
      <c r="B948" s="129">
        <v>61</v>
      </c>
      <c r="C948" s="434" t="s">
        <v>885</v>
      </c>
      <c r="D948" s="694" t="s">
        <v>1247</v>
      </c>
      <c r="E948" s="694" t="s">
        <v>1247</v>
      </c>
      <c r="F948" s="694" t="s">
        <v>1247</v>
      </c>
      <c r="G948" s="694" t="s">
        <v>1247</v>
      </c>
      <c r="H948" s="694" t="s">
        <v>1247</v>
      </c>
      <c r="I948" s="694" t="s">
        <v>1247</v>
      </c>
      <c r="J948" s="694" t="s">
        <v>1247</v>
      </c>
      <c r="K948" s="694" t="s">
        <v>1247</v>
      </c>
      <c r="L948" s="345"/>
    </row>
    <row r="949" spans="2:12" ht="14.5" x14ac:dyDescent="0.35">
      <c r="B949" s="129">
        <v>62</v>
      </c>
      <c r="C949" s="434" t="s">
        <v>886</v>
      </c>
      <c r="D949" s="694" t="s">
        <v>1247</v>
      </c>
      <c r="E949" s="694" t="s">
        <v>1247</v>
      </c>
      <c r="F949" s="694" t="s">
        <v>1247</v>
      </c>
      <c r="G949" s="694" t="s">
        <v>1247</v>
      </c>
      <c r="H949" s="694" t="s">
        <v>1247</v>
      </c>
      <c r="I949" s="694" t="s">
        <v>1247</v>
      </c>
      <c r="J949" s="694" t="s">
        <v>1247</v>
      </c>
      <c r="K949" s="694" t="s">
        <v>1247</v>
      </c>
      <c r="L949" s="345"/>
    </row>
    <row r="950" spans="2:12" ht="14.5" x14ac:dyDescent="0.35">
      <c r="B950" s="129">
        <v>63</v>
      </c>
      <c r="C950" s="434" t="s">
        <v>887</v>
      </c>
      <c r="D950" s="694" t="s">
        <v>1247</v>
      </c>
      <c r="E950" s="694" t="s">
        <v>1247</v>
      </c>
      <c r="F950" s="694" t="s">
        <v>1247</v>
      </c>
      <c r="G950" s="694" t="s">
        <v>1247</v>
      </c>
      <c r="H950" s="694" t="s">
        <v>1247</v>
      </c>
      <c r="I950" s="694" t="s">
        <v>1247</v>
      </c>
      <c r="J950" s="694" t="s">
        <v>1247</v>
      </c>
      <c r="K950" s="694" t="s">
        <v>1247</v>
      </c>
      <c r="L950" s="345"/>
    </row>
    <row r="951" spans="2:12" ht="14.5" x14ac:dyDescent="0.35">
      <c r="B951" s="129">
        <v>64</v>
      </c>
      <c r="C951" s="434" t="s">
        <v>888</v>
      </c>
      <c r="D951" s="694" t="s">
        <v>1247</v>
      </c>
      <c r="E951" s="694" t="s">
        <v>1247</v>
      </c>
      <c r="F951" s="694" t="s">
        <v>1247</v>
      </c>
      <c r="G951" s="694" t="s">
        <v>1247</v>
      </c>
      <c r="H951" s="694" t="s">
        <v>1247</v>
      </c>
      <c r="I951" s="694" t="s">
        <v>1247</v>
      </c>
      <c r="J951" s="694" t="s">
        <v>1247</v>
      </c>
      <c r="K951" s="694" t="s">
        <v>1247</v>
      </c>
      <c r="L951" s="345"/>
    </row>
    <row r="952" spans="2:12" ht="14.5" x14ac:dyDescent="0.35">
      <c r="B952" s="129">
        <v>65</v>
      </c>
      <c r="C952" s="434" t="s">
        <v>889</v>
      </c>
      <c r="D952" s="694" t="s">
        <v>1247</v>
      </c>
      <c r="E952" s="694" t="s">
        <v>1247</v>
      </c>
      <c r="F952" s="694" t="s">
        <v>1247</v>
      </c>
      <c r="G952" s="694" t="s">
        <v>1247</v>
      </c>
      <c r="H952" s="694" t="s">
        <v>1247</v>
      </c>
      <c r="I952" s="694" t="s">
        <v>1247</v>
      </c>
      <c r="J952" s="694" t="s">
        <v>1247</v>
      </c>
      <c r="K952" s="694" t="s">
        <v>1247</v>
      </c>
      <c r="L952" s="345"/>
    </row>
    <row r="953" spans="2:12" ht="14.5" x14ac:dyDescent="0.35">
      <c r="B953" s="129">
        <v>66</v>
      </c>
      <c r="C953" s="434" t="s">
        <v>955</v>
      </c>
      <c r="D953" s="694">
        <v>5958331</v>
      </c>
      <c r="E953" s="694">
        <v>25365298</v>
      </c>
      <c r="F953" s="694">
        <v>162045</v>
      </c>
      <c r="G953" s="694">
        <v>1356252</v>
      </c>
      <c r="H953" s="694">
        <v>21673</v>
      </c>
      <c r="I953" s="694">
        <v>238023</v>
      </c>
      <c r="J953" s="694">
        <v>7572400</v>
      </c>
      <c r="K953" s="694">
        <v>17442121</v>
      </c>
      <c r="L953" s="345"/>
    </row>
    <row r="954" spans="2:12" ht="14.5" x14ac:dyDescent="0.35">
      <c r="B954" s="129">
        <v>67</v>
      </c>
      <c r="C954" s="434" t="s">
        <v>956</v>
      </c>
      <c r="D954" s="694">
        <v>592471</v>
      </c>
      <c r="E954" s="694">
        <v>4341092</v>
      </c>
      <c r="F954" s="694">
        <v>32010</v>
      </c>
      <c r="G954" s="694">
        <v>255003</v>
      </c>
      <c r="H954" s="694">
        <v>1119</v>
      </c>
      <c r="I954" s="694">
        <v>13974</v>
      </c>
      <c r="J954" s="694">
        <v>1257579</v>
      </c>
      <c r="K954" s="694">
        <v>4139058</v>
      </c>
      <c r="L954" s="345"/>
    </row>
    <row r="955" spans="2:12" ht="14.5" x14ac:dyDescent="0.35">
      <c r="B955" s="129">
        <v>68</v>
      </c>
      <c r="C955" s="434" t="s">
        <v>957</v>
      </c>
      <c r="D955" s="694">
        <v>476860</v>
      </c>
      <c r="E955" s="694">
        <v>2309219</v>
      </c>
      <c r="F955" s="694">
        <v>10833</v>
      </c>
      <c r="G955" s="694">
        <v>133617</v>
      </c>
      <c r="H955" s="694">
        <v>546</v>
      </c>
      <c r="I955" s="694">
        <v>5571</v>
      </c>
      <c r="J955" s="694">
        <v>400357</v>
      </c>
      <c r="K955" s="694">
        <v>1703205</v>
      </c>
      <c r="L955" s="345"/>
    </row>
    <row r="956" spans="2:12" ht="14.5" x14ac:dyDescent="0.35">
      <c r="B956" s="129">
        <v>69</v>
      </c>
      <c r="C956" s="434" t="s">
        <v>958</v>
      </c>
      <c r="D956" s="694">
        <v>1717621</v>
      </c>
      <c r="E956" s="694">
        <v>8401674</v>
      </c>
      <c r="F956" s="694">
        <v>51587</v>
      </c>
      <c r="G956" s="694">
        <v>420834</v>
      </c>
      <c r="H956" s="694">
        <v>6781</v>
      </c>
      <c r="I956" s="694">
        <v>90494</v>
      </c>
      <c r="J956" s="694">
        <v>1029383</v>
      </c>
      <c r="K956" s="694">
        <v>4454450</v>
      </c>
      <c r="L956" s="345"/>
    </row>
    <row r="957" spans="2:12" ht="14.5" x14ac:dyDescent="0.35">
      <c r="B957" s="129">
        <v>70</v>
      </c>
      <c r="C957" s="434" t="s">
        <v>959</v>
      </c>
      <c r="D957" s="694">
        <v>257102</v>
      </c>
      <c r="E957" s="694">
        <v>1278227</v>
      </c>
      <c r="F957" s="694">
        <v>20544</v>
      </c>
      <c r="G957" s="694">
        <v>159687</v>
      </c>
      <c r="H957" s="694">
        <v>3606</v>
      </c>
      <c r="I957" s="694">
        <v>30161</v>
      </c>
      <c r="J957" s="694">
        <v>183457</v>
      </c>
      <c r="K957" s="694">
        <v>480148</v>
      </c>
      <c r="L957" s="345"/>
    </row>
    <row r="958" spans="2:12" ht="14.5" x14ac:dyDescent="0.35">
      <c r="B958" s="129">
        <v>71</v>
      </c>
      <c r="C958" s="434" t="s">
        <v>960</v>
      </c>
      <c r="D958" s="694" t="s">
        <v>1247</v>
      </c>
      <c r="E958" s="694" t="s">
        <v>1247</v>
      </c>
      <c r="F958" s="694" t="s">
        <v>1247</v>
      </c>
      <c r="G958" s="694" t="s">
        <v>1247</v>
      </c>
      <c r="H958" s="694" t="s">
        <v>1247</v>
      </c>
      <c r="I958" s="694" t="s">
        <v>1247</v>
      </c>
      <c r="J958" s="694" t="s">
        <v>1247</v>
      </c>
      <c r="K958" s="694" t="s">
        <v>1247</v>
      </c>
      <c r="L958" s="345"/>
    </row>
    <row r="959" spans="2:12" ht="14.5" x14ac:dyDescent="0.35">
      <c r="B959" s="129">
        <v>72</v>
      </c>
      <c r="C959" s="434" t="s">
        <v>961</v>
      </c>
      <c r="D959" s="694" t="s">
        <v>1247</v>
      </c>
      <c r="E959" s="694" t="s">
        <v>1247</v>
      </c>
      <c r="F959" s="694" t="s">
        <v>1247</v>
      </c>
      <c r="G959" s="694" t="s">
        <v>1247</v>
      </c>
      <c r="H959" s="694" t="s">
        <v>1247</v>
      </c>
      <c r="I959" s="694" t="s">
        <v>1247</v>
      </c>
      <c r="J959" s="694" t="s">
        <v>1247</v>
      </c>
      <c r="K959" s="694" t="s">
        <v>1247</v>
      </c>
      <c r="L959" s="345"/>
    </row>
    <row r="960" spans="2:12" ht="14.5" x14ac:dyDescent="0.35">
      <c r="B960" s="129">
        <v>73</v>
      </c>
      <c r="C960" s="434" t="s">
        <v>962</v>
      </c>
      <c r="D960" s="694" t="s">
        <v>1247</v>
      </c>
      <c r="E960" s="694" t="s">
        <v>1247</v>
      </c>
      <c r="F960" s="694" t="s">
        <v>1247</v>
      </c>
      <c r="G960" s="694" t="s">
        <v>1247</v>
      </c>
      <c r="H960" s="694" t="s">
        <v>1247</v>
      </c>
      <c r="I960" s="694" t="s">
        <v>1247</v>
      </c>
      <c r="J960" s="694" t="s">
        <v>1247</v>
      </c>
      <c r="K960" s="694" t="s">
        <v>1247</v>
      </c>
      <c r="L960" s="345"/>
    </row>
    <row r="961" spans="2:12" ht="14.5" x14ac:dyDescent="0.35">
      <c r="B961" s="129">
        <v>74</v>
      </c>
      <c r="C961" s="434" t="s">
        <v>963</v>
      </c>
      <c r="D961" s="694" t="s">
        <v>1247</v>
      </c>
      <c r="E961" s="694" t="s">
        <v>1247</v>
      </c>
      <c r="F961" s="694" t="s">
        <v>1247</v>
      </c>
      <c r="G961" s="694" t="s">
        <v>1247</v>
      </c>
      <c r="H961" s="694" t="s">
        <v>1247</v>
      </c>
      <c r="I961" s="694" t="s">
        <v>1247</v>
      </c>
      <c r="J961" s="694" t="s">
        <v>1247</v>
      </c>
      <c r="K961" s="694" t="s">
        <v>1247</v>
      </c>
      <c r="L961" s="345"/>
    </row>
    <row r="962" spans="2:12" ht="14.5" x14ac:dyDescent="0.35">
      <c r="B962" s="129">
        <v>75</v>
      </c>
      <c r="C962" s="277" t="s">
        <v>1020</v>
      </c>
      <c r="D962" s="694">
        <v>1887235</v>
      </c>
      <c r="E962" s="694">
        <v>9959917</v>
      </c>
      <c r="F962" s="694">
        <v>60604</v>
      </c>
      <c r="G962" s="694">
        <v>711951</v>
      </c>
      <c r="H962" s="694">
        <v>5628</v>
      </c>
      <c r="I962" s="694">
        <v>107124</v>
      </c>
      <c r="J962" s="694">
        <v>3250070</v>
      </c>
      <c r="K962" s="694">
        <v>9998526</v>
      </c>
      <c r="L962" s="345"/>
    </row>
    <row r="963" spans="2:12" ht="14.5" x14ac:dyDescent="0.35">
      <c r="B963" s="129">
        <v>76</v>
      </c>
      <c r="C963" s="277" t="s">
        <v>1021</v>
      </c>
      <c r="D963" s="694">
        <v>2147627</v>
      </c>
      <c r="E963" s="694">
        <v>12453731</v>
      </c>
      <c r="F963" s="694">
        <v>50863</v>
      </c>
      <c r="G963" s="694">
        <v>436597</v>
      </c>
      <c r="H963" s="694">
        <v>8871</v>
      </c>
      <c r="I963" s="694">
        <v>62437</v>
      </c>
      <c r="J963" s="694">
        <v>2042694</v>
      </c>
      <c r="K963" s="694">
        <v>9801892</v>
      </c>
      <c r="L963" s="345"/>
    </row>
    <row r="964" spans="2:12" ht="14.5" x14ac:dyDescent="0.35">
      <c r="B964" s="129">
        <v>77</v>
      </c>
      <c r="C964" s="277" t="s">
        <v>1022</v>
      </c>
      <c r="D964" s="694">
        <v>1463097</v>
      </c>
      <c r="E964" s="694">
        <v>9523810</v>
      </c>
      <c r="F964" s="694">
        <v>54609</v>
      </c>
      <c r="G964" s="694">
        <v>486438</v>
      </c>
      <c r="H964" s="694">
        <v>5196</v>
      </c>
      <c r="I964" s="694">
        <v>74025</v>
      </c>
      <c r="J964" s="694">
        <v>2288422</v>
      </c>
      <c r="K964" s="694">
        <v>5682942</v>
      </c>
      <c r="L964" s="345"/>
    </row>
    <row r="965" spans="2:12" ht="14.5" x14ac:dyDescent="0.35">
      <c r="B965" s="129">
        <v>78</v>
      </c>
      <c r="C965" s="277" t="s">
        <v>1023</v>
      </c>
      <c r="D965" s="694">
        <v>473549</v>
      </c>
      <c r="E965" s="694">
        <v>2649978</v>
      </c>
      <c r="F965" s="694">
        <v>17517</v>
      </c>
      <c r="G965" s="694">
        <v>156532</v>
      </c>
      <c r="H965" s="694">
        <v>881</v>
      </c>
      <c r="I965" s="694">
        <v>7003</v>
      </c>
      <c r="J965" s="694">
        <v>560932</v>
      </c>
      <c r="K965" s="694">
        <v>1791617</v>
      </c>
      <c r="L965" s="345"/>
    </row>
    <row r="966" spans="2:12" ht="14.5" x14ac:dyDescent="0.35">
      <c r="B966" s="129">
        <v>79</v>
      </c>
      <c r="C966" s="277" t="s">
        <v>1024</v>
      </c>
      <c r="D966" s="694">
        <v>230164</v>
      </c>
      <c r="E966" s="694">
        <v>1743162</v>
      </c>
      <c r="F966" s="694">
        <v>8911</v>
      </c>
      <c r="G966" s="694">
        <v>101395</v>
      </c>
      <c r="H966" s="694">
        <v>517</v>
      </c>
      <c r="I966" s="694">
        <v>5065</v>
      </c>
      <c r="J966" s="694">
        <v>269380</v>
      </c>
      <c r="K966" s="694">
        <v>1197804</v>
      </c>
      <c r="L966" s="345"/>
    </row>
    <row r="967" spans="2:12" ht="14.5" x14ac:dyDescent="0.35">
      <c r="B967" s="129">
        <v>80</v>
      </c>
      <c r="C967" s="277" t="s">
        <v>1025</v>
      </c>
      <c r="D967" s="694">
        <v>298689</v>
      </c>
      <c r="E967" s="694">
        <v>1802599</v>
      </c>
      <c r="F967" s="694">
        <v>6697</v>
      </c>
      <c r="G967" s="694">
        <v>71862</v>
      </c>
      <c r="H967" s="694">
        <v>237</v>
      </c>
      <c r="I967" s="694">
        <v>2244</v>
      </c>
      <c r="J967" s="694">
        <v>215138</v>
      </c>
      <c r="K967" s="694">
        <v>760348</v>
      </c>
      <c r="L967" s="345"/>
    </row>
    <row r="968" spans="2:12" ht="14.5" x14ac:dyDescent="0.35">
      <c r="B968" s="129">
        <v>81</v>
      </c>
      <c r="C968" s="277" t="s">
        <v>1026</v>
      </c>
      <c r="D968" s="694">
        <v>153840</v>
      </c>
      <c r="E968" s="694">
        <v>1270121</v>
      </c>
      <c r="F968" s="694">
        <v>6615</v>
      </c>
      <c r="G968" s="694">
        <v>38655</v>
      </c>
      <c r="H968" s="694">
        <v>138</v>
      </c>
      <c r="I968" s="694">
        <v>2149</v>
      </c>
      <c r="J968" s="694">
        <v>188105</v>
      </c>
      <c r="K968" s="694">
        <v>670717</v>
      </c>
      <c r="L968" s="345"/>
    </row>
    <row r="969" spans="2:12" ht="14.5" x14ac:dyDescent="0.35">
      <c r="B969" s="129">
        <v>82</v>
      </c>
      <c r="C969" s="277" t="s">
        <v>1027</v>
      </c>
      <c r="D969" s="694">
        <v>895406</v>
      </c>
      <c r="E969" s="694">
        <v>8194241</v>
      </c>
      <c r="F969" s="694">
        <v>47467</v>
      </c>
      <c r="G969" s="694">
        <v>483904</v>
      </c>
      <c r="H969" s="694">
        <v>5881</v>
      </c>
      <c r="I969" s="694">
        <v>48942</v>
      </c>
      <c r="J969" s="694">
        <v>1148476</v>
      </c>
      <c r="K969" s="694">
        <v>2814401</v>
      </c>
      <c r="L969" s="345"/>
    </row>
    <row r="970" spans="2:12" ht="14.5" x14ac:dyDescent="0.35">
      <c r="B970" s="129">
        <v>83</v>
      </c>
      <c r="C970" s="277" t="s">
        <v>1028</v>
      </c>
      <c r="D970" s="694">
        <v>238478</v>
      </c>
      <c r="E970" s="694">
        <v>1533276</v>
      </c>
      <c r="F970" s="694">
        <v>7706</v>
      </c>
      <c r="G970" s="694">
        <v>63164</v>
      </c>
      <c r="H970" s="694">
        <v>1028</v>
      </c>
      <c r="I970" s="694">
        <v>9838</v>
      </c>
      <c r="J970" s="694">
        <v>195841</v>
      </c>
      <c r="K970" s="694">
        <v>881315</v>
      </c>
      <c r="L970" s="345"/>
    </row>
    <row r="971" spans="2:12" ht="14.5" x14ac:dyDescent="0.35">
      <c r="B971" s="129">
        <v>84</v>
      </c>
      <c r="C971" s="277" t="s">
        <v>1029</v>
      </c>
      <c r="D971" s="694">
        <v>124891</v>
      </c>
      <c r="E971" s="694">
        <v>1073053</v>
      </c>
      <c r="F971" s="694">
        <v>14827</v>
      </c>
      <c r="G971" s="694">
        <v>125188</v>
      </c>
      <c r="H971" s="694">
        <v>2612</v>
      </c>
      <c r="I971" s="694">
        <v>23269</v>
      </c>
      <c r="J971" s="694">
        <v>112134</v>
      </c>
      <c r="K971" s="694">
        <v>416873</v>
      </c>
      <c r="L971" s="345"/>
    </row>
    <row r="972" spans="2:12" ht="14.5" x14ac:dyDescent="0.35">
      <c r="B972" s="129">
        <v>85</v>
      </c>
      <c r="C972" s="277" t="s">
        <v>1030</v>
      </c>
      <c r="D972" s="694">
        <v>44380</v>
      </c>
      <c r="E972" s="694">
        <v>165146</v>
      </c>
      <c r="F972" s="694">
        <v>2701</v>
      </c>
      <c r="G972" s="694">
        <v>32322</v>
      </c>
      <c r="H972" s="694">
        <v>613</v>
      </c>
      <c r="I972" s="694">
        <v>8247</v>
      </c>
      <c r="J972" s="694">
        <v>23252</v>
      </c>
      <c r="K972" s="694">
        <v>112540</v>
      </c>
      <c r="L972" s="345"/>
    </row>
    <row r="973" spans="2:12" ht="14.5" x14ac:dyDescent="0.35">
      <c r="B973" s="129">
        <v>86</v>
      </c>
      <c r="C973" s="277" t="s">
        <v>1031</v>
      </c>
      <c r="D973" s="694" t="s">
        <v>1247</v>
      </c>
      <c r="E973" s="694" t="s">
        <v>1247</v>
      </c>
      <c r="F973" s="694" t="s">
        <v>1247</v>
      </c>
      <c r="G973" s="694" t="s">
        <v>1247</v>
      </c>
      <c r="H973" s="694" t="s">
        <v>1247</v>
      </c>
      <c r="I973" s="694" t="s">
        <v>1247</v>
      </c>
      <c r="J973" s="694" t="s">
        <v>1247</v>
      </c>
      <c r="K973" s="694" t="s">
        <v>1247</v>
      </c>
      <c r="L973" s="345"/>
    </row>
    <row r="974" spans="2:12" ht="14.5" x14ac:dyDescent="0.35">
      <c r="B974" s="129">
        <v>87</v>
      </c>
      <c r="C974" s="277" t="s">
        <v>1032</v>
      </c>
      <c r="D974" s="694" t="s">
        <v>1247</v>
      </c>
      <c r="E974" s="694" t="s">
        <v>1247</v>
      </c>
      <c r="F974" s="694" t="s">
        <v>1247</v>
      </c>
      <c r="G974" s="694" t="s">
        <v>1247</v>
      </c>
      <c r="H974" s="694" t="s">
        <v>1247</v>
      </c>
      <c r="I974" s="694" t="s">
        <v>1247</v>
      </c>
      <c r="J974" s="694" t="s">
        <v>1247</v>
      </c>
      <c r="K974" s="694" t="s">
        <v>1247</v>
      </c>
      <c r="L974" s="345"/>
    </row>
    <row r="975" spans="2:12" ht="14.5" x14ac:dyDescent="0.35">
      <c r="B975" s="129">
        <v>88</v>
      </c>
      <c r="C975" s="277" t="s">
        <v>1033</v>
      </c>
      <c r="D975" s="694" t="s">
        <v>1247</v>
      </c>
      <c r="E975" s="694" t="s">
        <v>1247</v>
      </c>
      <c r="F975" s="694" t="s">
        <v>1247</v>
      </c>
      <c r="G975" s="694" t="s">
        <v>1247</v>
      </c>
      <c r="H975" s="694" t="s">
        <v>1247</v>
      </c>
      <c r="I975" s="694" t="s">
        <v>1247</v>
      </c>
      <c r="J975" s="694" t="s">
        <v>1247</v>
      </c>
      <c r="K975" s="694" t="s">
        <v>1247</v>
      </c>
      <c r="L975" s="345"/>
    </row>
    <row r="976" spans="2:12" ht="14.5" x14ac:dyDescent="0.35">
      <c r="B976" s="129">
        <v>89</v>
      </c>
      <c r="C976" s="277" t="s">
        <v>1034</v>
      </c>
      <c r="D976" s="694" t="s">
        <v>1247</v>
      </c>
      <c r="E976" s="694" t="s">
        <v>1247</v>
      </c>
      <c r="F976" s="694" t="s">
        <v>1247</v>
      </c>
      <c r="G976" s="694" t="s">
        <v>1247</v>
      </c>
      <c r="H976" s="694" t="s">
        <v>1247</v>
      </c>
      <c r="I976" s="694" t="s">
        <v>1247</v>
      </c>
      <c r="J976" s="694" t="s">
        <v>1247</v>
      </c>
      <c r="K976" s="694" t="s">
        <v>1247</v>
      </c>
      <c r="L976" s="345"/>
    </row>
    <row r="977" spans="2:12" ht="14.5" x14ac:dyDescent="0.35">
      <c r="B977" s="129">
        <v>90</v>
      </c>
      <c r="C977" s="277" t="s">
        <v>1035</v>
      </c>
      <c r="D977" s="694" t="s">
        <v>1247</v>
      </c>
      <c r="E977" s="694" t="s">
        <v>1247</v>
      </c>
      <c r="F977" s="694" t="s">
        <v>1247</v>
      </c>
      <c r="G977" s="694" t="s">
        <v>1247</v>
      </c>
      <c r="H977" s="694" t="s">
        <v>1247</v>
      </c>
      <c r="I977" s="694" t="s">
        <v>1247</v>
      </c>
      <c r="J977" s="694" t="s">
        <v>1247</v>
      </c>
      <c r="K977" s="694" t="s">
        <v>1247</v>
      </c>
      <c r="L977" s="345"/>
    </row>
    <row r="978" spans="2:12" ht="14.5" x14ac:dyDescent="0.35">
      <c r="B978" s="129">
        <v>91</v>
      </c>
      <c r="C978" s="277" t="s">
        <v>1036</v>
      </c>
      <c r="D978" s="694" t="s">
        <v>1247</v>
      </c>
      <c r="E978" s="694" t="s">
        <v>1247</v>
      </c>
      <c r="F978" s="694" t="s">
        <v>1247</v>
      </c>
      <c r="G978" s="694" t="s">
        <v>1247</v>
      </c>
      <c r="H978" s="694" t="s">
        <v>1247</v>
      </c>
      <c r="I978" s="694" t="s">
        <v>1247</v>
      </c>
      <c r="J978" s="694" t="s">
        <v>1247</v>
      </c>
      <c r="K978" s="694" t="s">
        <v>1247</v>
      </c>
      <c r="L978" s="345"/>
    </row>
    <row r="979" spans="2:12" ht="14.5" x14ac:dyDescent="0.35">
      <c r="B979" s="129">
        <v>92</v>
      </c>
      <c r="C979" s="277" t="s">
        <v>1037</v>
      </c>
      <c r="D979" s="694" t="s">
        <v>1247</v>
      </c>
      <c r="E979" s="694" t="s">
        <v>1247</v>
      </c>
      <c r="F979" s="694" t="s">
        <v>1247</v>
      </c>
      <c r="G979" s="694" t="s">
        <v>1247</v>
      </c>
      <c r="H979" s="694" t="s">
        <v>1247</v>
      </c>
      <c r="I979" s="694" t="s">
        <v>1247</v>
      </c>
      <c r="J979" s="694" t="s">
        <v>1247</v>
      </c>
      <c r="K979" s="694" t="s">
        <v>1247</v>
      </c>
      <c r="L979" s="345"/>
    </row>
    <row r="980" spans="2:12" ht="14.5" x14ac:dyDescent="0.35">
      <c r="B980" s="129">
        <v>93</v>
      </c>
      <c r="C980" s="277" t="s">
        <v>1038</v>
      </c>
      <c r="D980" s="694" t="s">
        <v>1247</v>
      </c>
      <c r="E980" s="694" t="s">
        <v>1247</v>
      </c>
      <c r="F980" s="694" t="s">
        <v>1247</v>
      </c>
      <c r="G980" s="694" t="s">
        <v>1247</v>
      </c>
      <c r="H980" s="694" t="s">
        <v>1247</v>
      </c>
      <c r="I980" s="694" t="s">
        <v>1247</v>
      </c>
      <c r="J980" s="694" t="s">
        <v>1247</v>
      </c>
      <c r="K980" s="694" t="s">
        <v>1247</v>
      </c>
      <c r="L980" s="345"/>
    </row>
    <row r="981" spans="2:12" ht="14.5" x14ac:dyDescent="0.35">
      <c r="B981" s="129">
        <v>94</v>
      </c>
      <c r="C981" s="277" t="s">
        <v>1039</v>
      </c>
      <c r="D981" s="694" t="s">
        <v>1247</v>
      </c>
      <c r="E981" s="694" t="s">
        <v>1247</v>
      </c>
      <c r="F981" s="694" t="s">
        <v>1247</v>
      </c>
      <c r="G981" s="694" t="s">
        <v>1247</v>
      </c>
      <c r="H981" s="694" t="s">
        <v>1247</v>
      </c>
      <c r="I981" s="694" t="s">
        <v>1247</v>
      </c>
      <c r="J981" s="694" t="s">
        <v>1247</v>
      </c>
      <c r="K981" s="694" t="s">
        <v>1247</v>
      </c>
      <c r="L981" s="345"/>
    </row>
    <row r="982" spans="2:12" ht="14.5" x14ac:dyDescent="0.35">
      <c r="B982" s="129">
        <v>95</v>
      </c>
      <c r="C982" s="277" t="s">
        <v>817</v>
      </c>
      <c r="D982" s="694">
        <v>5727002</v>
      </c>
      <c r="E982" s="694">
        <v>8830071</v>
      </c>
      <c r="F982" s="694">
        <v>44763</v>
      </c>
      <c r="G982" s="694">
        <v>179878</v>
      </c>
      <c r="H982" s="694">
        <v>10788</v>
      </c>
      <c r="I982" s="694">
        <v>63611</v>
      </c>
      <c r="J982" s="694">
        <v>4493977</v>
      </c>
      <c r="K982" s="694">
        <v>6771470</v>
      </c>
      <c r="L982" s="345"/>
    </row>
    <row r="983" spans="2:12" ht="14.5" x14ac:dyDescent="0.35">
      <c r="B983" s="129">
        <v>96</v>
      </c>
      <c r="C983" s="277" t="s">
        <v>818</v>
      </c>
      <c r="D983" s="694">
        <v>8705094</v>
      </c>
      <c r="E983" s="694">
        <v>22856176</v>
      </c>
      <c r="F983" s="694">
        <v>121432</v>
      </c>
      <c r="G983" s="694">
        <v>347113</v>
      </c>
      <c r="H983" s="694">
        <v>51490</v>
      </c>
      <c r="I983" s="694">
        <v>164510</v>
      </c>
      <c r="J983" s="694">
        <v>7278288</v>
      </c>
      <c r="K983" s="694">
        <v>15434342</v>
      </c>
      <c r="L983" s="345"/>
    </row>
    <row r="984" spans="2:12" ht="14.5" x14ac:dyDescent="0.35">
      <c r="B984" s="129">
        <v>97</v>
      </c>
      <c r="C984" s="277" t="s">
        <v>1043</v>
      </c>
      <c r="D984" s="694">
        <v>6214015</v>
      </c>
      <c r="E984" s="694">
        <v>10945961</v>
      </c>
      <c r="F984" s="694">
        <v>82890</v>
      </c>
      <c r="G984" s="694">
        <v>272211</v>
      </c>
      <c r="H984" s="694">
        <v>27291</v>
      </c>
      <c r="I984" s="694">
        <v>83720</v>
      </c>
      <c r="J984" s="694">
        <v>6498881</v>
      </c>
      <c r="K984" s="694">
        <v>11273879</v>
      </c>
      <c r="L984" s="345"/>
    </row>
    <row r="985" spans="2:12" ht="14.5" x14ac:dyDescent="0.35">
      <c r="B985" s="129">
        <v>98</v>
      </c>
      <c r="C985" s="277" t="s">
        <v>844</v>
      </c>
      <c r="D985" s="694">
        <v>6472459</v>
      </c>
      <c r="E985" s="694">
        <v>10697501</v>
      </c>
      <c r="F985" s="694">
        <v>37065</v>
      </c>
      <c r="G985" s="694">
        <v>75875</v>
      </c>
      <c r="H985" s="694">
        <v>9461</v>
      </c>
      <c r="I985" s="694">
        <v>49926</v>
      </c>
      <c r="J985" s="694">
        <v>2740388</v>
      </c>
      <c r="K985" s="694">
        <v>3330326</v>
      </c>
      <c r="L985" s="345"/>
    </row>
    <row r="986" spans="2:12" ht="14.5" x14ac:dyDescent="0.35">
      <c r="B986" s="129">
        <v>99</v>
      </c>
      <c r="C986" s="277" t="s">
        <v>845</v>
      </c>
      <c r="D986" s="694">
        <v>1668723</v>
      </c>
      <c r="E986" s="694">
        <v>4340714</v>
      </c>
      <c r="F986" s="694">
        <v>45584</v>
      </c>
      <c r="G986" s="694">
        <v>100074</v>
      </c>
      <c r="H986" s="694">
        <v>9904</v>
      </c>
      <c r="I986" s="694">
        <v>42042</v>
      </c>
      <c r="J986" s="694">
        <v>1260211</v>
      </c>
      <c r="K986" s="694">
        <v>1721239</v>
      </c>
      <c r="L986" s="345"/>
    </row>
    <row r="987" spans="2:12" ht="14.5" x14ac:dyDescent="0.35">
      <c r="B987" s="129">
        <v>100</v>
      </c>
      <c r="C987" s="277" t="s">
        <v>846</v>
      </c>
      <c r="D987" s="694">
        <v>780889</v>
      </c>
      <c r="E987" s="694">
        <v>1518174</v>
      </c>
      <c r="F987" s="694">
        <v>21994</v>
      </c>
      <c r="G987" s="694">
        <v>33312</v>
      </c>
      <c r="H987" s="694">
        <v>9740</v>
      </c>
      <c r="I987" s="694">
        <v>34858</v>
      </c>
      <c r="J987" s="694">
        <v>909055</v>
      </c>
      <c r="K987" s="694">
        <v>1239692</v>
      </c>
      <c r="L987" s="345"/>
    </row>
    <row r="988" spans="2:12" ht="14.5" x14ac:dyDescent="0.35">
      <c r="B988" s="129">
        <v>101</v>
      </c>
      <c r="C988" s="277" t="s">
        <v>1044</v>
      </c>
      <c r="D988" s="694">
        <v>0</v>
      </c>
      <c r="E988" s="694">
        <v>0</v>
      </c>
      <c r="F988" s="694">
        <v>0</v>
      </c>
      <c r="G988" s="694">
        <v>0</v>
      </c>
      <c r="H988" s="694">
        <v>0</v>
      </c>
      <c r="I988" s="694">
        <v>0</v>
      </c>
      <c r="J988" s="694">
        <v>0</v>
      </c>
      <c r="K988" s="694">
        <v>0</v>
      </c>
      <c r="L988" s="345"/>
    </row>
    <row r="989" spans="2:12" ht="14.5" x14ac:dyDescent="0.35">
      <c r="B989" s="129">
        <v>102</v>
      </c>
      <c r="C989" s="277" t="s">
        <v>1045</v>
      </c>
      <c r="D989" s="694">
        <v>0</v>
      </c>
      <c r="E989" s="694">
        <v>0</v>
      </c>
      <c r="F989" s="694">
        <v>0</v>
      </c>
      <c r="G989" s="694">
        <v>0</v>
      </c>
      <c r="H989" s="694">
        <v>0</v>
      </c>
      <c r="I989" s="694">
        <v>0</v>
      </c>
      <c r="J989" s="694">
        <v>0</v>
      </c>
      <c r="K989" s="694">
        <v>0</v>
      </c>
      <c r="L989" s="345"/>
    </row>
    <row r="990" spans="2:12" ht="14.5" x14ac:dyDescent="0.35">
      <c r="B990" s="129">
        <v>103</v>
      </c>
      <c r="C990" s="277" t="s">
        <v>1046</v>
      </c>
      <c r="D990" s="694">
        <v>0</v>
      </c>
      <c r="E990" s="694">
        <v>0</v>
      </c>
      <c r="F990" s="694">
        <v>0</v>
      </c>
      <c r="G990" s="694">
        <v>0</v>
      </c>
      <c r="H990" s="694">
        <v>0</v>
      </c>
      <c r="I990" s="694">
        <v>0</v>
      </c>
      <c r="J990" s="694">
        <v>0</v>
      </c>
      <c r="K990" s="694">
        <v>0</v>
      </c>
      <c r="L990" s="345"/>
    </row>
    <row r="991" spans="2:12" ht="14.5" x14ac:dyDescent="0.35">
      <c r="B991" s="129">
        <v>104</v>
      </c>
      <c r="C991" s="277" t="s">
        <v>1047</v>
      </c>
      <c r="D991" s="694">
        <v>0</v>
      </c>
      <c r="E991" s="694">
        <v>0</v>
      </c>
      <c r="F991" s="694">
        <v>0</v>
      </c>
      <c r="G991" s="694">
        <v>0</v>
      </c>
      <c r="H991" s="694">
        <v>0</v>
      </c>
      <c r="I991" s="694">
        <v>0</v>
      </c>
      <c r="J991" s="694">
        <v>0</v>
      </c>
      <c r="K991" s="694">
        <v>0</v>
      </c>
      <c r="L991" s="345"/>
    </row>
    <row r="992" spans="2:12" ht="14.5" x14ac:dyDescent="0.35">
      <c r="B992" s="129">
        <v>105</v>
      </c>
      <c r="C992" s="277" t="s">
        <v>1048</v>
      </c>
      <c r="D992" s="694">
        <v>413</v>
      </c>
      <c r="E992" s="694">
        <v>1160</v>
      </c>
      <c r="F992" s="694">
        <v>0</v>
      </c>
      <c r="G992" s="694">
        <v>0</v>
      </c>
      <c r="H992" s="694">
        <v>0</v>
      </c>
      <c r="I992" s="694">
        <v>0</v>
      </c>
      <c r="J992" s="694">
        <v>775</v>
      </c>
      <c r="K992" s="694">
        <v>1039</v>
      </c>
      <c r="L992" s="345"/>
    </row>
    <row r="993" spans="2:13" ht="14.5" x14ac:dyDescent="0.35">
      <c r="B993" s="129">
        <v>106</v>
      </c>
      <c r="C993" s="277" t="s">
        <v>1049</v>
      </c>
      <c r="D993" s="694">
        <v>0</v>
      </c>
      <c r="E993" s="694">
        <v>0</v>
      </c>
      <c r="F993" s="694">
        <v>0</v>
      </c>
      <c r="G993" s="694">
        <v>0</v>
      </c>
      <c r="H993" s="694">
        <v>0</v>
      </c>
      <c r="I993" s="694">
        <v>0</v>
      </c>
      <c r="J993" s="694">
        <v>0</v>
      </c>
      <c r="K993" s="694">
        <v>0</v>
      </c>
      <c r="L993" s="345"/>
    </row>
    <row r="994" spans="2:13" ht="14.5" x14ac:dyDescent="0.35">
      <c r="B994" s="129">
        <v>107</v>
      </c>
      <c r="C994" s="277" t="s">
        <v>1050</v>
      </c>
      <c r="D994" s="694">
        <v>5551</v>
      </c>
      <c r="E994" s="694">
        <v>8580</v>
      </c>
      <c r="F994" s="694">
        <v>44</v>
      </c>
      <c r="G994" s="694">
        <v>126</v>
      </c>
      <c r="H994" s="694">
        <v>0</v>
      </c>
      <c r="I994" s="694">
        <v>0</v>
      </c>
      <c r="J994" s="694">
        <v>2466</v>
      </c>
      <c r="K994" s="694">
        <v>3886</v>
      </c>
      <c r="L994" s="345"/>
    </row>
    <row r="995" spans="2:13" ht="14.5" x14ac:dyDescent="0.35">
      <c r="B995" s="129">
        <v>108</v>
      </c>
      <c r="C995" s="277" t="s">
        <v>252</v>
      </c>
      <c r="D995" s="345"/>
      <c r="E995" s="345"/>
      <c r="F995" s="345"/>
      <c r="G995" s="345"/>
      <c r="H995" s="345"/>
      <c r="I995" s="345"/>
      <c r="J995" s="345"/>
      <c r="K995" s="345"/>
      <c r="L995" s="345"/>
    </row>
    <row r="996" spans="2:13" x14ac:dyDescent="0.25">
      <c r="B996" s="120"/>
      <c r="L996" s="120"/>
      <c r="M996" s="120"/>
    </row>
    <row r="997" spans="2:13" outlineLevel="1" x14ac:dyDescent="0.25">
      <c r="B997" s="120"/>
      <c r="C997" s="120" t="s">
        <v>291</v>
      </c>
      <c r="I997" s="120"/>
      <c r="J997" s="120"/>
      <c r="K997" s="120"/>
      <c r="L997" s="120"/>
      <c r="M997" s="120"/>
    </row>
    <row r="998" spans="2:13" outlineLevel="1" x14ac:dyDescent="0.25"/>
    <row r="999" spans="2:13" ht="15.5" outlineLevel="1" x14ac:dyDescent="0.25">
      <c r="B999" s="120"/>
      <c r="C999" s="37" t="s">
        <v>376</v>
      </c>
      <c r="D999" s="120"/>
      <c r="E999" s="120"/>
      <c r="F999" s="120"/>
      <c r="G999" s="120"/>
      <c r="H999" s="120"/>
      <c r="I999" s="120"/>
      <c r="J999" s="120"/>
      <c r="K999" s="120"/>
      <c r="L999" s="120"/>
      <c r="M999" s="120"/>
    </row>
    <row r="1000" spans="2:13" ht="12" outlineLevel="1" x14ac:dyDescent="0.25">
      <c r="B1000" s="120"/>
      <c r="C1000" s="126" t="s">
        <v>377</v>
      </c>
      <c r="D1000" s="120"/>
      <c r="E1000" s="120"/>
      <c r="F1000" s="120"/>
      <c r="G1000" s="120"/>
      <c r="H1000" s="120"/>
      <c r="I1000" s="120"/>
      <c r="J1000" s="120"/>
      <c r="K1000" s="120"/>
      <c r="L1000" s="120"/>
      <c r="M1000" s="120"/>
    </row>
    <row r="1001" spans="2:13" ht="12" outlineLevel="1" x14ac:dyDescent="0.25">
      <c r="B1001" s="120"/>
      <c r="C1001" s="126" t="s">
        <v>1248</v>
      </c>
      <c r="D1001" s="120"/>
      <c r="E1001" s="120"/>
      <c r="F1001" s="120"/>
      <c r="G1001" s="120"/>
      <c r="H1001" s="120"/>
      <c r="I1001" s="120"/>
      <c r="J1001" s="120"/>
      <c r="K1001" s="120"/>
      <c r="L1001" s="120"/>
      <c r="M1001" s="120"/>
    </row>
    <row r="1002" spans="2:13" outlineLevel="1" x14ac:dyDescent="0.25">
      <c r="B1002" s="120"/>
      <c r="C1002" s="102" t="s">
        <v>331</v>
      </c>
      <c r="D1002" s="217">
        <f>D1022-D1271</f>
        <v>37232004</v>
      </c>
      <c r="E1002" s="217">
        <f>D1022</f>
        <v>44857581</v>
      </c>
      <c r="F1002" s="217">
        <f>D1271</f>
        <v>7625577</v>
      </c>
      <c r="G1002" s="120"/>
      <c r="H1002" s="120"/>
      <c r="I1002" s="120"/>
      <c r="J1002" s="120"/>
      <c r="K1002" s="120"/>
      <c r="L1002" s="120"/>
      <c r="M1002" s="120"/>
    </row>
    <row r="1003" spans="2:13" outlineLevel="1" x14ac:dyDescent="0.25">
      <c r="B1003" s="120"/>
      <c r="C1003" s="446">
        <v>2022</v>
      </c>
      <c r="F1003" s="217">
        <f>F1002*6</f>
        <v>45753462</v>
      </c>
      <c r="I1003" s="120"/>
      <c r="J1003" s="120"/>
      <c r="K1003" s="120"/>
      <c r="L1003" s="120"/>
      <c r="M1003" s="120"/>
    </row>
    <row r="1004" spans="2:13" outlineLevel="1" x14ac:dyDescent="0.25">
      <c r="B1004" s="120"/>
      <c r="C1004" s="120"/>
      <c r="D1004" s="179"/>
      <c r="E1004" s="179"/>
      <c r="I1004" s="120"/>
      <c r="J1004" s="120"/>
      <c r="K1004" s="120"/>
      <c r="L1004" s="120"/>
      <c r="M1004" s="120"/>
    </row>
    <row r="1005" spans="2:13" ht="34.5" outlineLevel="1" x14ac:dyDescent="0.25">
      <c r="B1005" s="120"/>
      <c r="C1005" s="431" t="s">
        <v>252</v>
      </c>
      <c r="D1005" s="431" t="s">
        <v>378</v>
      </c>
      <c r="E1005" s="431" t="s">
        <v>379</v>
      </c>
      <c r="F1005" s="431" t="s">
        <v>380</v>
      </c>
      <c r="G1005" s="431" t="s">
        <v>381</v>
      </c>
      <c r="H1005" s="431" t="s">
        <v>382</v>
      </c>
      <c r="I1005" s="431" t="s">
        <v>383</v>
      </c>
      <c r="J1005" s="431" t="s">
        <v>1245</v>
      </c>
      <c r="K1005" s="431" t="s">
        <v>1246</v>
      </c>
      <c r="L1005" s="431" t="s">
        <v>258</v>
      </c>
    </row>
    <row r="1006" spans="2:13" ht="14.5" outlineLevel="1" x14ac:dyDescent="0.35">
      <c r="B1006" s="129">
        <v>1</v>
      </c>
      <c r="C1006" s="434" t="s">
        <v>1054</v>
      </c>
      <c r="D1006" s="694" t="s">
        <v>1247</v>
      </c>
      <c r="E1006" s="694" t="s">
        <v>1247</v>
      </c>
      <c r="F1006" s="694" t="s">
        <v>1247</v>
      </c>
      <c r="G1006" s="694" t="s">
        <v>1247</v>
      </c>
      <c r="H1006" s="694" t="s">
        <v>1247</v>
      </c>
      <c r="I1006" s="694" t="s">
        <v>1247</v>
      </c>
      <c r="J1006" s="694" t="s">
        <v>1247</v>
      </c>
      <c r="K1006" s="694" t="s">
        <v>1247</v>
      </c>
      <c r="L1006" s="345"/>
    </row>
    <row r="1007" spans="2:13" ht="14.5" outlineLevel="1" x14ac:dyDescent="0.35">
      <c r="B1007" s="129">
        <v>2</v>
      </c>
      <c r="C1007" s="434" t="s">
        <v>1055</v>
      </c>
      <c r="D1007" s="694" t="s">
        <v>1247</v>
      </c>
      <c r="E1007" s="694" t="s">
        <v>1247</v>
      </c>
      <c r="F1007" s="694" t="s">
        <v>1247</v>
      </c>
      <c r="G1007" s="694" t="s">
        <v>1247</v>
      </c>
      <c r="H1007" s="694" t="s">
        <v>1247</v>
      </c>
      <c r="I1007" s="694" t="s">
        <v>1247</v>
      </c>
      <c r="J1007" s="694" t="s">
        <v>1247</v>
      </c>
      <c r="K1007" s="694" t="s">
        <v>1247</v>
      </c>
      <c r="L1007" s="345"/>
    </row>
    <row r="1008" spans="2:13" ht="14.5" outlineLevel="1" x14ac:dyDescent="0.35">
      <c r="B1008" s="129">
        <v>3</v>
      </c>
      <c r="C1008" s="434" t="s">
        <v>1056</v>
      </c>
      <c r="D1008" s="694" t="s">
        <v>1247</v>
      </c>
      <c r="E1008" s="694" t="s">
        <v>1247</v>
      </c>
      <c r="F1008" s="694" t="s">
        <v>1247</v>
      </c>
      <c r="G1008" s="694" t="s">
        <v>1247</v>
      </c>
      <c r="H1008" s="694" t="s">
        <v>1247</v>
      </c>
      <c r="I1008" s="694" t="s">
        <v>1247</v>
      </c>
      <c r="J1008" s="694" t="s">
        <v>1247</v>
      </c>
      <c r="K1008" s="694" t="s">
        <v>1247</v>
      </c>
      <c r="L1008" s="345"/>
    </row>
    <row r="1009" spans="2:12" ht="14.5" outlineLevel="1" x14ac:dyDescent="0.35">
      <c r="B1009" s="129">
        <v>4</v>
      </c>
      <c r="C1009" s="434" t="s">
        <v>1057</v>
      </c>
      <c r="D1009" s="694" t="s">
        <v>1247</v>
      </c>
      <c r="E1009" s="694" t="s">
        <v>1247</v>
      </c>
      <c r="F1009" s="694" t="s">
        <v>1247</v>
      </c>
      <c r="G1009" s="694" t="s">
        <v>1247</v>
      </c>
      <c r="H1009" s="694" t="s">
        <v>1247</v>
      </c>
      <c r="I1009" s="694" t="s">
        <v>1247</v>
      </c>
      <c r="J1009" s="694" t="s">
        <v>1247</v>
      </c>
      <c r="K1009" s="694" t="s">
        <v>1247</v>
      </c>
      <c r="L1009" s="345"/>
    </row>
    <row r="1010" spans="2:12" ht="14.5" outlineLevel="1" x14ac:dyDescent="0.35">
      <c r="B1010" s="129">
        <v>5</v>
      </c>
      <c r="C1010" s="434" t="s">
        <v>1058</v>
      </c>
      <c r="D1010" s="694" t="s">
        <v>1247</v>
      </c>
      <c r="E1010" s="694" t="s">
        <v>1247</v>
      </c>
      <c r="F1010" s="694" t="s">
        <v>1247</v>
      </c>
      <c r="G1010" s="694" t="s">
        <v>1247</v>
      </c>
      <c r="H1010" s="694" t="s">
        <v>1247</v>
      </c>
      <c r="I1010" s="694" t="s">
        <v>1247</v>
      </c>
      <c r="J1010" s="694" t="s">
        <v>1247</v>
      </c>
      <c r="K1010" s="694" t="s">
        <v>1247</v>
      </c>
      <c r="L1010" s="345"/>
    </row>
    <row r="1011" spans="2:12" ht="14.5" outlineLevel="1" x14ac:dyDescent="0.35">
      <c r="B1011" s="129">
        <v>6</v>
      </c>
      <c r="C1011" s="434" t="s">
        <v>948</v>
      </c>
      <c r="D1011" s="694" t="s">
        <v>1247</v>
      </c>
      <c r="E1011" s="694" t="s">
        <v>1247</v>
      </c>
      <c r="F1011" s="694" t="s">
        <v>1247</v>
      </c>
      <c r="G1011" s="694" t="s">
        <v>1247</v>
      </c>
      <c r="H1011" s="694" t="s">
        <v>1247</v>
      </c>
      <c r="I1011" s="694" t="s">
        <v>1247</v>
      </c>
      <c r="J1011" s="694" t="s">
        <v>1247</v>
      </c>
      <c r="K1011" s="694" t="s">
        <v>1247</v>
      </c>
      <c r="L1011" s="345"/>
    </row>
    <row r="1012" spans="2:12" ht="14.5" outlineLevel="1" x14ac:dyDescent="0.35">
      <c r="B1012" s="129">
        <v>7</v>
      </c>
      <c r="C1012" s="434" t="s">
        <v>949</v>
      </c>
      <c r="D1012" s="694" t="s">
        <v>1247</v>
      </c>
      <c r="E1012" s="694" t="s">
        <v>1247</v>
      </c>
      <c r="F1012" s="694" t="s">
        <v>1247</v>
      </c>
      <c r="G1012" s="694" t="s">
        <v>1247</v>
      </c>
      <c r="H1012" s="694" t="s">
        <v>1247</v>
      </c>
      <c r="I1012" s="694" t="s">
        <v>1247</v>
      </c>
      <c r="J1012" s="694" t="s">
        <v>1247</v>
      </c>
      <c r="K1012" s="694" t="s">
        <v>1247</v>
      </c>
      <c r="L1012" s="345"/>
    </row>
    <row r="1013" spans="2:12" ht="14.5" outlineLevel="1" x14ac:dyDescent="0.35">
      <c r="B1013" s="129">
        <v>8</v>
      </c>
      <c r="C1013" s="434" t="s">
        <v>949</v>
      </c>
      <c r="D1013" s="694" t="s">
        <v>1247</v>
      </c>
      <c r="E1013" s="694" t="s">
        <v>1247</v>
      </c>
      <c r="F1013" s="694" t="s">
        <v>1247</v>
      </c>
      <c r="G1013" s="694" t="s">
        <v>1247</v>
      </c>
      <c r="H1013" s="694" t="s">
        <v>1247</v>
      </c>
      <c r="I1013" s="694" t="s">
        <v>1247</v>
      </c>
      <c r="J1013" s="694" t="s">
        <v>1247</v>
      </c>
      <c r="K1013" s="694" t="s">
        <v>1247</v>
      </c>
      <c r="L1013" s="345"/>
    </row>
    <row r="1014" spans="2:12" ht="14.5" outlineLevel="1" x14ac:dyDescent="0.35">
      <c r="B1014" s="129">
        <v>9</v>
      </c>
      <c r="C1014" s="434" t="s">
        <v>200</v>
      </c>
      <c r="D1014" s="694" t="s">
        <v>1247</v>
      </c>
      <c r="E1014" s="694" t="s">
        <v>1247</v>
      </c>
      <c r="F1014" s="694" t="s">
        <v>1247</v>
      </c>
      <c r="G1014" s="694" t="s">
        <v>1247</v>
      </c>
      <c r="H1014" s="694" t="s">
        <v>1247</v>
      </c>
      <c r="I1014" s="694" t="s">
        <v>1247</v>
      </c>
      <c r="J1014" s="694" t="s">
        <v>1247</v>
      </c>
      <c r="K1014" s="694" t="s">
        <v>1247</v>
      </c>
      <c r="L1014" s="345"/>
    </row>
    <row r="1015" spans="2:12" ht="14.5" outlineLevel="1" x14ac:dyDescent="0.35">
      <c r="B1015" s="129">
        <v>10</v>
      </c>
      <c r="C1015" s="434" t="s">
        <v>1059</v>
      </c>
      <c r="D1015" s="694" t="s">
        <v>1247</v>
      </c>
      <c r="E1015" s="694" t="s">
        <v>1247</v>
      </c>
      <c r="F1015" s="694" t="s">
        <v>1247</v>
      </c>
      <c r="G1015" s="694" t="s">
        <v>1247</v>
      </c>
      <c r="H1015" s="694" t="s">
        <v>1247</v>
      </c>
      <c r="I1015" s="694" t="s">
        <v>1247</v>
      </c>
      <c r="J1015" s="694" t="s">
        <v>1247</v>
      </c>
      <c r="K1015" s="694" t="s">
        <v>1247</v>
      </c>
      <c r="L1015" s="345"/>
    </row>
    <row r="1016" spans="2:12" ht="14.5" outlineLevel="1" x14ac:dyDescent="0.35">
      <c r="B1016" s="129">
        <v>11</v>
      </c>
      <c r="C1016" s="434" t="s">
        <v>1060</v>
      </c>
      <c r="D1016" s="694" t="s">
        <v>1247</v>
      </c>
      <c r="E1016" s="694" t="s">
        <v>1247</v>
      </c>
      <c r="F1016" s="694" t="s">
        <v>1247</v>
      </c>
      <c r="G1016" s="694" t="s">
        <v>1247</v>
      </c>
      <c r="H1016" s="694" t="s">
        <v>1247</v>
      </c>
      <c r="I1016" s="694" t="s">
        <v>1247</v>
      </c>
      <c r="J1016" s="694" t="s">
        <v>1247</v>
      </c>
      <c r="K1016" s="694" t="s">
        <v>1247</v>
      </c>
      <c r="L1016" s="345"/>
    </row>
    <row r="1017" spans="2:12" ht="14.5" outlineLevel="1" x14ac:dyDescent="0.35">
      <c r="B1017" s="129">
        <v>12</v>
      </c>
      <c r="C1017" s="434" t="s">
        <v>1061</v>
      </c>
      <c r="D1017" s="694" t="s">
        <v>1247</v>
      </c>
      <c r="E1017" s="694" t="s">
        <v>1247</v>
      </c>
      <c r="F1017" s="694" t="s">
        <v>1247</v>
      </c>
      <c r="G1017" s="694" t="s">
        <v>1247</v>
      </c>
      <c r="H1017" s="694" t="s">
        <v>1247</v>
      </c>
      <c r="I1017" s="694" t="s">
        <v>1247</v>
      </c>
      <c r="J1017" s="694" t="s">
        <v>1247</v>
      </c>
      <c r="K1017" s="694" t="s">
        <v>1247</v>
      </c>
      <c r="L1017" s="345"/>
    </row>
    <row r="1018" spans="2:12" ht="14.5" outlineLevel="1" x14ac:dyDescent="0.35">
      <c r="B1018" s="129">
        <v>13</v>
      </c>
      <c r="C1018" s="434" t="s">
        <v>852</v>
      </c>
      <c r="D1018" s="694">
        <v>3576992</v>
      </c>
      <c r="E1018" s="694">
        <v>15500821</v>
      </c>
      <c r="F1018" s="694">
        <v>56806</v>
      </c>
      <c r="G1018" s="694">
        <v>555412</v>
      </c>
      <c r="H1018" s="694">
        <v>3099</v>
      </c>
      <c r="I1018" s="694">
        <v>41350</v>
      </c>
      <c r="J1018" s="694">
        <v>6147838</v>
      </c>
      <c r="K1018" s="694">
        <v>17714510</v>
      </c>
      <c r="L1018" s="345"/>
    </row>
    <row r="1019" spans="2:12" ht="14.5" outlineLevel="1" x14ac:dyDescent="0.35">
      <c r="B1019" s="129">
        <v>14</v>
      </c>
      <c r="C1019" s="434" t="s">
        <v>204</v>
      </c>
      <c r="D1019" s="694">
        <v>2686944</v>
      </c>
      <c r="E1019" s="694">
        <v>16883299</v>
      </c>
      <c r="F1019" s="694">
        <v>54503</v>
      </c>
      <c r="G1019" s="694">
        <v>297974</v>
      </c>
      <c r="H1019" s="694">
        <v>4142</v>
      </c>
      <c r="I1019" s="694">
        <v>45072</v>
      </c>
      <c r="J1019" s="694">
        <v>2807233</v>
      </c>
      <c r="K1019" s="694">
        <v>9678658</v>
      </c>
      <c r="L1019" s="345"/>
    </row>
    <row r="1020" spans="2:12" ht="14.5" outlineLevel="1" x14ac:dyDescent="0.35">
      <c r="B1020" s="129">
        <v>15</v>
      </c>
      <c r="C1020" s="434" t="s">
        <v>797</v>
      </c>
      <c r="D1020" s="694">
        <v>12207041</v>
      </c>
      <c r="E1020" s="694">
        <v>48761711</v>
      </c>
      <c r="F1020" s="694">
        <v>432930</v>
      </c>
      <c r="G1020" s="694">
        <v>4010085</v>
      </c>
      <c r="H1020" s="694">
        <v>31549</v>
      </c>
      <c r="I1020" s="694">
        <v>377621</v>
      </c>
      <c r="J1020" s="694">
        <v>13766677</v>
      </c>
      <c r="K1020" s="694">
        <v>61261004</v>
      </c>
      <c r="L1020" s="345"/>
    </row>
    <row r="1021" spans="2:12" ht="14.5" outlineLevel="1" x14ac:dyDescent="0.35">
      <c r="B1021" s="129">
        <v>16</v>
      </c>
      <c r="C1021" s="434" t="s">
        <v>798</v>
      </c>
      <c r="D1021" s="694">
        <v>9206305</v>
      </c>
      <c r="E1021" s="694">
        <v>32805508</v>
      </c>
      <c r="F1021" s="694">
        <v>256124</v>
      </c>
      <c r="G1021" s="694">
        <v>3004750</v>
      </c>
      <c r="H1021" s="694">
        <v>15390</v>
      </c>
      <c r="I1021" s="694">
        <v>180309</v>
      </c>
      <c r="J1021" s="694">
        <v>9823824</v>
      </c>
      <c r="K1021" s="694">
        <v>32866715</v>
      </c>
      <c r="L1021" s="345"/>
    </row>
    <row r="1022" spans="2:12" ht="14.5" outlineLevel="1" x14ac:dyDescent="0.35">
      <c r="B1022" s="129">
        <v>17</v>
      </c>
      <c r="C1022" s="434" t="s">
        <v>205</v>
      </c>
      <c r="D1022" s="694">
        <v>44857581</v>
      </c>
      <c r="E1022" s="694">
        <v>172811875</v>
      </c>
      <c r="F1022" s="694">
        <v>2378193</v>
      </c>
      <c r="G1022" s="694">
        <v>20886735</v>
      </c>
      <c r="H1022" s="694">
        <v>232168</v>
      </c>
      <c r="I1022" s="694">
        <v>2326324</v>
      </c>
      <c r="J1022" s="694">
        <v>31178266</v>
      </c>
      <c r="K1022" s="694">
        <v>128716818</v>
      </c>
      <c r="L1022" s="345"/>
    </row>
    <row r="1023" spans="2:12" ht="14.5" outlineLevel="1" x14ac:dyDescent="0.35">
      <c r="B1023" s="129">
        <v>18</v>
      </c>
      <c r="C1023" s="434" t="s">
        <v>708</v>
      </c>
      <c r="D1023" s="694">
        <v>145509020</v>
      </c>
      <c r="E1023" s="694">
        <v>995982649</v>
      </c>
      <c r="F1023" s="694">
        <v>15053573</v>
      </c>
      <c r="G1023" s="694">
        <v>136274255</v>
      </c>
      <c r="H1023" s="694">
        <v>1422818</v>
      </c>
      <c r="I1023" s="694">
        <v>10793796</v>
      </c>
      <c r="J1023" s="694">
        <v>401980239</v>
      </c>
      <c r="K1023" s="694">
        <v>837516739</v>
      </c>
      <c r="L1023" s="345"/>
    </row>
    <row r="1024" spans="2:12" ht="14.5" outlineLevel="1" x14ac:dyDescent="0.35">
      <c r="B1024" s="129">
        <v>19</v>
      </c>
      <c r="C1024" s="434" t="s">
        <v>206</v>
      </c>
      <c r="D1024" s="694">
        <v>34742502</v>
      </c>
      <c r="E1024" s="694">
        <v>63321616</v>
      </c>
      <c r="F1024" s="694">
        <v>661305</v>
      </c>
      <c r="G1024" s="694">
        <v>1348527</v>
      </c>
      <c r="H1024" s="694">
        <v>119333</v>
      </c>
      <c r="I1024" s="694">
        <v>555843</v>
      </c>
      <c r="J1024" s="694">
        <v>43703065</v>
      </c>
      <c r="K1024" s="694">
        <v>51263495</v>
      </c>
      <c r="L1024" s="345"/>
    </row>
    <row r="1025" spans="2:12" ht="14.5" outlineLevel="1" x14ac:dyDescent="0.35">
      <c r="B1025" s="129">
        <v>20</v>
      </c>
      <c r="C1025" s="434" t="s">
        <v>799</v>
      </c>
      <c r="D1025" s="694">
        <v>84770</v>
      </c>
      <c r="E1025" s="694">
        <v>491684</v>
      </c>
      <c r="F1025" s="694">
        <v>5439</v>
      </c>
      <c r="G1025" s="694">
        <v>35360</v>
      </c>
      <c r="H1025" s="694">
        <v>242</v>
      </c>
      <c r="I1025" s="694">
        <v>2121</v>
      </c>
      <c r="J1025" s="694">
        <v>54460</v>
      </c>
      <c r="K1025" s="694">
        <v>194802</v>
      </c>
      <c r="L1025" s="345"/>
    </row>
    <row r="1026" spans="2:12" ht="14.5" outlineLevel="1" x14ac:dyDescent="0.35">
      <c r="B1026" s="129">
        <v>21</v>
      </c>
      <c r="C1026" s="434" t="s">
        <v>853</v>
      </c>
      <c r="D1026" s="694">
        <v>2976139</v>
      </c>
      <c r="E1026" s="694">
        <v>11393054</v>
      </c>
      <c r="F1026" s="694">
        <v>30036</v>
      </c>
      <c r="G1026" s="694">
        <v>408194</v>
      </c>
      <c r="H1026" s="694">
        <v>2398</v>
      </c>
      <c r="I1026" s="694">
        <v>33660</v>
      </c>
      <c r="J1026" s="694">
        <v>1919561</v>
      </c>
      <c r="K1026" s="694">
        <v>7468619</v>
      </c>
      <c r="L1026" s="345"/>
    </row>
    <row r="1027" spans="2:12" ht="14.5" outlineLevel="1" x14ac:dyDescent="0.35">
      <c r="B1027" s="129">
        <v>22</v>
      </c>
      <c r="C1027" s="434" t="s">
        <v>207</v>
      </c>
      <c r="D1027" s="694">
        <v>63451092</v>
      </c>
      <c r="E1027" s="694">
        <v>68041066</v>
      </c>
      <c r="F1027" s="694">
        <v>1097659</v>
      </c>
      <c r="G1027" s="694">
        <v>2392958</v>
      </c>
      <c r="H1027" s="694">
        <v>133461</v>
      </c>
      <c r="I1027" s="694">
        <v>505709</v>
      </c>
      <c r="J1027" s="694">
        <v>33610155</v>
      </c>
      <c r="K1027" s="694">
        <v>48172184</v>
      </c>
      <c r="L1027" s="345"/>
    </row>
    <row r="1028" spans="2:12" ht="14.5" outlineLevel="1" x14ac:dyDescent="0.35">
      <c r="B1028" s="129">
        <v>23</v>
      </c>
      <c r="C1028" s="434" t="s">
        <v>367</v>
      </c>
      <c r="D1028" s="694">
        <v>23960731</v>
      </c>
      <c r="E1028" s="694">
        <v>35545872</v>
      </c>
      <c r="F1028" s="694">
        <v>580102</v>
      </c>
      <c r="G1028" s="694">
        <v>1308312</v>
      </c>
      <c r="H1028" s="694">
        <v>62945</v>
      </c>
      <c r="I1028" s="694">
        <v>341287</v>
      </c>
      <c r="J1028" s="694">
        <v>21693187</v>
      </c>
      <c r="K1028" s="694">
        <v>26192553</v>
      </c>
      <c r="L1028" s="345"/>
    </row>
    <row r="1029" spans="2:12" ht="14.5" outlineLevel="1" x14ac:dyDescent="0.35">
      <c r="B1029" s="129">
        <v>24</v>
      </c>
      <c r="C1029" s="434" t="s">
        <v>1067</v>
      </c>
      <c r="D1029" s="694">
        <v>4865292</v>
      </c>
      <c r="E1029" s="694">
        <v>27915999</v>
      </c>
      <c r="F1029" s="694">
        <v>169326</v>
      </c>
      <c r="G1029" s="694">
        <v>2197497</v>
      </c>
      <c r="H1029" s="694">
        <v>19845</v>
      </c>
      <c r="I1029" s="694">
        <v>165521</v>
      </c>
      <c r="J1029" s="694">
        <v>2590427</v>
      </c>
      <c r="K1029" s="694">
        <v>13669044</v>
      </c>
      <c r="L1029" s="345"/>
    </row>
    <row r="1030" spans="2:12" ht="14.5" outlineLevel="1" x14ac:dyDescent="0.35">
      <c r="B1030" s="129">
        <v>25</v>
      </c>
      <c r="C1030" s="434" t="s">
        <v>800</v>
      </c>
      <c r="D1030" s="694">
        <v>13145193</v>
      </c>
      <c r="E1030" s="694">
        <v>13223475</v>
      </c>
      <c r="F1030" s="694">
        <v>195489</v>
      </c>
      <c r="G1030" s="694">
        <v>331907</v>
      </c>
      <c r="H1030" s="694">
        <v>17936</v>
      </c>
      <c r="I1030" s="694">
        <v>119950</v>
      </c>
      <c r="J1030" s="694">
        <v>5588219</v>
      </c>
      <c r="K1030" s="694">
        <v>10845227</v>
      </c>
      <c r="L1030" s="345"/>
    </row>
    <row r="1031" spans="2:12" ht="14.5" outlineLevel="1" x14ac:dyDescent="0.35">
      <c r="B1031" s="129">
        <v>26</v>
      </c>
      <c r="C1031" s="434" t="s">
        <v>801</v>
      </c>
      <c r="D1031" s="694">
        <v>4692842</v>
      </c>
      <c r="E1031" s="694">
        <v>7092796</v>
      </c>
      <c r="F1031" s="694">
        <v>60101</v>
      </c>
      <c r="G1031" s="694">
        <v>98178</v>
      </c>
      <c r="H1031" s="694">
        <v>6348</v>
      </c>
      <c r="I1031" s="694">
        <v>37561</v>
      </c>
      <c r="J1031" s="694">
        <v>2069204</v>
      </c>
      <c r="K1031" s="694">
        <v>2547795</v>
      </c>
      <c r="L1031" s="345"/>
    </row>
    <row r="1032" spans="2:12" ht="14.5" outlineLevel="1" x14ac:dyDescent="0.35">
      <c r="B1032" s="129">
        <v>27</v>
      </c>
      <c r="C1032" s="434" t="s">
        <v>830</v>
      </c>
      <c r="D1032" s="694">
        <v>2526852</v>
      </c>
      <c r="E1032" s="694">
        <v>3059322</v>
      </c>
      <c r="F1032" s="694">
        <v>100234</v>
      </c>
      <c r="G1032" s="694">
        <v>169386</v>
      </c>
      <c r="H1032" s="694">
        <v>8269</v>
      </c>
      <c r="I1032" s="694">
        <v>40484</v>
      </c>
      <c r="J1032" s="694">
        <v>2551912</v>
      </c>
      <c r="K1032" s="694">
        <v>2030968</v>
      </c>
      <c r="L1032" s="345"/>
    </row>
    <row r="1033" spans="2:12" ht="14.5" outlineLevel="1" x14ac:dyDescent="0.35">
      <c r="B1033" s="129">
        <v>28</v>
      </c>
      <c r="C1033" s="434" t="s">
        <v>201</v>
      </c>
      <c r="D1033" s="694">
        <v>2975896</v>
      </c>
      <c r="E1033" s="694">
        <v>6777679</v>
      </c>
      <c r="F1033" s="694">
        <v>30127</v>
      </c>
      <c r="G1033" s="694">
        <v>54441</v>
      </c>
      <c r="H1033" s="694">
        <v>15803</v>
      </c>
      <c r="I1033" s="694">
        <v>60660</v>
      </c>
      <c r="J1033" s="694">
        <v>3867317</v>
      </c>
      <c r="K1033" s="694">
        <v>5700526</v>
      </c>
      <c r="L1033" s="345"/>
    </row>
    <row r="1034" spans="2:12" ht="14.5" outlineLevel="1" x14ac:dyDescent="0.35">
      <c r="B1034" s="129">
        <v>29</v>
      </c>
      <c r="C1034" s="434" t="s">
        <v>202</v>
      </c>
      <c r="D1034" s="694">
        <v>1288267</v>
      </c>
      <c r="E1034" s="694">
        <v>1578917</v>
      </c>
      <c r="F1034" s="694">
        <v>5400</v>
      </c>
      <c r="G1034" s="694">
        <v>16849</v>
      </c>
      <c r="H1034" s="694">
        <v>2842</v>
      </c>
      <c r="I1034" s="694">
        <v>15061</v>
      </c>
      <c r="J1034" s="694">
        <v>1247153</v>
      </c>
      <c r="K1034" s="694">
        <v>1834803</v>
      </c>
      <c r="L1034" s="345"/>
    </row>
    <row r="1035" spans="2:12" ht="14.5" outlineLevel="1" x14ac:dyDescent="0.35">
      <c r="B1035" s="129">
        <v>30</v>
      </c>
      <c r="C1035" s="434" t="s">
        <v>203</v>
      </c>
      <c r="D1035" s="694">
        <v>1010729</v>
      </c>
      <c r="E1035" s="694">
        <v>1424094</v>
      </c>
      <c r="F1035" s="694">
        <v>7603</v>
      </c>
      <c r="G1035" s="694">
        <v>12619</v>
      </c>
      <c r="H1035" s="694">
        <v>3282</v>
      </c>
      <c r="I1035" s="694">
        <v>12101</v>
      </c>
      <c r="J1035" s="694">
        <v>985291</v>
      </c>
      <c r="K1035" s="694">
        <v>1919051</v>
      </c>
      <c r="L1035" s="345"/>
    </row>
    <row r="1036" spans="2:12" ht="14.5" outlineLevel="1" x14ac:dyDescent="0.35">
      <c r="B1036" s="129">
        <v>31</v>
      </c>
      <c r="C1036" s="434" t="s">
        <v>854</v>
      </c>
      <c r="D1036" s="694">
        <v>7146698</v>
      </c>
      <c r="E1036" s="694">
        <v>42568553</v>
      </c>
      <c r="F1036" s="694">
        <v>297301</v>
      </c>
      <c r="G1036" s="694">
        <v>3941286</v>
      </c>
      <c r="H1036" s="694">
        <v>19623</v>
      </c>
      <c r="I1036" s="694">
        <v>387103</v>
      </c>
      <c r="J1036" s="694">
        <v>11204834</v>
      </c>
      <c r="K1036" s="694">
        <v>52103214</v>
      </c>
      <c r="L1036" s="345"/>
    </row>
    <row r="1037" spans="2:12" ht="14.5" outlineLevel="1" x14ac:dyDescent="0.35">
      <c r="B1037" s="129">
        <v>32</v>
      </c>
      <c r="C1037" s="434" t="s">
        <v>855</v>
      </c>
      <c r="D1037" s="694">
        <v>7593927</v>
      </c>
      <c r="E1037" s="694">
        <v>41463249</v>
      </c>
      <c r="F1037" s="694">
        <v>330957</v>
      </c>
      <c r="G1037" s="694">
        <v>3104792</v>
      </c>
      <c r="H1037" s="694">
        <v>30968</v>
      </c>
      <c r="I1037" s="694">
        <v>245262</v>
      </c>
      <c r="J1037" s="694">
        <v>12533997</v>
      </c>
      <c r="K1037" s="694">
        <v>44475603</v>
      </c>
      <c r="L1037" s="345"/>
    </row>
    <row r="1038" spans="2:12" ht="14.5" outlineLevel="1" x14ac:dyDescent="0.35">
      <c r="B1038" s="129">
        <v>33</v>
      </c>
      <c r="C1038" s="434" t="s">
        <v>856</v>
      </c>
      <c r="D1038" s="694">
        <v>3008581</v>
      </c>
      <c r="E1038" s="694">
        <v>19460764</v>
      </c>
      <c r="F1038" s="694">
        <v>131472</v>
      </c>
      <c r="G1038" s="694">
        <v>1295095</v>
      </c>
      <c r="H1038" s="694">
        <v>13865</v>
      </c>
      <c r="I1038" s="694">
        <v>164168</v>
      </c>
      <c r="J1038" s="694">
        <v>4477609</v>
      </c>
      <c r="K1038" s="694">
        <v>21403976</v>
      </c>
      <c r="L1038" s="345"/>
    </row>
    <row r="1039" spans="2:12" ht="14.5" outlineLevel="1" x14ac:dyDescent="0.35">
      <c r="B1039" s="129">
        <v>34</v>
      </c>
      <c r="C1039" s="434" t="s">
        <v>857</v>
      </c>
      <c r="D1039" s="694">
        <v>1840736</v>
      </c>
      <c r="E1039" s="694">
        <v>8419354</v>
      </c>
      <c r="F1039" s="694">
        <v>49651</v>
      </c>
      <c r="G1039" s="694">
        <v>611925</v>
      </c>
      <c r="H1039" s="694">
        <v>3413</v>
      </c>
      <c r="I1039" s="694">
        <v>22546</v>
      </c>
      <c r="J1039" s="694">
        <v>1854195</v>
      </c>
      <c r="K1039" s="694">
        <v>8063324</v>
      </c>
      <c r="L1039" s="345"/>
    </row>
    <row r="1040" spans="2:12" ht="14.5" outlineLevel="1" x14ac:dyDescent="0.35">
      <c r="B1040" s="129">
        <v>35</v>
      </c>
      <c r="C1040" s="434" t="s">
        <v>858</v>
      </c>
      <c r="D1040" s="694">
        <v>528212</v>
      </c>
      <c r="E1040" s="694">
        <v>4554137</v>
      </c>
      <c r="F1040" s="694">
        <v>23193</v>
      </c>
      <c r="G1040" s="694">
        <v>257617</v>
      </c>
      <c r="H1040" s="694">
        <v>1352</v>
      </c>
      <c r="I1040" s="694">
        <v>15187</v>
      </c>
      <c r="J1040" s="694">
        <v>1135966</v>
      </c>
      <c r="K1040" s="694">
        <v>2484414</v>
      </c>
      <c r="L1040" s="345"/>
    </row>
    <row r="1041" spans="2:12" ht="14.5" outlineLevel="1" x14ac:dyDescent="0.35">
      <c r="B1041" s="129">
        <v>36</v>
      </c>
      <c r="C1041" s="434" t="s">
        <v>859</v>
      </c>
      <c r="D1041" s="694">
        <v>617083</v>
      </c>
      <c r="E1041" s="694">
        <v>3288652</v>
      </c>
      <c r="F1041" s="694">
        <v>18987</v>
      </c>
      <c r="G1041" s="694">
        <v>183523</v>
      </c>
      <c r="H1041" s="694">
        <v>687</v>
      </c>
      <c r="I1041" s="694">
        <v>13106</v>
      </c>
      <c r="J1041" s="694">
        <v>938838</v>
      </c>
      <c r="K1041" s="694">
        <v>1940355</v>
      </c>
      <c r="L1041" s="345"/>
    </row>
    <row r="1042" spans="2:12" ht="14.5" outlineLevel="1" x14ac:dyDescent="0.35">
      <c r="B1042" s="129">
        <v>37</v>
      </c>
      <c r="C1042" s="434" t="s">
        <v>860</v>
      </c>
      <c r="D1042" s="694">
        <v>214910</v>
      </c>
      <c r="E1042" s="694">
        <v>1513475</v>
      </c>
      <c r="F1042" s="694">
        <v>12796</v>
      </c>
      <c r="G1042" s="694">
        <v>93943</v>
      </c>
      <c r="H1042" s="694">
        <v>451</v>
      </c>
      <c r="I1042" s="694">
        <v>4721</v>
      </c>
      <c r="J1042" s="694">
        <v>358151</v>
      </c>
      <c r="K1042" s="694">
        <v>1174766</v>
      </c>
      <c r="L1042" s="345"/>
    </row>
    <row r="1043" spans="2:12" ht="14.5" outlineLevel="1" x14ac:dyDescent="0.35">
      <c r="B1043" s="129">
        <v>38</v>
      </c>
      <c r="C1043" s="434" t="s">
        <v>861</v>
      </c>
      <c r="D1043" s="694">
        <v>1608468</v>
      </c>
      <c r="E1043" s="694">
        <v>12122906</v>
      </c>
      <c r="F1043" s="694">
        <v>79190</v>
      </c>
      <c r="G1043" s="694">
        <v>957491</v>
      </c>
      <c r="H1043" s="694">
        <v>3408</v>
      </c>
      <c r="I1043" s="694">
        <v>28467</v>
      </c>
      <c r="J1043" s="694">
        <v>1452721</v>
      </c>
      <c r="K1043" s="694">
        <v>5671376</v>
      </c>
      <c r="L1043" s="345"/>
    </row>
    <row r="1044" spans="2:12" ht="14.5" outlineLevel="1" x14ac:dyDescent="0.35">
      <c r="B1044" s="129">
        <v>39</v>
      </c>
      <c r="C1044" s="434" t="s">
        <v>862</v>
      </c>
      <c r="D1044" s="694">
        <v>386848</v>
      </c>
      <c r="E1044" s="694">
        <v>2052506</v>
      </c>
      <c r="F1044" s="694">
        <v>18395</v>
      </c>
      <c r="G1044" s="694">
        <v>112837</v>
      </c>
      <c r="H1044" s="694">
        <v>464</v>
      </c>
      <c r="I1044" s="694">
        <v>6525</v>
      </c>
      <c r="J1044" s="694">
        <v>440913</v>
      </c>
      <c r="K1044" s="694">
        <v>1194835</v>
      </c>
      <c r="L1044" s="345"/>
    </row>
    <row r="1045" spans="2:12" ht="14.5" outlineLevel="1" x14ac:dyDescent="0.35">
      <c r="B1045" s="129">
        <v>40</v>
      </c>
      <c r="C1045" s="434" t="s">
        <v>1068</v>
      </c>
      <c r="D1045" s="694">
        <v>111839</v>
      </c>
      <c r="E1045" s="694">
        <v>594601</v>
      </c>
      <c r="F1045" s="694">
        <v>5852</v>
      </c>
      <c r="G1045" s="694">
        <v>36600</v>
      </c>
      <c r="H1045" s="694">
        <v>140</v>
      </c>
      <c r="I1045" s="694">
        <v>2224</v>
      </c>
      <c r="J1045" s="694">
        <v>131737</v>
      </c>
      <c r="K1045" s="694">
        <v>264330</v>
      </c>
      <c r="L1045" s="345"/>
    </row>
    <row r="1046" spans="2:12" ht="14.5" outlineLevel="1" x14ac:dyDescent="0.35">
      <c r="B1046" s="129">
        <v>41</v>
      </c>
      <c r="C1046" s="434" t="s">
        <v>1069</v>
      </c>
      <c r="D1046" s="694">
        <v>32319</v>
      </c>
      <c r="E1046" s="694">
        <v>185018</v>
      </c>
      <c r="F1046" s="694">
        <v>1293</v>
      </c>
      <c r="G1046" s="694">
        <v>13218</v>
      </c>
      <c r="H1046" s="694">
        <v>38</v>
      </c>
      <c r="I1046" s="694">
        <v>384</v>
      </c>
      <c r="J1046" s="694">
        <v>19214</v>
      </c>
      <c r="K1046" s="694">
        <v>56686</v>
      </c>
      <c r="L1046" s="345"/>
    </row>
    <row r="1047" spans="2:12" ht="14.5" outlineLevel="1" x14ac:dyDescent="0.35">
      <c r="B1047" s="129">
        <v>42</v>
      </c>
      <c r="C1047" s="434" t="s">
        <v>1070</v>
      </c>
      <c r="D1047" s="694" t="s">
        <v>1247</v>
      </c>
      <c r="E1047" s="694" t="s">
        <v>1247</v>
      </c>
      <c r="F1047" s="694" t="s">
        <v>1247</v>
      </c>
      <c r="G1047" s="694" t="s">
        <v>1247</v>
      </c>
      <c r="H1047" s="694" t="s">
        <v>1247</v>
      </c>
      <c r="I1047" s="694" t="s">
        <v>1247</v>
      </c>
      <c r="J1047" s="694" t="s">
        <v>1247</v>
      </c>
      <c r="K1047" s="694" t="s">
        <v>1247</v>
      </c>
      <c r="L1047" s="345"/>
    </row>
    <row r="1048" spans="2:12" ht="14.5" outlineLevel="1" x14ac:dyDescent="0.35">
      <c r="B1048" s="129">
        <v>43</v>
      </c>
      <c r="C1048" s="434" t="s">
        <v>1071</v>
      </c>
      <c r="D1048" s="694" t="s">
        <v>1247</v>
      </c>
      <c r="E1048" s="694" t="s">
        <v>1247</v>
      </c>
      <c r="F1048" s="694" t="s">
        <v>1247</v>
      </c>
      <c r="G1048" s="694" t="s">
        <v>1247</v>
      </c>
      <c r="H1048" s="694" t="s">
        <v>1247</v>
      </c>
      <c r="I1048" s="694" t="s">
        <v>1247</v>
      </c>
      <c r="J1048" s="694" t="s">
        <v>1247</v>
      </c>
      <c r="K1048" s="694" t="s">
        <v>1247</v>
      </c>
      <c r="L1048" s="345"/>
    </row>
    <row r="1049" spans="2:12" ht="14.5" outlineLevel="1" x14ac:dyDescent="0.35">
      <c r="B1049" s="129">
        <v>44</v>
      </c>
      <c r="C1049" s="434" t="s">
        <v>1072</v>
      </c>
      <c r="D1049" s="694" t="s">
        <v>1247</v>
      </c>
      <c r="E1049" s="694" t="s">
        <v>1247</v>
      </c>
      <c r="F1049" s="694" t="s">
        <v>1247</v>
      </c>
      <c r="G1049" s="694" t="s">
        <v>1247</v>
      </c>
      <c r="H1049" s="694" t="s">
        <v>1247</v>
      </c>
      <c r="I1049" s="694" t="s">
        <v>1247</v>
      </c>
      <c r="J1049" s="694" t="s">
        <v>1247</v>
      </c>
      <c r="K1049" s="694" t="s">
        <v>1247</v>
      </c>
      <c r="L1049" s="345"/>
    </row>
    <row r="1050" spans="2:12" ht="14.5" outlineLevel="1" x14ac:dyDescent="0.35">
      <c r="B1050" s="129">
        <v>45</v>
      </c>
      <c r="C1050" s="434" t="s">
        <v>1073</v>
      </c>
      <c r="D1050" s="694" t="s">
        <v>1247</v>
      </c>
      <c r="E1050" s="694" t="s">
        <v>1247</v>
      </c>
      <c r="F1050" s="694" t="s">
        <v>1247</v>
      </c>
      <c r="G1050" s="694" t="s">
        <v>1247</v>
      </c>
      <c r="H1050" s="694" t="s">
        <v>1247</v>
      </c>
      <c r="I1050" s="694" t="s">
        <v>1247</v>
      </c>
      <c r="J1050" s="694" t="s">
        <v>1247</v>
      </c>
      <c r="K1050" s="694" t="s">
        <v>1247</v>
      </c>
      <c r="L1050" s="345"/>
    </row>
    <row r="1051" spans="2:12" ht="14.5" outlineLevel="1" x14ac:dyDescent="0.35">
      <c r="B1051" s="129">
        <v>46</v>
      </c>
      <c r="C1051" s="434" t="s">
        <v>1074</v>
      </c>
      <c r="D1051" s="694" t="s">
        <v>1247</v>
      </c>
      <c r="E1051" s="694" t="s">
        <v>1247</v>
      </c>
      <c r="F1051" s="694" t="s">
        <v>1247</v>
      </c>
      <c r="G1051" s="694" t="s">
        <v>1247</v>
      </c>
      <c r="H1051" s="694" t="s">
        <v>1247</v>
      </c>
      <c r="I1051" s="694" t="s">
        <v>1247</v>
      </c>
      <c r="J1051" s="694" t="s">
        <v>1247</v>
      </c>
      <c r="K1051" s="694" t="s">
        <v>1247</v>
      </c>
      <c r="L1051" s="345"/>
    </row>
    <row r="1052" spans="2:12" ht="14.5" outlineLevel="1" x14ac:dyDescent="0.35">
      <c r="B1052" s="129">
        <v>47</v>
      </c>
      <c r="C1052" s="434" t="s">
        <v>1075</v>
      </c>
      <c r="D1052" s="694" t="s">
        <v>1247</v>
      </c>
      <c r="E1052" s="694" t="s">
        <v>1247</v>
      </c>
      <c r="F1052" s="694" t="s">
        <v>1247</v>
      </c>
      <c r="G1052" s="694" t="s">
        <v>1247</v>
      </c>
      <c r="H1052" s="694" t="s">
        <v>1247</v>
      </c>
      <c r="I1052" s="694" t="s">
        <v>1247</v>
      </c>
      <c r="J1052" s="694" t="s">
        <v>1247</v>
      </c>
      <c r="K1052" s="694" t="s">
        <v>1247</v>
      </c>
      <c r="L1052" s="345"/>
    </row>
    <row r="1053" spans="2:12" ht="14.5" outlineLevel="1" x14ac:dyDescent="0.35">
      <c r="B1053" s="129">
        <v>48</v>
      </c>
      <c r="C1053" s="434" t="s">
        <v>1076</v>
      </c>
      <c r="D1053" s="694" t="s">
        <v>1247</v>
      </c>
      <c r="E1053" s="694" t="s">
        <v>1247</v>
      </c>
      <c r="F1053" s="694" t="s">
        <v>1247</v>
      </c>
      <c r="G1053" s="694" t="s">
        <v>1247</v>
      </c>
      <c r="H1053" s="694" t="s">
        <v>1247</v>
      </c>
      <c r="I1053" s="694" t="s">
        <v>1247</v>
      </c>
      <c r="J1053" s="694" t="s">
        <v>1247</v>
      </c>
      <c r="K1053" s="694" t="s">
        <v>1247</v>
      </c>
      <c r="L1053" s="345"/>
    </row>
    <row r="1054" spans="2:12" ht="14.5" outlineLevel="1" x14ac:dyDescent="0.35">
      <c r="B1054" s="129">
        <v>49</v>
      </c>
      <c r="C1054" s="434" t="s">
        <v>1077</v>
      </c>
      <c r="D1054" s="694" t="s">
        <v>1247</v>
      </c>
      <c r="E1054" s="694" t="s">
        <v>1247</v>
      </c>
      <c r="F1054" s="694" t="s">
        <v>1247</v>
      </c>
      <c r="G1054" s="694" t="s">
        <v>1247</v>
      </c>
      <c r="H1054" s="694" t="s">
        <v>1247</v>
      </c>
      <c r="I1054" s="694" t="s">
        <v>1247</v>
      </c>
      <c r="J1054" s="694" t="s">
        <v>1247</v>
      </c>
      <c r="K1054" s="694" t="s">
        <v>1247</v>
      </c>
      <c r="L1054" s="345"/>
    </row>
    <row r="1055" spans="2:12" ht="14.5" outlineLevel="1" x14ac:dyDescent="0.35">
      <c r="B1055" s="129">
        <v>50</v>
      </c>
      <c r="C1055" s="434" t="s">
        <v>1078</v>
      </c>
      <c r="D1055" s="694" t="s">
        <v>1247</v>
      </c>
      <c r="E1055" s="694" t="s">
        <v>1247</v>
      </c>
      <c r="F1055" s="694" t="s">
        <v>1247</v>
      </c>
      <c r="G1055" s="694" t="s">
        <v>1247</v>
      </c>
      <c r="H1055" s="694" t="s">
        <v>1247</v>
      </c>
      <c r="I1055" s="694" t="s">
        <v>1247</v>
      </c>
      <c r="J1055" s="694" t="s">
        <v>1247</v>
      </c>
      <c r="K1055" s="694" t="s">
        <v>1247</v>
      </c>
      <c r="L1055" s="345"/>
    </row>
    <row r="1056" spans="2:12" ht="14.5" outlineLevel="1" x14ac:dyDescent="0.35">
      <c r="B1056" s="129">
        <v>51</v>
      </c>
      <c r="C1056" s="434" t="s">
        <v>1079</v>
      </c>
      <c r="D1056" s="694">
        <v>77857</v>
      </c>
      <c r="E1056" s="694">
        <v>156298</v>
      </c>
      <c r="F1056" s="694">
        <v>2729</v>
      </c>
      <c r="G1056" s="694">
        <v>4632</v>
      </c>
      <c r="H1056" s="694">
        <v>765</v>
      </c>
      <c r="I1056" s="694">
        <v>2098</v>
      </c>
      <c r="J1056" s="694">
        <v>126566</v>
      </c>
      <c r="K1056" s="694">
        <v>249236</v>
      </c>
      <c r="L1056" s="345"/>
    </row>
    <row r="1057" spans="2:12" ht="14.5" outlineLevel="1" x14ac:dyDescent="0.35">
      <c r="B1057" s="129">
        <v>52</v>
      </c>
      <c r="C1057" s="434" t="s">
        <v>1080</v>
      </c>
      <c r="D1057" s="694">
        <v>61776</v>
      </c>
      <c r="E1057" s="694">
        <v>67852</v>
      </c>
      <c r="F1057" s="694">
        <v>1368</v>
      </c>
      <c r="G1057" s="694">
        <v>2859</v>
      </c>
      <c r="H1057" s="694">
        <v>354</v>
      </c>
      <c r="I1057" s="694">
        <v>1499</v>
      </c>
      <c r="J1057" s="694">
        <v>68722</v>
      </c>
      <c r="K1057" s="694">
        <v>131603</v>
      </c>
      <c r="L1057" s="345"/>
    </row>
    <row r="1058" spans="2:12" ht="14.5" outlineLevel="1" x14ac:dyDescent="0.35">
      <c r="B1058" s="129">
        <v>53</v>
      </c>
      <c r="C1058" s="434" t="s">
        <v>1081</v>
      </c>
      <c r="D1058" s="694">
        <v>48811</v>
      </c>
      <c r="E1058" s="694">
        <v>72230</v>
      </c>
      <c r="F1058" s="694">
        <v>901</v>
      </c>
      <c r="G1058" s="694">
        <v>2284</v>
      </c>
      <c r="H1058" s="694">
        <v>293</v>
      </c>
      <c r="I1058" s="694">
        <v>1258</v>
      </c>
      <c r="J1058" s="694">
        <v>80554</v>
      </c>
      <c r="K1058" s="694">
        <v>74406</v>
      </c>
      <c r="L1058" s="345"/>
    </row>
    <row r="1059" spans="2:12" ht="14.5" outlineLevel="1" x14ac:dyDescent="0.35">
      <c r="B1059" s="129">
        <v>54</v>
      </c>
      <c r="C1059" s="434" t="s">
        <v>1082</v>
      </c>
      <c r="D1059" s="694">
        <v>110660</v>
      </c>
      <c r="E1059" s="694">
        <v>153388</v>
      </c>
      <c r="F1059" s="694">
        <v>1323</v>
      </c>
      <c r="G1059" s="694">
        <v>4108</v>
      </c>
      <c r="H1059" s="694">
        <v>242</v>
      </c>
      <c r="I1059" s="694">
        <v>930</v>
      </c>
      <c r="J1059" s="694">
        <v>138431</v>
      </c>
      <c r="K1059" s="694">
        <v>160377</v>
      </c>
      <c r="L1059" s="345"/>
    </row>
    <row r="1060" spans="2:12" ht="14.5" outlineLevel="1" x14ac:dyDescent="0.35">
      <c r="B1060" s="129">
        <v>55</v>
      </c>
      <c r="C1060" s="434" t="s">
        <v>1083</v>
      </c>
      <c r="D1060" s="694">
        <v>61432</v>
      </c>
      <c r="E1060" s="694">
        <v>98118</v>
      </c>
      <c r="F1060" s="694">
        <v>717</v>
      </c>
      <c r="G1060" s="694">
        <v>1909</v>
      </c>
      <c r="H1060" s="694">
        <v>235</v>
      </c>
      <c r="I1060" s="694">
        <v>646</v>
      </c>
      <c r="J1060" s="694">
        <v>92986</v>
      </c>
      <c r="K1060" s="694">
        <v>99361</v>
      </c>
      <c r="L1060" s="345"/>
    </row>
    <row r="1061" spans="2:12" ht="14.5" outlineLevel="1" x14ac:dyDescent="0.35">
      <c r="B1061" s="129">
        <v>56</v>
      </c>
      <c r="C1061" s="434" t="s">
        <v>1084</v>
      </c>
      <c r="D1061" s="694">
        <v>107501</v>
      </c>
      <c r="E1061" s="694">
        <v>170507</v>
      </c>
      <c r="F1061" s="694">
        <v>1823</v>
      </c>
      <c r="G1061" s="694">
        <v>3166</v>
      </c>
      <c r="H1061" s="694">
        <v>191</v>
      </c>
      <c r="I1061" s="694">
        <v>1307</v>
      </c>
      <c r="J1061" s="694">
        <v>111125</v>
      </c>
      <c r="K1061" s="694">
        <v>134049</v>
      </c>
      <c r="L1061" s="345"/>
    </row>
    <row r="1062" spans="2:12" ht="14.5" outlineLevel="1" x14ac:dyDescent="0.35">
      <c r="B1062" s="129">
        <v>57</v>
      </c>
      <c r="C1062" s="434" t="s">
        <v>1085</v>
      </c>
      <c r="D1062" s="694">
        <v>154448</v>
      </c>
      <c r="E1062" s="694">
        <v>216741</v>
      </c>
      <c r="F1062" s="694">
        <v>2490</v>
      </c>
      <c r="G1062" s="694">
        <v>6335</v>
      </c>
      <c r="H1062" s="694">
        <v>377</v>
      </c>
      <c r="I1062" s="694">
        <v>1520</v>
      </c>
      <c r="J1062" s="694">
        <v>135180</v>
      </c>
      <c r="K1062" s="694">
        <v>138176</v>
      </c>
      <c r="L1062" s="345"/>
    </row>
    <row r="1063" spans="2:12" ht="14.5" outlineLevel="1" x14ac:dyDescent="0.35">
      <c r="B1063" s="129">
        <v>58</v>
      </c>
      <c r="C1063" s="434" t="s">
        <v>1086</v>
      </c>
      <c r="D1063" s="694" t="s">
        <v>1247</v>
      </c>
      <c r="E1063" s="694" t="s">
        <v>1247</v>
      </c>
      <c r="F1063" s="694" t="s">
        <v>1247</v>
      </c>
      <c r="G1063" s="694" t="s">
        <v>1247</v>
      </c>
      <c r="H1063" s="694" t="s">
        <v>1247</v>
      </c>
      <c r="I1063" s="694" t="s">
        <v>1247</v>
      </c>
      <c r="J1063" s="694" t="s">
        <v>1247</v>
      </c>
      <c r="K1063" s="694" t="s">
        <v>1247</v>
      </c>
      <c r="L1063" s="345"/>
    </row>
    <row r="1064" spans="2:12" ht="14.5" x14ac:dyDescent="0.35">
      <c r="B1064" s="129">
        <v>59</v>
      </c>
      <c r="C1064" s="434" t="s">
        <v>1087</v>
      </c>
      <c r="D1064" s="694" t="s">
        <v>1247</v>
      </c>
      <c r="E1064" s="694" t="s">
        <v>1247</v>
      </c>
      <c r="F1064" s="694" t="s">
        <v>1247</v>
      </c>
      <c r="G1064" s="694" t="s">
        <v>1247</v>
      </c>
      <c r="H1064" s="694" t="s">
        <v>1247</v>
      </c>
      <c r="I1064" s="694" t="s">
        <v>1247</v>
      </c>
      <c r="J1064" s="694" t="s">
        <v>1247</v>
      </c>
      <c r="K1064" s="694" t="s">
        <v>1247</v>
      </c>
      <c r="L1064" s="345"/>
    </row>
    <row r="1065" spans="2:12" ht="14.5" x14ac:dyDescent="0.35">
      <c r="B1065" s="129">
        <v>60</v>
      </c>
      <c r="C1065" s="434" t="s">
        <v>1088</v>
      </c>
      <c r="D1065" s="694" t="s">
        <v>1247</v>
      </c>
      <c r="E1065" s="694" t="s">
        <v>1247</v>
      </c>
      <c r="F1065" s="694" t="s">
        <v>1247</v>
      </c>
      <c r="G1065" s="694" t="s">
        <v>1247</v>
      </c>
      <c r="H1065" s="694" t="s">
        <v>1247</v>
      </c>
      <c r="I1065" s="694" t="s">
        <v>1247</v>
      </c>
      <c r="J1065" s="694" t="s">
        <v>1247</v>
      </c>
      <c r="K1065" s="694" t="s">
        <v>1247</v>
      </c>
      <c r="L1065" s="345"/>
    </row>
    <row r="1066" spans="2:12" ht="14.5" x14ac:dyDescent="0.35">
      <c r="B1066" s="129">
        <v>61</v>
      </c>
      <c r="C1066" s="434" t="s">
        <v>1089</v>
      </c>
      <c r="D1066" s="694" t="s">
        <v>1247</v>
      </c>
      <c r="E1066" s="694" t="s">
        <v>1247</v>
      </c>
      <c r="F1066" s="694" t="s">
        <v>1247</v>
      </c>
      <c r="G1066" s="694" t="s">
        <v>1247</v>
      </c>
      <c r="H1066" s="694" t="s">
        <v>1247</v>
      </c>
      <c r="I1066" s="694" t="s">
        <v>1247</v>
      </c>
      <c r="J1066" s="694" t="s">
        <v>1247</v>
      </c>
      <c r="K1066" s="694" t="s">
        <v>1247</v>
      </c>
      <c r="L1066" s="345"/>
    </row>
    <row r="1067" spans="2:12" ht="14.5" x14ac:dyDescent="0.35">
      <c r="B1067" s="129">
        <v>62</v>
      </c>
      <c r="C1067" s="434" t="s">
        <v>1090</v>
      </c>
      <c r="D1067" s="694" t="s">
        <v>1247</v>
      </c>
      <c r="E1067" s="694" t="s">
        <v>1247</v>
      </c>
      <c r="F1067" s="694" t="s">
        <v>1247</v>
      </c>
      <c r="G1067" s="694" t="s">
        <v>1247</v>
      </c>
      <c r="H1067" s="694" t="s">
        <v>1247</v>
      </c>
      <c r="I1067" s="694" t="s">
        <v>1247</v>
      </c>
      <c r="J1067" s="694" t="s">
        <v>1247</v>
      </c>
      <c r="K1067" s="694" t="s">
        <v>1247</v>
      </c>
      <c r="L1067" s="345"/>
    </row>
    <row r="1068" spans="2:12" ht="14.5" x14ac:dyDescent="0.35">
      <c r="B1068" s="129">
        <v>63</v>
      </c>
      <c r="C1068" s="434" t="s">
        <v>1091</v>
      </c>
      <c r="D1068" s="694" t="s">
        <v>1247</v>
      </c>
      <c r="E1068" s="694" t="s">
        <v>1247</v>
      </c>
      <c r="F1068" s="694" t="s">
        <v>1247</v>
      </c>
      <c r="G1068" s="694" t="s">
        <v>1247</v>
      </c>
      <c r="H1068" s="694" t="s">
        <v>1247</v>
      </c>
      <c r="I1068" s="694" t="s">
        <v>1247</v>
      </c>
      <c r="J1068" s="694" t="s">
        <v>1247</v>
      </c>
      <c r="K1068" s="694" t="s">
        <v>1247</v>
      </c>
      <c r="L1068" s="345"/>
    </row>
    <row r="1069" spans="2:12" ht="14.5" x14ac:dyDescent="0.35">
      <c r="B1069" s="129">
        <v>64</v>
      </c>
      <c r="C1069" s="434" t="s">
        <v>1092</v>
      </c>
      <c r="D1069" s="694" t="s">
        <v>1247</v>
      </c>
      <c r="E1069" s="694" t="s">
        <v>1247</v>
      </c>
      <c r="F1069" s="694" t="s">
        <v>1247</v>
      </c>
      <c r="G1069" s="694" t="s">
        <v>1247</v>
      </c>
      <c r="H1069" s="694" t="s">
        <v>1247</v>
      </c>
      <c r="I1069" s="694" t="s">
        <v>1247</v>
      </c>
      <c r="J1069" s="694" t="s">
        <v>1247</v>
      </c>
      <c r="K1069" s="694" t="s">
        <v>1247</v>
      </c>
      <c r="L1069" s="345"/>
    </row>
    <row r="1070" spans="2:12" ht="14.5" x14ac:dyDescent="0.35">
      <c r="B1070" s="129">
        <v>65</v>
      </c>
      <c r="C1070" s="434" t="s">
        <v>1093</v>
      </c>
      <c r="D1070" s="694" t="s">
        <v>1247</v>
      </c>
      <c r="E1070" s="694" t="s">
        <v>1247</v>
      </c>
      <c r="F1070" s="694" t="s">
        <v>1247</v>
      </c>
      <c r="G1070" s="694" t="s">
        <v>1247</v>
      </c>
      <c r="H1070" s="694" t="s">
        <v>1247</v>
      </c>
      <c r="I1070" s="694" t="s">
        <v>1247</v>
      </c>
      <c r="J1070" s="694" t="s">
        <v>1247</v>
      </c>
      <c r="K1070" s="694" t="s">
        <v>1247</v>
      </c>
      <c r="L1070" s="345"/>
    </row>
    <row r="1071" spans="2:12" ht="14.5" x14ac:dyDescent="0.35">
      <c r="B1071" s="129">
        <v>66</v>
      </c>
      <c r="C1071" s="434" t="s">
        <v>1094</v>
      </c>
      <c r="D1071" s="694" t="s">
        <v>1247</v>
      </c>
      <c r="E1071" s="694" t="s">
        <v>1247</v>
      </c>
      <c r="F1071" s="694" t="s">
        <v>1247</v>
      </c>
      <c r="G1071" s="694" t="s">
        <v>1247</v>
      </c>
      <c r="H1071" s="694" t="s">
        <v>1247</v>
      </c>
      <c r="I1071" s="694" t="s">
        <v>1247</v>
      </c>
      <c r="J1071" s="694" t="s">
        <v>1247</v>
      </c>
      <c r="K1071" s="694" t="s">
        <v>1247</v>
      </c>
      <c r="L1071" s="345"/>
    </row>
    <row r="1072" spans="2:12" ht="14.5" x14ac:dyDescent="0.35">
      <c r="B1072" s="129">
        <v>67</v>
      </c>
      <c r="C1072" s="434" t="s">
        <v>1095</v>
      </c>
      <c r="D1072" s="694">
        <v>7795930</v>
      </c>
      <c r="E1072" s="694">
        <v>39980332</v>
      </c>
      <c r="F1072" s="694">
        <v>373152</v>
      </c>
      <c r="G1072" s="694">
        <v>3273213</v>
      </c>
      <c r="H1072" s="694">
        <v>28298</v>
      </c>
      <c r="I1072" s="694">
        <v>256674</v>
      </c>
      <c r="J1072" s="694">
        <v>9558983</v>
      </c>
      <c r="K1072" s="694">
        <v>45840275</v>
      </c>
      <c r="L1072" s="345"/>
    </row>
    <row r="1073" spans="2:75" ht="14.5" x14ac:dyDescent="0.35">
      <c r="B1073" s="129">
        <v>68</v>
      </c>
      <c r="C1073" s="434" t="s">
        <v>1096</v>
      </c>
      <c r="D1073" s="694">
        <v>624438</v>
      </c>
      <c r="E1073" s="694">
        <v>3051219</v>
      </c>
      <c r="F1073" s="694">
        <v>33874</v>
      </c>
      <c r="G1073" s="694">
        <v>295365</v>
      </c>
      <c r="H1073" s="694">
        <v>1254</v>
      </c>
      <c r="I1073" s="694">
        <v>13545</v>
      </c>
      <c r="J1073" s="694">
        <v>1241673</v>
      </c>
      <c r="K1073" s="694">
        <v>3212348</v>
      </c>
      <c r="L1073" s="345"/>
    </row>
    <row r="1074" spans="2:75" ht="14.5" x14ac:dyDescent="0.35">
      <c r="B1074" s="129">
        <v>69</v>
      </c>
      <c r="C1074" s="434" t="s">
        <v>1097</v>
      </c>
      <c r="D1074" s="694">
        <v>618902</v>
      </c>
      <c r="E1074" s="694">
        <v>3500191</v>
      </c>
      <c r="F1074" s="694">
        <v>16561</v>
      </c>
      <c r="G1074" s="694">
        <v>143664</v>
      </c>
      <c r="H1074" s="694">
        <v>628</v>
      </c>
      <c r="I1074" s="694">
        <v>9668</v>
      </c>
      <c r="J1074" s="694">
        <v>561745</v>
      </c>
      <c r="K1074" s="694">
        <v>1435546</v>
      </c>
      <c r="L1074" s="345"/>
    </row>
    <row r="1075" spans="2:75" ht="14.5" x14ac:dyDescent="0.35">
      <c r="B1075" s="129">
        <v>70</v>
      </c>
      <c r="C1075" s="434" t="s">
        <v>1098</v>
      </c>
      <c r="D1075" s="694">
        <v>2616631</v>
      </c>
      <c r="E1075" s="694">
        <v>8620542</v>
      </c>
      <c r="F1075" s="694">
        <v>101207</v>
      </c>
      <c r="G1075" s="694">
        <v>647500</v>
      </c>
      <c r="H1075" s="694">
        <v>7973</v>
      </c>
      <c r="I1075" s="694">
        <v>96338</v>
      </c>
      <c r="J1075" s="694">
        <v>2355681</v>
      </c>
      <c r="K1075" s="694">
        <v>5205233</v>
      </c>
      <c r="L1075" s="345"/>
    </row>
    <row r="1076" spans="2:75" ht="14.5" x14ac:dyDescent="0.35">
      <c r="B1076" s="129">
        <v>71</v>
      </c>
      <c r="C1076" s="434" t="s">
        <v>1099</v>
      </c>
      <c r="D1076" s="694">
        <v>284929</v>
      </c>
      <c r="E1076" s="694">
        <v>1524326</v>
      </c>
      <c r="F1076" s="694">
        <v>21890</v>
      </c>
      <c r="G1076" s="694">
        <v>129283</v>
      </c>
      <c r="H1076" s="694">
        <v>897</v>
      </c>
      <c r="I1076" s="694">
        <v>8879</v>
      </c>
      <c r="J1076" s="694">
        <v>210627</v>
      </c>
      <c r="K1076" s="694">
        <v>470362</v>
      </c>
      <c r="L1076" s="345"/>
      <c r="BW1076" s="430"/>
    </row>
    <row r="1077" spans="2:75" ht="14.5" x14ac:dyDescent="0.35">
      <c r="B1077" s="129">
        <v>72</v>
      </c>
      <c r="C1077" s="434" t="s">
        <v>1100</v>
      </c>
      <c r="D1077" s="694" t="s">
        <v>1247</v>
      </c>
      <c r="E1077" s="694" t="s">
        <v>1247</v>
      </c>
      <c r="F1077" s="694" t="s">
        <v>1247</v>
      </c>
      <c r="G1077" s="694" t="s">
        <v>1247</v>
      </c>
      <c r="H1077" s="694" t="s">
        <v>1247</v>
      </c>
      <c r="I1077" s="694" t="s">
        <v>1247</v>
      </c>
      <c r="J1077" s="694" t="s">
        <v>1247</v>
      </c>
      <c r="K1077" s="694" t="s">
        <v>1247</v>
      </c>
      <c r="L1077" s="345"/>
      <c r="BW1077" s="430"/>
    </row>
    <row r="1078" spans="2:75" ht="14.5" x14ac:dyDescent="0.35">
      <c r="B1078" s="129">
        <v>73</v>
      </c>
      <c r="C1078" s="434" t="s">
        <v>1101</v>
      </c>
      <c r="D1078" s="694" t="s">
        <v>1247</v>
      </c>
      <c r="E1078" s="694" t="s">
        <v>1247</v>
      </c>
      <c r="F1078" s="694" t="s">
        <v>1247</v>
      </c>
      <c r="G1078" s="694" t="s">
        <v>1247</v>
      </c>
      <c r="H1078" s="694" t="s">
        <v>1247</v>
      </c>
      <c r="I1078" s="694" t="s">
        <v>1247</v>
      </c>
      <c r="J1078" s="694" t="s">
        <v>1247</v>
      </c>
      <c r="K1078" s="694" t="s">
        <v>1247</v>
      </c>
      <c r="L1078" s="345"/>
      <c r="BW1078" s="430"/>
    </row>
    <row r="1079" spans="2:75" ht="14.5" x14ac:dyDescent="0.35">
      <c r="B1079" s="129">
        <v>74</v>
      </c>
      <c r="C1079" s="434" t="s">
        <v>1102</v>
      </c>
      <c r="D1079" s="694" t="s">
        <v>1247</v>
      </c>
      <c r="E1079" s="694" t="s">
        <v>1247</v>
      </c>
      <c r="F1079" s="694" t="s">
        <v>1247</v>
      </c>
      <c r="G1079" s="694" t="s">
        <v>1247</v>
      </c>
      <c r="H1079" s="694" t="s">
        <v>1247</v>
      </c>
      <c r="I1079" s="694" t="s">
        <v>1247</v>
      </c>
      <c r="J1079" s="694" t="s">
        <v>1247</v>
      </c>
      <c r="K1079" s="694" t="s">
        <v>1247</v>
      </c>
      <c r="L1079" s="345"/>
      <c r="BW1079" s="430"/>
    </row>
    <row r="1080" spans="2:75" ht="14.5" x14ac:dyDescent="0.35">
      <c r="B1080" s="129">
        <v>75</v>
      </c>
      <c r="C1080" s="434" t="s">
        <v>1103</v>
      </c>
      <c r="D1080" s="694" t="s">
        <v>1247</v>
      </c>
      <c r="E1080" s="694" t="s">
        <v>1247</v>
      </c>
      <c r="F1080" s="694" t="s">
        <v>1247</v>
      </c>
      <c r="G1080" s="694" t="s">
        <v>1247</v>
      </c>
      <c r="H1080" s="694" t="s">
        <v>1247</v>
      </c>
      <c r="I1080" s="694" t="s">
        <v>1247</v>
      </c>
      <c r="J1080" s="694" t="s">
        <v>1247</v>
      </c>
      <c r="K1080" s="694" t="s">
        <v>1247</v>
      </c>
      <c r="L1080" s="345"/>
      <c r="BW1080" s="430"/>
    </row>
    <row r="1081" spans="2:75" ht="14.5" x14ac:dyDescent="0.35">
      <c r="B1081" s="129">
        <v>76</v>
      </c>
      <c r="C1081" s="434" t="s">
        <v>1104</v>
      </c>
      <c r="D1081" s="694">
        <v>891851</v>
      </c>
      <c r="E1081" s="694">
        <v>3169483</v>
      </c>
      <c r="F1081" s="694">
        <v>25976</v>
      </c>
      <c r="G1081" s="694">
        <v>279216</v>
      </c>
      <c r="H1081" s="694">
        <v>3236</v>
      </c>
      <c r="I1081" s="694">
        <v>31778</v>
      </c>
      <c r="J1081" s="694">
        <v>1637911</v>
      </c>
      <c r="K1081" s="694">
        <v>5648221</v>
      </c>
      <c r="L1081" s="345"/>
      <c r="BW1081" s="430"/>
    </row>
    <row r="1082" spans="2:75" ht="14.5" x14ac:dyDescent="0.35">
      <c r="B1082" s="129">
        <v>77</v>
      </c>
      <c r="C1082" s="434" t="s">
        <v>1105</v>
      </c>
      <c r="D1082" s="694">
        <v>1057490</v>
      </c>
      <c r="E1082" s="694">
        <v>4068758</v>
      </c>
      <c r="F1082" s="694">
        <v>41333</v>
      </c>
      <c r="G1082" s="694">
        <v>245679</v>
      </c>
      <c r="H1082" s="694">
        <v>3228</v>
      </c>
      <c r="I1082" s="694">
        <v>30735</v>
      </c>
      <c r="J1082" s="694">
        <v>1934325</v>
      </c>
      <c r="K1082" s="694">
        <v>4025329</v>
      </c>
      <c r="L1082" s="345"/>
      <c r="BW1082" s="430"/>
    </row>
    <row r="1083" spans="2:75" ht="14.5" x14ac:dyDescent="0.35">
      <c r="B1083" s="129">
        <v>78</v>
      </c>
      <c r="C1083" s="434" t="s">
        <v>1106</v>
      </c>
      <c r="D1083" s="694">
        <v>555216</v>
      </c>
      <c r="E1083" s="694">
        <v>3255481</v>
      </c>
      <c r="F1083" s="694">
        <v>33428</v>
      </c>
      <c r="G1083" s="694">
        <v>244938</v>
      </c>
      <c r="H1083" s="694">
        <v>2653</v>
      </c>
      <c r="I1083" s="694">
        <v>22257</v>
      </c>
      <c r="J1083" s="694">
        <v>1410812</v>
      </c>
      <c r="K1083" s="694">
        <v>4547303</v>
      </c>
      <c r="L1083" s="345"/>
      <c r="BW1083" s="430"/>
    </row>
    <row r="1084" spans="2:75" ht="14.5" x14ac:dyDescent="0.35">
      <c r="B1084" s="129">
        <v>79</v>
      </c>
      <c r="C1084" s="434" t="s">
        <v>1107</v>
      </c>
      <c r="D1084" s="694">
        <v>327865</v>
      </c>
      <c r="E1084" s="694">
        <v>1909578</v>
      </c>
      <c r="F1084" s="694">
        <v>7403</v>
      </c>
      <c r="G1084" s="694">
        <v>66339</v>
      </c>
      <c r="H1084" s="694">
        <v>536</v>
      </c>
      <c r="I1084" s="694">
        <v>6729</v>
      </c>
      <c r="J1084" s="694">
        <v>454603</v>
      </c>
      <c r="K1084" s="694">
        <v>1239537</v>
      </c>
      <c r="L1084" s="345"/>
      <c r="BW1084" s="430"/>
    </row>
    <row r="1085" spans="2:75" ht="14.5" x14ac:dyDescent="0.35">
      <c r="B1085" s="129">
        <v>80</v>
      </c>
      <c r="C1085" s="434" t="s">
        <v>1108</v>
      </c>
      <c r="D1085" s="694">
        <v>189999</v>
      </c>
      <c r="E1085" s="694">
        <v>685017</v>
      </c>
      <c r="F1085" s="694">
        <v>6188</v>
      </c>
      <c r="G1085" s="694">
        <v>54277</v>
      </c>
      <c r="H1085" s="694">
        <v>288</v>
      </c>
      <c r="I1085" s="694">
        <v>5949</v>
      </c>
      <c r="J1085" s="694">
        <v>230918</v>
      </c>
      <c r="K1085" s="694">
        <v>603525</v>
      </c>
      <c r="L1085" s="345"/>
      <c r="BW1085" s="430"/>
    </row>
    <row r="1086" spans="2:75" ht="14.5" x14ac:dyDescent="0.35">
      <c r="B1086" s="129">
        <v>81</v>
      </c>
      <c r="C1086" s="434" t="s">
        <v>1109</v>
      </c>
      <c r="D1086" s="694">
        <v>119120</v>
      </c>
      <c r="E1086" s="694">
        <v>645757</v>
      </c>
      <c r="F1086" s="694">
        <v>5880</v>
      </c>
      <c r="G1086" s="694">
        <v>53059</v>
      </c>
      <c r="H1086" s="694">
        <v>100</v>
      </c>
      <c r="I1086" s="694">
        <v>1287</v>
      </c>
      <c r="J1086" s="694">
        <v>113615</v>
      </c>
      <c r="K1086" s="694">
        <v>360196</v>
      </c>
      <c r="L1086" s="345"/>
      <c r="BW1086" s="430"/>
    </row>
    <row r="1087" spans="2:75" ht="14.5" x14ac:dyDescent="0.35">
      <c r="B1087" s="129">
        <v>82</v>
      </c>
      <c r="C1087" s="434" t="s">
        <v>1110</v>
      </c>
      <c r="D1087" s="694">
        <v>85032</v>
      </c>
      <c r="E1087" s="694">
        <v>380921</v>
      </c>
      <c r="F1087" s="694">
        <v>4599</v>
      </c>
      <c r="G1087" s="694">
        <v>23711</v>
      </c>
      <c r="H1087" s="694">
        <v>67</v>
      </c>
      <c r="I1087" s="694">
        <v>1163</v>
      </c>
      <c r="J1087" s="694">
        <v>123762</v>
      </c>
      <c r="K1087" s="694">
        <v>438141</v>
      </c>
      <c r="L1087" s="345"/>
      <c r="BW1087" s="430"/>
    </row>
    <row r="1088" spans="2:75" ht="14.5" x14ac:dyDescent="0.35">
      <c r="B1088" s="129">
        <v>83</v>
      </c>
      <c r="C1088" s="434" t="s">
        <v>1111</v>
      </c>
      <c r="D1088" s="694">
        <v>703459</v>
      </c>
      <c r="E1088" s="694">
        <v>2746584</v>
      </c>
      <c r="F1088" s="694">
        <v>21725</v>
      </c>
      <c r="G1088" s="694">
        <v>150997</v>
      </c>
      <c r="H1088" s="694">
        <v>1199</v>
      </c>
      <c r="I1088" s="694">
        <v>13451</v>
      </c>
      <c r="J1088" s="694">
        <v>366600</v>
      </c>
      <c r="K1088" s="694">
        <v>1831667</v>
      </c>
      <c r="L1088" s="345"/>
      <c r="BW1088" s="430"/>
    </row>
    <row r="1089" spans="2:75" ht="14.5" x14ac:dyDescent="0.35">
      <c r="B1089" s="129">
        <v>84</v>
      </c>
      <c r="C1089" s="434" t="s">
        <v>1112</v>
      </c>
      <c r="D1089" s="694">
        <v>88951</v>
      </c>
      <c r="E1089" s="694">
        <v>594177</v>
      </c>
      <c r="F1089" s="694">
        <v>3987</v>
      </c>
      <c r="G1089" s="694">
        <v>20789</v>
      </c>
      <c r="H1089" s="694">
        <v>139</v>
      </c>
      <c r="I1089" s="694">
        <v>2287</v>
      </c>
      <c r="J1089" s="694">
        <v>88429</v>
      </c>
      <c r="K1089" s="694">
        <v>266840</v>
      </c>
      <c r="L1089" s="345"/>
      <c r="BW1089" s="430"/>
    </row>
    <row r="1090" spans="2:75" ht="14.5" x14ac:dyDescent="0.35">
      <c r="B1090" s="129">
        <v>85</v>
      </c>
      <c r="C1090" s="434" t="s">
        <v>1113</v>
      </c>
      <c r="D1090" s="694">
        <v>65423</v>
      </c>
      <c r="E1090" s="694">
        <v>230358</v>
      </c>
      <c r="F1090" s="694">
        <v>2946</v>
      </c>
      <c r="G1090" s="694">
        <v>25036</v>
      </c>
      <c r="H1090" s="694">
        <v>184</v>
      </c>
      <c r="I1090" s="694">
        <v>2490</v>
      </c>
      <c r="J1090" s="694">
        <v>53992</v>
      </c>
      <c r="K1090" s="694">
        <v>209520</v>
      </c>
      <c r="L1090" s="345"/>
      <c r="BW1090" s="430"/>
    </row>
    <row r="1091" spans="2:75" ht="14.5" x14ac:dyDescent="0.35">
      <c r="B1091" s="129">
        <v>86</v>
      </c>
      <c r="C1091" s="434" t="s">
        <v>1114</v>
      </c>
      <c r="D1091" s="694">
        <v>7555</v>
      </c>
      <c r="E1091" s="694">
        <v>46713</v>
      </c>
      <c r="F1091" s="694">
        <v>491</v>
      </c>
      <c r="G1091" s="694">
        <v>3622</v>
      </c>
      <c r="H1091" s="694">
        <v>27</v>
      </c>
      <c r="I1091" s="694">
        <v>226</v>
      </c>
      <c r="J1091" s="694">
        <v>9609</v>
      </c>
      <c r="K1091" s="694">
        <v>24690</v>
      </c>
      <c r="L1091" s="345"/>
      <c r="BW1091" s="430"/>
    </row>
    <row r="1092" spans="2:75" ht="14.5" x14ac:dyDescent="0.35">
      <c r="B1092" s="129">
        <v>87</v>
      </c>
      <c r="C1092" s="434" t="s">
        <v>1115</v>
      </c>
      <c r="D1092" s="694" t="s">
        <v>1247</v>
      </c>
      <c r="E1092" s="694" t="s">
        <v>1247</v>
      </c>
      <c r="F1092" s="694" t="s">
        <v>1247</v>
      </c>
      <c r="G1092" s="694" t="s">
        <v>1247</v>
      </c>
      <c r="H1092" s="694" t="s">
        <v>1247</v>
      </c>
      <c r="I1092" s="694" t="s">
        <v>1247</v>
      </c>
      <c r="J1092" s="694" t="s">
        <v>1247</v>
      </c>
      <c r="K1092" s="694" t="s">
        <v>1247</v>
      </c>
      <c r="L1092" s="345"/>
      <c r="BW1092" s="430"/>
    </row>
    <row r="1093" spans="2:75" ht="14.5" x14ac:dyDescent="0.35">
      <c r="B1093" s="129">
        <v>88</v>
      </c>
      <c r="C1093" s="434" t="s">
        <v>1116</v>
      </c>
      <c r="D1093" s="694" t="s">
        <v>1247</v>
      </c>
      <c r="E1093" s="694" t="s">
        <v>1247</v>
      </c>
      <c r="F1093" s="694" t="s">
        <v>1247</v>
      </c>
      <c r="G1093" s="694" t="s">
        <v>1247</v>
      </c>
      <c r="H1093" s="694" t="s">
        <v>1247</v>
      </c>
      <c r="I1093" s="694" t="s">
        <v>1247</v>
      </c>
      <c r="J1093" s="694" t="s">
        <v>1247</v>
      </c>
      <c r="K1093" s="694" t="s">
        <v>1247</v>
      </c>
      <c r="L1093" s="345"/>
      <c r="BW1093" s="430"/>
    </row>
    <row r="1094" spans="2:75" ht="14.5" x14ac:dyDescent="0.35">
      <c r="B1094" s="129">
        <v>89</v>
      </c>
      <c r="C1094" s="434" t="s">
        <v>1117</v>
      </c>
      <c r="D1094" s="694" t="s">
        <v>1247</v>
      </c>
      <c r="E1094" s="694" t="s">
        <v>1247</v>
      </c>
      <c r="F1094" s="694" t="s">
        <v>1247</v>
      </c>
      <c r="G1094" s="694" t="s">
        <v>1247</v>
      </c>
      <c r="H1094" s="694" t="s">
        <v>1247</v>
      </c>
      <c r="I1094" s="694" t="s">
        <v>1247</v>
      </c>
      <c r="J1094" s="694" t="s">
        <v>1247</v>
      </c>
      <c r="K1094" s="694" t="s">
        <v>1247</v>
      </c>
      <c r="L1094" s="345"/>
      <c r="BW1094" s="430"/>
    </row>
    <row r="1095" spans="2:75" ht="14.5" x14ac:dyDescent="0.35">
      <c r="B1095" s="129">
        <v>90</v>
      </c>
      <c r="C1095" s="434" t="s">
        <v>1118</v>
      </c>
      <c r="D1095" s="694" t="s">
        <v>1247</v>
      </c>
      <c r="E1095" s="694" t="s">
        <v>1247</v>
      </c>
      <c r="F1095" s="694" t="s">
        <v>1247</v>
      </c>
      <c r="G1095" s="694" t="s">
        <v>1247</v>
      </c>
      <c r="H1095" s="694" t="s">
        <v>1247</v>
      </c>
      <c r="I1095" s="694" t="s">
        <v>1247</v>
      </c>
      <c r="J1095" s="694" t="s">
        <v>1247</v>
      </c>
      <c r="K1095" s="694" t="s">
        <v>1247</v>
      </c>
      <c r="L1095" s="345"/>
      <c r="BW1095" s="430"/>
    </row>
    <row r="1096" spans="2:75" ht="14.5" x14ac:dyDescent="0.35">
      <c r="B1096" s="129">
        <v>91</v>
      </c>
      <c r="C1096" s="434" t="s">
        <v>1119</v>
      </c>
      <c r="D1096" s="694" t="s">
        <v>1247</v>
      </c>
      <c r="E1096" s="694" t="s">
        <v>1247</v>
      </c>
      <c r="F1096" s="694" t="s">
        <v>1247</v>
      </c>
      <c r="G1096" s="694" t="s">
        <v>1247</v>
      </c>
      <c r="H1096" s="694" t="s">
        <v>1247</v>
      </c>
      <c r="I1096" s="694" t="s">
        <v>1247</v>
      </c>
      <c r="J1096" s="694" t="s">
        <v>1247</v>
      </c>
      <c r="K1096" s="694" t="s">
        <v>1247</v>
      </c>
      <c r="L1096" s="345"/>
      <c r="BW1096" s="430"/>
    </row>
    <row r="1097" spans="2:75" ht="14.5" x14ac:dyDescent="0.35">
      <c r="B1097" s="129">
        <v>92</v>
      </c>
      <c r="C1097" s="434" t="s">
        <v>1120</v>
      </c>
      <c r="D1097" s="694" t="s">
        <v>1247</v>
      </c>
      <c r="E1097" s="694" t="s">
        <v>1247</v>
      </c>
      <c r="F1097" s="694" t="s">
        <v>1247</v>
      </c>
      <c r="G1097" s="694" t="s">
        <v>1247</v>
      </c>
      <c r="H1097" s="694" t="s">
        <v>1247</v>
      </c>
      <c r="I1097" s="694" t="s">
        <v>1247</v>
      </c>
      <c r="J1097" s="694" t="s">
        <v>1247</v>
      </c>
      <c r="K1097" s="694" t="s">
        <v>1247</v>
      </c>
      <c r="L1097" s="345"/>
      <c r="BW1097" s="430"/>
    </row>
    <row r="1098" spans="2:75" ht="14.5" x14ac:dyDescent="0.35">
      <c r="B1098" s="129">
        <v>93</v>
      </c>
      <c r="C1098" s="434" t="s">
        <v>1121</v>
      </c>
      <c r="D1098" s="694" t="s">
        <v>1247</v>
      </c>
      <c r="E1098" s="694" t="s">
        <v>1247</v>
      </c>
      <c r="F1098" s="694" t="s">
        <v>1247</v>
      </c>
      <c r="G1098" s="694" t="s">
        <v>1247</v>
      </c>
      <c r="H1098" s="694" t="s">
        <v>1247</v>
      </c>
      <c r="I1098" s="694" t="s">
        <v>1247</v>
      </c>
      <c r="J1098" s="694" t="s">
        <v>1247</v>
      </c>
      <c r="K1098" s="694" t="s">
        <v>1247</v>
      </c>
      <c r="L1098" s="345"/>
      <c r="BW1098" s="430"/>
    </row>
    <row r="1099" spans="2:75" ht="14.5" x14ac:dyDescent="0.35">
      <c r="B1099" s="129">
        <v>94</v>
      </c>
      <c r="C1099" s="434" t="s">
        <v>1122</v>
      </c>
      <c r="D1099" s="694" t="s">
        <v>1247</v>
      </c>
      <c r="E1099" s="694" t="s">
        <v>1247</v>
      </c>
      <c r="F1099" s="694" t="s">
        <v>1247</v>
      </c>
      <c r="G1099" s="694" t="s">
        <v>1247</v>
      </c>
      <c r="H1099" s="694" t="s">
        <v>1247</v>
      </c>
      <c r="I1099" s="694" t="s">
        <v>1247</v>
      </c>
      <c r="J1099" s="694" t="s">
        <v>1247</v>
      </c>
      <c r="K1099" s="694" t="s">
        <v>1247</v>
      </c>
      <c r="L1099" s="345"/>
      <c r="BW1099" s="430"/>
    </row>
    <row r="1100" spans="2:75" ht="14.5" x14ac:dyDescent="0.35">
      <c r="B1100" s="129">
        <v>95</v>
      </c>
      <c r="C1100" s="434" t="s">
        <v>1123</v>
      </c>
      <c r="D1100" s="694" t="s">
        <v>1247</v>
      </c>
      <c r="E1100" s="694" t="s">
        <v>1247</v>
      </c>
      <c r="F1100" s="694" t="s">
        <v>1247</v>
      </c>
      <c r="G1100" s="694" t="s">
        <v>1247</v>
      </c>
      <c r="H1100" s="694" t="s">
        <v>1247</v>
      </c>
      <c r="I1100" s="694" t="s">
        <v>1247</v>
      </c>
      <c r="J1100" s="694" t="s">
        <v>1247</v>
      </c>
      <c r="K1100" s="694" t="s">
        <v>1247</v>
      </c>
      <c r="L1100" s="345"/>
      <c r="BW1100" s="430"/>
    </row>
    <row r="1101" spans="2:75" ht="14.5" x14ac:dyDescent="0.35">
      <c r="B1101" s="129">
        <v>96</v>
      </c>
      <c r="C1101" s="277" t="s">
        <v>817</v>
      </c>
      <c r="D1101" s="694">
        <v>790908</v>
      </c>
      <c r="E1101" s="694">
        <v>1042288</v>
      </c>
      <c r="F1101" s="694">
        <v>6821</v>
      </c>
      <c r="G1101" s="694">
        <v>15077</v>
      </c>
      <c r="H1101" s="694">
        <v>363</v>
      </c>
      <c r="I1101" s="694">
        <v>2033</v>
      </c>
      <c r="J1101" s="694">
        <v>598419</v>
      </c>
      <c r="K1101" s="694">
        <v>574299</v>
      </c>
      <c r="L1101" s="345"/>
      <c r="BW1101" s="430"/>
    </row>
    <row r="1102" spans="2:75" ht="14.5" x14ac:dyDescent="0.35">
      <c r="B1102" s="129">
        <v>97</v>
      </c>
      <c r="C1102" s="277" t="s">
        <v>818</v>
      </c>
      <c r="D1102" s="694">
        <v>1228269</v>
      </c>
      <c r="E1102" s="694">
        <v>1919188</v>
      </c>
      <c r="F1102" s="694">
        <v>10014</v>
      </c>
      <c r="G1102" s="694">
        <v>20861</v>
      </c>
      <c r="H1102" s="694">
        <v>1249</v>
      </c>
      <c r="I1102" s="694">
        <v>4033</v>
      </c>
      <c r="J1102" s="694">
        <v>631994</v>
      </c>
      <c r="K1102" s="694">
        <v>1281416</v>
      </c>
      <c r="L1102" s="345"/>
      <c r="BW1102" s="430"/>
    </row>
    <row r="1103" spans="2:75" ht="14.5" x14ac:dyDescent="0.35">
      <c r="B1103" s="129">
        <v>98</v>
      </c>
      <c r="C1103" s="277" t="s">
        <v>1043</v>
      </c>
      <c r="D1103" s="694">
        <v>1080036</v>
      </c>
      <c r="E1103" s="694">
        <v>2346112</v>
      </c>
      <c r="F1103" s="694">
        <v>12172</v>
      </c>
      <c r="G1103" s="694">
        <v>19766</v>
      </c>
      <c r="H1103" s="694">
        <v>722</v>
      </c>
      <c r="I1103" s="694">
        <v>3247</v>
      </c>
      <c r="J1103" s="694">
        <v>879576</v>
      </c>
      <c r="K1103" s="694">
        <v>1011359</v>
      </c>
      <c r="L1103" s="345"/>
      <c r="BW1103" s="430"/>
    </row>
    <row r="1104" spans="2:75" ht="14.5" x14ac:dyDescent="0.35">
      <c r="B1104" s="129">
        <v>99</v>
      </c>
      <c r="C1104" s="277" t="s">
        <v>844</v>
      </c>
      <c r="D1104" s="694">
        <v>579839</v>
      </c>
      <c r="E1104" s="694">
        <v>1012411</v>
      </c>
      <c r="F1104" s="694">
        <v>4597</v>
      </c>
      <c r="G1104" s="694">
        <v>9127</v>
      </c>
      <c r="H1104" s="694">
        <v>736</v>
      </c>
      <c r="I1104" s="694">
        <v>1831</v>
      </c>
      <c r="J1104" s="694">
        <v>160690</v>
      </c>
      <c r="K1104" s="694">
        <v>249548</v>
      </c>
      <c r="L1104" s="345"/>
      <c r="BW1104" s="430"/>
    </row>
    <row r="1105" spans="1:116" ht="14.5" x14ac:dyDescent="0.35">
      <c r="B1105" s="129">
        <v>100</v>
      </c>
      <c r="C1105" s="277" t="s">
        <v>845</v>
      </c>
      <c r="D1105" s="694">
        <v>277395</v>
      </c>
      <c r="E1105" s="694">
        <v>464369</v>
      </c>
      <c r="F1105" s="694">
        <v>6550</v>
      </c>
      <c r="G1105" s="694">
        <v>8930</v>
      </c>
      <c r="H1105" s="694">
        <v>1317</v>
      </c>
      <c r="I1105" s="694">
        <v>7938</v>
      </c>
      <c r="J1105" s="694">
        <v>206916</v>
      </c>
      <c r="K1105" s="694">
        <v>396675</v>
      </c>
      <c r="L1105" s="345"/>
      <c r="BW1105" s="430"/>
    </row>
    <row r="1106" spans="1:116" ht="14.5" x14ac:dyDescent="0.35">
      <c r="B1106" s="129">
        <v>101</v>
      </c>
      <c r="C1106" s="277" t="s">
        <v>846</v>
      </c>
      <c r="D1106" s="694">
        <v>133883</v>
      </c>
      <c r="E1106" s="694">
        <v>283009</v>
      </c>
      <c r="F1106" s="694">
        <v>2135</v>
      </c>
      <c r="G1106" s="694">
        <v>5788</v>
      </c>
      <c r="H1106" s="694">
        <v>370</v>
      </c>
      <c r="I1106" s="694">
        <v>1979</v>
      </c>
      <c r="J1106" s="694">
        <v>109949</v>
      </c>
      <c r="K1106" s="694">
        <v>158597</v>
      </c>
      <c r="L1106" s="345"/>
      <c r="BW1106" s="430"/>
    </row>
    <row r="1107" spans="1:116" ht="14.5" x14ac:dyDescent="0.35">
      <c r="B1107" s="129">
        <v>102</v>
      </c>
      <c r="C1107" s="277" t="s">
        <v>1239</v>
      </c>
      <c r="D1107" s="694">
        <v>199</v>
      </c>
      <c r="E1107" s="694">
        <v>333</v>
      </c>
      <c r="F1107" s="694">
        <v>0</v>
      </c>
      <c r="G1107" s="694">
        <v>0</v>
      </c>
      <c r="H1107" s="694">
        <v>0</v>
      </c>
      <c r="I1107" s="694">
        <v>0</v>
      </c>
      <c r="J1107" s="694">
        <v>73</v>
      </c>
      <c r="K1107" s="694">
        <v>112</v>
      </c>
      <c r="L1107" s="345"/>
      <c r="BW1107" s="430"/>
    </row>
    <row r="1108" spans="1:116" ht="14.5" x14ac:dyDescent="0.35">
      <c r="B1108" s="129">
        <v>103</v>
      </c>
      <c r="C1108" s="277" t="s">
        <v>1045</v>
      </c>
      <c r="D1108" s="694">
        <v>301</v>
      </c>
      <c r="E1108" s="694">
        <v>399</v>
      </c>
      <c r="F1108" s="694">
        <v>0</v>
      </c>
      <c r="G1108" s="694">
        <v>0</v>
      </c>
      <c r="H1108" s="694">
        <v>0</v>
      </c>
      <c r="I1108" s="694">
        <v>0</v>
      </c>
      <c r="J1108" s="694">
        <v>102</v>
      </c>
      <c r="K1108" s="694">
        <v>96</v>
      </c>
      <c r="L1108" s="345"/>
      <c r="BW1108" s="430"/>
    </row>
    <row r="1109" spans="1:116" ht="14.5" x14ac:dyDescent="0.35">
      <c r="B1109" s="129">
        <v>104</v>
      </c>
      <c r="C1109" s="277" t="s">
        <v>1046</v>
      </c>
      <c r="D1109" s="694">
        <v>280</v>
      </c>
      <c r="E1109" s="694">
        <v>596</v>
      </c>
      <c r="F1109" s="694">
        <v>0</v>
      </c>
      <c r="G1109" s="694">
        <v>0</v>
      </c>
      <c r="H1109" s="694">
        <v>0</v>
      </c>
      <c r="I1109" s="694">
        <v>0</v>
      </c>
      <c r="J1109" s="694">
        <v>85</v>
      </c>
      <c r="K1109" s="694">
        <v>141</v>
      </c>
      <c r="L1109" s="345"/>
      <c r="BW1109" s="430"/>
    </row>
    <row r="1110" spans="1:116" ht="14.5" x14ac:dyDescent="0.35">
      <c r="B1110" s="129">
        <v>105</v>
      </c>
      <c r="C1110" s="277" t="s">
        <v>1047</v>
      </c>
      <c r="D1110" s="694">
        <v>1065</v>
      </c>
      <c r="E1110" s="694">
        <v>1371</v>
      </c>
      <c r="F1110" s="694">
        <v>0</v>
      </c>
      <c r="G1110" s="694">
        <v>0</v>
      </c>
      <c r="H1110" s="694">
        <v>0</v>
      </c>
      <c r="I1110" s="694">
        <v>0</v>
      </c>
      <c r="J1110" s="694">
        <v>2268</v>
      </c>
      <c r="K1110" s="694">
        <v>3539</v>
      </c>
      <c r="L1110" s="345"/>
      <c r="BW1110" s="430"/>
    </row>
    <row r="1111" spans="1:116" ht="14.5" x14ac:dyDescent="0.35">
      <c r="B1111" s="129">
        <v>106</v>
      </c>
      <c r="C1111" s="277" t="s">
        <v>1048</v>
      </c>
      <c r="D1111" s="694">
        <v>467</v>
      </c>
      <c r="E1111" s="694">
        <v>647</v>
      </c>
      <c r="F1111" s="694">
        <v>0</v>
      </c>
      <c r="G1111" s="694">
        <v>0</v>
      </c>
      <c r="H1111" s="694">
        <v>0</v>
      </c>
      <c r="I1111" s="694">
        <v>0</v>
      </c>
      <c r="J1111" s="694">
        <v>945</v>
      </c>
      <c r="K1111" s="694">
        <v>1102</v>
      </c>
      <c r="L1111" s="345"/>
      <c r="BW1111" s="430"/>
    </row>
    <row r="1112" spans="1:116" ht="14.5" x14ac:dyDescent="0.35">
      <c r="B1112" s="129">
        <v>107</v>
      </c>
      <c r="C1112" s="277" t="s">
        <v>1049</v>
      </c>
      <c r="D1112" s="694">
        <v>5959</v>
      </c>
      <c r="E1112" s="694">
        <v>9805</v>
      </c>
      <c r="F1112" s="694">
        <v>92</v>
      </c>
      <c r="G1112" s="694">
        <v>278</v>
      </c>
      <c r="H1112" s="694">
        <v>0</v>
      </c>
      <c r="I1112" s="694">
        <v>0</v>
      </c>
      <c r="J1112" s="694">
        <v>2567</v>
      </c>
      <c r="K1112" s="694">
        <v>4539</v>
      </c>
      <c r="L1112" s="345"/>
      <c r="BW1112" s="430"/>
    </row>
    <row r="1113" spans="1:116" ht="14.5" x14ac:dyDescent="0.35">
      <c r="B1113" s="129">
        <v>108</v>
      </c>
      <c r="C1113" s="277" t="s">
        <v>1050</v>
      </c>
      <c r="D1113" s="694">
        <v>5407</v>
      </c>
      <c r="E1113" s="694">
        <v>10458</v>
      </c>
      <c r="F1113" s="694">
        <v>123</v>
      </c>
      <c r="G1113" s="694">
        <v>191</v>
      </c>
      <c r="H1113" s="694">
        <v>0</v>
      </c>
      <c r="I1113" s="694">
        <v>0</v>
      </c>
      <c r="J1113" s="694">
        <v>3825</v>
      </c>
      <c r="K1113" s="694">
        <v>4896</v>
      </c>
      <c r="L1113" s="345"/>
      <c r="BW1113" s="430"/>
    </row>
    <row r="1114" spans="1:116" ht="14.5" hidden="1" x14ac:dyDescent="0.35">
      <c r="B1114" s="129">
        <v>109</v>
      </c>
      <c r="C1114" s="277" t="s">
        <v>252</v>
      </c>
      <c r="D1114" s="345"/>
      <c r="E1114" s="345"/>
      <c r="F1114" s="345"/>
      <c r="G1114" s="345"/>
      <c r="H1114" s="345"/>
      <c r="I1114" s="345"/>
      <c r="J1114" s="345"/>
      <c r="K1114" s="345"/>
      <c r="L1114" s="345"/>
      <c r="CH1114" s="430"/>
      <c r="CI1114" s="430"/>
      <c r="CJ1114" s="430"/>
      <c r="CK1114" s="430"/>
      <c r="CL1114" s="430"/>
      <c r="CM1114" s="430"/>
      <c r="CN1114" s="430"/>
      <c r="CO1114" s="430"/>
      <c r="CP1114" s="430"/>
      <c r="CQ1114" s="430"/>
      <c r="CR1114" s="430"/>
      <c r="CS1114" s="430"/>
      <c r="CT1114" s="430"/>
      <c r="CU1114" s="430"/>
      <c r="CV1114" s="430"/>
      <c r="CW1114" s="430"/>
      <c r="CX1114" s="430"/>
      <c r="CY1114" s="430"/>
      <c r="CZ1114" s="430"/>
      <c r="DA1114" s="430"/>
      <c r="DB1114" s="430"/>
      <c r="DC1114" s="430"/>
      <c r="DD1114" s="430"/>
      <c r="DE1114" s="430"/>
      <c r="DF1114" s="430"/>
      <c r="DG1114" s="430"/>
      <c r="DH1114" s="430"/>
      <c r="DI1114" s="430"/>
      <c r="DJ1114" s="430"/>
      <c r="DK1114" s="430"/>
      <c r="DL1114" s="430"/>
    </row>
    <row r="1115" spans="1:116" x14ac:dyDescent="0.25">
      <c r="B1115" s="120"/>
      <c r="L1115" s="120"/>
      <c r="M1115" s="120"/>
      <c r="N1115" s="120"/>
    </row>
    <row r="1116" spans="1:116" x14ac:dyDescent="0.25">
      <c r="B1116" s="120"/>
      <c r="C1116" s="120" t="s">
        <v>291</v>
      </c>
      <c r="I1116" s="120"/>
      <c r="J1116" s="120"/>
      <c r="K1116" s="120"/>
      <c r="L1116" s="120"/>
      <c r="M1116" s="120"/>
      <c r="N1116" s="120"/>
    </row>
    <row r="1118" spans="1:116" ht="15.5" outlineLevel="1" x14ac:dyDescent="0.25">
      <c r="A1118" s="429">
        <v>5</v>
      </c>
      <c r="B1118" s="429" t="s">
        <v>384</v>
      </c>
      <c r="C1118" s="429"/>
      <c r="D1118" s="430"/>
      <c r="E1118" s="430"/>
      <c r="F1118" s="430"/>
      <c r="G1118" s="430"/>
      <c r="H1118" s="430"/>
      <c r="I1118" s="430"/>
      <c r="J1118" s="430"/>
      <c r="K1118" s="430"/>
      <c r="L1118" s="430"/>
      <c r="M1118" s="430"/>
      <c r="N1118" s="430"/>
      <c r="O1118" s="430"/>
      <c r="P1118" s="430"/>
      <c r="Q1118" s="430"/>
      <c r="R1118" s="430"/>
      <c r="S1118" s="430"/>
      <c r="T1118" s="430"/>
      <c r="U1118" s="430"/>
      <c r="V1118" s="430"/>
      <c r="W1118" s="430"/>
      <c r="X1118" s="430"/>
      <c r="Y1118" s="430"/>
      <c r="Z1118" s="430"/>
      <c r="AA1118" s="430"/>
      <c r="AB1118" s="430"/>
      <c r="AC1118" s="430"/>
      <c r="AD1118" s="430"/>
      <c r="AE1118" s="430"/>
      <c r="AF1118" s="430"/>
      <c r="AG1118" s="430"/>
      <c r="AH1118" s="430"/>
      <c r="AI1118" s="430"/>
      <c r="AJ1118" s="430"/>
      <c r="AK1118" s="430"/>
      <c r="AL1118" s="430"/>
      <c r="AM1118" s="430"/>
      <c r="AN1118" s="430"/>
      <c r="AO1118" s="430"/>
      <c r="AP1118" s="430"/>
      <c r="AQ1118" s="430"/>
      <c r="AR1118" s="430"/>
      <c r="AS1118" s="430"/>
      <c r="AT1118" s="430"/>
      <c r="AU1118" s="430"/>
      <c r="AV1118" s="430"/>
      <c r="AW1118" s="430"/>
      <c r="AX1118" s="430"/>
      <c r="AY1118" s="430"/>
      <c r="AZ1118" s="430"/>
      <c r="BA1118" s="430"/>
      <c r="BB1118" s="430"/>
      <c r="BC1118" s="430"/>
      <c r="BD1118" s="430"/>
      <c r="BE1118" s="430"/>
      <c r="BF1118" s="430"/>
      <c r="BG1118" s="430"/>
      <c r="BH1118" s="430"/>
      <c r="BI1118" s="430"/>
      <c r="BJ1118" s="430"/>
      <c r="BK1118" s="430"/>
      <c r="BL1118" s="430"/>
      <c r="BM1118" s="430"/>
      <c r="BN1118" s="430"/>
      <c r="BO1118" s="430"/>
      <c r="BP1118" s="430"/>
      <c r="BQ1118" s="430"/>
      <c r="BR1118" s="430"/>
      <c r="BS1118" s="430"/>
      <c r="BT1118" s="430"/>
      <c r="BU1118" s="430"/>
      <c r="BV1118" s="430"/>
    </row>
    <row r="1119" spans="1:116" outlineLevel="1" x14ac:dyDescent="0.25">
      <c r="C1119" s="120"/>
    </row>
    <row r="1120" spans="1:116" ht="15.5" outlineLevel="1" x14ac:dyDescent="0.25">
      <c r="C1120" s="37" t="s">
        <v>385</v>
      </c>
    </row>
    <row r="1121" spans="2:14" ht="12" outlineLevel="1" x14ac:dyDescent="0.25">
      <c r="C1121" s="126" t="s">
        <v>386</v>
      </c>
      <c r="D1121" s="120"/>
      <c r="E1121" s="120"/>
      <c r="F1121" s="120"/>
      <c r="G1121" s="120"/>
      <c r="H1121" s="120"/>
      <c r="I1121" s="120"/>
      <c r="J1121" s="120"/>
      <c r="K1121" s="120"/>
      <c r="L1121" s="120"/>
      <c r="M1121" s="120"/>
      <c r="N1121" s="120"/>
    </row>
    <row r="1122" spans="2:14" ht="12" outlineLevel="1" x14ac:dyDescent="0.25">
      <c r="C1122" s="450" t="s">
        <v>1244</v>
      </c>
      <c r="D1122" s="289"/>
      <c r="E1122" s="289"/>
      <c r="G1122" s="120"/>
      <c r="H1122" s="120"/>
      <c r="I1122" s="120"/>
      <c r="J1122" s="120"/>
      <c r="K1122" s="120"/>
      <c r="L1122" s="120"/>
      <c r="M1122" s="120"/>
    </row>
    <row r="1123" spans="2:14" outlineLevel="1" x14ac:dyDescent="0.25">
      <c r="C1123" s="102" t="s">
        <v>331</v>
      </c>
    </row>
    <row r="1124" spans="2:14" outlineLevel="1" x14ac:dyDescent="0.25">
      <c r="C1124" s="446">
        <v>2021</v>
      </c>
      <c r="D1124" s="662">
        <f>D1271/(SUM(J783:L783))</f>
        <v>14.723692441959251</v>
      </c>
      <c r="E1124" s="630"/>
      <c r="F1124" s="120"/>
      <c r="G1124" s="120"/>
    </row>
    <row r="1125" spans="2:14" outlineLevel="1" x14ac:dyDescent="0.25">
      <c r="C1125" s="120"/>
      <c r="D1125" s="120"/>
      <c r="E1125" s="120"/>
      <c r="F1125" s="120"/>
      <c r="G1125" s="120"/>
      <c r="H1125" s="120"/>
      <c r="I1125" s="120"/>
      <c r="J1125" s="120"/>
      <c r="K1125" s="120"/>
      <c r="L1125" s="120"/>
      <c r="M1125" s="120"/>
    </row>
    <row r="1126" spans="2:14" ht="34.5" outlineLevel="1" x14ac:dyDescent="0.25">
      <c r="C1126" s="431" t="s">
        <v>252</v>
      </c>
      <c r="D1126" s="431" t="s">
        <v>387</v>
      </c>
      <c r="E1126" s="431" t="s">
        <v>388</v>
      </c>
      <c r="F1126" s="431" t="s">
        <v>389</v>
      </c>
      <c r="G1126" s="431" t="s">
        <v>390</v>
      </c>
      <c r="H1126" s="431" t="s">
        <v>391</v>
      </c>
      <c r="I1126" s="431" t="s">
        <v>392</v>
      </c>
      <c r="J1126" s="431" t="s">
        <v>1249</v>
      </c>
      <c r="K1126" s="431" t="s">
        <v>1250</v>
      </c>
      <c r="L1126" s="431" t="s">
        <v>393</v>
      </c>
      <c r="M1126" s="431" t="s">
        <v>394</v>
      </c>
      <c r="N1126" s="431" t="s">
        <v>258</v>
      </c>
    </row>
    <row r="1127" spans="2:14" ht="14.5" outlineLevel="1" x14ac:dyDescent="0.35">
      <c r="B1127" s="129">
        <v>1</v>
      </c>
      <c r="C1127" s="434" t="s">
        <v>415</v>
      </c>
      <c r="D1127" s="694" t="s">
        <v>1247</v>
      </c>
      <c r="E1127" s="694" t="s">
        <v>1247</v>
      </c>
      <c r="F1127" s="694" t="s">
        <v>1247</v>
      </c>
      <c r="G1127" s="694" t="s">
        <v>1247</v>
      </c>
      <c r="H1127" s="694" t="s">
        <v>1247</v>
      </c>
      <c r="I1127" s="694" t="s">
        <v>1247</v>
      </c>
      <c r="J1127" s="694" t="s">
        <v>1247</v>
      </c>
      <c r="K1127" s="694" t="s">
        <v>1247</v>
      </c>
      <c r="L1127" s="553"/>
      <c r="M1127" s="553"/>
      <c r="N1127" s="345"/>
    </row>
    <row r="1128" spans="2:14" ht="14.5" outlineLevel="1" x14ac:dyDescent="0.35">
      <c r="B1128" s="129">
        <v>2</v>
      </c>
      <c r="C1128" s="434" t="s">
        <v>815</v>
      </c>
      <c r="D1128" s="694" t="s">
        <v>1247</v>
      </c>
      <c r="E1128" s="694" t="s">
        <v>1247</v>
      </c>
      <c r="F1128" s="694" t="s">
        <v>1247</v>
      </c>
      <c r="G1128" s="694" t="s">
        <v>1247</v>
      </c>
      <c r="H1128" s="694" t="s">
        <v>1247</v>
      </c>
      <c r="I1128" s="694" t="s">
        <v>1247</v>
      </c>
      <c r="J1128" s="694" t="s">
        <v>1247</v>
      </c>
      <c r="K1128" s="694" t="s">
        <v>1247</v>
      </c>
      <c r="L1128" s="553"/>
      <c r="M1128" s="553"/>
      <c r="N1128" s="345"/>
    </row>
    <row r="1129" spans="2:14" ht="14.5" outlineLevel="1" x14ac:dyDescent="0.35">
      <c r="B1129" s="129">
        <v>3</v>
      </c>
      <c r="C1129" s="434" t="s">
        <v>823</v>
      </c>
      <c r="D1129" s="694" t="s">
        <v>1247</v>
      </c>
      <c r="E1129" s="694" t="s">
        <v>1247</v>
      </c>
      <c r="F1129" s="694" t="s">
        <v>1247</v>
      </c>
      <c r="G1129" s="694" t="s">
        <v>1247</v>
      </c>
      <c r="H1129" s="694" t="s">
        <v>1247</v>
      </c>
      <c r="I1129" s="694" t="s">
        <v>1247</v>
      </c>
      <c r="J1129" s="694" t="s">
        <v>1247</v>
      </c>
      <c r="K1129" s="694" t="s">
        <v>1247</v>
      </c>
      <c r="L1129" s="553"/>
      <c r="M1129" s="553"/>
      <c r="N1129" s="345"/>
    </row>
    <row r="1130" spans="2:14" ht="14.5" outlineLevel="1" x14ac:dyDescent="0.35">
      <c r="B1130" s="129">
        <v>4</v>
      </c>
      <c r="C1130" s="434" t="s">
        <v>848</v>
      </c>
      <c r="D1130" s="694" t="s">
        <v>1247</v>
      </c>
      <c r="E1130" s="694" t="s">
        <v>1247</v>
      </c>
      <c r="F1130" s="694" t="s">
        <v>1247</v>
      </c>
      <c r="G1130" s="694" t="s">
        <v>1247</v>
      </c>
      <c r="H1130" s="694" t="s">
        <v>1247</v>
      </c>
      <c r="I1130" s="694" t="s">
        <v>1247</v>
      </c>
      <c r="J1130" s="694" t="s">
        <v>1247</v>
      </c>
      <c r="K1130" s="694" t="s">
        <v>1247</v>
      </c>
      <c r="L1130" s="553"/>
      <c r="M1130" s="553"/>
      <c r="N1130" s="345"/>
    </row>
    <row r="1131" spans="2:14" ht="14.5" outlineLevel="1" x14ac:dyDescent="0.35">
      <c r="B1131" s="129">
        <v>5</v>
      </c>
      <c r="C1131" s="434" t="s">
        <v>948</v>
      </c>
      <c r="D1131" s="694" t="s">
        <v>1247</v>
      </c>
      <c r="E1131" s="694" t="s">
        <v>1247</v>
      </c>
      <c r="F1131" s="694" t="s">
        <v>1247</v>
      </c>
      <c r="G1131" s="694" t="s">
        <v>1247</v>
      </c>
      <c r="H1131" s="694" t="s">
        <v>1247</v>
      </c>
      <c r="I1131" s="694" t="s">
        <v>1247</v>
      </c>
      <c r="J1131" s="694" t="s">
        <v>1247</v>
      </c>
      <c r="K1131" s="694" t="s">
        <v>1247</v>
      </c>
      <c r="L1131" s="553"/>
      <c r="M1131" s="553"/>
      <c r="N1131" s="345"/>
    </row>
    <row r="1132" spans="2:14" ht="14.5" outlineLevel="1" x14ac:dyDescent="0.35">
      <c r="B1132" s="129">
        <v>6</v>
      </c>
      <c r="C1132" s="434" t="s">
        <v>949</v>
      </c>
      <c r="D1132" s="694" t="s">
        <v>1247</v>
      </c>
      <c r="E1132" s="694" t="s">
        <v>1247</v>
      </c>
      <c r="F1132" s="694" t="s">
        <v>1247</v>
      </c>
      <c r="G1132" s="694" t="s">
        <v>1247</v>
      </c>
      <c r="H1132" s="694" t="s">
        <v>1247</v>
      </c>
      <c r="I1132" s="694" t="s">
        <v>1247</v>
      </c>
      <c r="J1132" s="694" t="s">
        <v>1247</v>
      </c>
      <c r="K1132" s="694" t="s">
        <v>1247</v>
      </c>
      <c r="L1132" s="553"/>
      <c r="M1132" s="553"/>
      <c r="N1132" s="345"/>
    </row>
    <row r="1133" spans="2:14" ht="14.5" outlineLevel="1" x14ac:dyDescent="0.35">
      <c r="B1133" s="129">
        <v>7</v>
      </c>
      <c r="C1133" s="434" t="s">
        <v>1251</v>
      </c>
      <c r="D1133" s="694" t="s">
        <v>1247</v>
      </c>
      <c r="E1133" s="694" t="s">
        <v>1247</v>
      </c>
      <c r="F1133" s="694" t="s">
        <v>1247</v>
      </c>
      <c r="G1133" s="694" t="s">
        <v>1247</v>
      </c>
      <c r="H1133" s="694" t="s">
        <v>1247</v>
      </c>
      <c r="I1133" s="694" t="s">
        <v>1247</v>
      </c>
      <c r="J1133" s="694" t="s">
        <v>1247</v>
      </c>
      <c r="K1133" s="694" t="s">
        <v>1247</v>
      </c>
      <c r="L1133" s="553"/>
      <c r="M1133" s="553"/>
      <c r="N1133" s="345"/>
    </row>
    <row r="1134" spans="2:14" ht="14.5" outlineLevel="1" x14ac:dyDescent="0.35">
      <c r="B1134" s="129">
        <v>8</v>
      </c>
      <c r="C1134" s="434" t="s">
        <v>200</v>
      </c>
      <c r="D1134" s="694" t="s">
        <v>1247</v>
      </c>
      <c r="E1134" s="694" t="s">
        <v>1247</v>
      </c>
      <c r="F1134" s="694" t="s">
        <v>1247</v>
      </c>
      <c r="G1134" s="694" t="s">
        <v>1247</v>
      </c>
      <c r="H1134" s="694" t="s">
        <v>1247</v>
      </c>
      <c r="I1134" s="694" t="s">
        <v>1247</v>
      </c>
      <c r="J1134" s="694" t="s">
        <v>1247</v>
      </c>
      <c r="K1134" s="694" t="s">
        <v>1247</v>
      </c>
      <c r="L1134" s="553"/>
      <c r="M1134" s="553"/>
      <c r="N1134" s="345"/>
    </row>
    <row r="1135" spans="2:14" ht="14.5" outlineLevel="1" x14ac:dyDescent="0.35">
      <c r="B1135" s="129">
        <v>9</v>
      </c>
      <c r="C1135" s="434" t="s">
        <v>849</v>
      </c>
      <c r="D1135" s="694" t="s">
        <v>1247</v>
      </c>
      <c r="E1135" s="694" t="s">
        <v>1247</v>
      </c>
      <c r="F1135" s="694" t="s">
        <v>1247</v>
      </c>
      <c r="G1135" s="694" t="s">
        <v>1247</v>
      </c>
      <c r="H1135" s="694" t="s">
        <v>1247</v>
      </c>
      <c r="I1135" s="694" t="s">
        <v>1247</v>
      </c>
      <c r="J1135" s="694" t="s">
        <v>1247</v>
      </c>
      <c r="K1135" s="694" t="s">
        <v>1247</v>
      </c>
      <c r="L1135" s="553"/>
      <c r="M1135" s="553"/>
      <c r="N1135" s="345"/>
    </row>
    <row r="1136" spans="2:14" ht="14.5" outlineLevel="1" x14ac:dyDescent="0.35">
      <c r="B1136" s="129">
        <v>10</v>
      </c>
      <c r="C1136" s="434" t="s">
        <v>850</v>
      </c>
      <c r="D1136" s="694" t="s">
        <v>1247</v>
      </c>
      <c r="E1136" s="694" t="s">
        <v>1247</v>
      </c>
      <c r="F1136" s="694" t="s">
        <v>1247</v>
      </c>
      <c r="G1136" s="694" t="s">
        <v>1247</v>
      </c>
      <c r="H1136" s="694" t="s">
        <v>1247</v>
      </c>
      <c r="I1136" s="694" t="s">
        <v>1247</v>
      </c>
      <c r="J1136" s="694" t="s">
        <v>1247</v>
      </c>
      <c r="K1136" s="694" t="s">
        <v>1247</v>
      </c>
      <c r="L1136" s="553"/>
      <c r="M1136" s="553"/>
      <c r="N1136" s="345"/>
    </row>
    <row r="1137" spans="2:14" ht="14.5" outlineLevel="1" x14ac:dyDescent="0.35">
      <c r="B1137" s="129">
        <v>11</v>
      </c>
      <c r="C1137" s="434" t="s">
        <v>851</v>
      </c>
      <c r="D1137" s="694" t="s">
        <v>1247</v>
      </c>
      <c r="E1137" s="694" t="s">
        <v>1247</v>
      </c>
      <c r="F1137" s="694" t="s">
        <v>1247</v>
      </c>
      <c r="G1137" s="694" t="s">
        <v>1247</v>
      </c>
      <c r="H1137" s="694" t="s">
        <v>1247</v>
      </c>
      <c r="I1137" s="694" t="s">
        <v>1247</v>
      </c>
      <c r="J1137" s="694" t="s">
        <v>1247</v>
      </c>
      <c r="K1137" s="694" t="s">
        <v>1247</v>
      </c>
      <c r="L1137" s="553"/>
      <c r="M1137" s="553"/>
      <c r="N1137" s="345"/>
    </row>
    <row r="1138" spans="2:14" ht="14.5" outlineLevel="1" x14ac:dyDescent="0.35">
      <c r="B1138" s="129">
        <v>12</v>
      </c>
      <c r="C1138" s="434" t="s">
        <v>852</v>
      </c>
      <c r="D1138" s="694">
        <v>831272</v>
      </c>
      <c r="E1138" s="694">
        <v>4514984</v>
      </c>
      <c r="F1138" s="694">
        <v>6161</v>
      </c>
      <c r="G1138" s="694">
        <v>53296</v>
      </c>
      <c r="H1138" s="694">
        <v>1342</v>
      </c>
      <c r="I1138" s="694">
        <v>11408</v>
      </c>
      <c r="J1138" s="694">
        <v>657611</v>
      </c>
      <c r="K1138" s="694">
        <v>3257397</v>
      </c>
      <c r="L1138" s="553"/>
      <c r="M1138" s="553"/>
      <c r="N1138" s="345"/>
    </row>
    <row r="1139" spans="2:14" ht="14.5" outlineLevel="1" x14ac:dyDescent="0.35">
      <c r="B1139" s="129">
        <v>13</v>
      </c>
      <c r="C1139" s="434" t="s">
        <v>204</v>
      </c>
      <c r="D1139" s="694">
        <v>460620</v>
      </c>
      <c r="E1139" s="694">
        <v>2705628</v>
      </c>
      <c r="F1139" s="694">
        <v>3415</v>
      </c>
      <c r="G1139" s="694">
        <v>43977</v>
      </c>
      <c r="H1139" s="694">
        <v>450</v>
      </c>
      <c r="I1139" s="694">
        <v>5590</v>
      </c>
      <c r="J1139" s="694">
        <v>461166</v>
      </c>
      <c r="K1139" s="694">
        <v>1515175</v>
      </c>
      <c r="L1139" s="553"/>
      <c r="M1139" s="553"/>
      <c r="N1139" s="345"/>
    </row>
    <row r="1140" spans="2:14" ht="14.5" outlineLevel="1" x14ac:dyDescent="0.35">
      <c r="B1140" s="129">
        <v>14</v>
      </c>
      <c r="C1140" s="434" t="s">
        <v>797</v>
      </c>
      <c r="D1140" s="694">
        <v>3102605</v>
      </c>
      <c r="E1140" s="694">
        <v>18699917</v>
      </c>
      <c r="F1140" s="694">
        <v>114617</v>
      </c>
      <c r="G1140" s="694">
        <v>729718</v>
      </c>
      <c r="H1140" s="694">
        <v>7295</v>
      </c>
      <c r="I1140" s="694">
        <v>97258</v>
      </c>
      <c r="J1140" s="694">
        <v>4496680</v>
      </c>
      <c r="K1140" s="694">
        <v>15183173</v>
      </c>
      <c r="L1140" s="553"/>
      <c r="M1140" s="553"/>
      <c r="N1140" s="345"/>
    </row>
    <row r="1141" spans="2:14" ht="14.5" outlineLevel="1" x14ac:dyDescent="0.35">
      <c r="B1141" s="129">
        <v>15</v>
      </c>
      <c r="C1141" s="434" t="s">
        <v>798</v>
      </c>
      <c r="D1141" s="694">
        <v>1865592</v>
      </c>
      <c r="E1141" s="694">
        <v>10866091</v>
      </c>
      <c r="F1141" s="694">
        <v>80546</v>
      </c>
      <c r="G1141" s="694">
        <v>622232</v>
      </c>
      <c r="H1141" s="694">
        <v>4979</v>
      </c>
      <c r="I1141" s="694">
        <v>60048</v>
      </c>
      <c r="J1141" s="694">
        <v>2058521</v>
      </c>
      <c r="K1141" s="694">
        <v>6197012</v>
      </c>
      <c r="L1141" s="553"/>
      <c r="M1141" s="553"/>
      <c r="N1141" s="345"/>
    </row>
    <row r="1142" spans="2:14" ht="14.5" outlineLevel="1" x14ac:dyDescent="0.35">
      <c r="B1142" s="129">
        <v>16</v>
      </c>
      <c r="C1142" s="434" t="s">
        <v>205</v>
      </c>
      <c r="D1142" s="694">
        <v>7244201</v>
      </c>
      <c r="E1142" s="694">
        <v>57837305</v>
      </c>
      <c r="F1142" s="694">
        <v>395250</v>
      </c>
      <c r="G1142" s="694">
        <v>3762165</v>
      </c>
      <c r="H1142" s="694">
        <v>76462</v>
      </c>
      <c r="I1142" s="694">
        <v>686626</v>
      </c>
      <c r="J1142" s="694">
        <v>7593940</v>
      </c>
      <c r="K1142" s="694">
        <v>27211707</v>
      </c>
      <c r="L1142" s="553"/>
      <c r="M1142" s="553"/>
      <c r="N1142" s="345"/>
    </row>
    <row r="1143" spans="2:14" ht="14.5" outlineLevel="1" x14ac:dyDescent="0.35">
      <c r="B1143" s="129">
        <v>17</v>
      </c>
      <c r="C1143" s="434" t="s">
        <v>708</v>
      </c>
      <c r="D1143" s="694">
        <v>44433711</v>
      </c>
      <c r="E1143" s="694">
        <v>185716129</v>
      </c>
      <c r="F1143" s="694">
        <v>2074710</v>
      </c>
      <c r="G1143" s="694">
        <v>24489309</v>
      </c>
      <c r="H1143" s="694">
        <v>213404</v>
      </c>
      <c r="I1143" s="694">
        <v>2932552</v>
      </c>
      <c r="J1143" s="694">
        <v>84592913</v>
      </c>
      <c r="K1143" s="694">
        <v>255049847</v>
      </c>
      <c r="L1143" s="553"/>
      <c r="M1143" s="553"/>
      <c r="N1143" s="345"/>
    </row>
    <row r="1144" spans="2:14" ht="14.5" outlineLevel="1" x14ac:dyDescent="0.35">
      <c r="B1144" s="129">
        <v>18</v>
      </c>
      <c r="C1144" s="434" t="s">
        <v>206</v>
      </c>
      <c r="D1144" s="694">
        <v>6739273</v>
      </c>
      <c r="E1144" s="694">
        <v>13827305</v>
      </c>
      <c r="F1144" s="694">
        <v>148069</v>
      </c>
      <c r="G1144" s="694">
        <v>201481</v>
      </c>
      <c r="H1144" s="694">
        <v>23204</v>
      </c>
      <c r="I1144" s="694">
        <v>137455</v>
      </c>
      <c r="J1144" s="694">
        <v>8167324</v>
      </c>
      <c r="K1144" s="694">
        <v>9518214</v>
      </c>
      <c r="L1144" s="553"/>
      <c r="M1144" s="553"/>
      <c r="N1144" s="345"/>
    </row>
    <row r="1145" spans="2:14" ht="14.5" outlineLevel="1" x14ac:dyDescent="0.35">
      <c r="B1145" s="129">
        <v>19</v>
      </c>
      <c r="C1145" s="434" t="s">
        <v>799</v>
      </c>
      <c r="D1145" s="694">
        <v>19251</v>
      </c>
      <c r="E1145" s="694">
        <v>100743</v>
      </c>
      <c r="F1145" s="694">
        <v>974</v>
      </c>
      <c r="G1145" s="694">
        <v>8749</v>
      </c>
      <c r="H1145" s="694">
        <v>154</v>
      </c>
      <c r="I1145" s="694">
        <v>2031</v>
      </c>
      <c r="J1145" s="694">
        <v>11632</v>
      </c>
      <c r="K1145" s="694">
        <v>38235</v>
      </c>
      <c r="L1145" s="553"/>
      <c r="M1145" s="553"/>
      <c r="N1145" s="345"/>
    </row>
    <row r="1146" spans="2:14" ht="14.5" outlineLevel="1" x14ac:dyDescent="0.35">
      <c r="B1146" s="129">
        <v>20</v>
      </c>
      <c r="C1146" s="434" t="s">
        <v>853</v>
      </c>
      <c r="D1146" s="694">
        <v>757117</v>
      </c>
      <c r="E1146" s="694">
        <v>2955136</v>
      </c>
      <c r="F1146" s="694">
        <v>5395</v>
      </c>
      <c r="G1146" s="694">
        <v>39793</v>
      </c>
      <c r="H1146" s="694">
        <v>627</v>
      </c>
      <c r="I1146" s="694">
        <v>7215</v>
      </c>
      <c r="J1146" s="694">
        <v>465402</v>
      </c>
      <c r="K1146" s="694">
        <v>1456842</v>
      </c>
      <c r="L1146" s="553"/>
      <c r="M1146" s="553"/>
      <c r="N1146" s="345"/>
    </row>
    <row r="1147" spans="2:14" ht="14.5" outlineLevel="1" x14ac:dyDescent="0.35">
      <c r="B1147" s="129">
        <v>21</v>
      </c>
      <c r="C1147" s="434" t="s">
        <v>207</v>
      </c>
      <c r="D1147" s="694">
        <v>10057528</v>
      </c>
      <c r="E1147" s="694">
        <v>11603432</v>
      </c>
      <c r="F1147" s="694">
        <v>106975</v>
      </c>
      <c r="G1147" s="694">
        <v>255264</v>
      </c>
      <c r="H1147" s="694">
        <v>22548</v>
      </c>
      <c r="I1147" s="694">
        <v>157730</v>
      </c>
      <c r="J1147" s="694">
        <v>8065149</v>
      </c>
      <c r="K1147" s="694">
        <v>8751490</v>
      </c>
      <c r="L1147" s="553"/>
      <c r="M1147" s="553"/>
      <c r="N1147" s="345"/>
    </row>
    <row r="1148" spans="2:14" ht="14.5" outlineLevel="1" x14ac:dyDescent="0.35">
      <c r="B1148" s="129">
        <v>22</v>
      </c>
      <c r="C1148" s="434" t="s">
        <v>367</v>
      </c>
      <c r="D1148" s="694">
        <v>5272015</v>
      </c>
      <c r="E1148" s="694">
        <v>7537471</v>
      </c>
      <c r="F1148" s="694">
        <v>74223</v>
      </c>
      <c r="G1148" s="694">
        <v>202779</v>
      </c>
      <c r="H1148" s="694">
        <v>12541</v>
      </c>
      <c r="I1148" s="694">
        <v>64027</v>
      </c>
      <c r="J1148" s="694">
        <v>4380568</v>
      </c>
      <c r="K1148" s="694">
        <v>7016384</v>
      </c>
      <c r="L1148" s="553"/>
      <c r="M1148" s="553"/>
      <c r="N1148" s="345"/>
    </row>
    <row r="1149" spans="2:14" ht="14.5" outlineLevel="1" x14ac:dyDescent="0.35">
      <c r="B1149" s="129">
        <v>23</v>
      </c>
      <c r="C1149" s="434" t="s">
        <v>208</v>
      </c>
      <c r="D1149" s="694">
        <v>637579</v>
      </c>
      <c r="E1149" s="694">
        <v>4719489</v>
      </c>
      <c r="F1149" s="694">
        <v>48296</v>
      </c>
      <c r="G1149" s="694">
        <v>316278</v>
      </c>
      <c r="H1149" s="694">
        <v>5134</v>
      </c>
      <c r="I1149" s="694">
        <v>76165</v>
      </c>
      <c r="J1149" s="694">
        <v>565459</v>
      </c>
      <c r="K1149" s="694">
        <v>1525172</v>
      </c>
      <c r="L1149" s="553"/>
      <c r="M1149" s="553"/>
      <c r="N1149" s="345"/>
    </row>
    <row r="1150" spans="2:14" ht="14.5" outlineLevel="1" x14ac:dyDescent="0.35">
      <c r="B1150" s="129">
        <v>24</v>
      </c>
      <c r="C1150" s="434" t="s">
        <v>800</v>
      </c>
      <c r="D1150" s="694">
        <v>1822008</v>
      </c>
      <c r="E1150" s="694">
        <v>3378453</v>
      </c>
      <c r="F1150" s="694">
        <v>28477</v>
      </c>
      <c r="G1150" s="694">
        <v>54091</v>
      </c>
      <c r="H1150" s="694">
        <v>4259</v>
      </c>
      <c r="I1150" s="694">
        <v>18165</v>
      </c>
      <c r="J1150" s="694">
        <v>1572979</v>
      </c>
      <c r="K1150" s="694">
        <v>1710776</v>
      </c>
      <c r="L1150" s="553"/>
      <c r="M1150" s="553"/>
      <c r="N1150" s="345"/>
    </row>
    <row r="1151" spans="2:14" ht="14.5" outlineLevel="1" x14ac:dyDescent="0.35">
      <c r="B1151" s="129">
        <v>25</v>
      </c>
      <c r="C1151" s="434" t="s">
        <v>801</v>
      </c>
      <c r="D1151" s="694">
        <v>487656</v>
      </c>
      <c r="E1151" s="694">
        <v>1253080</v>
      </c>
      <c r="F1151" s="694">
        <v>10036</v>
      </c>
      <c r="G1151" s="694">
        <v>25433</v>
      </c>
      <c r="H1151" s="694">
        <v>1644</v>
      </c>
      <c r="I1151" s="694">
        <v>4959</v>
      </c>
      <c r="J1151" s="694">
        <v>526584</v>
      </c>
      <c r="K1151" s="694">
        <v>812557</v>
      </c>
      <c r="L1151" s="553"/>
      <c r="M1151" s="553"/>
      <c r="N1151" s="345"/>
    </row>
    <row r="1152" spans="2:14" ht="14.5" outlineLevel="1" x14ac:dyDescent="0.35">
      <c r="B1152" s="129">
        <v>26</v>
      </c>
      <c r="C1152" s="434" t="s">
        <v>830</v>
      </c>
      <c r="D1152" s="694">
        <v>458412</v>
      </c>
      <c r="E1152" s="694">
        <v>611934</v>
      </c>
      <c r="F1152" s="694">
        <v>21960</v>
      </c>
      <c r="G1152" s="694">
        <v>44396</v>
      </c>
      <c r="H1152" s="694">
        <v>1516</v>
      </c>
      <c r="I1152" s="694">
        <v>4826</v>
      </c>
      <c r="J1152" s="694">
        <v>341024</v>
      </c>
      <c r="K1152" s="694">
        <v>566342</v>
      </c>
      <c r="L1152" s="553"/>
      <c r="M1152" s="553"/>
      <c r="N1152" s="345"/>
    </row>
    <row r="1153" spans="2:14" ht="14.5" outlineLevel="1" x14ac:dyDescent="0.35">
      <c r="B1153" s="129">
        <v>27</v>
      </c>
      <c r="C1153" s="434" t="s">
        <v>201</v>
      </c>
      <c r="D1153" s="694">
        <v>728565</v>
      </c>
      <c r="E1153" s="694">
        <v>837857</v>
      </c>
      <c r="F1153" s="694">
        <v>5536</v>
      </c>
      <c r="G1153" s="694">
        <v>8639</v>
      </c>
      <c r="H1153" s="694">
        <v>2498</v>
      </c>
      <c r="I1153" s="694">
        <v>7758</v>
      </c>
      <c r="J1153" s="694">
        <v>656517</v>
      </c>
      <c r="K1153" s="694">
        <v>1120142</v>
      </c>
      <c r="L1153" s="553"/>
      <c r="M1153" s="553"/>
      <c r="N1153" s="345"/>
    </row>
    <row r="1154" spans="2:14" ht="14.5" outlineLevel="1" x14ac:dyDescent="0.35">
      <c r="B1154" s="129">
        <v>28</v>
      </c>
      <c r="C1154" s="434" t="s">
        <v>202</v>
      </c>
      <c r="D1154" s="694">
        <v>125698</v>
      </c>
      <c r="E1154" s="694">
        <v>294482</v>
      </c>
      <c r="F1154" s="694">
        <v>901</v>
      </c>
      <c r="G1154" s="694">
        <v>2743</v>
      </c>
      <c r="H1154" s="694">
        <v>748</v>
      </c>
      <c r="I1154" s="694">
        <v>1934</v>
      </c>
      <c r="J1154" s="694">
        <v>209728</v>
      </c>
      <c r="K1154" s="694">
        <v>273534</v>
      </c>
      <c r="L1154" s="553"/>
      <c r="M1154" s="553"/>
      <c r="N1154" s="345"/>
    </row>
    <row r="1155" spans="2:14" ht="14.5" outlineLevel="1" x14ac:dyDescent="0.35">
      <c r="B1155" s="129">
        <v>29</v>
      </c>
      <c r="C1155" s="434" t="s">
        <v>203</v>
      </c>
      <c r="D1155" s="694">
        <v>142874</v>
      </c>
      <c r="E1155" s="694">
        <v>339397</v>
      </c>
      <c r="F1155" s="694">
        <v>1085</v>
      </c>
      <c r="G1155" s="694">
        <v>2865</v>
      </c>
      <c r="H1155" s="694">
        <v>685</v>
      </c>
      <c r="I1155" s="694">
        <v>2398</v>
      </c>
      <c r="J1155" s="694">
        <v>216074</v>
      </c>
      <c r="K1155" s="694">
        <v>334054</v>
      </c>
      <c r="L1155" s="553"/>
      <c r="M1155" s="553"/>
      <c r="N1155" s="345"/>
    </row>
    <row r="1156" spans="2:14" ht="14.5" outlineLevel="1" x14ac:dyDescent="0.35">
      <c r="B1156" s="129">
        <v>30</v>
      </c>
      <c r="C1156" s="434" t="s">
        <v>854</v>
      </c>
      <c r="D1156" s="694">
        <v>1014627</v>
      </c>
      <c r="E1156" s="694">
        <v>5776062</v>
      </c>
      <c r="F1156" s="694">
        <v>43437</v>
      </c>
      <c r="G1156" s="694">
        <v>612984</v>
      </c>
      <c r="H1156" s="694">
        <v>3661</v>
      </c>
      <c r="I1156" s="694">
        <v>46630</v>
      </c>
      <c r="J1156" s="694">
        <v>2077803</v>
      </c>
      <c r="K1156" s="694">
        <v>8607841</v>
      </c>
      <c r="L1156" s="553"/>
      <c r="M1156" s="553"/>
      <c r="N1156" s="345"/>
    </row>
    <row r="1157" spans="2:14" ht="14.5" outlineLevel="1" x14ac:dyDescent="0.35">
      <c r="B1157" s="129">
        <v>31</v>
      </c>
      <c r="C1157" s="434" t="s">
        <v>855</v>
      </c>
      <c r="D1157" s="694">
        <v>1213635</v>
      </c>
      <c r="E1157" s="694">
        <v>6191453</v>
      </c>
      <c r="F1157" s="694">
        <v>51259</v>
      </c>
      <c r="G1157" s="694">
        <v>495339</v>
      </c>
      <c r="H1157" s="694">
        <v>4860</v>
      </c>
      <c r="I1157" s="694">
        <v>39109</v>
      </c>
      <c r="J1157" s="694">
        <v>1683323</v>
      </c>
      <c r="K1157" s="694">
        <v>8852553</v>
      </c>
      <c r="L1157" s="553"/>
      <c r="M1157" s="553"/>
      <c r="N1157" s="345"/>
    </row>
    <row r="1158" spans="2:14" ht="14.5" outlineLevel="1" x14ac:dyDescent="0.35">
      <c r="B1158" s="129">
        <v>32</v>
      </c>
      <c r="C1158" s="434" t="s">
        <v>856</v>
      </c>
      <c r="D1158" s="694">
        <v>648140</v>
      </c>
      <c r="E1158" s="694">
        <v>2344038</v>
      </c>
      <c r="F1158" s="694">
        <v>25289</v>
      </c>
      <c r="G1158" s="694">
        <v>175576</v>
      </c>
      <c r="H1158" s="694">
        <v>1761</v>
      </c>
      <c r="I1158" s="694">
        <v>20678</v>
      </c>
      <c r="J1158" s="694">
        <v>1259587</v>
      </c>
      <c r="K1158" s="694">
        <v>2504615</v>
      </c>
      <c r="L1158" s="553"/>
      <c r="M1158" s="553"/>
      <c r="N1158" s="345"/>
    </row>
    <row r="1159" spans="2:14" ht="14.5" outlineLevel="1" x14ac:dyDescent="0.35">
      <c r="B1159" s="129">
        <v>33</v>
      </c>
      <c r="C1159" s="434" t="s">
        <v>857</v>
      </c>
      <c r="D1159" s="694">
        <v>207881</v>
      </c>
      <c r="E1159" s="694">
        <v>1370563</v>
      </c>
      <c r="F1159" s="694">
        <v>10554</v>
      </c>
      <c r="G1159" s="694">
        <v>100108</v>
      </c>
      <c r="H1159" s="694">
        <v>495</v>
      </c>
      <c r="I1159" s="694">
        <v>6541</v>
      </c>
      <c r="J1159" s="694">
        <v>424328</v>
      </c>
      <c r="K1159" s="694">
        <v>1197137</v>
      </c>
      <c r="L1159" s="553"/>
      <c r="M1159" s="553"/>
      <c r="N1159" s="345"/>
    </row>
    <row r="1160" spans="2:14" ht="14.5" outlineLevel="1" x14ac:dyDescent="0.35">
      <c r="B1160" s="129">
        <v>34</v>
      </c>
      <c r="C1160" s="434" t="s">
        <v>858</v>
      </c>
      <c r="D1160" s="694">
        <v>138418</v>
      </c>
      <c r="E1160" s="694">
        <v>609356</v>
      </c>
      <c r="F1160" s="694">
        <v>5081</v>
      </c>
      <c r="G1160" s="694">
        <v>42590</v>
      </c>
      <c r="H1160" s="694">
        <v>187</v>
      </c>
      <c r="I1160" s="694">
        <v>2822</v>
      </c>
      <c r="J1160" s="694">
        <v>206268</v>
      </c>
      <c r="K1160" s="694">
        <v>723076</v>
      </c>
      <c r="L1160" s="553"/>
      <c r="M1160" s="553"/>
      <c r="N1160" s="345"/>
    </row>
    <row r="1161" spans="2:14" ht="14.5" outlineLevel="1" x14ac:dyDescent="0.35">
      <c r="B1161" s="129">
        <v>35</v>
      </c>
      <c r="C1161" s="434" t="s">
        <v>859</v>
      </c>
      <c r="D1161" s="694">
        <v>95903</v>
      </c>
      <c r="E1161" s="694">
        <v>410505</v>
      </c>
      <c r="F1161" s="694">
        <v>3799</v>
      </c>
      <c r="G1161" s="694">
        <v>40397</v>
      </c>
      <c r="H1161" s="694">
        <v>136</v>
      </c>
      <c r="I1161" s="694">
        <v>2048</v>
      </c>
      <c r="J1161" s="694">
        <v>90046</v>
      </c>
      <c r="K1161" s="694">
        <v>327762</v>
      </c>
      <c r="L1161" s="553"/>
      <c r="M1161" s="553"/>
      <c r="N1161" s="345"/>
    </row>
    <row r="1162" spans="2:14" ht="14.5" outlineLevel="1" x14ac:dyDescent="0.35">
      <c r="B1162" s="129">
        <v>36</v>
      </c>
      <c r="C1162" s="434" t="s">
        <v>860</v>
      </c>
      <c r="D1162" s="694">
        <v>44964</v>
      </c>
      <c r="E1162" s="694">
        <v>253224</v>
      </c>
      <c r="F1162" s="694">
        <v>2296</v>
      </c>
      <c r="G1162" s="694">
        <v>17757</v>
      </c>
      <c r="H1162" s="694">
        <v>80</v>
      </c>
      <c r="I1162" s="694">
        <v>936</v>
      </c>
      <c r="J1162" s="694">
        <v>72831</v>
      </c>
      <c r="K1162" s="694">
        <v>177446</v>
      </c>
      <c r="L1162" s="553"/>
      <c r="M1162" s="553"/>
      <c r="N1162" s="345"/>
    </row>
    <row r="1163" spans="2:14" ht="14.5" outlineLevel="1" x14ac:dyDescent="0.35">
      <c r="B1163" s="129">
        <v>37</v>
      </c>
      <c r="C1163" s="434" t="s">
        <v>861</v>
      </c>
      <c r="D1163" s="694">
        <v>408671</v>
      </c>
      <c r="E1163" s="694">
        <v>1469882</v>
      </c>
      <c r="F1163" s="694">
        <v>19705</v>
      </c>
      <c r="G1163" s="694">
        <v>135949</v>
      </c>
      <c r="H1163" s="694">
        <v>386</v>
      </c>
      <c r="I1163" s="694">
        <v>6451</v>
      </c>
      <c r="J1163" s="694">
        <v>246101</v>
      </c>
      <c r="K1163" s="694">
        <v>1000807</v>
      </c>
      <c r="L1163" s="553"/>
      <c r="M1163" s="553"/>
      <c r="N1163" s="345"/>
    </row>
    <row r="1164" spans="2:14" ht="14.5" outlineLevel="1" x14ac:dyDescent="0.35">
      <c r="B1164" s="129">
        <v>38</v>
      </c>
      <c r="C1164" s="434" t="s">
        <v>862</v>
      </c>
      <c r="D1164" s="694">
        <v>73081</v>
      </c>
      <c r="E1164" s="694">
        <v>330423</v>
      </c>
      <c r="F1164" s="694">
        <v>2147</v>
      </c>
      <c r="G1164" s="694">
        <v>18922</v>
      </c>
      <c r="H1164" s="694">
        <v>97</v>
      </c>
      <c r="I1164" s="694">
        <v>1256</v>
      </c>
      <c r="J1164" s="694">
        <v>68162</v>
      </c>
      <c r="K1164" s="694">
        <v>230834</v>
      </c>
      <c r="L1164" s="553"/>
      <c r="M1164" s="553"/>
      <c r="N1164" s="345"/>
    </row>
    <row r="1165" spans="2:14" ht="14.5" outlineLevel="1" x14ac:dyDescent="0.35">
      <c r="B1165" s="129">
        <v>39</v>
      </c>
      <c r="C1165" s="434" t="s">
        <v>863</v>
      </c>
      <c r="D1165" s="694">
        <v>19878</v>
      </c>
      <c r="E1165" s="694">
        <v>140144</v>
      </c>
      <c r="F1165" s="694">
        <v>788</v>
      </c>
      <c r="G1165" s="694">
        <v>10845</v>
      </c>
      <c r="H1165" s="694">
        <v>35</v>
      </c>
      <c r="I1165" s="694">
        <v>430</v>
      </c>
      <c r="J1165" s="694">
        <v>19108</v>
      </c>
      <c r="K1165" s="694">
        <v>59600</v>
      </c>
      <c r="L1165" s="553"/>
      <c r="M1165" s="553"/>
      <c r="N1165" s="345"/>
    </row>
    <row r="1166" spans="2:14" ht="14.5" outlineLevel="1" x14ac:dyDescent="0.35">
      <c r="B1166" s="129">
        <v>40</v>
      </c>
      <c r="C1166" s="434" t="s">
        <v>864</v>
      </c>
      <c r="D1166" s="694">
        <v>4596</v>
      </c>
      <c r="E1166" s="694">
        <v>23140</v>
      </c>
      <c r="F1166" s="694">
        <v>141</v>
      </c>
      <c r="G1166" s="694">
        <v>1844</v>
      </c>
      <c r="H1166" s="694">
        <v>4</v>
      </c>
      <c r="I1166" s="694">
        <v>55</v>
      </c>
      <c r="J1166" s="694">
        <v>3287</v>
      </c>
      <c r="K1166" s="694">
        <v>12354</v>
      </c>
      <c r="L1166" s="553"/>
      <c r="M1166" s="553"/>
      <c r="N1166" s="345"/>
    </row>
    <row r="1167" spans="2:14" ht="14.5" outlineLevel="1" x14ac:dyDescent="0.35">
      <c r="B1167" s="129">
        <v>41</v>
      </c>
      <c r="C1167" s="434" t="s">
        <v>865</v>
      </c>
      <c r="D1167" s="694" t="s">
        <v>1247</v>
      </c>
      <c r="E1167" s="694" t="s">
        <v>1247</v>
      </c>
      <c r="F1167" s="694" t="s">
        <v>1247</v>
      </c>
      <c r="G1167" s="694" t="s">
        <v>1247</v>
      </c>
      <c r="H1167" s="694" t="s">
        <v>1247</v>
      </c>
      <c r="I1167" s="694" t="s">
        <v>1247</v>
      </c>
      <c r="J1167" s="694" t="s">
        <v>1247</v>
      </c>
      <c r="K1167" s="694" t="s">
        <v>1247</v>
      </c>
      <c r="L1167" s="553"/>
      <c r="M1167" s="553"/>
      <c r="N1167" s="345"/>
    </row>
    <row r="1168" spans="2:14" ht="14.5" outlineLevel="1" x14ac:dyDescent="0.35">
      <c r="B1168" s="129">
        <v>42</v>
      </c>
      <c r="C1168" s="434" t="s">
        <v>866</v>
      </c>
      <c r="D1168" s="694" t="s">
        <v>1247</v>
      </c>
      <c r="E1168" s="694" t="s">
        <v>1247</v>
      </c>
      <c r="F1168" s="694" t="s">
        <v>1247</v>
      </c>
      <c r="G1168" s="694" t="s">
        <v>1247</v>
      </c>
      <c r="H1168" s="694" t="s">
        <v>1247</v>
      </c>
      <c r="I1168" s="694" t="s">
        <v>1247</v>
      </c>
      <c r="J1168" s="694" t="s">
        <v>1247</v>
      </c>
      <c r="K1168" s="694" t="s">
        <v>1247</v>
      </c>
      <c r="L1168" s="553"/>
      <c r="M1168" s="553"/>
      <c r="N1168" s="345"/>
    </row>
    <row r="1169" spans="2:14" ht="14.5" outlineLevel="1" x14ac:dyDescent="0.35">
      <c r="B1169" s="129">
        <v>43</v>
      </c>
      <c r="C1169" s="434" t="s">
        <v>867</v>
      </c>
      <c r="D1169" s="694" t="s">
        <v>1247</v>
      </c>
      <c r="E1169" s="694" t="s">
        <v>1247</v>
      </c>
      <c r="F1169" s="694" t="s">
        <v>1247</v>
      </c>
      <c r="G1169" s="694" t="s">
        <v>1247</v>
      </c>
      <c r="H1169" s="694" t="s">
        <v>1247</v>
      </c>
      <c r="I1169" s="694" t="s">
        <v>1247</v>
      </c>
      <c r="J1169" s="694" t="s">
        <v>1247</v>
      </c>
      <c r="K1169" s="694" t="s">
        <v>1247</v>
      </c>
      <c r="L1169" s="553"/>
      <c r="M1169" s="553"/>
      <c r="N1169" s="345"/>
    </row>
    <row r="1170" spans="2:14" ht="14.5" outlineLevel="1" x14ac:dyDescent="0.35">
      <c r="B1170" s="129">
        <v>44</v>
      </c>
      <c r="C1170" s="434" t="s">
        <v>868</v>
      </c>
      <c r="D1170" s="694" t="s">
        <v>1247</v>
      </c>
      <c r="E1170" s="694" t="s">
        <v>1247</v>
      </c>
      <c r="F1170" s="694" t="s">
        <v>1247</v>
      </c>
      <c r="G1170" s="694" t="s">
        <v>1247</v>
      </c>
      <c r="H1170" s="694" t="s">
        <v>1247</v>
      </c>
      <c r="I1170" s="694" t="s">
        <v>1247</v>
      </c>
      <c r="J1170" s="694" t="s">
        <v>1247</v>
      </c>
      <c r="K1170" s="694" t="s">
        <v>1247</v>
      </c>
      <c r="L1170" s="553"/>
      <c r="M1170" s="553"/>
      <c r="N1170" s="345"/>
    </row>
    <row r="1171" spans="2:14" ht="14.5" outlineLevel="1" x14ac:dyDescent="0.35">
      <c r="B1171" s="129">
        <v>45</v>
      </c>
      <c r="C1171" s="434" t="s">
        <v>869</v>
      </c>
      <c r="D1171" s="694" t="s">
        <v>1247</v>
      </c>
      <c r="E1171" s="694" t="s">
        <v>1247</v>
      </c>
      <c r="F1171" s="694" t="s">
        <v>1247</v>
      </c>
      <c r="G1171" s="694" t="s">
        <v>1247</v>
      </c>
      <c r="H1171" s="694" t="s">
        <v>1247</v>
      </c>
      <c r="I1171" s="694" t="s">
        <v>1247</v>
      </c>
      <c r="J1171" s="694" t="s">
        <v>1247</v>
      </c>
      <c r="K1171" s="694" t="s">
        <v>1247</v>
      </c>
      <c r="L1171" s="553"/>
      <c r="M1171" s="553"/>
      <c r="N1171" s="345"/>
    </row>
    <row r="1172" spans="2:14" ht="14.5" outlineLevel="1" x14ac:dyDescent="0.35">
      <c r="B1172" s="129">
        <v>46</v>
      </c>
      <c r="C1172" s="434" t="s">
        <v>870</v>
      </c>
      <c r="D1172" s="694" t="s">
        <v>1247</v>
      </c>
      <c r="E1172" s="694" t="s">
        <v>1247</v>
      </c>
      <c r="F1172" s="694" t="s">
        <v>1247</v>
      </c>
      <c r="G1172" s="694" t="s">
        <v>1247</v>
      </c>
      <c r="H1172" s="694" t="s">
        <v>1247</v>
      </c>
      <c r="I1172" s="694" t="s">
        <v>1247</v>
      </c>
      <c r="J1172" s="694" t="s">
        <v>1247</v>
      </c>
      <c r="K1172" s="694" t="s">
        <v>1247</v>
      </c>
      <c r="L1172" s="553"/>
      <c r="M1172" s="553"/>
      <c r="N1172" s="345"/>
    </row>
    <row r="1173" spans="2:14" ht="14.5" outlineLevel="1" x14ac:dyDescent="0.35">
      <c r="B1173" s="129">
        <v>47</v>
      </c>
      <c r="C1173" s="434" t="s">
        <v>871</v>
      </c>
      <c r="D1173" s="694" t="s">
        <v>1247</v>
      </c>
      <c r="E1173" s="694" t="s">
        <v>1247</v>
      </c>
      <c r="F1173" s="694" t="s">
        <v>1247</v>
      </c>
      <c r="G1173" s="694" t="s">
        <v>1247</v>
      </c>
      <c r="H1173" s="694" t="s">
        <v>1247</v>
      </c>
      <c r="I1173" s="694" t="s">
        <v>1247</v>
      </c>
      <c r="J1173" s="694" t="s">
        <v>1247</v>
      </c>
      <c r="K1173" s="694" t="s">
        <v>1247</v>
      </c>
      <c r="L1173" s="553"/>
      <c r="M1173" s="553"/>
      <c r="N1173" s="345"/>
    </row>
    <row r="1174" spans="2:14" ht="14.5" outlineLevel="1" x14ac:dyDescent="0.35">
      <c r="B1174" s="129">
        <v>48</v>
      </c>
      <c r="C1174" s="434" t="s">
        <v>872</v>
      </c>
      <c r="D1174" s="694" t="s">
        <v>1247</v>
      </c>
      <c r="E1174" s="694" t="s">
        <v>1247</v>
      </c>
      <c r="F1174" s="694" t="s">
        <v>1247</v>
      </c>
      <c r="G1174" s="694" t="s">
        <v>1247</v>
      </c>
      <c r="H1174" s="694" t="s">
        <v>1247</v>
      </c>
      <c r="I1174" s="694" t="s">
        <v>1247</v>
      </c>
      <c r="J1174" s="694" t="s">
        <v>1247</v>
      </c>
      <c r="K1174" s="694" t="s">
        <v>1247</v>
      </c>
      <c r="L1174" s="553"/>
      <c r="M1174" s="553"/>
      <c r="N1174" s="345"/>
    </row>
    <row r="1175" spans="2:14" ht="14.5" outlineLevel="1" x14ac:dyDescent="0.35">
      <c r="B1175" s="129">
        <v>49</v>
      </c>
      <c r="C1175" s="434" t="s">
        <v>873</v>
      </c>
      <c r="D1175" s="694" t="s">
        <v>1247</v>
      </c>
      <c r="E1175" s="694" t="s">
        <v>1247</v>
      </c>
      <c r="F1175" s="694" t="s">
        <v>1247</v>
      </c>
      <c r="G1175" s="694" t="s">
        <v>1247</v>
      </c>
      <c r="H1175" s="694" t="s">
        <v>1247</v>
      </c>
      <c r="I1175" s="694" t="s">
        <v>1247</v>
      </c>
      <c r="J1175" s="694" t="s">
        <v>1247</v>
      </c>
      <c r="K1175" s="694" t="s">
        <v>1247</v>
      </c>
      <c r="L1175" s="553"/>
      <c r="M1175" s="553"/>
      <c r="N1175" s="345"/>
    </row>
    <row r="1176" spans="2:14" ht="14.5" outlineLevel="1" x14ac:dyDescent="0.35">
      <c r="B1176" s="129">
        <v>50</v>
      </c>
      <c r="C1176" s="434" t="s">
        <v>874</v>
      </c>
      <c r="D1176" s="694">
        <v>22158</v>
      </c>
      <c r="E1176" s="694">
        <v>31883</v>
      </c>
      <c r="F1176" s="694">
        <v>567</v>
      </c>
      <c r="G1176" s="694">
        <v>1313</v>
      </c>
      <c r="H1176" s="694">
        <v>96</v>
      </c>
      <c r="I1176" s="694">
        <v>391</v>
      </c>
      <c r="J1176" s="694">
        <v>22368</v>
      </c>
      <c r="K1176" s="694">
        <v>49276</v>
      </c>
      <c r="L1176" s="553"/>
      <c r="M1176" s="553"/>
      <c r="N1176" s="345"/>
    </row>
    <row r="1177" spans="2:14" ht="14.5" outlineLevel="1" x14ac:dyDescent="0.35">
      <c r="B1177" s="129">
        <v>51</v>
      </c>
      <c r="C1177" s="434" t="s">
        <v>875</v>
      </c>
      <c r="D1177" s="694">
        <v>16144</v>
      </c>
      <c r="E1177" s="694">
        <v>22393</v>
      </c>
      <c r="F1177" s="694">
        <v>222</v>
      </c>
      <c r="G1177" s="694">
        <v>572</v>
      </c>
      <c r="H1177" s="694">
        <v>79</v>
      </c>
      <c r="I1177" s="694">
        <v>195</v>
      </c>
      <c r="J1177" s="694">
        <v>14256</v>
      </c>
      <c r="K1177" s="694">
        <v>28933</v>
      </c>
      <c r="L1177" s="553"/>
      <c r="M1177" s="553"/>
      <c r="N1177" s="345"/>
    </row>
    <row r="1178" spans="2:14" ht="14.5" outlineLevel="1" x14ac:dyDescent="0.35">
      <c r="B1178" s="129">
        <v>52</v>
      </c>
      <c r="C1178" s="434" t="s">
        <v>876</v>
      </c>
      <c r="D1178" s="694">
        <v>10460</v>
      </c>
      <c r="E1178" s="694">
        <v>11339</v>
      </c>
      <c r="F1178" s="694">
        <v>266</v>
      </c>
      <c r="G1178" s="694">
        <v>544</v>
      </c>
      <c r="H1178" s="694">
        <v>47</v>
      </c>
      <c r="I1178" s="694">
        <v>141</v>
      </c>
      <c r="J1178" s="694">
        <v>10987</v>
      </c>
      <c r="K1178" s="694">
        <v>14067</v>
      </c>
      <c r="L1178" s="553"/>
      <c r="M1178" s="553"/>
      <c r="N1178" s="345"/>
    </row>
    <row r="1179" spans="2:14" ht="14.5" outlineLevel="1" x14ac:dyDescent="0.35">
      <c r="B1179" s="129">
        <v>53</v>
      </c>
      <c r="C1179" s="434" t="s">
        <v>877</v>
      </c>
      <c r="D1179" s="694">
        <v>15911</v>
      </c>
      <c r="E1179" s="694">
        <v>27090</v>
      </c>
      <c r="F1179" s="694">
        <v>375</v>
      </c>
      <c r="G1179" s="694">
        <v>882</v>
      </c>
      <c r="H1179" s="694">
        <v>151</v>
      </c>
      <c r="I1179" s="694">
        <v>612</v>
      </c>
      <c r="J1179" s="694">
        <v>16791</v>
      </c>
      <c r="K1179" s="694">
        <v>24739</v>
      </c>
      <c r="L1179" s="553"/>
      <c r="M1179" s="553"/>
      <c r="N1179" s="345"/>
    </row>
    <row r="1180" spans="2:14" ht="14.5" outlineLevel="1" x14ac:dyDescent="0.35">
      <c r="B1180" s="129">
        <v>54</v>
      </c>
      <c r="C1180" s="434" t="s">
        <v>878</v>
      </c>
      <c r="D1180" s="694">
        <v>10640</v>
      </c>
      <c r="E1180" s="694">
        <v>14573</v>
      </c>
      <c r="F1180" s="694">
        <v>212</v>
      </c>
      <c r="G1180" s="694">
        <v>516</v>
      </c>
      <c r="H1180" s="694">
        <v>78</v>
      </c>
      <c r="I1180" s="694">
        <v>207</v>
      </c>
      <c r="J1180" s="694">
        <v>12729</v>
      </c>
      <c r="K1180" s="694">
        <v>14144</v>
      </c>
      <c r="L1180" s="553"/>
      <c r="M1180" s="553"/>
      <c r="N1180" s="345"/>
    </row>
    <row r="1181" spans="2:14" ht="14.5" outlineLevel="1" x14ac:dyDescent="0.35">
      <c r="B1181" s="129">
        <v>55</v>
      </c>
      <c r="C1181" s="434" t="s">
        <v>879</v>
      </c>
      <c r="D1181" s="694">
        <v>19162</v>
      </c>
      <c r="E1181" s="694">
        <v>39547</v>
      </c>
      <c r="F1181" s="694">
        <v>164</v>
      </c>
      <c r="G1181" s="694">
        <v>492</v>
      </c>
      <c r="H1181" s="694">
        <v>30</v>
      </c>
      <c r="I1181" s="694">
        <v>134</v>
      </c>
      <c r="J1181" s="694">
        <v>18702</v>
      </c>
      <c r="K1181" s="694">
        <v>27807</v>
      </c>
      <c r="L1181" s="553"/>
      <c r="M1181" s="553"/>
      <c r="N1181" s="345"/>
    </row>
    <row r="1182" spans="2:14" ht="14.5" outlineLevel="1" x14ac:dyDescent="0.35">
      <c r="B1182" s="129">
        <v>56</v>
      </c>
      <c r="C1182" s="434" t="s">
        <v>880</v>
      </c>
      <c r="D1182" s="694">
        <v>21503</v>
      </c>
      <c r="E1182" s="694">
        <v>29586</v>
      </c>
      <c r="F1182" s="694">
        <v>242</v>
      </c>
      <c r="G1182" s="694">
        <v>409</v>
      </c>
      <c r="H1182" s="694">
        <v>42</v>
      </c>
      <c r="I1182" s="694">
        <v>136</v>
      </c>
      <c r="J1182" s="694">
        <v>25376</v>
      </c>
      <c r="K1182" s="694">
        <v>29348</v>
      </c>
      <c r="L1182" s="553"/>
      <c r="M1182" s="553"/>
      <c r="N1182" s="345"/>
    </row>
    <row r="1183" spans="2:14" ht="14.5" outlineLevel="1" x14ac:dyDescent="0.35">
      <c r="B1183" s="129">
        <v>57</v>
      </c>
      <c r="C1183" s="434" t="s">
        <v>881</v>
      </c>
      <c r="D1183" s="694" t="s">
        <v>1247</v>
      </c>
      <c r="E1183" s="694" t="s">
        <v>1247</v>
      </c>
      <c r="F1183" s="694" t="s">
        <v>1247</v>
      </c>
      <c r="G1183" s="694" t="s">
        <v>1247</v>
      </c>
      <c r="H1183" s="694" t="s">
        <v>1247</v>
      </c>
      <c r="I1183" s="694" t="s">
        <v>1247</v>
      </c>
      <c r="J1183" s="694" t="s">
        <v>1247</v>
      </c>
      <c r="K1183" s="694" t="s">
        <v>1247</v>
      </c>
      <c r="L1183" s="553"/>
      <c r="M1183" s="553"/>
      <c r="N1183" s="345"/>
    </row>
    <row r="1184" spans="2:14" ht="14.5" outlineLevel="1" x14ac:dyDescent="0.35">
      <c r="B1184" s="129">
        <v>58</v>
      </c>
      <c r="C1184" s="434" t="s">
        <v>882</v>
      </c>
      <c r="D1184" s="694" t="s">
        <v>1247</v>
      </c>
      <c r="E1184" s="694" t="s">
        <v>1247</v>
      </c>
      <c r="F1184" s="694" t="s">
        <v>1247</v>
      </c>
      <c r="G1184" s="694" t="s">
        <v>1247</v>
      </c>
      <c r="H1184" s="694" t="s">
        <v>1247</v>
      </c>
      <c r="I1184" s="694" t="s">
        <v>1247</v>
      </c>
      <c r="J1184" s="694" t="s">
        <v>1247</v>
      </c>
      <c r="K1184" s="694" t="s">
        <v>1247</v>
      </c>
      <c r="L1184" s="553"/>
      <c r="M1184" s="553"/>
      <c r="N1184" s="345"/>
    </row>
    <row r="1185" spans="2:14" ht="14.5" outlineLevel="1" x14ac:dyDescent="0.35">
      <c r="B1185" s="129">
        <v>59</v>
      </c>
      <c r="C1185" s="434" t="s">
        <v>883</v>
      </c>
      <c r="D1185" s="694" t="s">
        <v>1247</v>
      </c>
      <c r="E1185" s="694" t="s">
        <v>1247</v>
      </c>
      <c r="F1185" s="694" t="s">
        <v>1247</v>
      </c>
      <c r="G1185" s="694" t="s">
        <v>1247</v>
      </c>
      <c r="H1185" s="694" t="s">
        <v>1247</v>
      </c>
      <c r="I1185" s="694" t="s">
        <v>1247</v>
      </c>
      <c r="J1185" s="694" t="s">
        <v>1247</v>
      </c>
      <c r="K1185" s="694" t="s">
        <v>1247</v>
      </c>
      <c r="L1185" s="553"/>
      <c r="M1185" s="553"/>
      <c r="N1185" s="345"/>
    </row>
    <row r="1186" spans="2:14" ht="14.5" outlineLevel="1" x14ac:dyDescent="0.35">
      <c r="B1186" s="129">
        <v>60</v>
      </c>
      <c r="C1186" s="434" t="s">
        <v>884</v>
      </c>
      <c r="D1186" s="694" t="s">
        <v>1247</v>
      </c>
      <c r="E1186" s="694" t="s">
        <v>1247</v>
      </c>
      <c r="F1186" s="694" t="s">
        <v>1247</v>
      </c>
      <c r="G1186" s="694" t="s">
        <v>1247</v>
      </c>
      <c r="H1186" s="694" t="s">
        <v>1247</v>
      </c>
      <c r="I1186" s="694" t="s">
        <v>1247</v>
      </c>
      <c r="J1186" s="694" t="s">
        <v>1247</v>
      </c>
      <c r="K1186" s="694" t="s">
        <v>1247</v>
      </c>
      <c r="L1186" s="553"/>
      <c r="M1186" s="553"/>
      <c r="N1186" s="345"/>
    </row>
    <row r="1187" spans="2:14" ht="14.5" outlineLevel="1" x14ac:dyDescent="0.35">
      <c r="B1187" s="129">
        <v>61</v>
      </c>
      <c r="C1187" s="434" t="s">
        <v>885</v>
      </c>
      <c r="D1187" s="694" t="s">
        <v>1247</v>
      </c>
      <c r="E1187" s="694" t="s">
        <v>1247</v>
      </c>
      <c r="F1187" s="694" t="s">
        <v>1247</v>
      </c>
      <c r="G1187" s="694" t="s">
        <v>1247</v>
      </c>
      <c r="H1187" s="694" t="s">
        <v>1247</v>
      </c>
      <c r="I1187" s="694" t="s">
        <v>1247</v>
      </c>
      <c r="J1187" s="694" t="s">
        <v>1247</v>
      </c>
      <c r="K1187" s="694" t="s">
        <v>1247</v>
      </c>
      <c r="L1187" s="553"/>
      <c r="M1187" s="553"/>
      <c r="N1187" s="345"/>
    </row>
    <row r="1188" spans="2:14" ht="14.5" x14ac:dyDescent="0.35">
      <c r="B1188" s="129">
        <v>62</v>
      </c>
      <c r="C1188" s="434" t="s">
        <v>886</v>
      </c>
      <c r="D1188" s="694" t="s">
        <v>1247</v>
      </c>
      <c r="E1188" s="694" t="s">
        <v>1247</v>
      </c>
      <c r="F1188" s="694" t="s">
        <v>1247</v>
      </c>
      <c r="G1188" s="694" t="s">
        <v>1247</v>
      </c>
      <c r="H1188" s="694" t="s">
        <v>1247</v>
      </c>
      <c r="I1188" s="694" t="s">
        <v>1247</v>
      </c>
      <c r="J1188" s="694" t="s">
        <v>1247</v>
      </c>
      <c r="K1188" s="694" t="s">
        <v>1247</v>
      </c>
      <c r="L1188" s="553"/>
      <c r="M1188" s="553"/>
      <c r="N1188" s="345"/>
    </row>
    <row r="1189" spans="2:14" ht="14.5" x14ac:dyDescent="0.35">
      <c r="B1189" s="129">
        <v>63</v>
      </c>
      <c r="C1189" s="434" t="s">
        <v>887</v>
      </c>
      <c r="D1189" s="694" t="s">
        <v>1247</v>
      </c>
      <c r="E1189" s="694" t="s">
        <v>1247</v>
      </c>
      <c r="F1189" s="694" t="s">
        <v>1247</v>
      </c>
      <c r="G1189" s="694" t="s">
        <v>1247</v>
      </c>
      <c r="H1189" s="694" t="s">
        <v>1247</v>
      </c>
      <c r="I1189" s="694" t="s">
        <v>1247</v>
      </c>
      <c r="J1189" s="694" t="s">
        <v>1247</v>
      </c>
      <c r="K1189" s="694" t="s">
        <v>1247</v>
      </c>
      <c r="L1189" s="553"/>
      <c r="M1189" s="553"/>
      <c r="N1189" s="345"/>
    </row>
    <row r="1190" spans="2:14" ht="14.5" x14ac:dyDescent="0.35">
      <c r="B1190" s="129">
        <v>64</v>
      </c>
      <c r="C1190" s="434" t="s">
        <v>888</v>
      </c>
      <c r="D1190" s="694" t="s">
        <v>1247</v>
      </c>
      <c r="E1190" s="694" t="s">
        <v>1247</v>
      </c>
      <c r="F1190" s="694" t="s">
        <v>1247</v>
      </c>
      <c r="G1190" s="694" t="s">
        <v>1247</v>
      </c>
      <c r="H1190" s="694" t="s">
        <v>1247</v>
      </c>
      <c r="I1190" s="694" t="s">
        <v>1247</v>
      </c>
      <c r="J1190" s="694" t="s">
        <v>1247</v>
      </c>
      <c r="K1190" s="694" t="s">
        <v>1247</v>
      </c>
      <c r="L1190" s="553"/>
      <c r="M1190" s="553"/>
      <c r="N1190" s="345"/>
    </row>
    <row r="1191" spans="2:14" ht="14.5" x14ac:dyDescent="0.35">
      <c r="B1191" s="129">
        <v>65</v>
      </c>
      <c r="C1191" s="434" t="s">
        <v>889</v>
      </c>
      <c r="D1191" s="694" t="s">
        <v>1247</v>
      </c>
      <c r="E1191" s="694" t="s">
        <v>1247</v>
      </c>
      <c r="F1191" s="694" t="s">
        <v>1247</v>
      </c>
      <c r="G1191" s="694" t="s">
        <v>1247</v>
      </c>
      <c r="H1191" s="694" t="s">
        <v>1247</v>
      </c>
      <c r="I1191" s="694" t="s">
        <v>1247</v>
      </c>
      <c r="J1191" s="694" t="s">
        <v>1247</v>
      </c>
      <c r="K1191" s="694" t="s">
        <v>1247</v>
      </c>
      <c r="L1191" s="553"/>
      <c r="M1191" s="553"/>
      <c r="N1191" s="345"/>
    </row>
    <row r="1192" spans="2:14" ht="14.5" x14ac:dyDescent="0.35">
      <c r="B1192" s="129">
        <v>66</v>
      </c>
      <c r="C1192" s="434" t="s">
        <v>955</v>
      </c>
      <c r="D1192" s="694">
        <v>3087732</v>
      </c>
      <c r="E1192" s="694">
        <v>18381</v>
      </c>
      <c r="F1192" s="694">
        <v>171482</v>
      </c>
      <c r="G1192" s="694">
        <v>2528</v>
      </c>
      <c r="H1192" s="694">
        <v>15478</v>
      </c>
      <c r="I1192" s="694">
        <v>825941</v>
      </c>
      <c r="J1192" s="694">
        <v>2270357</v>
      </c>
      <c r="K1192" s="694">
        <v>0</v>
      </c>
      <c r="L1192" s="553"/>
      <c r="M1192" s="553"/>
      <c r="N1192" s="345"/>
    </row>
    <row r="1193" spans="2:14" ht="14.5" x14ac:dyDescent="0.35">
      <c r="B1193" s="129">
        <v>67</v>
      </c>
      <c r="C1193" s="434" t="s">
        <v>956</v>
      </c>
      <c r="D1193" s="694">
        <v>363471</v>
      </c>
      <c r="E1193" s="694">
        <v>3091</v>
      </c>
      <c r="F1193" s="694">
        <v>14358</v>
      </c>
      <c r="G1193" s="694">
        <v>69</v>
      </c>
      <c r="H1193" s="694">
        <v>1264</v>
      </c>
      <c r="I1193" s="694">
        <v>77932</v>
      </c>
      <c r="J1193" s="694">
        <v>245946</v>
      </c>
      <c r="K1193" s="694">
        <v>0</v>
      </c>
      <c r="L1193" s="553"/>
      <c r="M1193" s="553"/>
      <c r="N1193" s="345"/>
    </row>
    <row r="1194" spans="2:14" ht="14.5" x14ac:dyDescent="0.35">
      <c r="B1194" s="129">
        <v>68</v>
      </c>
      <c r="C1194" s="434" t="s">
        <v>957</v>
      </c>
      <c r="D1194" s="694">
        <v>244250</v>
      </c>
      <c r="E1194" s="694">
        <v>1014</v>
      </c>
      <c r="F1194" s="694">
        <v>6012</v>
      </c>
      <c r="G1194" s="694">
        <v>29</v>
      </c>
      <c r="H1194" s="694">
        <v>286</v>
      </c>
      <c r="I1194" s="694">
        <v>41485</v>
      </c>
      <c r="J1194" s="694">
        <v>204159</v>
      </c>
      <c r="K1194" s="694">
        <v>0</v>
      </c>
      <c r="L1194" s="553"/>
      <c r="M1194" s="553"/>
      <c r="N1194" s="345"/>
    </row>
    <row r="1195" spans="2:14" ht="14.5" x14ac:dyDescent="0.35">
      <c r="B1195" s="129">
        <v>69</v>
      </c>
      <c r="C1195" s="434" t="s">
        <v>958</v>
      </c>
      <c r="D1195" s="694">
        <v>506051</v>
      </c>
      <c r="E1195" s="694">
        <v>3736</v>
      </c>
      <c r="F1195" s="694">
        <v>48160</v>
      </c>
      <c r="G1195" s="694">
        <v>445</v>
      </c>
      <c r="H1195" s="694">
        <v>4387</v>
      </c>
      <c r="I1195" s="694">
        <v>207307</v>
      </c>
      <c r="J1195" s="694">
        <v>219489</v>
      </c>
      <c r="K1195" s="694">
        <v>0</v>
      </c>
      <c r="L1195" s="553"/>
      <c r="M1195" s="553"/>
      <c r="N1195" s="345"/>
    </row>
    <row r="1196" spans="2:14" ht="14.5" x14ac:dyDescent="0.35">
      <c r="B1196" s="129">
        <v>70</v>
      </c>
      <c r="C1196" s="434" t="s">
        <v>959</v>
      </c>
      <c r="D1196" s="694">
        <v>57238</v>
      </c>
      <c r="E1196" s="694">
        <v>1836</v>
      </c>
      <c r="F1196" s="694">
        <v>15828</v>
      </c>
      <c r="G1196" s="694">
        <v>508</v>
      </c>
      <c r="H1196" s="694">
        <v>3414</v>
      </c>
      <c r="I1196" s="694">
        <v>21065</v>
      </c>
      <c r="J1196" s="694">
        <v>79912</v>
      </c>
      <c r="K1196" s="694">
        <v>0</v>
      </c>
      <c r="L1196" s="553"/>
      <c r="M1196" s="553"/>
      <c r="N1196" s="345"/>
    </row>
    <row r="1197" spans="2:14" ht="14.5" x14ac:dyDescent="0.35">
      <c r="B1197" s="129">
        <v>71</v>
      </c>
      <c r="C1197" s="434" t="s">
        <v>960</v>
      </c>
      <c r="D1197" s="694" t="s">
        <v>1247</v>
      </c>
      <c r="E1197" s="694" t="s">
        <v>1247</v>
      </c>
      <c r="F1197" s="694" t="s">
        <v>1247</v>
      </c>
      <c r="G1197" s="694" t="s">
        <v>1247</v>
      </c>
      <c r="H1197" s="694" t="s">
        <v>1247</v>
      </c>
      <c r="I1197" s="694" t="s">
        <v>1247</v>
      </c>
      <c r="J1197" s="694" t="s">
        <v>1247</v>
      </c>
      <c r="K1197" s="694" t="s">
        <v>1247</v>
      </c>
      <c r="L1197" s="553"/>
      <c r="M1197" s="553"/>
      <c r="N1197" s="345"/>
    </row>
    <row r="1198" spans="2:14" ht="14.5" x14ac:dyDescent="0.35">
      <c r="B1198" s="129">
        <v>72</v>
      </c>
      <c r="C1198" s="434" t="s">
        <v>961</v>
      </c>
      <c r="D1198" s="694" t="s">
        <v>1247</v>
      </c>
      <c r="E1198" s="694" t="s">
        <v>1247</v>
      </c>
      <c r="F1198" s="694" t="s">
        <v>1247</v>
      </c>
      <c r="G1198" s="694" t="s">
        <v>1247</v>
      </c>
      <c r="H1198" s="694" t="s">
        <v>1247</v>
      </c>
      <c r="I1198" s="694" t="s">
        <v>1247</v>
      </c>
      <c r="J1198" s="694" t="s">
        <v>1247</v>
      </c>
      <c r="K1198" s="694" t="s">
        <v>1247</v>
      </c>
      <c r="L1198" s="553"/>
      <c r="M1198" s="553"/>
      <c r="N1198" s="345"/>
    </row>
    <row r="1199" spans="2:14" ht="14.5" x14ac:dyDescent="0.35">
      <c r="B1199" s="129">
        <v>73</v>
      </c>
      <c r="C1199" s="434" t="s">
        <v>962</v>
      </c>
      <c r="D1199" s="694" t="s">
        <v>1247</v>
      </c>
      <c r="E1199" s="694" t="s">
        <v>1247</v>
      </c>
      <c r="F1199" s="694" t="s">
        <v>1247</v>
      </c>
      <c r="G1199" s="694" t="s">
        <v>1247</v>
      </c>
      <c r="H1199" s="694" t="s">
        <v>1247</v>
      </c>
      <c r="I1199" s="694" t="s">
        <v>1247</v>
      </c>
      <c r="J1199" s="694" t="s">
        <v>1247</v>
      </c>
      <c r="K1199" s="694" t="s">
        <v>1247</v>
      </c>
      <c r="L1199" s="553"/>
      <c r="M1199" s="553"/>
      <c r="N1199" s="345"/>
    </row>
    <row r="1200" spans="2:14" ht="14.5" x14ac:dyDescent="0.35">
      <c r="B1200" s="129">
        <v>74</v>
      </c>
      <c r="C1200" s="434" t="s">
        <v>963</v>
      </c>
      <c r="D1200" s="694" t="s">
        <v>1247</v>
      </c>
      <c r="E1200" s="694" t="s">
        <v>1247</v>
      </c>
      <c r="F1200" s="694" t="s">
        <v>1247</v>
      </c>
      <c r="G1200" s="694" t="s">
        <v>1247</v>
      </c>
      <c r="H1200" s="694" t="s">
        <v>1247</v>
      </c>
      <c r="I1200" s="694" t="s">
        <v>1247</v>
      </c>
      <c r="J1200" s="694" t="s">
        <v>1247</v>
      </c>
      <c r="K1200" s="694" t="s">
        <v>1247</v>
      </c>
      <c r="L1200" s="553"/>
      <c r="M1200" s="553"/>
      <c r="N1200" s="345"/>
    </row>
    <row r="1201" spans="2:14" ht="14.5" x14ac:dyDescent="0.35">
      <c r="B1201" s="129">
        <v>75</v>
      </c>
      <c r="C1201" s="277" t="s">
        <v>1020</v>
      </c>
      <c r="D1201" s="694">
        <v>156440</v>
      </c>
      <c r="E1201" s="694">
        <v>758624</v>
      </c>
      <c r="F1201" s="694">
        <v>5397</v>
      </c>
      <c r="G1201" s="694">
        <v>52155</v>
      </c>
      <c r="H1201" s="694">
        <v>421</v>
      </c>
      <c r="I1201" s="694">
        <v>4836</v>
      </c>
      <c r="J1201" s="694">
        <v>302840</v>
      </c>
      <c r="K1201" s="694">
        <v>864455</v>
      </c>
      <c r="L1201" s="553"/>
      <c r="M1201" s="553"/>
      <c r="N1201" s="345"/>
    </row>
    <row r="1202" spans="2:14" ht="14.5" x14ac:dyDescent="0.35">
      <c r="B1202" s="129">
        <v>76</v>
      </c>
      <c r="C1202" s="277" t="s">
        <v>1021</v>
      </c>
      <c r="D1202" s="694">
        <v>175598</v>
      </c>
      <c r="E1202" s="694">
        <v>956748</v>
      </c>
      <c r="F1202" s="694">
        <v>5009</v>
      </c>
      <c r="G1202" s="694">
        <v>49896</v>
      </c>
      <c r="H1202" s="694">
        <v>528</v>
      </c>
      <c r="I1202" s="694">
        <v>4168</v>
      </c>
      <c r="J1202" s="694">
        <v>176493</v>
      </c>
      <c r="K1202" s="694">
        <v>740030</v>
      </c>
      <c r="L1202" s="553"/>
      <c r="M1202" s="553"/>
      <c r="N1202" s="345"/>
    </row>
    <row r="1203" spans="2:14" ht="14.5" x14ac:dyDescent="0.35">
      <c r="B1203" s="129">
        <v>77</v>
      </c>
      <c r="C1203" s="277" t="s">
        <v>1022</v>
      </c>
      <c r="D1203" s="694">
        <v>122607</v>
      </c>
      <c r="E1203" s="694">
        <v>627500</v>
      </c>
      <c r="F1203" s="694">
        <v>4513</v>
      </c>
      <c r="G1203" s="694">
        <v>38220</v>
      </c>
      <c r="H1203" s="694">
        <v>363</v>
      </c>
      <c r="I1203" s="694">
        <v>5073</v>
      </c>
      <c r="J1203" s="694">
        <v>209459</v>
      </c>
      <c r="K1203" s="694">
        <v>598268</v>
      </c>
      <c r="L1203" s="553"/>
      <c r="M1203" s="553"/>
      <c r="N1203" s="345"/>
    </row>
    <row r="1204" spans="2:14" ht="14.5" x14ac:dyDescent="0.35">
      <c r="B1204" s="129">
        <v>78</v>
      </c>
      <c r="C1204" s="277" t="s">
        <v>1023</v>
      </c>
      <c r="D1204" s="694">
        <v>48432</v>
      </c>
      <c r="E1204" s="694">
        <v>304588</v>
      </c>
      <c r="F1204" s="694">
        <v>1035</v>
      </c>
      <c r="G1204" s="694">
        <v>11540</v>
      </c>
      <c r="H1204" s="694">
        <v>106</v>
      </c>
      <c r="I1204" s="694">
        <v>1678</v>
      </c>
      <c r="J1204" s="694">
        <v>58658</v>
      </c>
      <c r="K1204" s="694">
        <v>248629</v>
      </c>
      <c r="L1204" s="553"/>
      <c r="M1204" s="553"/>
      <c r="N1204" s="345"/>
    </row>
    <row r="1205" spans="2:14" ht="14.5" x14ac:dyDescent="0.35">
      <c r="B1205" s="129">
        <v>79</v>
      </c>
      <c r="C1205" s="277" t="s">
        <v>1024</v>
      </c>
      <c r="D1205" s="694">
        <v>33831</v>
      </c>
      <c r="E1205" s="694">
        <v>131582</v>
      </c>
      <c r="F1205" s="694">
        <v>648</v>
      </c>
      <c r="G1205" s="694">
        <v>6190</v>
      </c>
      <c r="H1205" s="694">
        <v>59</v>
      </c>
      <c r="I1205" s="694">
        <v>579</v>
      </c>
      <c r="J1205" s="694">
        <v>37978</v>
      </c>
      <c r="K1205" s="694">
        <v>151199</v>
      </c>
      <c r="L1205" s="553"/>
      <c r="M1205" s="553"/>
      <c r="N1205" s="345"/>
    </row>
    <row r="1206" spans="2:14" ht="14.5" x14ac:dyDescent="0.35">
      <c r="B1206" s="129">
        <v>80</v>
      </c>
      <c r="C1206" s="277" t="s">
        <v>1025</v>
      </c>
      <c r="D1206" s="694">
        <v>23219</v>
      </c>
      <c r="E1206" s="694">
        <v>135882</v>
      </c>
      <c r="F1206" s="694">
        <v>1036</v>
      </c>
      <c r="G1206" s="694">
        <v>6197</v>
      </c>
      <c r="H1206" s="694">
        <v>21</v>
      </c>
      <c r="I1206" s="694">
        <v>264</v>
      </c>
      <c r="J1206" s="694">
        <v>24791</v>
      </c>
      <c r="K1206" s="694">
        <v>76303</v>
      </c>
      <c r="L1206" s="553"/>
      <c r="M1206" s="553"/>
      <c r="N1206" s="345"/>
    </row>
    <row r="1207" spans="2:14" ht="14.5" x14ac:dyDescent="0.35">
      <c r="B1207" s="129">
        <v>81</v>
      </c>
      <c r="C1207" s="277" t="s">
        <v>1026</v>
      </c>
      <c r="D1207" s="694">
        <v>11152</v>
      </c>
      <c r="E1207" s="694">
        <v>54774</v>
      </c>
      <c r="F1207" s="694">
        <v>511</v>
      </c>
      <c r="G1207" s="694">
        <v>5178</v>
      </c>
      <c r="H1207" s="694">
        <v>14</v>
      </c>
      <c r="I1207" s="694">
        <v>198</v>
      </c>
      <c r="J1207" s="694">
        <v>21758</v>
      </c>
      <c r="K1207" s="694">
        <v>66237</v>
      </c>
      <c r="L1207" s="553"/>
      <c r="M1207" s="553"/>
      <c r="N1207" s="345"/>
    </row>
    <row r="1208" spans="2:14" ht="14.5" x14ac:dyDescent="0.35">
      <c r="B1208" s="129">
        <v>82</v>
      </c>
      <c r="C1208" s="277" t="s">
        <v>1027</v>
      </c>
      <c r="D1208" s="694">
        <v>100352</v>
      </c>
      <c r="E1208" s="694">
        <v>505395</v>
      </c>
      <c r="F1208" s="694">
        <v>3973</v>
      </c>
      <c r="G1208" s="694">
        <v>23471</v>
      </c>
      <c r="H1208" s="694">
        <v>219</v>
      </c>
      <c r="I1208" s="694">
        <v>2469</v>
      </c>
      <c r="J1208" s="694">
        <v>61637</v>
      </c>
      <c r="K1208" s="694">
        <v>312892</v>
      </c>
      <c r="L1208" s="553"/>
      <c r="M1208" s="553"/>
      <c r="N1208" s="345"/>
    </row>
    <row r="1209" spans="2:14" ht="14.5" x14ac:dyDescent="0.35">
      <c r="B1209" s="129">
        <v>83</v>
      </c>
      <c r="C1209" s="277" t="s">
        <v>1028</v>
      </c>
      <c r="D1209" s="694">
        <v>13570</v>
      </c>
      <c r="E1209" s="694">
        <v>69769</v>
      </c>
      <c r="F1209" s="694">
        <v>500</v>
      </c>
      <c r="G1209" s="694">
        <v>5964</v>
      </c>
      <c r="H1209" s="694">
        <v>24</v>
      </c>
      <c r="I1209" s="694">
        <v>458</v>
      </c>
      <c r="J1209" s="694">
        <v>12366</v>
      </c>
      <c r="K1209" s="694">
        <v>64383</v>
      </c>
      <c r="L1209" s="553"/>
      <c r="M1209" s="553"/>
      <c r="N1209" s="345"/>
    </row>
    <row r="1210" spans="2:14" ht="14.5" x14ac:dyDescent="0.35">
      <c r="B1210" s="129">
        <v>84</v>
      </c>
      <c r="C1210" s="277" t="s">
        <v>1029</v>
      </c>
      <c r="D1210" s="694">
        <v>8223</v>
      </c>
      <c r="E1210" s="694">
        <v>64433</v>
      </c>
      <c r="F1210" s="694">
        <v>351</v>
      </c>
      <c r="G1210" s="694">
        <v>3929</v>
      </c>
      <c r="H1210" s="694">
        <v>24</v>
      </c>
      <c r="I1210" s="694">
        <v>392</v>
      </c>
      <c r="J1210" s="694">
        <v>10460</v>
      </c>
      <c r="K1210" s="694">
        <v>37650</v>
      </c>
      <c r="L1210" s="553"/>
      <c r="M1210" s="553"/>
      <c r="N1210" s="345"/>
    </row>
    <row r="1211" spans="2:14" ht="14.5" x14ac:dyDescent="0.35">
      <c r="B1211" s="129">
        <v>85</v>
      </c>
      <c r="C1211" s="277" t="s">
        <v>1030</v>
      </c>
      <c r="D1211" s="694">
        <v>2270</v>
      </c>
      <c r="E1211" s="694">
        <v>14593</v>
      </c>
      <c r="F1211" s="694">
        <v>111</v>
      </c>
      <c r="G1211" s="694">
        <v>667</v>
      </c>
      <c r="H1211" s="694">
        <v>7</v>
      </c>
      <c r="I1211" s="694">
        <v>84</v>
      </c>
      <c r="J1211" s="694">
        <v>2481</v>
      </c>
      <c r="K1211" s="694">
        <v>8165</v>
      </c>
      <c r="L1211" s="553"/>
      <c r="M1211" s="553"/>
      <c r="N1211" s="345"/>
    </row>
    <row r="1212" spans="2:14" ht="14.5" x14ac:dyDescent="0.35">
      <c r="B1212" s="129">
        <v>86</v>
      </c>
      <c r="C1212" s="277" t="s">
        <v>1031</v>
      </c>
      <c r="D1212" s="694" t="s">
        <v>1247</v>
      </c>
      <c r="E1212" s="694" t="s">
        <v>1247</v>
      </c>
      <c r="F1212" s="694" t="s">
        <v>1247</v>
      </c>
      <c r="G1212" s="694" t="s">
        <v>1247</v>
      </c>
      <c r="H1212" s="694" t="s">
        <v>1247</v>
      </c>
      <c r="I1212" s="694" t="s">
        <v>1247</v>
      </c>
      <c r="J1212" s="694" t="s">
        <v>1247</v>
      </c>
      <c r="K1212" s="694" t="s">
        <v>1247</v>
      </c>
      <c r="L1212" s="553"/>
      <c r="M1212" s="553"/>
      <c r="N1212" s="345"/>
    </row>
    <row r="1213" spans="2:14" ht="14.5" x14ac:dyDescent="0.35">
      <c r="B1213" s="129">
        <v>87</v>
      </c>
      <c r="C1213" s="277" t="s">
        <v>1032</v>
      </c>
      <c r="D1213" s="694" t="s">
        <v>1247</v>
      </c>
      <c r="E1213" s="694" t="s">
        <v>1247</v>
      </c>
      <c r="F1213" s="694" t="s">
        <v>1247</v>
      </c>
      <c r="G1213" s="694" t="s">
        <v>1247</v>
      </c>
      <c r="H1213" s="694" t="s">
        <v>1247</v>
      </c>
      <c r="I1213" s="694" t="s">
        <v>1247</v>
      </c>
      <c r="J1213" s="694" t="s">
        <v>1247</v>
      </c>
      <c r="K1213" s="694" t="s">
        <v>1247</v>
      </c>
      <c r="L1213" s="553"/>
      <c r="M1213" s="553"/>
      <c r="N1213" s="345"/>
    </row>
    <row r="1214" spans="2:14" ht="14.5" x14ac:dyDescent="0.35">
      <c r="B1214" s="129">
        <v>88</v>
      </c>
      <c r="C1214" s="277" t="s">
        <v>1033</v>
      </c>
      <c r="D1214" s="694" t="s">
        <v>1247</v>
      </c>
      <c r="E1214" s="694" t="s">
        <v>1247</v>
      </c>
      <c r="F1214" s="694" t="s">
        <v>1247</v>
      </c>
      <c r="G1214" s="694" t="s">
        <v>1247</v>
      </c>
      <c r="H1214" s="694" t="s">
        <v>1247</v>
      </c>
      <c r="I1214" s="694" t="s">
        <v>1247</v>
      </c>
      <c r="J1214" s="694" t="s">
        <v>1247</v>
      </c>
      <c r="K1214" s="694" t="s">
        <v>1247</v>
      </c>
      <c r="L1214" s="553"/>
      <c r="M1214" s="553"/>
      <c r="N1214" s="345"/>
    </row>
    <row r="1215" spans="2:14" ht="14.5" x14ac:dyDescent="0.35">
      <c r="B1215" s="129">
        <v>89</v>
      </c>
      <c r="C1215" s="277" t="s">
        <v>1034</v>
      </c>
      <c r="D1215" s="694" t="s">
        <v>1247</v>
      </c>
      <c r="E1215" s="694" t="s">
        <v>1247</v>
      </c>
      <c r="F1215" s="694" t="s">
        <v>1247</v>
      </c>
      <c r="G1215" s="694" t="s">
        <v>1247</v>
      </c>
      <c r="H1215" s="694" t="s">
        <v>1247</v>
      </c>
      <c r="I1215" s="694" t="s">
        <v>1247</v>
      </c>
      <c r="J1215" s="694" t="s">
        <v>1247</v>
      </c>
      <c r="K1215" s="694" t="s">
        <v>1247</v>
      </c>
      <c r="L1215" s="553"/>
      <c r="M1215" s="553"/>
      <c r="N1215" s="345"/>
    </row>
    <row r="1216" spans="2:14" ht="14.5" x14ac:dyDescent="0.35">
      <c r="B1216" s="129">
        <v>90</v>
      </c>
      <c r="C1216" s="277" t="s">
        <v>1035</v>
      </c>
      <c r="D1216" s="694" t="s">
        <v>1247</v>
      </c>
      <c r="E1216" s="694" t="s">
        <v>1247</v>
      </c>
      <c r="F1216" s="694" t="s">
        <v>1247</v>
      </c>
      <c r="G1216" s="694" t="s">
        <v>1247</v>
      </c>
      <c r="H1216" s="694" t="s">
        <v>1247</v>
      </c>
      <c r="I1216" s="694" t="s">
        <v>1247</v>
      </c>
      <c r="J1216" s="694" t="s">
        <v>1247</v>
      </c>
      <c r="K1216" s="694" t="s">
        <v>1247</v>
      </c>
      <c r="L1216" s="553"/>
      <c r="M1216" s="553"/>
      <c r="N1216" s="345"/>
    </row>
    <row r="1217" spans="2:14" ht="14.5" x14ac:dyDescent="0.35">
      <c r="B1217" s="129">
        <v>91</v>
      </c>
      <c r="C1217" s="277" t="s">
        <v>1036</v>
      </c>
      <c r="D1217" s="694" t="s">
        <v>1247</v>
      </c>
      <c r="E1217" s="694" t="s">
        <v>1247</v>
      </c>
      <c r="F1217" s="694" t="s">
        <v>1247</v>
      </c>
      <c r="G1217" s="694" t="s">
        <v>1247</v>
      </c>
      <c r="H1217" s="694" t="s">
        <v>1247</v>
      </c>
      <c r="I1217" s="694" t="s">
        <v>1247</v>
      </c>
      <c r="J1217" s="694" t="s">
        <v>1247</v>
      </c>
      <c r="K1217" s="694" t="s">
        <v>1247</v>
      </c>
      <c r="L1217" s="553"/>
      <c r="M1217" s="553"/>
      <c r="N1217" s="345"/>
    </row>
    <row r="1218" spans="2:14" ht="14.5" x14ac:dyDescent="0.35">
      <c r="B1218" s="129">
        <v>92</v>
      </c>
      <c r="C1218" s="277" t="s">
        <v>1037</v>
      </c>
      <c r="D1218" s="694" t="s">
        <v>1247</v>
      </c>
      <c r="E1218" s="694" t="s">
        <v>1247</v>
      </c>
      <c r="F1218" s="694" t="s">
        <v>1247</v>
      </c>
      <c r="G1218" s="694" t="s">
        <v>1247</v>
      </c>
      <c r="H1218" s="694" t="s">
        <v>1247</v>
      </c>
      <c r="I1218" s="694" t="s">
        <v>1247</v>
      </c>
      <c r="J1218" s="694" t="s">
        <v>1247</v>
      </c>
      <c r="K1218" s="694" t="s">
        <v>1247</v>
      </c>
      <c r="L1218" s="553"/>
      <c r="M1218" s="553"/>
      <c r="N1218" s="345"/>
    </row>
    <row r="1219" spans="2:14" ht="14.5" x14ac:dyDescent="0.35">
      <c r="B1219" s="129">
        <v>93</v>
      </c>
      <c r="C1219" s="277" t="s">
        <v>1038</v>
      </c>
      <c r="D1219" s="694" t="s">
        <v>1247</v>
      </c>
      <c r="E1219" s="694" t="s">
        <v>1247</v>
      </c>
      <c r="F1219" s="694" t="s">
        <v>1247</v>
      </c>
      <c r="G1219" s="694" t="s">
        <v>1247</v>
      </c>
      <c r="H1219" s="694" t="s">
        <v>1247</v>
      </c>
      <c r="I1219" s="694" t="s">
        <v>1247</v>
      </c>
      <c r="J1219" s="694" t="s">
        <v>1247</v>
      </c>
      <c r="K1219" s="694" t="s">
        <v>1247</v>
      </c>
      <c r="L1219" s="553"/>
      <c r="M1219" s="553"/>
      <c r="N1219" s="345"/>
    </row>
    <row r="1220" spans="2:14" ht="14.5" x14ac:dyDescent="0.35">
      <c r="B1220" s="129">
        <v>94</v>
      </c>
      <c r="C1220" s="277" t="s">
        <v>1039</v>
      </c>
      <c r="D1220" s="694" t="s">
        <v>1247</v>
      </c>
      <c r="E1220" s="694" t="s">
        <v>1247</v>
      </c>
      <c r="F1220" s="694" t="s">
        <v>1247</v>
      </c>
      <c r="G1220" s="694" t="s">
        <v>1247</v>
      </c>
      <c r="H1220" s="694" t="s">
        <v>1247</v>
      </c>
      <c r="I1220" s="694" t="s">
        <v>1247</v>
      </c>
      <c r="J1220" s="694" t="s">
        <v>1247</v>
      </c>
      <c r="K1220" s="694" t="s">
        <v>1247</v>
      </c>
      <c r="L1220" s="553"/>
      <c r="M1220" s="553"/>
      <c r="N1220" s="345"/>
    </row>
    <row r="1221" spans="2:14" ht="14.5" x14ac:dyDescent="0.35">
      <c r="B1221" s="129">
        <v>95</v>
      </c>
      <c r="C1221" s="277" t="s">
        <v>817</v>
      </c>
      <c r="D1221" s="695">
        <v>337342</v>
      </c>
      <c r="E1221" s="695">
        <v>861632</v>
      </c>
      <c r="F1221" s="695">
        <v>5419</v>
      </c>
      <c r="G1221" s="695">
        <v>9637</v>
      </c>
      <c r="H1221" s="695">
        <v>1007</v>
      </c>
      <c r="I1221" s="695">
        <v>5396</v>
      </c>
      <c r="J1221" s="695">
        <v>501359</v>
      </c>
      <c r="K1221" s="695">
        <v>677000</v>
      </c>
      <c r="L1221" s="562"/>
      <c r="M1221" s="562"/>
      <c r="N1221" s="345"/>
    </row>
    <row r="1222" spans="2:14" ht="14.5" x14ac:dyDescent="0.35">
      <c r="B1222" s="129">
        <v>96</v>
      </c>
      <c r="C1222" s="277" t="s">
        <v>818</v>
      </c>
      <c r="D1222" s="695">
        <v>1066979</v>
      </c>
      <c r="E1222" s="695">
        <v>1063087</v>
      </c>
      <c r="F1222" s="695">
        <v>12526</v>
      </c>
      <c r="G1222" s="695">
        <v>23905</v>
      </c>
      <c r="H1222" s="695">
        <v>3819</v>
      </c>
      <c r="I1222" s="695">
        <v>10053</v>
      </c>
      <c r="J1222" s="695">
        <v>771899</v>
      </c>
      <c r="K1222" s="695">
        <v>1255617</v>
      </c>
      <c r="L1222" s="562"/>
      <c r="M1222" s="562"/>
      <c r="N1222" s="345"/>
    </row>
    <row r="1223" spans="2:14" ht="14.5" x14ac:dyDescent="0.35">
      <c r="B1223" s="129">
        <v>97</v>
      </c>
      <c r="C1223" s="277" t="s">
        <v>1043</v>
      </c>
      <c r="D1223" s="695">
        <v>713959</v>
      </c>
      <c r="E1223" s="695">
        <v>998090</v>
      </c>
      <c r="F1223" s="695">
        <v>5923</v>
      </c>
      <c r="G1223" s="695">
        <v>19801</v>
      </c>
      <c r="H1223" s="695">
        <v>2059</v>
      </c>
      <c r="I1223" s="695">
        <v>6996</v>
      </c>
      <c r="J1223" s="695">
        <v>493920</v>
      </c>
      <c r="K1223" s="695">
        <v>1011961</v>
      </c>
      <c r="L1223" s="562"/>
      <c r="M1223" s="562"/>
      <c r="N1223" s="345"/>
    </row>
    <row r="1224" spans="2:14" ht="14.5" x14ac:dyDescent="0.35">
      <c r="B1224" s="129">
        <v>98</v>
      </c>
      <c r="C1224" s="277" t="s">
        <v>844</v>
      </c>
      <c r="D1224" s="695">
        <v>359886</v>
      </c>
      <c r="E1224" s="695">
        <v>817214</v>
      </c>
      <c r="F1224" s="695">
        <v>2744</v>
      </c>
      <c r="G1224" s="695">
        <v>5766</v>
      </c>
      <c r="H1224" s="695">
        <v>1118</v>
      </c>
      <c r="I1224" s="695">
        <v>3582</v>
      </c>
      <c r="J1224" s="695">
        <v>167356</v>
      </c>
      <c r="K1224" s="695">
        <v>427061</v>
      </c>
      <c r="L1224" s="562"/>
      <c r="M1224" s="562"/>
      <c r="N1224" s="345"/>
    </row>
    <row r="1225" spans="2:14" ht="14.5" x14ac:dyDescent="0.35">
      <c r="B1225" s="129">
        <v>99</v>
      </c>
      <c r="C1225" s="277" t="s">
        <v>845</v>
      </c>
      <c r="D1225" s="695">
        <v>145014</v>
      </c>
      <c r="E1225" s="695">
        <v>338286</v>
      </c>
      <c r="F1225" s="695">
        <v>3637</v>
      </c>
      <c r="G1225" s="695">
        <v>6012</v>
      </c>
      <c r="H1225" s="695">
        <v>1035</v>
      </c>
      <c r="I1225" s="695">
        <v>3010</v>
      </c>
      <c r="J1225" s="695">
        <v>141304</v>
      </c>
      <c r="K1225" s="695">
        <v>190290</v>
      </c>
      <c r="L1225" s="562"/>
      <c r="M1225" s="562"/>
      <c r="N1225" s="345"/>
    </row>
    <row r="1226" spans="2:14" ht="14.5" x14ac:dyDescent="0.35">
      <c r="B1226" s="129">
        <v>100</v>
      </c>
      <c r="C1226" s="277" t="s">
        <v>846</v>
      </c>
      <c r="D1226" s="695">
        <v>107455</v>
      </c>
      <c r="E1226" s="695">
        <v>185752</v>
      </c>
      <c r="F1226" s="695">
        <v>1078</v>
      </c>
      <c r="G1226" s="695">
        <v>2961</v>
      </c>
      <c r="H1226" s="695">
        <v>823</v>
      </c>
      <c r="I1226" s="695">
        <v>3077</v>
      </c>
      <c r="J1226" s="695">
        <v>80724</v>
      </c>
      <c r="K1226" s="695">
        <v>123173</v>
      </c>
      <c r="L1226" s="562"/>
      <c r="M1226" s="562"/>
      <c r="N1226" s="345"/>
    </row>
    <row r="1227" spans="2:14" ht="14.5" x14ac:dyDescent="0.35">
      <c r="B1227" s="129">
        <v>101</v>
      </c>
      <c r="C1227" s="277" t="s">
        <v>1044</v>
      </c>
      <c r="D1227" s="695">
        <v>0</v>
      </c>
      <c r="E1227" s="695">
        <v>0</v>
      </c>
      <c r="F1227" s="695">
        <v>0</v>
      </c>
      <c r="G1227" s="695">
        <v>0</v>
      </c>
      <c r="H1227" s="695">
        <v>0</v>
      </c>
      <c r="I1227" s="695">
        <v>0</v>
      </c>
      <c r="J1227" s="695">
        <v>0</v>
      </c>
      <c r="K1227" s="695">
        <v>0</v>
      </c>
      <c r="L1227" s="562"/>
      <c r="M1227" s="562"/>
      <c r="N1227" s="345"/>
    </row>
    <row r="1228" spans="2:14" ht="14.5" x14ac:dyDescent="0.35">
      <c r="B1228" s="129">
        <v>102</v>
      </c>
      <c r="C1228" s="277" t="s">
        <v>1045</v>
      </c>
      <c r="D1228" s="695">
        <v>0</v>
      </c>
      <c r="E1228" s="695">
        <v>0</v>
      </c>
      <c r="F1228" s="695">
        <v>0</v>
      </c>
      <c r="G1228" s="695">
        <v>0</v>
      </c>
      <c r="H1228" s="695">
        <v>0</v>
      </c>
      <c r="I1228" s="695">
        <v>0</v>
      </c>
      <c r="J1228" s="695">
        <v>0</v>
      </c>
      <c r="K1228" s="695">
        <v>0</v>
      </c>
      <c r="L1228" s="562"/>
      <c r="M1228" s="562"/>
      <c r="N1228" s="345"/>
    </row>
    <row r="1229" spans="2:14" ht="14.5" x14ac:dyDescent="0.35">
      <c r="B1229" s="129">
        <v>103</v>
      </c>
      <c r="C1229" s="277" t="s">
        <v>1046</v>
      </c>
      <c r="D1229" s="695">
        <v>0</v>
      </c>
      <c r="E1229" s="695">
        <v>0</v>
      </c>
      <c r="F1229" s="695">
        <v>0</v>
      </c>
      <c r="G1229" s="695">
        <v>0</v>
      </c>
      <c r="H1229" s="695">
        <v>0</v>
      </c>
      <c r="I1229" s="695">
        <v>0</v>
      </c>
      <c r="J1229" s="695">
        <v>0</v>
      </c>
      <c r="K1229" s="695">
        <v>0</v>
      </c>
      <c r="L1229" s="562"/>
      <c r="M1229" s="562"/>
      <c r="N1229" s="345"/>
    </row>
    <row r="1230" spans="2:14" ht="14.5" x14ac:dyDescent="0.35">
      <c r="B1230" s="129">
        <v>104</v>
      </c>
      <c r="C1230" s="277" t="s">
        <v>1047</v>
      </c>
      <c r="D1230" s="695">
        <v>0</v>
      </c>
      <c r="E1230" s="695">
        <v>0</v>
      </c>
      <c r="F1230" s="695">
        <v>0</v>
      </c>
      <c r="G1230" s="695">
        <v>0</v>
      </c>
      <c r="H1230" s="695">
        <v>0</v>
      </c>
      <c r="I1230" s="695">
        <v>0</v>
      </c>
      <c r="J1230" s="695">
        <v>0</v>
      </c>
      <c r="K1230" s="695">
        <v>0</v>
      </c>
      <c r="L1230" s="562"/>
      <c r="M1230" s="562"/>
      <c r="N1230" s="345"/>
    </row>
    <row r="1231" spans="2:14" ht="14.5" x14ac:dyDescent="0.35">
      <c r="B1231" s="129">
        <v>105</v>
      </c>
      <c r="C1231" s="277" t="s">
        <v>1048</v>
      </c>
      <c r="D1231" s="695">
        <v>49</v>
      </c>
      <c r="E1231" s="695">
        <v>84</v>
      </c>
      <c r="F1231" s="695">
        <v>0</v>
      </c>
      <c r="G1231" s="695">
        <v>0</v>
      </c>
      <c r="H1231" s="695">
        <v>0</v>
      </c>
      <c r="I1231" s="695">
        <v>0</v>
      </c>
      <c r="J1231" s="695">
        <v>64</v>
      </c>
      <c r="K1231" s="695">
        <v>67</v>
      </c>
      <c r="L1231" s="562"/>
      <c r="M1231" s="562"/>
      <c r="N1231" s="345"/>
    </row>
    <row r="1232" spans="2:14" ht="14.5" x14ac:dyDescent="0.35">
      <c r="B1232" s="129">
        <v>106</v>
      </c>
      <c r="C1232" s="277" t="s">
        <v>1049</v>
      </c>
      <c r="D1232" s="695">
        <v>0</v>
      </c>
      <c r="E1232" s="695">
        <v>0</v>
      </c>
      <c r="F1232" s="695">
        <v>0</v>
      </c>
      <c r="G1232" s="695">
        <v>0</v>
      </c>
      <c r="H1232" s="695">
        <v>0</v>
      </c>
      <c r="I1232" s="695">
        <v>0</v>
      </c>
      <c r="J1232" s="695">
        <v>0</v>
      </c>
      <c r="K1232" s="695">
        <v>0</v>
      </c>
      <c r="L1232" s="562"/>
      <c r="M1232" s="562"/>
      <c r="N1232" s="345"/>
    </row>
    <row r="1233" spans="2:14" ht="14.5" x14ac:dyDescent="0.35">
      <c r="B1233" s="129">
        <v>107</v>
      </c>
      <c r="C1233" s="277" t="s">
        <v>1050</v>
      </c>
      <c r="D1233" s="695">
        <v>535</v>
      </c>
      <c r="E1233" s="695">
        <v>748</v>
      </c>
      <c r="F1233" s="695">
        <v>4</v>
      </c>
      <c r="G1233" s="695">
        <v>11</v>
      </c>
      <c r="H1233" s="695">
        <v>0</v>
      </c>
      <c r="I1233" s="695">
        <v>0</v>
      </c>
      <c r="J1233" s="695">
        <v>231</v>
      </c>
      <c r="K1233" s="695">
        <v>386</v>
      </c>
      <c r="L1233" s="562"/>
      <c r="M1233" s="562"/>
      <c r="N1233" s="345"/>
    </row>
    <row r="1234" spans="2:14" ht="14.5" x14ac:dyDescent="0.35">
      <c r="B1234" s="129">
        <v>108</v>
      </c>
      <c r="C1234" s="278" t="s">
        <v>252</v>
      </c>
      <c r="D1234" s="690">
        <v>0</v>
      </c>
      <c r="E1234" s="690">
        <v>0</v>
      </c>
      <c r="F1234" s="690">
        <v>0</v>
      </c>
      <c r="G1234" s="690">
        <v>0</v>
      </c>
      <c r="H1234" s="690">
        <v>0</v>
      </c>
      <c r="I1234" s="690">
        <v>0</v>
      </c>
      <c r="J1234" s="690">
        <v>0</v>
      </c>
      <c r="K1234" s="690">
        <v>0</v>
      </c>
      <c r="L1234" s="345"/>
      <c r="M1234" s="345"/>
      <c r="N1234" s="345"/>
    </row>
    <row r="1235" spans="2:14" x14ac:dyDescent="0.25">
      <c r="B1235" s="120"/>
      <c r="J1235" s="120"/>
      <c r="K1235" s="120"/>
      <c r="L1235" s="120"/>
    </row>
    <row r="1236" spans="2:14" x14ac:dyDescent="0.25">
      <c r="B1236" s="120"/>
      <c r="C1236" s="120" t="s">
        <v>291</v>
      </c>
      <c r="I1236" s="120"/>
      <c r="J1236" s="120"/>
      <c r="K1236" s="120"/>
      <c r="L1236" s="120"/>
    </row>
    <row r="1238" spans="2:14" x14ac:dyDescent="0.25">
      <c r="B1238" s="120"/>
      <c r="C1238" s="102" t="s">
        <v>331</v>
      </c>
      <c r="D1238" s="120"/>
      <c r="E1238" s="120"/>
    </row>
    <row r="1239" spans="2:14" x14ac:dyDescent="0.25">
      <c r="B1239" s="120"/>
      <c r="C1239" s="452">
        <v>2021</v>
      </c>
      <c r="D1239" s="120"/>
      <c r="E1239" s="120"/>
    </row>
    <row r="1240" spans="2:14" x14ac:dyDescent="0.25">
      <c r="B1240" s="120"/>
      <c r="C1240" s="120"/>
      <c r="D1240" s="120"/>
      <c r="E1240" s="120"/>
    </row>
    <row r="1241" spans="2:14" ht="23" x14ac:dyDescent="0.25">
      <c r="B1241" s="120"/>
      <c r="C1241" s="431" t="s">
        <v>166</v>
      </c>
      <c r="D1241" s="431" t="s">
        <v>395</v>
      </c>
      <c r="E1241" s="431" t="s">
        <v>258</v>
      </c>
    </row>
    <row r="1242" spans="2:14" ht="14.5" x14ac:dyDescent="0.35">
      <c r="B1242" s="129">
        <v>1</v>
      </c>
      <c r="C1242" s="453" t="s">
        <v>396</v>
      </c>
      <c r="D1242" s="690">
        <v>5</v>
      </c>
      <c r="E1242" s="345"/>
      <c r="G1242" s="262" t="e">
        <f t="shared" ref="G1242" ca="1" si="36">RANDBETWEEN((#REF!*0.7),(#REF!*1.3))</f>
        <v>#REF!</v>
      </c>
    </row>
    <row r="1243" spans="2:14" ht="23" x14ac:dyDescent="0.35">
      <c r="B1243" s="129">
        <v>2</v>
      </c>
      <c r="C1243" s="453" t="s">
        <v>397</v>
      </c>
      <c r="D1243" s="690">
        <v>6</v>
      </c>
      <c r="E1243" s="345"/>
    </row>
    <row r="1244" spans="2:14" ht="14.5" x14ac:dyDescent="0.35">
      <c r="B1244" s="129">
        <v>3</v>
      </c>
      <c r="C1244" s="453" t="s">
        <v>398</v>
      </c>
      <c r="D1244" s="690">
        <v>7</v>
      </c>
      <c r="E1244" s="345"/>
    </row>
    <row r="1245" spans="2:14" ht="23" x14ac:dyDescent="0.35">
      <c r="B1245" s="129">
        <v>4</v>
      </c>
      <c r="C1245" s="453" t="s">
        <v>1252</v>
      </c>
      <c r="D1245" s="690">
        <v>3</v>
      </c>
      <c r="E1245" s="345"/>
    </row>
    <row r="1246" spans="2:14" outlineLevel="1" x14ac:dyDescent="0.25"/>
    <row r="1247" spans="2:14" outlineLevel="1" x14ac:dyDescent="0.25"/>
    <row r="1248" spans="2:14" ht="15.5" outlineLevel="1" x14ac:dyDescent="0.25">
      <c r="C1248" s="37" t="s">
        <v>385</v>
      </c>
    </row>
    <row r="1249" spans="2:14" ht="12" outlineLevel="1" x14ac:dyDescent="0.25">
      <c r="C1249" s="126" t="s">
        <v>399</v>
      </c>
      <c r="D1249" s="120"/>
      <c r="E1249" s="120"/>
      <c r="F1249" s="120"/>
      <c r="G1249" s="120"/>
      <c r="H1249" s="120"/>
      <c r="I1249" s="120"/>
      <c r="J1249" s="120"/>
      <c r="K1249" s="120"/>
      <c r="L1249" s="120"/>
    </row>
    <row r="1250" spans="2:14" ht="12" outlineLevel="1" x14ac:dyDescent="0.25">
      <c r="C1250" s="126" t="s">
        <v>1248</v>
      </c>
      <c r="G1250" s="120"/>
      <c r="H1250" s="120"/>
      <c r="I1250" s="120"/>
      <c r="J1250" s="120"/>
      <c r="K1250" s="120"/>
    </row>
    <row r="1251" spans="2:14" outlineLevel="1" x14ac:dyDescent="0.25">
      <c r="C1251" s="102" t="s">
        <v>331</v>
      </c>
    </row>
    <row r="1252" spans="2:14" outlineLevel="1" x14ac:dyDescent="0.25">
      <c r="C1252" s="446">
        <v>2022</v>
      </c>
      <c r="E1252" s="120"/>
      <c r="F1252" s="120"/>
      <c r="G1252" s="120"/>
    </row>
    <row r="1253" spans="2:14" outlineLevel="1" x14ac:dyDescent="0.25">
      <c r="C1253" s="120"/>
      <c r="D1253" s="120"/>
      <c r="E1253" s="120"/>
      <c r="F1253" s="120"/>
      <c r="G1253" s="120"/>
      <c r="H1253" s="120"/>
      <c r="I1253" s="120"/>
      <c r="J1253" s="120"/>
      <c r="K1253" s="120"/>
    </row>
    <row r="1254" spans="2:14" ht="34.5" outlineLevel="1" x14ac:dyDescent="0.25">
      <c r="C1254" s="431" t="s">
        <v>252</v>
      </c>
      <c r="D1254" s="431" t="s">
        <v>387</v>
      </c>
      <c r="E1254" s="431" t="s">
        <v>388</v>
      </c>
      <c r="F1254" s="431" t="s">
        <v>389</v>
      </c>
      <c r="G1254" s="431" t="s">
        <v>390</v>
      </c>
      <c r="H1254" s="431" t="s">
        <v>391</v>
      </c>
      <c r="I1254" s="431" t="s">
        <v>392</v>
      </c>
      <c r="J1254" s="431" t="s">
        <v>1249</v>
      </c>
      <c r="K1254" s="431" t="s">
        <v>1250</v>
      </c>
      <c r="L1254" s="431" t="s">
        <v>393</v>
      </c>
      <c r="M1254" s="431" t="s">
        <v>394</v>
      </c>
      <c r="N1254" s="431" t="s">
        <v>258</v>
      </c>
    </row>
    <row r="1255" spans="2:14" ht="14.5" outlineLevel="1" x14ac:dyDescent="0.35">
      <c r="B1255" s="129">
        <v>1</v>
      </c>
      <c r="C1255" s="434" t="s">
        <v>1054</v>
      </c>
      <c r="D1255" s="695" t="s">
        <v>1247</v>
      </c>
      <c r="E1255" s="695" t="s">
        <v>1247</v>
      </c>
      <c r="F1255" s="695" t="s">
        <v>1247</v>
      </c>
      <c r="G1255" s="695" t="s">
        <v>1247</v>
      </c>
      <c r="H1255" s="695" t="s">
        <v>1247</v>
      </c>
      <c r="I1255" s="695" t="s">
        <v>1247</v>
      </c>
      <c r="J1255" s="695" t="s">
        <v>1247</v>
      </c>
      <c r="K1255" s="695" t="s">
        <v>1247</v>
      </c>
      <c r="L1255" s="562"/>
      <c r="M1255" s="562"/>
      <c r="N1255" s="563"/>
    </row>
    <row r="1256" spans="2:14" ht="14.5" outlineLevel="1" x14ac:dyDescent="0.35">
      <c r="B1256" s="129">
        <v>2</v>
      </c>
      <c r="C1256" s="434" t="s">
        <v>1055</v>
      </c>
      <c r="D1256" s="695" t="s">
        <v>1247</v>
      </c>
      <c r="E1256" s="695" t="s">
        <v>1247</v>
      </c>
      <c r="F1256" s="695" t="s">
        <v>1247</v>
      </c>
      <c r="G1256" s="695" t="s">
        <v>1247</v>
      </c>
      <c r="H1256" s="695" t="s">
        <v>1247</v>
      </c>
      <c r="I1256" s="695" t="s">
        <v>1247</v>
      </c>
      <c r="J1256" s="695" t="s">
        <v>1247</v>
      </c>
      <c r="K1256" s="695" t="s">
        <v>1247</v>
      </c>
      <c r="L1256" s="562"/>
      <c r="M1256" s="562"/>
      <c r="N1256" s="563"/>
    </row>
    <row r="1257" spans="2:14" ht="14.5" outlineLevel="1" x14ac:dyDescent="0.35">
      <c r="B1257" s="129">
        <v>3</v>
      </c>
      <c r="C1257" s="434" t="s">
        <v>1056</v>
      </c>
      <c r="D1257" s="695" t="s">
        <v>1247</v>
      </c>
      <c r="E1257" s="695" t="s">
        <v>1247</v>
      </c>
      <c r="F1257" s="695" t="s">
        <v>1247</v>
      </c>
      <c r="G1257" s="695" t="s">
        <v>1247</v>
      </c>
      <c r="H1257" s="695" t="s">
        <v>1247</v>
      </c>
      <c r="I1257" s="695" t="s">
        <v>1247</v>
      </c>
      <c r="J1257" s="695" t="s">
        <v>1247</v>
      </c>
      <c r="K1257" s="695" t="s">
        <v>1247</v>
      </c>
      <c r="L1257" s="562"/>
      <c r="M1257" s="562"/>
      <c r="N1257" s="563"/>
    </row>
    <row r="1258" spans="2:14" ht="14.5" outlineLevel="1" x14ac:dyDescent="0.35">
      <c r="B1258" s="129">
        <v>4</v>
      </c>
      <c r="C1258" s="434" t="s">
        <v>1057</v>
      </c>
      <c r="D1258" s="695" t="s">
        <v>1247</v>
      </c>
      <c r="E1258" s="695" t="s">
        <v>1247</v>
      </c>
      <c r="F1258" s="695" t="s">
        <v>1247</v>
      </c>
      <c r="G1258" s="695" t="s">
        <v>1247</v>
      </c>
      <c r="H1258" s="695" t="s">
        <v>1247</v>
      </c>
      <c r="I1258" s="695" t="s">
        <v>1247</v>
      </c>
      <c r="J1258" s="695" t="s">
        <v>1247</v>
      </c>
      <c r="K1258" s="695" t="s">
        <v>1247</v>
      </c>
      <c r="L1258" s="562"/>
      <c r="M1258" s="562"/>
      <c r="N1258" s="563"/>
    </row>
    <row r="1259" spans="2:14" ht="14.5" outlineLevel="1" x14ac:dyDescent="0.35">
      <c r="B1259" s="129">
        <v>5</v>
      </c>
      <c r="C1259" s="434" t="s">
        <v>1058</v>
      </c>
      <c r="D1259" s="695" t="s">
        <v>1247</v>
      </c>
      <c r="E1259" s="695" t="s">
        <v>1247</v>
      </c>
      <c r="F1259" s="695" t="s">
        <v>1247</v>
      </c>
      <c r="G1259" s="695" t="s">
        <v>1247</v>
      </c>
      <c r="H1259" s="695" t="s">
        <v>1247</v>
      </c>
      <c r="I1259" s="695" t="s">
        <v>1247</v>
      </c>
      <c r="J1259" s="695" t="s">
        <v>1247</v>
      </c>
      <c r="K1259" s="695" t="s">
        <v>1247</v>
      </c>
      <c r="L1259" s="562"/>
      <c r="M1259" s="562"/>
      <c r="N1259" s="563"/>
    </row>
    <row r="1260" spans="2:14" ht="14.5" outlineLevel="1" x14ac:dyDescent="0.35">
      <c r="B1260" s="129">
        <v>6</v>
      </c>
      <c r="C1260" s="434" t="s">
        <v>948</v>
      </c>
      <c r="D1260" s="695" t="s">
        <v>1247</v>
      </c>
      <c r="E1260" s="695" t="s">
        <v>1247</v>
      </c>
      <c r="F1260" s="695" t="s">
        <v>1247</v>
      </c>
      <c r="G1260" s="695" t="s">
        <v>1247</v>
      </c>
      <c r="H1260" s="695" t="s">
        <v>1247</v>
      </c>
      <c r="I1260" s="695" t="s">
        <v>1247</v>
      </c>
      <c r="J1260" s="695" t="s">
        <v>1247</v>
      </c>
      <c r="K1260" s="695" t="s">
        <v>1247</v>
      </c>
      <c r="L1260" s="562"/>
      <c r="M1260" s="562"/>
      <c r="N1260" s="563"/>
    </row>
    <row r="1261" spans="2:14" ht="14.5" outlineLevel="1" x14ac:dyDescent="0.35">
      <c r="B1261" s="129">
        <v>7</v>
      </c>
      <c r="C1261" s="434" t="s">
        <v>949</v>
      </c>
      <c r="D1261" s="695" t="s">
        <v>1247</v>
      </c>
      <c r="E1261" s="695" t="s">
        <v>1247</v>
      </c>
      <c r="F1261" s="695" t="s">
        <v>1247</v>
      </c>
      <c r="G1261" s="695" t="s">
        <v>1247</v>
      </c>
      <c r="H1261" s="695" t="s">
        <v>1247</v>
      </c>
      <c r="I1261" s="695" t="s">
        <v>1247</v>
      </c>
      <c r="J1261" s="695" t="s">
        <v>1247</v>
      </c>
      <c r="K1261" s="695" t="s">
        <v>1247</v>
      </c>
      <c r="L1261" s="562"/>
      <c r="M1261" s="562"/>
      <c r="N1261" s="563"/>
    </row>
    <row r="1262" spans="2:14" ht="14.5" outlineLevel="1" x14ac:dyDescent="0.35">
      <c r="B1262" s="129">
        <v>8</v>
      </c>
      <c r="C1262" s="434" t="s">
        <v>949</v>
      </c>
      <c r="D1262" s="695" t="s">
        <v>1247</v>
      </c>
      <c r="E1262" s="695" t="s">
        <v>1247</v>
      </c>
      <c r="F1262" s="695" t="s">
        <v>1247</v>
      </c>
      <c r="G1262" s="695" t="s">
        <v>1247</v>
      </c>
      <c r="H1262" s="695" t="s">
        <v>1247</v>
      </c>
      <c r="I1262" s="695" t="s">
        <v>1247</v>
      </c>
      <c r="J1262" s="695" t="s">
        <v>1247</v>
      </c>
      <c r="K1262" s="695" t="s">
        <v>1247</v>
      </c>
      <c r="L1262" s="562"/>
      <c r="M1262" s="562"/>
      <c r="N1262" s="563"/>
    </row>
    <row r="1263" spans="2:14" ht="14.5" outlineLevel="1" x14ac:dyDescent="0.35">
      <c r="B1263" s="129">
        <v>9</v>
      </c>
      <c r="C1263" s="434" t="s">
        <v>200</v>
      </c>
      <c r="D1263" s="695" t="s">
        <v>1247</v>
      </c>
      <c r="E1263" s="695" t="s">
        <v>1247</v>
      </c>
      <c r="F1263" s="695" t="s">
        <v>1247</v>
      </c>
      <c r="G1263" s="695" t="s">
        <v>1247</v>
      </c>
      <c r="H1263" s="695" t="s">
        <v>1247</v>
      </c>
      <c r="I1263" s="695" t="s">
        <v>1247</v>
      </c>
      <c r="J1263" s="695" t="s">
        <v>1247</v>
      </c>
      <c r="K1263" s="695" t="s">
        <v>1247</v>
      </c>
      <c r="L1263" s="562"/>
      <c r="M1263" s="562"/>
      <c r="N1263" s="563"/>
    </row>
    <row r="1264" spans="2:14" ht="14.5" outlineLevel="1" x14ac:dyDescent="0.35">
      <c r="B1264" s="129">
        <v>10</v>
      </c>
      <c r="C1264" s="434" t="s">
        <v>1059</v>
      </c>
      <c r="D1264" s="695" t="s">
        <v>1247</v>
      </c>
      <c r="E1264" s="695" t="s">
        <v>1247</v>
      </c>
      <c r="F1264" s="695" t="s">
        <v>1247</v>
      </c>
      <c r="G1264" s="695" t="s">
        <v>1247</v>
      </c>
      <c r="H1264" s="695" t="s">
        <v>1247</v>
      </c>
      <c r="I1264" s="695" t="s">
        <v>1247</v>
      </c>
      <c r="J1264" s="695" t="s">
        <v>1247</v>
      </c>
      <c r="K1264" s="695" t="s">
        <v>1247</v>
      </c>
      <c r="L1264" s="562"/>
      <c r="M1264" s="562"/>
      <c r="N1264" s="563"/>
    </row>
    <row r="1265" spans="2:14" ht="14.5" outlineLevel="1" x14ac:dyDescent="0.35">
      <c r="B1265" s="129">
        <v>11</v>
      </c>
      <c r="C1265" s="434" t="s">
        <v>1060</v>
      </c>
      <c r="D1265" s="695" t="s">
        <v>1247</v>
      </c>
      <c r="E1265" s="695" t="s">
        <v>1247</v>
      </c>
      <c r="F1265" s="695" t="s">
        <v>1247</v>
      </c>
      <c r="G1265" s="695" t="s">
        <v>1247</v>
      </c>
      <c r="H1265" s="695" t="s">
        <v>1247</v>
      </c>
      <c r="I1265" s="695" t="s">
        <v>1247</v>
      </c>
      <c r="J1265" s="695" t="s">
        <v>1247</v>
      </c>
      <c r="K1265" s="695" t="s">
        <v>1247</v>
      </c>
      <c r="L1265" s="562"/>
      <c r="M1265" s="562"/>
      <c r="N1265" s="563"/>
    </row>
    <row r="1266" spans="2:14" ht="14.5" outlineLevel="1" x14ac:dyDescent="0.35">
      <c r="B1266" s="129">
        <v>12</v>
      </c>
      <c r="C1266" s="434" t="s">
        <v>1061</v>
      </c>
      <c r="D1266" s="695" t="s">
        <v>1247</v>
      </c>
      <c r="E1266" s="695" t="s">
        <v>1247</v>
      </c>
      <c r="F1266" s="695" t="s">
        <v>1247</v>
      </c>
      <c r="G1266" s="695" t="s">
        <v>1247</v>
      </c>
      <c r="H1266" s="695" t="s">
        <v>1247</v>
      </c>
      <c r="I1266" s="695" t="s">
        <v>1247</v>
      </c>
      <c r="J1266" s="695" t="s">
        <v>1247</v>
      </c>
      <c r="K1266" s="695" t="s">
        <v>1247</v>
      </c>
      <c r="L1266" s="562"/>
      <c r="M1266" s="562"/>
      <c r="N1266" s="563"/>
    </row>
    <row r="1267" spans="2:14" ht="14.5" outlineLevel="1" x14ac:dyDescent="0.35">
      <c r="B1267" s="129">
        <v>13</v>
      </c>
      <c r="C1267" s="434" t="s">
        <v>852</v>
      </c>
      <c r="D1267" s="695">
        <v>491226</v>
      </c>
      <c r="E1267" s="695">
        <v>3106490</v>
      </c>
      <c r="F1267" s="695">
        <v>9679</v>
      </c>
      <c r="G1267" s="695">
        <v>77189</v>
      </c>
      <c r="H1267" s="695">
        <v>597</v>
      </c>
      <c r="I1267" s="695">
        <v>5660</v>
      </c>
      <c r="J1267" s="695">
        <v>658847</v>
      </c>
      <c r="K1267" s="695">
        <v>2210107</v>
      </c>
      <c r="L1267" s="562"/>
      <c r="M1267" s="562"/>
      <c r="N1267" s="563"/>
    </row>
    <row r="1268" spans="2:14" ht="14.5" outlineLevel="1" x14ac:dyDescent="0.35">
      <c r="B1268" s="129">
        <v>14</v>
      </c>
      <c r="C1268" s="434" t="s">
        <v>204</v>
      </c>
      <c r="D1268" s="695">
        <v>469931</v>
      </c>
      <c r="E1268" s="695">
        <v>2635083</v>
      </c>
      <c r="F1268" s="695">
        <v>8800</v>
      </c>
      <c r="G1268" s="695">
        <v>71261</v>
      </c>
      <c r="H1268" s="695">
        <v>574</v>
      </c>
      <c r="I1268" s="695">
        <v>6146</v>
      </c>
      <c r="J1268" s="695">
        <v>643577</v>
      </c>
      <c r="K1268" s="695">
        <v>1917429</v>
      </c>
      <c r="L1268" s="562"/>
      <c r="M1268" s="562"/>
      <c r="N1268" s="563"/>
    </row>
    <row r="1269" spans="2:14" ht="14.5" outlineLevel="1" x14ac:dyDescent="0.35">
      <c r="B1269" s="129">
        <v>15</v>
      </c>
      <c r="C1269" s="434" t="s">
        <v>797</v>
      </c>
      <c r="D1269" s="695">
        <v>1741562</v>
      </c>
      <c r="E1269" s="695">
        <v>10626244</v>
      </c>
      <c r="F1269" s="695">
        <v>109176</v>
      </c>
      <c r="G1269" s="695">
        <v>1071949</v>
      </c>
      <c r="H1269" s="695">
        <v>5022</v>
      </c>
      <c r="I1269" s="695">
        <v>69612</v>
      </c>
      <c r="J1269" s="695">
        <v>2496981</v>
      </c>
      <c r="K1269" s="695">
        <v>8104955</v>
      </c>
      <c r="L1269" s="562"/>
      <c r="M1269" s="562"/>
      <c r="N1269" s="563"/>
    </row>
    <row r="1270" spans="2:14" ht="14.5" outlineLevel="1" x14ac:dyDescent="0.35">
      <c r="B1270" s="129">
        <v>16</v>
      </c>
      <c r="C1270" s="434" t="s">
        <v>798</v>
      </c>
      <c r="D1270" s="695">
        <v>1482053</v>
      </c>
      <c r="E1270" s="695">
        <v>5196631</v>
      </c>
      <c r="F1270" s="695">
        <v>59234</v>
      </c>
      <c r="G1270" s="695">
        <v>494361</v>
      </c>
      <c r="H1270" s="695">
        <v>2537</v>
      </c>
      <c r="I1270" s="695">
        <v>32126</v>
      </c>
      <c r="J1270" s="695">
        <v>1498550</v>
      </c>
      <c r="K1270" s="695">
        <v>3383970</v>
      </c>
      <c r="L1270" s="562"/>
      <c r="M1270" s="562"/>
      <c r="N1270" s="563"/>
    </row>
    <row r="1271" spans="2:14" ht="14.5" outlineLevel="1" x14ac:dyDescent="0.35">
      <c r="B1271" s="129">
        <v>17</v>
      </c>
      <c r="C1271" s="434" t="s">
        <v>205</v>
      </c>
      <c r="D1271" s="695">
        <v>7625577</v>
      </c>
      <c r="E1271" s="695">
        <v>42607798</v>
      </c>
      <c r="F1271" s="695">
        <v>397779</v>
      </c>
      <c r="G1271" s="695">
        <v>2847172</v>
      </c>
      <c r="H1271" s="695">
        <v>41286</v>
      </c>
      <c r="I1271" s="695">
        <v>383579</v>
      </c>
      <c r="J1271" s="695">
        <v>7905915</v>
      </c>
      <c r="K1271" s="695">
        <v>26774441</v>
      </c>
      <c r="L1271" s="562"/>
      <c r="M1271" s="562"/>
      <c r="N1271" s="563"/>
    </row>
    <row r="1272" spans="2:14" ht="14.5" outlineLevel="1" x14ac:dyDescent="0.35">
      <c r="B1272" s="129">
        <v>18</v>
      </c>
      <c r="C1272" s="434" t="s">
        <v>708</v>
      </c>
      <c r="D1272" s="695">
        <v>25500202</v>
      </c>
      <c r="E1272" s="695">
        <v>236908867</v>
      </c>
      <c r="F1272" s="695">
        <v>2141234</v>
      </c>
      <c r="G1272" s="695">
        <v>13566762</v>
      </c>
      <c r="H1272" s="695">
        <v>181210</v>
      </c>
      <c r="I1272" s="695">
        <v>1911991</v>
      </c>
      <c r="J1272" s="695">
        <v>40950672</v>
      </c>
      <c r="K1272" s="695">
        <v>133154255</v>
      </c>
      <c r="L1272" s="562"/>
      <c r="M1272" s="562"/>
      <c r="N1272" s="563"/>
    </row>
    <row r="1273" spans="2:14" ht="14.5" outlineLevel="1" x14ac:dyDescent="0.35">
      <c r="B1273" s="129">
        <v>19</v>
      </c>
      <c r="C1273" s="434" t="s">
        <v>206</v>
      </c>
      <c r="D1273" s="695">
        <v>7156869</v>
      </c>
      <c r="E1273" s="695">
        <v>11826372</v>
      </c>
      <c r="F1273" s="695">
        <v>110627</v>
      </c>
      <c r="G1273" s="695">
        <v>163760</v>
      </c>
      <c r="H1273" s="695">
        <v>22790</v>
      </c>
      <c r="I1273" s="695">
        <v>55003</v>
      </c>
      <c r="J1273" s="695">
        <v>7734381</v>
      </c>
      <c r="K1273" s="695">
        <v>9566647</v>
      </c>
      <c r="L1273" s="562"/>
      <c r="M1273" s="562"/>
      <c r="N1273" s="563"/>
    </row>
    <row r="1274" spans="2:14" ht="14.5" outlineLevel="1" x14ac:dyDescent="0.35">
      <c r="B1274" s="129">
        <v>20</v>
      </c>
      <c r="C1274" s="434" t="s">
        <v>799</v>
      </c>
      <c r="D1274" s="695">
        <v>16858</v>
      </c>
      <c r="E1274" s="695">
        <v>119969</v>
      </c>
      <c r="F1274" s="695">
        <v>1164</v>
      </c>
      <c r="G1274" s="695">
        <v>8642</v>
      </c>
      <c r="H1274" s="695">
        <v>28</v>
      </c>
      <c r="I1274" s="695">
        <v>405</v>
      </c>
      <c r="J1274" s="695">
        <v>13312</v>
      </c>
      <c r="K1274" s="695">
        <v>26835</v>
      </c>
      <c r="L1274" s="562"/>
      <c r="M1274" s="562"/>
      <c r="N1274" s="563"/>
    </row>
    <row r="1275" spans="2:14" ht="14.5" outlineLevel="1" x14ac:dyDescent="0.35">
      <c r="B1275" s="129">
        <v>21</v>
      </c>
      <c r="C1275" s="434" t="s">
        <v>853</v>
      </c>
      <c r="D1275" s="695">
        <v>484845</v>
      </c>
      <c r="E1275" s="695">
        <v>2956887</v>
      </c>
      <c r="F1275" s="695">
        <v>6162</v>
      </c>
      <c r="G1275" s="695">
        <v>57709</v>
      </c>
      <c r="H1275" s="695">
        <v>516</v>
      </c>
      <c r="I1275" s="695">
        <v>7099</v>
      </c>
      <c r="J1275" s="695">
        <v>482967</v>
      </c>
      <c r="K1275" s="695">
        <v>1713240</v>
      </c>
      <c r="L1275" s="562"/>
      <c r="M1275" s="562"/>
      <c r="N1275" s="563"/>
    </row>
    <row r="1276" spans="2:14" ht="14.5" outlineLevel="1" x14ac:dyDescent="0.35">
      <c r="B1276" s="129">
        <v>22</v>
      </c>
      <c r="C1276" s="434" t="s">
        <v>207</v>
      </c>
      <c r="D1276" s="695">
        <v>7385478</v>
      </c>
      <c r="E1276" s="695">
        <v>17378973</v>
      </c>
      <c r="F1276" s="695">
        <v>167192</v>
      </c>
      <c r="G1276" s="695">
        <v>378190</v>
      </c>
      <c r="H1276" s="695">
        <v>22117</v>
      </c>
      <c r="I1276" s="695">
        <v>131788</v>
      </c>
      <c r="J1276" s="695">
        <v>6173545</v>
      </c>
      <c r="K1276" s="695">
        <v>12895173</v>
      </c>
      <c r="L1276" s="562"/>
      <c r="M1276" s="562"/>
      <c r="N1276" s="563"/>
    </row>
    <row r="1277" spans="2:14" ht="14.5" outlineLevel="1" x14ac:dyDescent="0.35">
      <c r="B1277" s="129">
        <v>23</v>
      </c>
      <c r="C1277" s="434" t="s">
        <v>367</v>
      </c>
      <c r="D1277" s="695">
        <v>3565078</v>
      </c>
      <c r="E1277" s="695">
        <v>6554368</v>
      </c>
      <c r="F1277" s="695">
        <v>106876</v>
      </c>
      <c r="G1277" s="695">
        <v>199832</v>
      </c>
      <c r="H1277" s="695">
        <v>11161</v>
      </c>
      <c r="I1277" s="695">
        <v>38845</v>
      </c>
      <c r="J1277" s="695">
        <v>3192041</v>
      </c>
      <c r="K1277" s="695">
        <v>5672006</v>
      </c>
      <c r="L1277" s="562"/>
      <c r="M1277" s="562"/>
      <c r="N1277" s="563"/>
    </row>
    <row r="1278" spans="2:14" ht="14.5" outlineLevel="1" x14ac:dyDescent="0.35">
      <c r="B1278" s="129">
        <v>24</v>
      </c>
      <c r="C1278" s="434" t="s">
        <v>1067</v>
      </c>
      <c r="D1278" s="695">
        <v>777869</v>
      </c>
      <c r="E1278" s="695">
        <v>4254951</v>
      </c>
      <c r="F1278" s="695">
        <v>49740</v>
      </c>
      <c r="G1278" s="695">
        <v>257303</v>
      </c>
      <c r="H1278" s="695">
        <v>3232</v>
      </c>
      <c r="I1278" s="695">
        <v>27233</v>
      </c>
      <c r="J1278" s="695">
        <v>618051</v>
      </c>
      <c r="K1278" s="695">
        <v>2372212</v>
      </c>
      <c r="L1278" s="562"/>
      <c r="M1278" s="562"/>
      <c r="N1278" s="563"/>
    </row>
    <row r="1279" spans="2:14" ht="14.5" outlineLevel="1" x14ac:dyDescent="0.35">
      <c r="B1279" s="129">
        <v>25</v>
      </c>
      <c r="C1279" s="434" t="s">
        <v>800</v>
      </c>
      <c r="D1279" s="695">
        <v>1744534</v>
      </c>
      <c r="E1279" s="695">
        <v>3039878</v>
      </c>
      <c r="F1279" s="695">
        <v>32772</v>
      </c>
      <c r="G1279" s="695">
        <v>59680</v>
      </c>
      <c r="H1279" s="695">
        <v>3929</v>
      </c>
      <c r="I1279" s="695">
        <v>16948</v>
      </c>
      <c r="J1279" s="695">
        <v>1092026</v>
      </c>
      <c r="K1279" s="695">
        <v>1409048</v>
      </c>
      <c r="L1279" s="562"/>
      <c r="M1279" s="562"/>
      <c r="N1279" s="563"/>
    </row>
    <row r="1280" spans="2:14" ht="14.5" outlineLevel="1" x14ac:dyDescent="0.35">
      <c r="B1280" s="129">
        <v>26</v>
      </c>
      <c r="C1280" s="434" t="s">
        <v>801</v>
      </c>
      <c r="D1280" s="695">
        <v>440977</v>
      </c>
      <c r="E1280" s="695">
        <v>1000093</v>
      </c>
      <c r="F1280" s="695">
        <v>10690</v>
      </c>
      <c r="G1280" s="695">
        <v>17351</v>
      </c>
      <c r="H1280" s="695">
        <v>945</v>
      </c>
      <c r="I1280" s="695">
        <v>5447</v>
      </c>
      <c r="J1280" s="695">
        <v>330853</v>
      </c>
      <c r="K1280" s="695">
        <v>404003</v>
      </c>
      <c r="L1280" s="562"/>
      <c r="M1280" s="562"/>
      <c r="N1280" s="563"/>
    </row>
    <row r="1281" spans="2:14" ht="14.5" outlineLevel="1" x14ac:dyDescent="0.35">
      <c r="B1281" s="129">
        <v>27</v>
      </c>
      <c r="C1281" s="434" t="s">
        <v>830</v>
      </c>
      <c r="D1281" s="695">
        <v>317850</v>
      </c>
      <c r="E1281" s="695">
        <v>716821</v>
      </c>
      <c r="F1281" s="695">
        <v>11308</v>
      </c>
      <c r="G1281" s="695">
        <v>20652</v>
      </c>
      <c r="H1281" s="695">
        <v>1439</v>
      </c>
      <c r="I1281" s="695">
        <v>4061</v>
      </c>
      <c r="J1281" s="695">
        <v>333384</v>
      </c>
      <c r="K1281" s="695">
        <v>608592</v>
      </c>
      <c r="L1281" s="562"/>
      <c r="M1281" s="562"/>
      <c r="N1281" s="563"/>
    </row>
    <row r="1282" spans="2:14" ht="14.5" outlineLevel="1" x14ac:dyDescent="0.35">
      <c r="B1282" s="129">
        <v>28</v>
      </c>
      <c r="C1282" s="434" t="s">
        <v>201</v>
      </c>
      <c r="D1282" s="695">
        <v>485155</v>
      </c>
      <c r="E1282" s="695">
        <v>1115117</v>
      </c>
      <c r="F1282" s="695">
        <v>3769</v>
      </c>
      <c r="G1282" s="695">
        <v>9795</v>
      </c>
      <c r="H1282" s="695">
        <v>2072</v>
      </c>
      <c r="I1282" s="695">
        <v>11596</v>
      </c>
      <c r="J1282" s="695">
        <v>863712</v>
      </c>
      <c r="K1282" s="695">
        <v>914545</v>
      </c>
      <c r="L1282" s="562"/>
      <c r="M1282" s="562"/>
      <c r="N1282" s="563"/>
    </row>
    <row r="1283" spans="2:14" ht="14.5" outlineLevel="1" x14ac:dyDescent="0.35">
      <c r="B1283" s="129">
        <v>29</v>
      </c>
      <c r="C1283" s="434" t="s">
        <v>202</v>
      </c>
      <c r="D1283" s="695">
        <v>153186</v>
      </c>
      <c r="E1283" s="695">
        <v>205574</v>
      </c>
      <c r="F1283" s="695">
        <v>1068</v>
      </c>
      <c r="G1283" s="695">
        <v>1754</v>
      </c>
      <c r="H1283" s="695">
        <v>430</v>
      </c>
      <c r="I1283" s="695">
        <v>2920</v>
      </c>
      <c r="J1283" s="695">
        <v>163173</v>
      </c>
      <c r="K1283" s="695">
        <v>310286</v>
      </c>
      <c r="L1283" s="562"/>
      <c r="M1283" s="562"/>
      <c r="N1283" s="563"/>
    </row>
    <row r="1284" spans="2:14" ht="14.5" outlineLevel="1" x14ac:dyDescent="0.35">
      <c r="B1284" s="129">
        <v>30</v>
      </c>
      <c r="C1284" s="434" t="s">
        <v>203</v>
      </c>
      <c r="D1284" s="695">
        <v>128764</v>
      </c>
      <c r="E1284" s="695">
        <v>318690</v>
      </c>
      <c r="F1284" s="695">
        <v>742</v>
      </c>
      <c r="G1284" s="695">
        <v>2719</v>
      </c>
      <c r="H1284" s="695">
        <v>489</v>
      </c>
      <c r="I1284" s="695">
        <v>2800</v>
      </c>
      <c r="J1284" s="695">
        <v>159734</v>
      </c>
      <c r="K1284" s="695">
        <v>298573</v>
      </c>
      <c r="L1284" s="562"/>
      <c r="M1284" s="562"/>
      <c r="N1284" s="563"/>
    </row>
    <row r="1285" spans="2:14" ht="14.5" outlineLevel="1" x14ac:dyDescent="0.35">
      <c r="B1285" s="129">
        <v>31</v>
      </c>
      <c r="C1285" s="434" t="s">
        <v>854</v>
      </c>
      <c r="D1285" s="695">
        <v>1453002</v>
      </c>
      <c r="E1285" s="695">
        <v>7361020</v>
      </c>
      <c r="F1285" s="695">
        <v>68272</v>
      </c>
      <c r="G1285" s="695">
        <v>425926</v>
      </c>
      <c r="H1285" s="695">
        <v>5523</v>
      </c>
      <c r="I1285" s="695">
        <v>50729</v>
      </c>
      <c r="J1285" s="695">
        <v>2208842</v>
      </c>
      <c r="K1285" s="695">
        <v>9010884</v>
      </c>
      <c r="L1285" s="562"/>
      <c r="M1285" s="562"/>
      <c r="N1285" s="563"/>
    </row>
    <row r="1286" spans="2:14" ht="14.5" outlineLevel="1" x14ac:dyDescent="0.35">
      <c r="B1286" s="129">
        <v>32</v>
      </c>
      <c r="C1286" s="434" t="s">
        <v>855</v>
      </c>
      <c r="D1286" s="695">
        <v>1088115</v>
      </c>
      <c r="E1286" s="695">
        <v>6448383</v>
      </c>
      <c r="F1286" s="695">
        <v>54583</v>
      </c>
      <c r="G1286" s="695">
        <v>380261</v>
      </c>
      <c r="H1286" s="695">
        <v>4125</v>
      </c>
      <c r="I1286" s="695">
        <v>37865</v>
      </c>
      <c r="J1286" s="695">
        <v>1788402</v>
      </c>
      <c r="K1286" s="695">
        <v>6615509</v>
      </c>
      <c r="L1286" s="562"/>
      <c r="M1286" s="562"/>
      <c r="N1286" s="563"/>
    </row>
    <row r="1287" spans="2:14" ht="14.5" outlineLevel="1" x14ac:dyDescent="0.35">
      <c r="B1287" s="129">
        <v>33</v>
      </c>
      <c r="C1287" s="434" t="s">
        <v>856</v>
      </c>
      <c r="D1287" s="695">
        <v>672258</v>
      </c>
      <c r="E1287" s="695">
        <v>3223812</v>
      </c>
      <c r="F1287" s="695">
        <v>17861</v>
      </c>
      <c r="G1287" s="695">
        <v>238039</v>
      </c>
      <c r="H1287" s="695">
        <v>1989</v>
      </c>
      <c r="I1287" s="695">
        <v>16468</v>
      </c>
      <c r="J1287" s="695">
        <v>961583</v>
      </c>
      <c r="K1287" s="695">
        <v>2971841</v>
      </c>
      <c r="L1287" s="562"/>
      <c r="M1287" s="562"/>
      <c r="N1287" s="563"/>
    </row>
    <row r="1288" spans="2:14" ht="14.5" outlineLevel="1" x14ac:dyDescent="0.35">
      <c r="B1288" s="129">
        <v>34</v>
      </c>
      <c r="C1288" s="434" t="s">
        <v>857</v>
      </c>
      <c r="D1288" s="695">
        <v>203250</v>
      </c>
      <c r="E1288" s="695">
        <v>1667001</v>
      </c>
      <c r="F1288" s="695">
        <v>6894</v>
      </c>
      <c r="G1288" s="695">
        <v>84479</v>
      </c>
      <c r="H1288" s="695">
        <v>464</v>
      </c>
      <c r="I1288" s="695">
        <v>5807</v>
      </c>
      <c r="J1288" s="695">
        <v>323959</v>
      </c>
      <c r="K1288" s="695">
        <v>1480884</v>
      </c>
      <c r="L1288" s="562"/>
      <c r="M1288" s="562"/>
      <c r="N1288" s="563"/>
    </row>
    <row r="1289" spans="2:14" ht="14.5" outlineLevel="1" x14ac:dyDescent="0.35">
      <c r="B1289" s="129">
        <v>35</v>
      </c>
      <c r="C1289" s="434" t="s">
        <v>858</v>
      </c>
      <c r="D1289" s="695">
        <v>111822</v>
      </c>
      <c r="E1289" s="695">
        <v>688736</v>
      </c>
      <c r="F1289" s="695">
        <v>4468</v>
      </c>
      <c r="G1289" s="695">
        <v>30552</v>
      </c>
      <c r="H1289" s="695">
        <v>259</v>
      </c>
      <c r="I1289" s="695">
        <v>2317</v>
      </c>
      <c r="J1289" s="695">
        <v>143664</v>
      </c>
      <c r="K1289" s="695">
        <v>508681</v>
      </c>
      <c r="L1289" s="562"/>
      <c r="M1289" s="562"/>
      <c r="N1289" s="563"/>
    </row>
    <row r="1290" spans="2:14" ht="14.5" outlineLevel="1" x14ac:dyDescent="0.35">
      <c r="B1290" s="129">
        <v>36</v>
      </c>
      <c r="C1290" s="434" t="s">
        <v>859</v>
      </c>
      <c r="D1290" s="695">
        <v>73272</v>
      </c>
      <c r="E1290" s="695">
        <v>557840</v>
      </c>
      <c r="F1290" s="695">
        <v>3181</v>
      </c>
      <c r="G1290" s="695">
        <v>25650</v>
      </c>
      <c r="H1290" s="695">
        <v>123</v>
      </c>
      <c r="I1290" s="695">
        <v>2044</v>
      </c>
      <c r="J1290" s="695">
        <v>120512</v>
      </c>
      <c r="K1290" s="695">
        <v>380004</v>
      </c>
      <c r="L1290" s="562"/>
      <c r="M1290" s="562"/>
      <c r="N1290" s="563"/>
    </row>
    <row r="1291" spans="2:14" ht="14.5" outlineLevel="1" x14ac:dyDescent="0.35">
      <c r="B1291" s="129">
        <v>37</v>
      </c>
      <c r="C1291" s="434" t="s">
        <v>860</v>
      </c>
      <c r="D1291" s="695">
        <v>49713</v>
      </c>
      <c r="E1291" s="695">
        <v>206808</v>
      </c>
      <c r="F1291" s="695">
        <v>2006</v>
      </c>
      <c r="G1291" s="695">
        <v>14352</v>
      </c>
      <c r="H1291" s="695">
        <v>96</v>
      </c>
      <c r="I1291" s="695">
        <v>626</v>
      </c>
      <c r="J1291" s="695">
        <v>47915</v>
      </c>
      <c r="K1291" s="695">
        <v>235972</v>
      </c>
      <c r="L1291" s="562"/>
      <c r="M1291" s="562"/>
      <c r="N1291" s="563"/>
    </row>
    <row r="1292" spans="2:14" ht="14.5" outlineLevel="1" x14ac:dyDescent="0.35">
      <c r="B1292" s="129">
        <v>38</v>
      </c>
      <c r="C1292" s="434" t="s">
        <v>861</v>
      </c>
      <c r="D1292" s="695">
        <v>302679</v>
      </c>
      <c r="E1292" s="695">
        <v>1902958</v>
      </c>
      <c r="F1292" s="695">
        <v>17410</v>
      </c>
      <c r="G1292" s="695">
        <v>109833</v>
      </c>
      <c r="H1292" s="695">
        <v>356</v>
      </c>
      <c r="I1292" s="695">
        <v>5884</v>
      </c>
      <c r="J1292" s="695">
        <v>260153</v>
      </c>
      <c r="K1292" s="695">
        <v>675590</v>
      </c>
      <c r="L1292" s="562"/>
      <c r="M1292" s="562"/>
      <c r="N1292" s="563"/>
    </row>
    <row r="1293" spans="2:14" ht="14.5" outlineLevel="1" x14ac:dyDescent="0.35">
      <c r="B1293" s="129">
        <v>39</v>
      </c>
      <c r="C1293" s="434" t="s">
        <v>862</v>
      </c>
      <c r="D1293" s="695">
        <v>62509</v>
      </c>
      <c r="E1293" s="695">
        <v>382231</v>
      </c>
      <c r="F1293" s="695">
        <v>2833</v>
      </c>
      <c r="G1293" s="695">
        <v>29472</v>
      </c>
      <c r="H1293" s="695">
        <v>113</v>
      </c>
      <c r="I1293" s="695">
        <v>1257</v>
      </c>
      <c r="J1293" s="695">
        <v>66424</v>
      </c>
      <c r="K1293" s="695">
        <v>215207</v>
      </c>
      <c r="L1293" s="562"/>
      <c r="M1293" s="562"/>
      <c r="N1293" s="563"/>
    </row>
    <row r="1294" spans="2:14" ht="14.5" outlineLevel="1" x14ac:dyDescent="0.35">
      <c r="B1294" s="129">
        <v>40</v>
      </c>
      <c r="C1294" s="434" t="s">
        <v>1068</v>
      </c>
      <c r="D1294" s="695">
        <v>18433</v>
      </c>
      <c r="E1294" s="695">
        <v>127727</v>
      </c>
      <c r="F1294" s="695">
        <v>1097</v>
      </c>
      <c r="G1294" s="695">
        <v>6770</v>
      </c>
      <c r="H1294" s="695">
        <v>36</v>
      </c>
      <c r="I1294" s="695">
        <v>410</v>
      </c>
      <c r="J1294" s="695">
        <v>22817</v>
      </c>
      <c r="K1294" s="695">
        <v>48436</v>
      </c>
      <c r="L1294" s="562"/>
      <c r="M1294" s="562"/>
      <c r="N1294" s="563"/>
    </row>
    <row r="1295" spans="2:14" ht="14.5" outlineLevel="1" x14ac:dyDescent="0.35">
      <c r="B1295" s="129">
        <v>41</v>
      </c>
      <c r="C1295" s="434" t="s">
        <v>1069</v>
      </c>
      <c r="D1295" s="695">
        <v>5576</v>
      </c>
      <c r="E1295" s="695">
        <v>23077</v>
      </c>
      <c r="F1295" s="695">
        <v>214</v>
      </c>
      <c r="G1295" s="695">
        <v>1570</v>
      </c>
      <c r="H1295" s="695">
        <v>5</v>
      </c>
      <c r="I1295" s="695">
        <v>72</v>
      </c>
      <c r="J1295" s="695">
        <v>3810</v>
      </c>
      <c r="K1295" s="695">
        <v>9509</v>
      </c>
      <c r="L1295" s="562"/>
      <c r="M1295" s="562"/>
      <c r="N1295" s="563"/>
    </row>
    <row r="1296" spans="2:14" ht="14.5" outlineLevel="1" x14ac:dyDescent="0.35">
      <c r="B1296" s="129">
        <v>42</v>
      </c>
      <c r="C1296" s="434" t="s">
        <v>1070</v>
      </c>
      <c r="D1296" s="695" t="s">
        <v>1247</v>
      </c>
      <c r="E1296" s="695" t="s">
        <v>1247</v>
      </c>
      <c r="F1296" s="695" t="s">
        <v>1247</v>
      </c>
      <c r="G1296" s="695" t="s">
        <v>1247</v>
      </c>
      <c r="H1296" s="695" t="s">
        <v>1247</v>
      </c>
      <c r="I1296" s="695" t="s">
        <v>1247</v>
      </c>
      <c r="J1296" s="695" t="s">
        <v>1247</v>
      </c>
      <c r="K1296" s="695" t="s">
        <v>1247</v>
      </c>
      <c r="L1296" s="562"/>
      <c r="M1296" s="562"/>
      <c r="N1296" s="563"/>
    </row>
    <row r="1297" spans="2:14" ht="14.5" outlineLevel="1" x14ac:dyDescent="0.35">
      <c r="B1297" s="129">
        <v>43</v>
      </c>
      <c r="C1297" s="434" t="s">
        <v>1071</v>
      </c>
      <c r="D1297" s="695" t="s">
        <v>1247</v>
      </c>
      <c r="E1297" s="695" t="s">
        <v>1247</v>
      </c>
      <c r="F1297" s="695" t="s">
        <v>1247</v>
      </c>
      <c r="G1297" s="695" t="s">
        <v>1247</v>
      </c>
      <c r="H1297" s="695" t="s">
        <v>1247</v>
      </c>
      <c r="I1297" s="695" t="s">
        <v>1247</v>
      </c>
      <c r="J1297" s="695" t="s">
        <v>1247</v>
      </c>
      <c r="K1297" s="695" t="s">
        <v>1247</v>
      </c>
      <c r="L1297" s="562"/>
      <c r="M1297" s="562"/>
      <c r="N1297" s="563"/>
    </row>
    <row r="1298" spans="2:14" ht="14.5" outlineLevel="1" x14ac:dyDescent="0.35">
      <c r="B1298" s="129">
        <v>44</v>
      </c>
      <c r="C1298" s="434" t="s">
        <v>1072</v>
      </c>
      <c r="D1298" s="695" t="s">
        <v>1247</v>
      </c>
      <c r="E1298" s="695" t="s">
        <v>1247</v>
      </c>
      <c r="F1298" s="695" t="s">
        <v>1247</v>
      </c>
      <c r="G1298" s="695" t="s">
        <v>1247</v>
      </c>
      <c r="H1298" s="695" t="s">
        <v>1247</v>
      </c>
      <c r="I1298" s="695" t="s">
        <v>1247</v>
      </c>
      <c r="J1298" s="695" t="s">
        <v>1247</v>
      </c>
      <c r="K1298" s="695" t="s">
        <v>1247</v>
      </c>
      <c r="L1298" s="562"/>
      <c r="M1298" s="562"/>
      <c r="N1298" s="563"/>
    </row>
    <row r="1299" spans="2:14" ht="14.5" outlineLevel="1" x14ac:dyDescent="0.35">
      <c r="B1299" s="129">
        <v>45</v>
      </c>
      <c r="C1299" s="434" t="s">
        <v>1073</v>
      </c>
      <c r="D1299" s="695" t="s">
        <v>1247</v>
      </c>
      <c r="E1299" s="695" t="s">
        <v>1247</v>
      </c>
      <c r="F1299" s="695" t="s">
        <v>1247</v>
      </c>
      <c r="G1299" s="695" t="s">
        <v>1247</v>
      </c>
      <c r="H1299" s="695" t="s">
        <v>1247</v>
      </c>
      <c r="I1299" s="695" t="s">
        <v>1247</v>
      </c>
      <c r="J1299" s="695" t="s">
        <v>1247</v>
      </c>
      <c r="K1299" s="695" t="s">
        <v>1247</v>
      </c>
      <c r="L1299" s="562"/>
      <c r="M1299" s="562"/>
      <c r="N1299" s="563"/>
    </row>
    <row r="1300" spans="2:14" ht="14.5" outlineLevel="1" x14ac:dyDescent="0.35">
      <c r="B1300" s="129">
        <v>46</v>
      </c>
      <c r="C1300" s="434" t="s">
        <v>1074</v>
      </c>
      <c r="D1300" s="695" t="s">
        <v>1247</v>
      </c>
      <c r="E1300" s="695" t="s">
        <v>1247</v>
      </c>
      <c r="F1300" s="695" t="s">
        <v>1247</v>
      </c>
      <c r="G1300" s="695" t="s">
        <v>1247</v>
      </c>
      <c r="H1300" s="695" t="s">
        <v>1247</v>
      </c>
      <c r="I1300" s="695" t="s">
        <v>1247</v>
      </c>
      <c r="J1300" s="695" t="s">
        <v>1247</v>
      </c>
      <c r="K1300" s="695" t="s">
        <v>1247</v>
      </c>
      <c r="L1300" s="562"/>
      <c r="M1300" s="562"/>
      <c r="N1300" s="563"/>
    </row>
    <row r="1301" spans="2:14" ht="14.5" outlineLevel="1" x14ac:dyDescent="0.35">
      <c r="B1301" s="129">
        <v>47</v>
      </c>
      <c r="C1301" s="434" t="s">
        <v>1075</v>
      </c>
      <c r="D1301" s="695" t="s">
        <v>1247</v>
      </c>
      <c r="E1301" s="695" t="s">
        <v>1247</v>
      </c>
      <c r="F1301" s="695" t="s">
        <v>1247</v>
      </c>
      <c r="G1301" s="695" t="s">
        <v>1247</v>
      </c>
      <c r="H1301" s="695" t="s">
        <v>1247</v>
      </c>
      <c r="I1301" s="695" t="s">
        <v>1247</v>
      </c>
      <c r="J1301" s="695" t="s">
        <v>1247</v>
      </c>
      <c r="K1301" s="695" t="s">
        <v>1247</v>
      </c>
      <c r="L1301" s="562"/>
      <c r="M1301" s="562"/>
      <c r="N1301" s="563"/>
    </row>
    <row r="1302" spans="2:14" ht="14.5" outlineLevel="1" x14ac:dyDescent="0.35">
      <c r="B1302" s="129">
        <v>48</v>
      </c>
      <c r="C1302" s="434" t="s">
        <v>1076</v>
      </c>
      <c r="D1302" s="695" t="s">
        <v>1247</v>
      </c>
      <c r="E1302" s="695" t="s">
        <v>1247</v>
      </c>
      <c r="F1302" s="695" t="s">
        <v>1247</v>
      </c>
      <c r="G1302" s="695" t="s">
        <v>1247</v>
      </c>
      <c r="H1302" s="695" t="s">
        <v>1247</v>
      </c>
      <c r="I1302" s="695" t="s">
        <v>1247</v>
      </c>
      <c r="J1302" s="695" t="s">
        <v>1247</v>
      </c>
      <c r="K1302" s="695" t="s">
        <v>1247</v>
      </c>
      <c r="L1302" s="562"/>
      <c r="M1302" s="562"/>
      <c r="N1302" s="563"/>
    </row>
    <row r="1303" spans="2:14" ht="14.5" outlineLevel="1" x14ac:dyDescent="0.35">
      <c r="B1303" s="129">
        <v>49</v>
      </c>
      <c r="C1303" s="434" t="s">
        <v>1077</v>
      </c>
      <c r="D1303" s="695" t="s">
        <v>1247</v>
      </c>
      <c r="E1303" s="695" t="s">
        <v>1247</v>
      </c>
      <c r="F1303" s="695" t="s">
        <v>1247</v>
      </c>
      <c r="G1303" s="695" t="s">
        <v>1247</v>
      </c>
      <c r="H1303" s="695" t="s">
        <v>1247</v>
      </c>
      <c r="I1303" s="695" t="s">
        <v>1247</v>
      </c>
      <c r="J1303" s="695" t="s">
        <v>1247</v>
      </c>
      <c r="K1303" s="695" t="s">
        <v>1247</v>
      </c>
      <c r="L1303" s="562"/>
      <c r="M1303" s="562"/>
      <c r="N1303" s="563"/>
    </row>
    <row r="1304" spans="2:14" ht="14.5" outlineLevel="1" x14ac:dyDescent="0.35">
      <c r="B1304" s="129">
        <v>50</v>
      </c>
      <c r="C1304" s="434" t="s">
        <v>1078</v>
      </c>
      <c r="D1304" s="695" t="s">
        <v>1247</v>
      </c>
      <c r="E1304" s="695" t="s">
        <v>1247</v>
      </c>
      <c r="F1304" s="695" t="s">
        <v>1247</v>
      </c>
      <c r="G1304" s="695" t="s">
        <v>1247</v>
      </c>
      <c r="H1304" s="695" t="s">
        <v>1247</v>
      </c>
      <c r="I1304" s="695" t="s">
        <v>1247</v>
      </c>
      <c r="J1304" s="695" t="s">
        <v>1247</v>
      </c>
      <c r="K1304" s="695" t="s">
        <v>1247</v>
      </c>
      <c r="L1304" s="562"/>
      <c r="M1304" s="562"/>
      <c r="N1304" s="563"/>
    </row>
    <row r="1305" spans="2:14" ht="14.5" outlineLevel="1" x14ac:dyDescent="0.35">
      <c r="B1305" s="129">
        <v>51</v>
      </c>
      <c r="C1305" s="434" t="s">
        <v>1079</v>
      </c>
      <c r="D1305" s="695">
        <v>14456</v>
      </c>
      <c r="E1305" s="695">
        <v>21773</v>
      </c>
      <c r="F1305" s="695">
        <v>377</v>
      </c>
      <c r="G1305" s="695">
        <v>1032</v>
      </c>
      <c r="H1305" s="695">
        <v>94</v>
      </c>
      <c r="I1305" s="695">
        <v>481</v>
      </c>
      <c r="J1305" s="695">
        <v>24881</v>
      </c>
      <c r="K1305" s="695">
        <v>38130</v>
      </c>
      <c r="L1305" s="562"/>
      <c r="M1305" s="562"/>
      <c r="N1305" s="563"/>
    </row>
    <row r="1306" spans="2:14" ht="14.5" outlineLevel="1" x14ac:dyDescent="0.35">
      <c r="B1306" s="129">
        <v>52</v>
      </c>
      <c r="C1306" s="434" t="s">
        <v>1080</v>
      </c>
      <c r="D1306" s="695">
        <v>11199</v>
      </c>
      <c r="E1306" s="695">
        <v>13490</v>
      </c>
      <c r="F1306" s="695">
        <v>290</v>
      </c>
      <c r="G1306" s="695">
        <v>430</v>
      </c>
      <c r="H1306" s="695">
        <v>72</v>
      </c>
      <c r="I1306" s="695">
        <v>330</v>
      </c>
      <c r="J1306" s="695">
        <v>9168</v>
      </c>
      <c r="K1306" s="695">
        <v>20788</v>
      </c>
      <c r="L1306" s="562"/>
      <c r="M1306" s="562"/>
      <c r="N1306" s="563"/>
    </row>
    <row r="1307" spans="2:14" ht="14.5" outlineLevel="1" x14ac:dyDescent="0.35">
      <c r="B1307" s="129">
        <v>53</v>
      </c>
      <c r="C1307" s="434" t="s">
        <v>1081</v>
      </c>
      <c r="D1307" s="695">
        <v>6434</v>
      </c>
      <c r="E1307" s="695">
        <v>15596</v>
      </c>
      <c r="F1307" s="695">
        <v>190</v>
      </c>
      <c r="G1307" s="695">
        <v>522</v>
      </c>
      <c r="H1307" s="695">
        <v>46</v>
      </c>
      <c r="I1307" s="695">
        <v>273</v>
      </c>
      <c r="J1307" s="695">
        <v>13443</v>
      </c>
      <c r="K1307" s="695">
        <v>13441</v>
      </c>
      <c r="L1307" s="562"/>
      <c r="M1307" s="562"/>
      <c r="N1307" s="563"/>
    </row>
    <row r="1308" spans="2:14" ht="14.5" outlineLevel="1" x14ac:dyDescent="0.35">
      <c r="B1308" s="129">
        <v>54</v>
      </c>
      <c r="C1308" s="434" t="s">
        <v>1082</v>
      </c>
      <c r="D1308" s="695">
        <v>12729</v>
      </c>
      <c r="E1308" s="695">
        <v>25056</v>
      </c>
      <c r="F1308" s="695">
        <v>207</v>
      </c>
      <c r="G1308" s="695">
        <v>626</v>
      </c>
      <c r="H1308" s="695">
        <v>65</v>
      </c>
      <c r="I1308" s="695">
        <v>274</v>
      </c>
      <c r="J1308" s="695">
        <v>24147</v>
      </c>
      <c r="K1308" s="695">
        <v>28857</v>
      </c>
      <c r="L1308" s="562"/>
      <c r="M1308" s="562"/>
      <c r="N1308" s="563"/>
    </row>
    <row r="1309" spans="2:14" ht="14.5" outlineLevel="1" x14ac:dyDescent="0.35">
      <c r="B1309" s="129">
        <v>55</v>
      </c>
      <c r="C1309" s="434" t="s">
        <v>1083</v>
      </c>
      <c r="D1309" s="695">
        <v>11007</v>
      </c>
      <c r="E1309" s="695">
        <v>15604</v>
      </c>
      <c r="F1309" s="695">
        <v>120</v>
      </c>
      <c r="G1309" s="695">
        <v>290</v>
      </c>
      <c r="H1309" s="695">
        <v>31</v>
      </c>
      <c r="I1309" s="695">
        <v>132</v>
      </c>
      <c r="J1309" s="695">
        <v>13413</v>
      </c>
      <c r="K1309" s="695">
        <v>13464</v>
      </c>
      <c r="L1309" s="562"/>
      <c r="M1309" s="562"/>
      <c r="N1309" s="563"/>
    </row>
    <row r="1310" spans="2:14" ht="14.5" outlineLevel="1" x14ac:dyDescent="0.35">
      <c r="B1310" s="129">
        <v>56</v>
      </c>
      <c r="C1310" s="434" t="s">
        <v>1084</v>
      </c>
      <c r="D1310" s="695">
        <v>14922</v>
      </c>
      <c r="E1310" s="695">
        <v>24671</v>
      </c>
      <c r="F1310" s="695">
        <v>322</v>
      </c>
      <c r="G1310" s="695">
        <v>673</v>
      </c>
      <c r="H1310" s="695">
        <v>41</v>
      </c>
      <c r="I1310" s="695">
        <v>175</v>
      </c>
      <c r="J1310" s="695">
        <v>12611</v>
      </c>
      <c r="K1310" s="695">
        <v>26260</v>
      </c>
      <c r="L1310" s="562"/>
      <c r="M1310" s="562"/>
      <c r="N1310" s="563"/>
    </row>
    <row r="1311" spans="2:14" ht="14.5" outlineLevel="1" x14ac:dyDescent="0.35">
      <c r="B1311" s="129">
        <v>57</v>
      </c>
      <c r="C1311" s="434" t="s">
        <v>1085</v>
      </c>
      <c r="D1311" s="695">
        <v>20815</v>
      </c>
      <c r="E1311" s="695">
        <v>35321</v>
      </c>
      <c r="F1311" s="695">
        <v>514</v>
      </c>
      <c r="G1311" s="695">
        <v>629</v>
      </c>
      <c r="H1311" s="695">
        <v>58</v>
      </c>
      <c r="I1311" s="695">
        <v>186</v>
      </c>
      <c r="J1311" s="695">
        <v>24777</v>
      </c>
      <c r="K1311" s="695">
        <v>35138</v>
      </c>
      <c r="L1311" s="562"/>
      <c r="M1311" s="562"/>
      <c r="N1311" s="563"/>
    </row>
    <row r="1312" spans="2:14" ht="14.5" outlineLevel="1" x14ac:dyDescent="0.35">
      <c r="B1312" s="129">
        <v>58</v>
      </c>
      <c r="C1312" s="434" t="s">
        <v>1086</v>
      </c>
      <c r="D1312" s="695" t="s">
        <v>1247</v>
      </c>
      <c r="E1312" s="695" t="s">
        <v>1247</v>
      </c>
      <c r="F1312" s="695" t="s">
        <v>1247</v>
      </c>
      <c r="G1312" s="695" t="s">
        <v>1247</v>
      </c>
      <c r="H1312" s="695" t="s">
        <v>1247</v>
      </c>
      <c r="I1312" s="695" t="s">
        <v>1247</v>
      </c>
      <c r="J1312" s="695" t="s">
        <v>1247</v>
      </c>
      <c r="K1312" s="695" t="s">
        <v>1247</v>
      </c>
      <c r="L1312" s="562"/>
      <c r="M1312" s="562"/>
      <c r="N1312" s="563"/>
    </row>
    <row r="1313" spans="2:14" ht="14.5" outlineLevel="1" x14ac:dyDescent="0.35">
      <c r="B1313" s="129">
        <v>59</v>
      </c>
      <c r="C1313" s="434" t="s">
        <v>1087</v>
      </c>
      <c r="D1313" s="695" t="s">
        <v>1247</v>
      </c>
      <c r="E1313" s="695" t="s">
        <v>1247</v>
      </c>
      <c r="F1313" s="695" t="s">
        <v>1247</v>
      </c>
      <c r="G1313" s="695" t="s">
        <v>1247</v>
      </c>
      <c r="H1313" s="695" t="s">
        <v>1247</v>
      </c>
      <c r="I1313" s="695" t="s">
        <v>1247</v>
      </c>
      <c r="J1313" s="695" t="s">
        <v>1247</v>
      </c>
      <c r="K1313" s="695" t="s">
        <v>1247</v>
      </c>
      <c r="L1313" s="562"/>
      <c r="M1313" s="562"/>
      <c r="N1313" s="563"/>
    </row>
    <row r="1314" spans="2:14" ht="14.5" outlineLevel="1" x14ac:dyDescent="0.35">
      <c r="B1314" s="129">
        <v>60</v>
      </c>
      <c r="C1314" s="434" t="s">
        <v>1088</v>
      </c>
      <c r="D1314" s="695" t="s">
        <v>1247</v>
      </c>
      <c r="E1314" s="695" t="s">
        <v>1247</v>
      </c>
      <c r="F1314" s="695" t="s">
        <v>1247</v>
      </c>
      <c r="G1314" s="695" t="s">
        <v>1247</v>
      </c>
      <c r="H1314" s="695" t="s">
        <v>1247</v>
      </c>
      <c r="I1314" s="695" t="s">
        <v>1247</v>
      </c>
      <c r="J1314" s="695" t="s">
        <v>1247</v>
      </c>
      <c r="K1314" s="695" t="s">
        <v>1247</v>
      </c>
      <c r="L1314" s="562"/>
      <c r="M1314" s="562"/>
      <c r="N1314" s="563"/>
    </row>
    <row r="1315" spans="2:14" ht="14.5" outlineLevel="1" x14ac:dyDescent="0.35">
      <c r="B1315" s="129">
        <v>61</v>
      </c>
      <c r="C1315" s="434" t="s">
        <v>1089</v>
      </c>
      <c r="D1315" s="695" t="s">
        <v>1247</v>
      </c>
      <c r="E1315" s="695" t="s">
        <v>1247</v>
      </c>
      <c r="F1315" s="695" t="s">
        <v>1247</v>
      </c>
      <c r="G1315" s="695" t="s">
        <v>1247</v>
      </c>
      <c r="H1315" s="695" t="s">
        <v>1247</v>
      </c>
      <c r="I1315" s="695" t="s">
        <v>1247</v>
      </c>
      <c r="J1315" s="695" t="s">
        <v>1247</v>
      </c>
      <c r="K1315" s="695" t="s">
        <v>1247</v>
      </c>
      <c r="L1315" s="562"/>
      <c r="M1315" s="562"/>
      <c r="N1315" s="563"/>
    </row>
    <row r="1316" spans="2:14" ht="14.5" outlineLevel="1" x14ac:dyDescent="0.35">
      <c r="B1316" s="129">
        <v>62</v>
      </c>
      <c r="C1316" s="434" t="s">
        <v>1090</v>
      </c>
      <c r="D1316" s="695" t="s">
        <v>1247</v>
      </c>
      <c r="E1316" s="695" t="s">
        <v>1247</v>
      </c>
      <c r="F1316" s="695" t="s">
        <v>1247</v>
      </c>
      <c r="G1316" s="695" t="s">
        <v>1247</v>
      </c>
      <c r="H1316" s="695" t="s">
        <v>1247</v>
      </c>
      <c r="I1316" s="695" t="s">
        <v>1247</v>
      </c>
      <c r="J1316" s="695" t="s">
        <v>1247</v>
      </c>
      <c r="K1316" s="695" t="s">
        <v>1247</v>
      </c>
      <c r="L1316" s="562"/>
      <c r="M1316" s="562"/>
      <c r="N1316" s="563"/>
    </row>
    <row r="1317" spans="2:14" ht="14.5" outlineLevel="1" x14ac:dyDescent="0.35">
      <c r="B1317" s="129">
        <v>63</v>
      </c>
      <c r="C1317" s="434" t="s">
        <v>1091</v>
      </c>
      <c r="D1317" s="695" t="s">
        <v>1247</v>
      </c>
      <c r="E1317" s="695" t="s">
        <v>1247</v>
      </c>
      <c r="F1317" s="695" t="s">
        <v>1247</v>
      </c>
      <c r="G1317" s="695" t="s">
        <v>1247</v>
      </c>
      <c r="H1317" s="695" t="s">
        <v>1247</v>
      </c>
      <c r="I1317" s="695" t="s">
        <v>1247</v>
      </c>
      <c r="J1317" s="695" t="s">
        <v>1247</v>
      </c>
      <c r="K1317" s="695" t="s">
        <v>1247</v>
      </c>
      <c r="L1317" s="562"/>
      <c r="M1317" s="562"/>
      <c r="N1317" s="563"/>
    </row>
    <row r="1318" spans="2:14" ht="14.5" outlineLevel="1" x14ac:dyDescent="0.35">
      <c r="B1318" s="129">
        <v>64</v>
      </c>
      <c r="C1318" s="434" t="s">
        <v>1092</v>
      </c>
      <c r="D1318" s="695" t="s">
        <v>1247</v>
      </c>
      <c r="E1318" s="695" t="s">
        <v>1247</v>
      </c>
      <c r="F1318" s="695" t="s">
        <v>1247</v>
      </c>
      <c r="G1318" s="695" t="s">
        <v>1247</v>
      </c>
      <c r="H1318" s="695" t="s">
        <v>1247</v>
      </c>
      <c r="I1318" s="695" t="s">
        <v>1247</v>
      </c>
      <c r="J1318" s="695" t="s">
        <v>1247</v>
      </c>
      <c r="K1318" s="695" t="s">
        <v>1247</v>
      </c>
      <c r="L1318" s="562"/>
      <c r="M1318" s="562"/>
      <c r="N1318" s="563"/>
    </row>
    <row r="1319" spans="2:14" ht="14.5" outlineLevel="1" x14ac:dyDescent="0.35">
      <c r="B1319" s="129">
        <v>65</v>
      </c>
      <c r="C1319" s="434" t="s">
        <v>1093</v>
      </c>
      <c r="D1319" s="695" t="s">
        <v>1247</v>
      </c>
      <c r="E1319" s="695" t="s">
        <v>1247</v>
      </c>
      <c r="F1319" s="695" t="s">
        <v>1247</v>
      </c>
      <c r="G1319" s="695" t="s">
        <v>1247</v>
      </c>
      <c r="H1319" s="695" t="s">
        <v>1247</v>
      </c>
      <c r="I1319" s="695" t="s">
        <v>1247</v>
      </c>
      <c r="J1319" s="695" t="s">
        <v>1247</v>
      </c>
      <c r="K1319" s="695" t="s">
        <v>1247</v>
      </c>
      <c r="L1319" s="562"/>
      <c r="M1319" s="562"/>
      <c r="N1319" s="563"/>
    </row>
    <row r="1320" spans="2:14" ht="14.5" outlineLevel="1" x14ac:dyDescent="0.35">
      <c r="B1320" s="129">
        <v>66</v>
      </c>
      <c r="C1320" s="434" t="s">
        <v>1094</v>
      </c>
      <c r="D1320" s="695" t="s">
        <v>1247</v>
      </c>
      <c r="E1320" s="695" t="s">
        <v>1247</v>
      </c>
      <c r="F1320" s="695" t="s">
        <v>1247</v>
      </c>
      <c r="G1320" s="695" t="s">
        <v>1247</v>
      </c>
      <c r="H1320" s="695" t="s">
        <v>1247</v>
      </c>
      <c r="I1320" s="695" t="s">
        <v>1247</v>
      </c>
      <c r="J1320" s="695" t="s">
        <v>1247</v>
      </c>
      <c r="K1320" s="695" t="s">
        <v>1247</v>
      </c>
      <c r="L1320" s="562"/>
      <c r="M1320" s="562"/>
      <c r="N1320" s="563"/>
    </row>
    <row r="1321" spans="2:14" ht="14.5" outlineLevel="1" x14ac:dyDescent="0.35">
      <c r="B1321" s="129">
        <v>67</v>
      </c>
      <c r="C1321" s="434" t="s">
        <v>1095</v>
      </c>
      <c r="D1321" s="695">
        <v>1449509</v>
      </c>
      <c r="E1321" s="695">
        <v>6158417</v>
      </c>
      <c r="F1321" s="695">
        <v>58128</v>
      </c>
      <c r="G1321" s="695">
        <v>336954</v>
      </c>
      <c r="H1321" s="695">
        <v>6071</v>
      </c>
      <c r="I1321" s="695">
        <v>60763</v>
      </c>
      <c r="J1321" s="695">
        <v>2047448</v>
      </c>
      <c r="K1321" s="695">
        <v>6528501</v>
      </c>
      <c r="L1321" s="562"/>
      <c r="M1321" s="562"/>
      <c r="N1321" s="563"/>
    </row>
    <row r="1322" spans="2:14" ht="14.5" outlineLevel="1" x14ac:dyDescent="0.35">
      <c r="B1322" s="129">
        <v>68</v>
      </c>
      <c r="C1322" s="434" t="s">
        <v>1096</v>
      </c>
      <c r="D1322" s="695">
        <v>162898</v>
      </c>
      <c r="E1322" s="695">
        <v>671829</v>
      </c>
      <c r="F1322" s="695">
        <v>5621</v>
      </c>
      <c r="G1322" s="695">
        <v>27661</v>
      </c>
      <c r="H1322" s="695">
        <v>257</v>
      </c>
      <c r="I1322" s="695">
        <v>2616</v>
      </c>
      <c r="J1322" s="695">
        <v>136121</v>
      </c>
      <c r="K1322" s="695">
        <v>480318</v>
      </c>
      <c r="L1322" s="562"/>
      <c r="M1322" s="562"/>
      <c r="N1322" s="563"/>
    </row>
    <row r="1323" spans="2:14" ht="14.5" outlineLevel="1" x14ac:dyDescent="0.35">
      <c r="B1323" s="129">
        <v>69</v>
      </c>
      <c r="C1323" s="434" t="s">
        <v>1097</v>
      </c>
      <c r="D1323" s="695">
        <v>91276</v>
      </c>
      <c r="E1323" s="695">
        <v>428572</v>
      </c>
      <c r="F1323" s="695">
        <v>3468</v>
      </c>
      <c r="G1323" s="695">
        <v>26651</v>
      </c>
      <c r="H1323" s="695">
        <v>146</v>
      </c>
      <c r="I1323" s="695">
        <v>1499</v>
      </c>
      <c r="J1323" s="695">
        <v>136772</v>
      </c>
      <c r="K1323" s="695">
        <v>387379</v>
      </c>
      <c r="L1323" s="562"/>
      <c r="M1323" s="562"/>
      <c r="N1323" s="563"/>
    </row>
    <row r="1324" spans="2:14" ht="14.5" outlineLevel="1" x14ac:dyDescent="0.35">
      <c r="B1324" s="129">
        <v>70</v>
      </c>
      <c r="C1324" s="434" t="s">
        <v>1098</v>
      </c>
      <c r="D1324" s="695">
        <v>326073</v>
      </c>
      <c r="E1324" s="695">
        <v>1817565</v>
      </c>
      <c r="F1324" s="695">
        <v>21077</v>
      </c>
      <c r="G1324" s="695">
        <v>127225</v>
      </c>
      <c r="H1324" s="695">
        <v>1391</v>
      </c>
      <c r="I1324" s="695">
        <v>12692</v>
      </c>
      <c r="J1324" s="695">
        <v>247685</v>
      </c>
      <c r="K1324" s="695">
        <v>1202789</v>
      </c>
      <c r="L1324" s="562"/>
      <c r="M1324" s="562"/>
      <c r="N1324" s="563"/>
    </row>
    <row r="1325" spans="2:14" ht="14.5" outlineLevel="1" x14ac:dyDescent="0.35">
      <c r="B1325" s="129">
        <v>71</v>
      </c>
      <c r="C1325" s="434" t="s">
        <v>1099</v>
      </c>
      <c r="D1325" s="695">
        <v>48076</v>
      </c>
      <c r="E1325" s="695">
        <v>251904</v>
      </c>
      <c r="F1325" s="695">
        <v>3622</v>
      </c>
      <c r="G1325" s="695">
        <v>17766</v>
      </c>
      <c r="H1325" s="695">
        <v>164</v>
      </c>
      <c r="I1325" s="695">
        <v>2101</v>
      </c>
      <c r="J1325" s="695">
        <v>44563</v>
      </c>
      <c r="K1325" s="695">
        <v>91101</v>
      </c>
      <c r="L1325" s="562"/>
      <c r="M1325" s="562"/>
      <c r="N1325" s="563"/>
    </row>
    <row r="1326" spans="2:14" ht="14.5" outlineLevel="1" x14ac:dyDescent="0.35">
      <c r="B1326" s="129">
        <v>72</v>
      </c>
      <c r="C1326" s="434" t="s">
        <v>1100</v>
      </c>
      <c r="D1326" s="695" t="s">
        <v>1247</v>
      </c>
      <c r="E1326" s="695" t="s">
        <v>1247</v>
      </c>
      <c r="F1326" s="695" t="s">
        <v>1247</v>
      </c>
      <c r="G1326" s="695" t="s">
        <v>1247</v>
      </c>
      <c r="H1326" s="695" t="s">
        <v>1247</v>
      </c>
      <c r="I1326" s="695" t="s">
        <v>1247</v>
      </c>
      <c r="J1326" s="695" t="s">
        <v>1247</v>
      </c>
      <c r="K1326" s="695" t="s">
        <v>1247</v>
      </c>
      <c r="L1326" s="562"/>
      <c r="M1326" s="562"/>
      <c r="N1326" s="563"/>
    </row>
    <row r="1327" spans="2:14" ht="14.5" outlineLevel="1" x14ac:dyDescent="0.35">
      <c r="B1327" s="129">
        <v>73</v>
      </c>
      <c r="C1327" s="434" t="s">
        <v>1101</v>
      </c>
      <c r="D1327" s="695" t="s">
        <v>1247</v>
      </c>
      <c r="E1327" s="695" t="s">
        <v>1247</v>
      </c>
      <c r="F1327" s="695" t="s">
        <v>1247</v>
      </c>
      <c r="G1327" s="695" t="s">
        <v>1247</v>
      </c>
      <c r="H1327" s="695" t="s">
        <v>1247</v>
      </c>
      <c r="I1327" s="695" t="s">
        <v>1247</v>
      </c>
      <c r="J1327" s="695" t="s">
        <v>1247</v>
      </c>
      <c r="K1327" s="695" t="s">
        <v>1247</v>
      </c>
      <c r="L1327" s="562"/>
      <c r="M1327" s="562"/>
      <c r="N1327" s="563"/>
    </row>
    <row r="1328" spans="2:14" ht="14.5" outlineLevel="1" x14ac:dyDescent="0.35">
      <c r="B1328" s="129">
        <v>74</v>
      </c>
      <c r="C1328" s="434" t="s">
        <v>1102</v>
      </c>
      <c r="D1328" s="695" t="s">
        <v>1247</v>
      </c>
      <c r="E1328" s="695" t="s">
        <v>1247</v>
      </c>
      <c r="F1328" s="695" t="s">
        <v>1247</v>
      </c>
      <c r="G1328" s="695" t="s">
        <v>1247</v>
      </c>
      <c r="H1328" s="695" t="s">
        <v>1247</v>
      </c>
      <c r="I1328" s="695" t="s">
        <v>1247</v>
      </c>
      <c r="J1328" s="695" t="s">
        <v>1247</v>
      </c>
      <c r="K1328" s="695" t="s">
        <v>1247</v>
      </c>
      <c r="L1328" s="562"/>
      <c r="M1328" s="562"/>
      <c r="N1328" s="563"/>
    </row>
    <row r="1329" spans="2:14" ht="14.5" outlineLevel="1" x14ac:dyDescent="0.35">
      <c r="B1329" s="129">
        <v>75</v>
      </c>
      <c r="C1329" s="434" t="s">
        <v>1103</v>
      </c>
      <c r="D1329" s="695" t="s">
        <v>1247</v>
      </c>
      <c r="E1329" s="695" t="s">
        <v>1247</v>
      </c>
      <c r="F1329" s="695" t="s">
        <v>1247</v>
      </c>
      <c r="G1329" s="695" t="s">
        <v>1247</v>
      </c>
      <c r="H1329" s="695" t="s">
        <v>1247</v>
      </c>
      <c r="I1329" s="695" t="s">
        <v>1247</v>
      </c>
      <c r="J1329" s="695" t="s">
        <v>1247</v>
      </c>
      <c r="K1329" s="695" t="s">
        <v>1247</v>
      </c>
      <c r="L1329" s="562"/>
      <c r="M1329" s="562"/>
      <c r="N1329" s="563"/>
    </row>
    <row r="1330" spans="2:14" ht="14.5" outlineLevel="1" x14ac:dyDescent="0.35">
      <c r="B1330" s="129">
        <v>76</v>
      </c>
      <c r="C1330" s="434" t="s">
        <v>1104</v>
      </c>
      <c r="D1330" s="695">
        <v>107477</v>
      </c>
      <c r="E1330" s="695">
        <v>765429</v>
      </c>
      <c r="F1330" s="695">
        <v>6687</v>
      </c>
      <c r="G1330" s="695">
        <v>58107</v>
      </c>
      <c r="H1330" s="695">
        <v>368</v>
      </c>
      <c r="I1330" s="695">
        <v>5044</v>
      </c>
      <c r="J1330" s="695">
        <v>219831</v>
      </c>
      <c r="K1330" s="695">
        <v>809067</v>
      </c>
      <c r="L1330" s="562"/>
      <c r="M1330" s="562"/>
      <c r="N1330" s="563"/>
    </row>
    <row r="1331" spans="2:14" ht="14.5" outlineLevel="1" x14ac:dyDescent="0.35">
      <c r="B1331" s="129">
        <v>77</v>
      </c>
      <c r="C1331" s="434" t="s">
        <v>1105</v>
      </c>
      <c r="D1331" s="695">
        <v>145740</v>
      </c>
      <c r="E1331" s="695">
        <v>663923</v>
      </c>
      <c r="F1331" s="695">
        <v>6970</v>
      </c>
      <c r="G1331" s="695">
        <v>41039</v>
      </c>
      <c r="H1331" s="695">
        <v>384</v>
      </c>
      <c r="I1331" s="695">
        <v>5257</v>
      </c>
      <c r="J1331" s="695">
        <v>301854</v>
      </c>
      <c r="K1331" s="695">
        <v>699054</v>
      </c>
      <c r="L1331" s="562"/>
      <c r="M1331" s="562"/>
      <c r="N1331" s="563"/>
    </row>
    <row r="1332" spans="2:14" ht="14.5" outlineLevel="1" x14ac:dyDescent="0.35">
      <c r="B1332" s="129">
        <v>78</v>
      </c>
      <c r="C1332" s="434" t="s">
        <v>1106</v>
      </c>
      <c r="D1332" s="695">
        <v>88547</v>
      </c>
      <c r="E1332" s="695">
        <v>434389</v>
      </c>
      <c r="F1332" s="695">
        <v>5736</v>
      </c>
      <c r="G1332" s="695">
        <v>43095</v>
      </c>
      <c r="H1332" s="695">
        <v>291</v>
      </c>
      <c r="I1332" s="695">
        <v>4101</v>
      </c>
      <c r="J1332" s="695">
        <v>163674</v>
      </c>
      <c r="K1332" s="695">
        <v>564911</v>
      </c>
      <c r="L1332" s="562"/>
      <c r="M1332" s="562"/>
      <c r="N1332" s="563"/>
    </row>
    <row r="1333" spans="2:14" ht="14.5" outlineLevel="1" x14ac:dyDescent="0.35">
      <c r="B1333" s="129">
        <v>79</v>
      </c>
      <c r="C1333" s="434" t="s">
        <v>1107</v>
      </c>
      <c r="D1333" s="695">
        <v>45523</v>
      </c>
      <c r="E1333" s="695">
        <v>179074</v>
      </c>
      <c r="F1333" s="695">
        <v>1067</v>
      </c>
      <c r="G1333" s="695">
        <v>14088</v>
      </c>
      <c r="H1333" s="695">
        <v>112</v>
      </c>
      <c r="I1333" s="695">
        <v>1680</v>
      </c>
      <c r="J1333" s="695">
        <v>80850</v>
      </c>
      <c r="K1333" s="695">
        <v>263234</v>
      </c>
      <c r="L1333" s="562"/>
      <c r="M1333" s="562"/>
      <c r="N1333" s="563"/>
    </row>
    <row r="1334" spans="2:14" ht="14.5" outlineLevel="1" x14ac:dyDescent="0.35">
      <c r="B1334" s="129">
        <v>80</v>
      </c>
      <c r="C1334" s="434" t="s">
        <v>1108</v>
      </c>
      <c r="D1334" s="695">
        <v>27103</v>
      </c>
      <c r="E1334" s="695">
        <v>111407</v>
      </c>
      <c r="F1334" s="695">
        <v>1002</v>
      </c>
      <c r="G1334" s="695">
        <v>6488</v>
      </c>
      <c r="H1334" s="695">
        <v>48</v>
      </c>
      <c r="I1334" s="695">
        <v>856</v>
      </c>
      <c r="J1334" s="695">
        <v>47709</v>
      </c>
      <c r="K1334" s="695">
        <v>129755</v>
      </c>
      <c r="L1334" s="562"/>
      <c r="M1334" s="562"/>
      <c r="N1334" s="563"/>
    </row>
    <row r="1335" spans="2:14" ht="14.5" outlineLevel="1" x14ac:dyDescent="0.35">
      <c r="B1335" s="129">
        <v>81</v>
      </c>
      <c r="C1335" s="434" t="s">
        <v>1109</v>
      </c>
      <c r="D1335" s="695">
        <v>18473</v>
      </c>
      <c r="E1335" s="695">
        <v>82047</v>
      </c>
      <c r="F1335" s="695">
        <v>713</v>
      </c>
      <c r="G1335" s="695">
        <v>8789</v>
      </c>
      <c r="H1335" s="695">
        <v>23</v>
      </c>
      <c r="I1335" s="695">
        <v>279</v>
      </c>
      <c r="J1335" s="695">
        <v>22219</v>
      </c>
      <c r="K1335" s="695">
        <v>75906</v>
      </c>
      <c r="L1335" s="562"/>
      <c r="M1335" s="562"/>
      <c r="N1335" s="563"/>
    </row>
    <row r="1336" spans="2:14" ht="14.5" outlineLevel="1" x14ac:dyDescent="0.35">
      <c r="B1336" s="129">
        <v>82</v>
      </c>
      <c r="C1336" s="434" t="s">
        <v>1110</v>
      </c>
      <c r="D1336" s="695">
        <v>13236</v>
      </c>
      <c r="E1336" s="695">
        <v>73376</v>
      </c>
      <c r="F1336" s="695">
        <v>682</v>
      </c>
      <c r="G1336" s="695">
        <v>4305</v>
      </c>
      <c r="H1336" s="695">
        <v>18</v>
      </c>
      <c r="I1336" s="695">
        <v>125</v>
      </c>
      <c r="J1336" s="695">
        <v>15485</v>
      </c>
      <c r="K1336" s="695">
        <v>46499</v>
      </c>
      <c r="L1336" s="562"/>
      <c r="M1336" s="562"/>
      <c r="N1336" s="563"/>
    </row>
    <row r="1337" spans="2:14" ht="14.5" outlineLevel="1" x14ac:dyDescent="0.35">
      <c r="B1337" s="129">
        <v>83</v>
      </c>
      <c r="C1337" s="434" t="s">
        <v>1111</v>
      </c>
      <c r="D1337" s="695">
        <v>108540</v>
      </c>
      <c r="E1337" s="695">
        <v>551295</v>
      </c>
      <c r="F1337" s="695">
        <v>3048</v>
      </c>
      <c r="G1337" s="695">
        <v>28784</v>
      </c>
      <c r="H1337" s="695">
        <v>197</v>
      </c>
      <c r="I1337" s="695">
        <v>1454</v>
      </c>
      <c r="J1337" s="695">
        <v>86974</v>
      </c>
      <c r="K1337" s="695">
        <v>251883</v>
      </c>
      <c r="L1337" s="562"/>
      <c r="M1337" s="562"/>
      <c r="N1337" s="563"/>
    </row>
    <row r="1338" spans="2:14" ht="14.5" outlineLevel="1" x14ac:dyDescent="0.35">
      <c r="B1338" s="129">
        <v>84</v>
      </c>
      <c r="C1338" s="434" t="s">
        <v>1112</v>
      </c>
      <c r="D1338" s="695">
        <v>14913</v>
      </c>
      <c r="E1338" s="695">
        <v>65729</v>
      </c>
      <c r="F1338" s="695">
        <v>518</v>
      </c>
      <c r="G1338" s="695">
        <v>5385</v>
      </c>
      <c r="H1338" s="695">
        <v>30</v>
      </c>
      <c r="I1338" s="695">
        <v>325</v>
      </c>
      <c r="J1338" s="695">
        <v>11802</v>
      </c>
      <c r="K1338" s="695">
        <v>55793</v>
      </c>
      <c r="L1338" s="562"/>
      <c r="M1338" s="562"/>
      <c r="N1338" s="563"/>
    </row>
    <row r="1339" spans="2:14" ht="14.5" outlineLevel="1" x14ac:dyDescent="0.35">
      <c r="B1339" s="129">
        <v>85</v>
      </c>
      <c r="C1339" s="434" t="s">
        <v>1113</v>
      </c>
      <c r="D1339" s="695">
        <v>10160</v>
      </c>
      <c r="E1339" s="695">
        <v>66121</v>
      </c>
      <c r="F1339" s="695">
        <v>528</v>
      </c>
      <c r="G1339" s="695">
        <v>3614</v>
      </c>
      <c r="H1339" s="695">
        <v>22</v>
      </c>
      <c r="I1339" s="695">
        <v>373</v>
      </c>
      <c r="J1339" s="695">
        <v>8133</v>
      </c>
      <c r="K1339" s="695">
        <v>25202</v>
      </c>
      <c r="L1339" s="562"/>
      <c r="M1339" s="562"/>
      <c r="N1339" s="563"/>
    </row>
    <row r="1340" spans="2:14" ht="14.5" outlineLevel="1" x14ac:dyDescent="0.35">
      <c r="B1340" s="129">
        <v>86</v>
      </c>
      <c r="C1340" s="434" t="s">
        <v>1114</v>
      </c>
      <c r="D1340" s="695">
        <v>1668</v>
      </c>
      <c r="E1340" s="695">
        <v>5772</v>
      </c>
      <c r="F1340" s="695">
        <v>54</v>
      </c>
      <c r="G1340" s="695">
        <v>657</v>
      </c>
      <c r="H1340" s="695">
        <v>3</v>
      </c>
      <c r="I1340" s="695">
        <v>59</v>
      </c>
      <c r="J1340" s="695">
        <v>1100</v>
      </c>
      <c r="K1340" s="695">
        <v>3623</v>
      </c>
      <c r="L1340" s="562"/>
      <c r="M1340" s="562"/>
      <c r="N1340" s="563"/>
    </row>
    <row r="1341" spans="2:14" ht="14.5" outlineLevel="1" x14ac:dyDescent="0.35">
      <c r="B1341" s="129">
        <v>87</v>
      </c>
      <c r="C1341" s="434" t="s">
        <v>1115</v>
      </c>
      <c r="D1341" s="695" t="s">
        <v>1247</v>
      </c>
      <c r="E1341" s="695" t="s">
        <v>1247</v>
      </c>
      <c r="F1341" s="695" t="s">
        <v>1247</v>
      </c>
      <c r="G1341" s="695" t="s">
        <v>1247</v>
      </c>
      <c r="H1341" s="695" t="s">
        <v>1247</v>
      </c>
      <c r="I1341" s="695" t="s">
        <v>1247</v>
      </c>
      <c r="J1341" s="695" t="s">
        <v>1247</v>
      </c>
      <c r="K1341" s="695" t="s">
        <v>1247</v>
      </c>
      <c r="L1341" s="562"/>
      <c r="M1341" s="562"/>
      <c r="N1341" s="563"/>
    </row>
    <row r="1342" spans="2:14" ht="14.5" outlineLevel="1" x14ac:dyDescent="0.35">
      <c r="B1342" s="129">
        <v>88</v>
      </c>
      <c r="C1342" s="434" t="s">
        <v>1116</v>
      </c>
      <c r="D1342" s="695" t="s">
        <v>1247</v>
      </c>
      <c r="E1342" s="695" t="s">
        <v>1247</v>
      </c>
      <c r="F1342" s="695" t="s">
        <v>1247</v>
      </c>
      <c r="G1342" s="695" t="s">
        <v>1247</v>
      </c>
      <c r="H1342" s="695" t="s">
        <v>1247</v>
      </c>
      <c r="I1342" s="695" t="s">
        <v>1247</v>
      </c>
      <c r="J1342" s="695" t="s">
        <v>1247</v>
      </c>
      <c r="K1342" s="695" t="s">
        <v>1247</v>
      </c>
      <c r="L1342" s="562"/>
      <c r="M1342" s="562"/>
      <c r="N1342" s="563"/>
    </row>
    <row r="1343" spans="2:14" ht="14.5" outlineLevel="1" x14ac:dyDescent="0.35">
      <c r="B1343" s="129">
        <v>89</v>
      </c>
      <c r="C1343" s="434" t="s">
        <v>1117</v>
      </c>
      <c r="D1343" s="695" t="s">
        <v>1247</v>
      </c>
      <c r="E1343" s="695" t="s">
        <v>1247</v>
      </c>
      <c r="F1343" s="695" t="s">
        <v>1247</v>
      </c>
      <c r="G1343" s="695" t="s">
        <v>1247</v>
      </c>
      <c r="H1343" s="695" t="s">
        <v>1247</v>
      </c>
      <c r="I1343" s="695" t="s">
        <v>1247</v>
      </c>
      <c r="J1343" s="695" t="s">
        <v>1247</v>
      </c>
      <c r="K1343" s="695" t="s">
        <v>1247</v>
      </c>
      <c r="L1343" s="562"/>
      <c r="M1343" s="562"/>
      <c r="N1343" s="563"/>
    </row>
    <row r="1344" spans="2:14" ht="14.5" x14ac:dyDescent="0.35">
      <c r="B1344" s="129">
        <v>90</v>
      </c>
      <c r="C1344" s="434" t="s">
        <v>1118</v>
      </c>
      <c r="D1344" s="695" t="s">
        <v>1247</v>
      </c>
      <c r="E1344" s="695" t="s">
        <v>1247</v>
      </c>
      <c r="F1344" s="695" t="s">
        <v>1247</v>
      </c>
      <c r="G1344" s="695" t="s">
        <v>1247</v>
      </c>
      <c r="H1344" s="695" t="s">
        <v>1247</v>
      </c>
      <c r="I1344" s="695" t="s">
        <v>1247</v>
      </c>
      <c r="J1344" s="695" t="s">
        <v>1247</v>
      </c>
      <c r="K1344" s="695" t="s">
        <v>1247</v>
      </c>
      <c r="L1344" s="562"/>
      <c r="M1344" s="562"/>
      <c r="N1344" s="563"/>
    </row>
    <row r="1345" spans="2:14" ht="14.5" x14ac:dyDescent="0.35">
      <c r="B1345" s="129">
        <v>91</v>
      </c>
      <c r="C1345" s="434" t="s">
        <v>1119</v>
      </c>
      <c r="D1345" s="695" t="s">
        <v>1247</v>
      </c>
      <c r="E1345" s="695" t="s">
        <v>1247</v>
      </c>
      <c r="F1345" s="695" t="s">
        <v>1247</v>
      </c>
      <c r="G1345" s="695" t="s">
        <v>1247</v>
      </c>
      <c r="H1345" s="695" t="s">
        <v>1247</v>
      </c>
      <c r="I1345" s="695" t="s">
        <v>1247</v>
      </c>
      <c r="J1345" s="695" t="s">
        <v>1247</v>
      </c>
      <c r="K1345" s="695" t="s">
        <v>1247</v>
      </c>
      <c r="L1345" s="562"/>
      <c r="M1345" s="562"/>
      <c r="N1345" s="563"/>
    </row>
    <row r="1346" spans="2:14" ht="14.5" x14ac:dyDescent="0.35">
      <c r="B1346" s="129">
        <v>92</v>
      </c>
      <c r="C1346" s="434" t="s">
        <v>1120</v>
      </c>
      <c r="D1346" s="695" t="s">
        <v>1247</v>
      </c>
      <c r="E1346" s="695" t="s">
        <v>1247</v>
      </c>
      <c r="F1346" s="695" t="s">
        <v>1247</v>
      </c>
      <c r="G1346" s="695" t="s">
        <v>1247</v>
      </c>
      <c r="H1346" s="695" t="s">
        <v>1247</v>
      </c>
      <c r="I1346" s="695" t="s">
        <v>1247</v>
      </c>
      <c r="J1346" s="695" t="s">
        <v>1247</v>
      </c>
      <c r="K1346" s="695" t="s">
        <v>1247</v>
      </c>
      <c r="L1346" s="562"/>
      <c r="M1346" s="562"/>
      <c r="N1346" s="563"/>
    </row>
    <row r="1347" spans="2:14" ht="14.5" x14ac:dyDescent="0.35">
      <c r="B1347" s="129">
        <v>93</v>
      </c>
      <c r="C1347" s="434" t="s">
        <v>1121</v>
      </c>
      <c r="D1347" s="695" t="s">
        <v>1247</v>
      </c>
      <c r="E1347" s="695" t="s">
        <v>1247</v>
      </c>
      <c r="F1347" s="695" t="s">
        <v>1247</v>
      </c>
      <c r="G1347" s="695" t="s">
        <v>1247</v>
      </c>
      <c r="H1347" s="695" t="s">
        <v>1247</v>
      </c>
      <c r="I1347" s="695" t="s">
        <v>1247</v>
      </c>
      <c r="J1347" s="695" t="s">
        <v>1247</v>
      </c>
      <c r="K1347" s="695" t="s">
        <v>1247</v>
      </c>
      <c r="L1347" s="562"/>
      <c r="M1347" s="562"/>
      <c r="N1347" s="563"/>
    </row>
    <row r="1348" spans="2:14" ht="14.5" x14ac:dyDescent="0.35">
      <c r="B1348" s="129">
        <v>94</v>
      </c>
      <c r="C1348" s="434" t="s">
        <v>1122</v>
      </c>
      <c r="D1348" s="695" t="s">
        <v>1247</v>
      </c>
      <c r="E1348" s="695" t="s">
        <v>1247</v>
      </c>
      <c r="F1348" s="695" t="s">
        <v>1247</v>
      </c>
      <c r="G1348" s="695" t="s">
        <v>1247</v>
      </c>
      <c r="H1348" s="695" t="s">
        <v>1247</v>
      </c>
      <c r="I1348" s="695" t="s">
        <v>1247</v>
      </c>
      <c r="J1348" s="695" t="s">
        <v>1247</v>
      </c>
      <c r="K1348" s="695" t="s">
        <v>1247</v>
      </c>
      <c r="L1348" s="562"/>
      <c r="M1348" s="562"/>
      <c r="N1348" s="563"/>
    </row>
    <row r="1349" spans="2:14" ht="14.5" x14ac:dyDescent="0.35">
      <c r="B1349" s="129">
        <v>95</v>
      </c>
      <c r="C1349" s="434" t="s">
        <v>1123</v>
      </c>
      <c r="D1349" s="695" t="s">
        <v>1247</v>
      </c>
      <c r="E1349" s="695" t="s">
        <v>1247</v>
      </c>
      <c r="F1349" s="695" t="s">
        <v>1247</v>
      </c>
      <c r="G1349" s="695" t="s">
        <v>1247</v>
      </c>
      <c r="H1349" s="695" t="s">
        <v>1247</v>
      </c>
      <c r="I1349" s="695" t="s">
        <v>1247</v>
      </c>
      <c r="J1349" s="695" t="s">
        <v>1247</v>
      </c>
      <c r="K1349" s="695" t="s">
        <v>1247</v>
      </c>
      <c r="L1349" s="562"/>
      <c r="M1349" s="562"/>
      <c r="N1349" s="563"/>
    </row>
    <row r="1350" spans="2:14" ht="14.5" x14ac:dyDescent="0.35">
      <c r="B1350" s="129">
        <v>96</v>
      </c>
      <c r="C1350" s="277" t="s">
        <v>817</v>
      </c>
      <c r="D1350" s="695">
        <v>81820</v>
      </c>
      <c r="E1350" s="695">
        <v>170994</v>
      </c>
      <c r="F1350" s="695">
        <v>712</v>
      </c>
      <c r="G1350" s="695">
        <v>2210</v>
      </c>
      <c r="H1350" s="695">
        <v>85</v>
      </c>
      <c r="I1350" s="695">
        <v>305</v>
      </c>
      <c r="J1350" s="695">
        <v>93152</v>
      </c>
      <c r="K1350" s="695">
        <v>94894</v>
      </c>
      <c r="L1350" s="562"/>
      <c r="M1350" s="562"/>
      <c r="N1350" s="563"/>
    </row>
    <row r="1351" spans="2:14" ht="14.5" x14ac:dyDescent="0.35">
      <c r="B1351" s="129">
        <v>97</v>
      </c>
      <c r="C1351" s="277" t="s">
        <v>818</v>
      </c>
      <c r="D1351" s="695">
        <v>229932</v>
      </c>
      <c r="E1351" s="695">
        <v>305204</v>
      </c>
      <c r="F1351" s="695">
        <v>1516</v>
      </c>
      <c r="G1351" s="695">
        <v>3974</v>
      </c>
      <c r="H1351" s="695">
        <v>172</v>
      </c>
      <c r="I1351" s="695">
        <v>1113</v>
      </c>
      <c r="J1351" s="695">
        <v>95158</v>
      </c>
      <c r="K1351" s="695">
        <v>135369</v>
      </c>
      <c r="L1351" s="562"/>
      <c r="M1351" s="562"/>
      <c r="N1351" s="563"/>
    </row>
    <row r="1352" spans="2:14" ht="14.5" x14ac:dyDescent="0.35">
      <c r="B1352" s="129">
        <v>98</v>
      </c>
      <c r="C1352" s="277" t="s">
        <v>1043</v>
      </c>
      <c r="D1352" s="695">
        <v>216948</v>
      </c>
      <c r="E1352" s="695">
        <v>351047</v>
      </c>
      <c r="F1352" s="695">
        <v>1845</v>
      </c>
      <c r="G1352" s="695">
        <v>2704</v>
      </c>
      <c r="H1352" s="695">
        <v>184</v>
      </c>
      <c r="I1352" s="695">
        <v>573</v>
      </c>
      <c r="J1352" s="695">
        <v>96236</v>
      </c>
      <c r="K1352" s="695">
        <v>130342</v>
      </c>
      <c r="L1352" s="562"/>
      <c r="M1352" s="562"/>
      <c r="N1352" s="563"/>
    </row>
    <row r="1353" spans="2:14" ht="14.5" x14ac:dyDescent="0.35">
      <c r="B1353" s="129">
        <v>99</v>
      </c>
      <c r="C1353" s="277" t="s">
        <v>844</v>
      </c>
      <c r="D1353" s="695">
        <v>139530</v>
      </c>
      <c r="E1353" s="695">
        <v>162893</v>
      </c>
      <c r="F1353" s="695">
        <v>705</v>
      </c>
      <c r="G1353" s="695">
        <v>1476</v>
      </c>
      <c r="H1353" s="695">
        <v>73</v>
      </c>
      <c r="I1353" s="695">
        <v>537</v>
      </c>
      <c r="J1353" s="695">
        <v>39272</v>
      </c>
      <c r="K1353" s="695">
        <v>44568</v>
      </c>
      <c r="L1353" s="562"/>
      <c r="M1353" s="562"/>
      <c r="N1353" s="563"/>
    </row>
    <row r="1354" spans="2:14" ht="14.5" x14ac:dyDescent="0.35">
      <c r="B1354" s="129">
        <v>100</v>
      </c>
      <c r="C1354" s="277" t="s">
        <v>845</v>
      </c>
      <c r="D1354" s="695">
        <v>34237</v>
      </c>
      <c r="E1354" s="695">
        <v>60459</v>
      </c>
      <c r="F1354" s="695">
        <v>1129</v>
      </c>
      <c r="G1354" s="695">
        <v>1483</v>
      </c>
      <c r="H1354" s="695">
        <v>258</v>
      </c>
      <c r="I1354" s="695">
        <v>848</v>
      </c>
      <c r="J1354" s="695">
        <v>35720</v>
      </c>
      <c r="K1354" s="695">
        <v>66818</v>
      </c>
      <c r="L1354" s="562"/>
      <c r="M1354" s="562"/>
      <c r="N1354" s="563"/>
    </row>
    <row r="1355" spans="2:14" ht="14.5" x14ac:dyDescent="0.35">
      <c r="B1355" s="129">
        <v>101</v>
      </c>
      <c r="C1355" s="277" t="s">
        <v>846</v>
      </c>
      <c r="D1355" s="695">
        <v>28426</v>
      </c>
      <c r="E1355" s="695">
        <v>37577</v>
      </c>
      <c r="F1355" s="695">
        <v>537</v>
      </c>
      <c r="G1355" s="695">
        <v>1096</v>
      </c>
      <c r="H1355" s="695">
        <v>66</v>
      </c>
      <c r="I1355" s="695">
        <v>353</v>
      </c>
      <c r="J1355" s="695">
        <v>15539</v>
      </c>
      <c r="K1355" s="695">
        <v>27595</v>
      </c>
      <c r="L1355" s="562"/>
      <c r="M1355" s="562"/>
      <c r="N1355" s="563"/>
    </row>
    <row r="1356" spans="2:14" ht="14.5" x14ac:dyDescent="0.35">
      <c r="B1356" s="129">
        <v>102</v>
      </c>
      <c r="C1356" s="277" t="s">
        <v>1239</v>
      </c>
      <c r="D1356" s="695">
        <v>50</v>
      </c>
      <c r="E1356" s="695">
        <v>62</v>
      </c>
      <c r="F1356" s="695">
        <v>0</v>
      </c>
      <c r="G1356" s="695">
        <v>0</v>
      </c>
      <c r="H1356" s="695">
        <v>0</v>
      </c>
      <c r="I1356" s="695">
        <v>0</v>
      </c>
      <c r="J1356" s="695">
        <v>14</v>
      </c>
      <c r="K1356" s="695">
        <v>16</v>
      </c>
      <c r="L1356" s="562"/>
      <c r="M1356" s="562"/>
      <c r="N1356" s="563"/>
    </row>
    <row r="1357" spans="2:14" ht="14.5" x14ac:dyDescent="0.35">
      <c r="B1357" s="129">
        <v>103</v>
      </c>
      <c r="C1357" s="277" t="s">
        <v>1045</v>
      </c>
      <c r="D1357" s="695">
        <v>48</v>
      </c>
      <c r="E1357" s="695">
        <v>101</v>
      </c>
      <c r="F1357" s="695">
        <v>0</v>
      </c>
      <c r="G1357" s="695">
        <v>0</v>
      </c>
      <c r="H1357" s="695">
        <v>0</v>
      </c>
      <c r="I1357" s="695">
        <v>0</v>
      </c>
      <c r="J1357" s="695">
        <v>16</v>
      </c>
      <c r="K1357" s="695">
        <v>25</v>
      </c>
      <c r="L1357" s="562"/>
      <c r="M1357" s="562"/>
      <c r="N1357" s="563"/>
    </row>
    <row r="1358" spans="2:14" ht="14.5" x14ac:dyDescent="0.35">
      <c r="B1358" s="129">
        <v>104</v>
      </c>
      <c r="C1358" s="277" t="s">
        <v>1046</v>
      </c>
      <c r="D1358" s="695">
        <v>65</v>
      </c>
      <c r="E1358" s="695">
        <v>96</v>
      </c>
      <c r="F1358" s="695">
        <v>0</v>
      </c>
      <c r="G1358" s="695">
        <v>0</v>
      </c>
      <c r="H1358" s="695">
        <v>0</v>
      </c>
      <c r="I1358" s="695">
        <v>0</v>
      </c>
      <c r="J1358" s="695">
        <v>16</v>
      </c>
      <c r="K1358" s="695">
        <v>29</v>
      </c>
      <c r="L1358" s="562"/>
      <c r="M1358" s="562"/>
      <c r="N1358" s="563"/>
    </row>
    <row r="1359" spans="2:14" ht="14.5" x14ac:dyDescent="0.35">
      <c r="B1359" s="129">
        <v>105</v>
      </c>
      <c r="C1359" s="277" t="s">
        <v>1047</v>
      </c>
      <c r="D1359" s="695">
        <v>135</v>
      </c>
      <c r="E1359" s="695">
        <v>279</v>
      </c>
      <c r="F1359" s="695">
        <v>0</v>
      </c>
      <c r="G1359" s="695">
        <v>0</v>
      </c>
      <c r="H1359" s="695">
        <v>0</v>
      </c>
      <c r="I1359" s="695">
        <v>0</v>
      </c>
      <c r="J1359" s="695">
        <v>440</v>
      </c>
      <c r="K1359" s="695">
        <v>522</v>
      </c>
      <c r="L1359" s="562"/>
      <c r="M1359" s="562"/>
      <c r="N1359" s="563"/>
    </row>
    <row r="1360" spans="2:14" ht="14.5" x14ac:dyDescent="0.35">
      <c r="B1360" s="129">
        <v>106</v>
      </c>
      <c r="C1360" s="277" t="s">
        <v>1048</v>
      </c>
      <c r="D1360" s="695">
        <v>70</v>
      </c>
      <c r="E1360" s="695">
        <v>118</v>
      </c>
      <c r="F1360" s="695">
        <v>0</v>
      </c>
      <c r="G1360" s="695">
        <v>0</v>
      </c>
      <c r="H1360" s="695">
        <v>0</v>
      </c>
      <c r="I1360" s="695">
        <v>0</v>
      </c>
      <c r="J1360" s="695">
        <v>107</v>
      </c>
      <c r="K1360" s="695">
        <v>198</v>
      </c>
      <c r="L1360" s="562"/>
      <c r="M1360" s="562"/>
      <c r="N1360" s="563"/>
    </row>
    <row r="1361" spans="1:116" ht="14.5" x14ac:dyDescent="0.35">
      <c r="B1361" s="129">
        <v>107</v>
      </c>
      <c r="C1361" s="277" t="s">
        <v>1049</v>
      </c>
      <c r="D1361" s="695">
        <v>1041</v>
      </c>
      <c r="E1361" s="695">
        <v>1623</v>
      </c>
      <c r="F1361" s="695">
        <v>17</v>
      </c>
      <c r="G1361" s="695">
        <v>32</v>
      </c>
      <c r="H1361" s="695">
        <v>0</v>
      </c>
      <c r="I1361" s="695">
        <v>0</v>
      </c>
      <c r="J1361" s="695">
        <v>494</v>
      </c>
      <c r="K1361" s="695">
        <v>793</v>
      </c>
      <c r="L1361" s="562"/>
      <c r="M1361" s="562"/>
      <c r="N1361" s="563"/>
    </row>
    <row r="1362" spans="1:116" ht="14.5" x14ac:dyDescent="0.35">
      <c r="B1362" s="129">
        <v>108</v>
      </c>
      <c r="C1362" s="277" t="s">
        <v>1050</v>
      </c>
      <c r="D1362" s="695">
        <v>700</v>
      </c>
      <c r="E1362" s="695">
        <v>1675</v>
      </c>
      <c r="F1362" s="695">
        <v>14</v>
      </c>
      <c r="G1362" s="695">
        <v>38</v>
      </c>
      <c r="H1362" s="695">
        <v>0</v>
      </c>
      <c r="I1362" s="695">
        <v>0</v>
      </c>
      <c r="J1362" s="695">
        <v>705</v>
      </c>
      <c r="K1362" s="695">
        <v>658</v>
      </c>
      <c r="L1362" s="562"/>
      <c r="M1362" s="562"/>
      <c r="N1362" s="563"/>
    </row>
    <row r="1363" spans="1:116" ht="14.5" hidden="1" x14ac:dyDescent="0.35">
      <c r="B1363" s="129">
        <v>109</v>
      </c>
      <c r="C1363" s="277" t="s">
        <v>252</v>
      </c>
      <c r="D1363" s="345"/>
      <c r="E1363" s="345"/>
      <c r="F1363" s="345"/>
      <c r="G1363" s="345"/>
      <c r="H1363" s="345"/>
      <c r="I1363" s="345"/>
      <c r="J1363" s="345"/>
      <c r="K1363" s="345"/>
      <c r="L1363" s="345"/>
      <c r="M1363" s="345"/>
      <c r="N1363" s="345"/>
    </row>
    <row r="1364" spans="1:116" ht="14.5" x14ac:dyDescent="0.35">
      <c r="B1364" s="129"/>
      <c r="L1364" s="120"/>
      <c r="M1364" s="120"/>
      <c r="N1364" s="120"/>
    </row>
    <row r="1365" spans="1:116" x14ac:dyDescent="0.25">
      <c r="B1365" s="120"/>
      <c r="C1365" s="120" t="s">
        <v>291</v>
      </c>
      <c r="I1365" s="120"/>
      <c r="J1365" s="120"/>
      <c r="K1365" s="120"/>
      <c r="L1365" s="120"/>
      <c r="M1365" s="120"/>
      <c r="N1365" s="120"/>
    </row>
    <row r="1367" spans="1:116" x14ac:dyDescent="0.25">
      <c r="B1367" s="120"/>
      <c r="C1367" s="102" t="s">
        <v>331</v>
      </c>
      <c r="D1367" s="120"/>
      <c r="E1367" s="120"/>
    </row>
    <row r="1368" spans="1:116" x14ac:dyDescent="0.25">
      <c r="B1368" s="120"/>
      <c r="C1368" s="452">
        <v>2022</v>
      </c>
      <c r="D1368" s="120"/>
      <c r="E1368" s="120"/>
      <c r="BW1368" s="430"/>
    </row>
    <row r="1369" spans="1:116" x14ac:dyDescent="0.25">
      <c r="B1369" s="120"/>
      <c r="C1369" s="120"/>
      <c r="D1369" s="120"/>
      <c r="E1369" s="120"/>
    </row>
    <row r="1370" spans="1:116" ht="23" x14ac:dyDescent="0.25">
      <c r="B1370" s="120"/>
      <c r="C1370" s="431" t="s">
        <v>166</v>
      </c>
      <c r="D1370" s="431" t="s">
        <v>395</v>
      </c>
      <c r="E1370" s="431" t="s">
        <v>258</v>
      </c>
      <c r="BX1370" s="430"/>
      <c r="BY1370" s="430"/>
      <c r="BZ1370" s="430"/>
      <c r="CA1370" s="430"/>
      <c r="CB1370" s="430"/>
      <c r="CC1370" s="430"/>
      <c r="CD1370" s="430"/>
      <c r="CE1370" s="430"/>
      <c r="CF1370" s="430"/>
      <c r="CG1370" s="430"/>
    </row>
    <row r="1371" spans="1:116" ht="14.5" x14ac:dyDescent="0.35">
      <c r="B1371" s="129">
        <v>1</v>
      </c>
      <c r="C1371" s="453" t="s">
        <v>396</v>
      </c>
      <c r="D1371" s="690">
        <v>4</v>
      </c>
      <c r="E1371" s="345"/>
    </row>
    <row r="1372" spans="1:116" ht="23" x14ac:dyDescent="0.35">
      <c r="B1372" s="129">
        <v>2</v>
      </c>
      <c r="C1372" s="453" t="s">
        <v>397</v>
      </c>
      <c r="D1372" s="690">
        <v>10</v>
      </c>
      <c r="E1372" s="345"/>
      <c r="CH1372" s="430"/>
      <c r="CI1372" s="430"/>
      <c r="CJ1372" s="430"/>
      <c r="CK1372" s="430"/>
      <c r="CL1372" s="430"/>
      <c r="CM1372" s="430"/>
      <c r="CN1372" s="430"/>
      <c r="CO1372" s="430"/>
      <c r="CP1372" s="430"/>
      <c r="CQ1372" s="430"/>
      <c r="CR1372" s="430"/>
      <c r="CS1372" s="430"/>
      <c r="CT1372" s="430"/>
      <c r="CU1372" s="430"/>
      <c r="CV1372" s="430"/>
      <c r="CW1372" s="430"/>
      <c r="CX1372" s="430"/>
      <c r="CY1372" s="430"/>
      <c r="CZ1372" s="430"/>
      <c r="DA1372" s="430"/>
      <c r="DB1372" s="430"/>
      <c r="DC1372" s="430"/>
      <c r="DD1372" s="430"/>
      <c r="DE1372" s="430"/>
      <c r="DF1372" s="430"/>
      <c r="DG1372" s="430"/>
      <c r="DH1372" s="430"/>
      <c r="DI1372" s="430"/>
      <c r="DJ1372" s="430"/>
      <c r="DK1372" s="430"/>
      <c r="DL1372" s="430"/>
    </row>
    <row r="1373" spans="1:116" ht="14.5" x14ac:dyDescent="0.35">
      <c r="B1373" s="129">
        <v>3</v>
      </c>
      <c r="C1373" s="453" t="s">
        <v>398</v>
      </c>
      <c r="D1373" s="690">
        <v>7</v>
      </c>
      <c r="E1373" s="345"/>
    </row>
    <row r="1374" spans="1:116" ht="23" x14ac:dyDescent="0.35">
      <c r="B1374" s="129">
        <v>4</v>
      </c>
      <c r="C1374" s="453" t="s">
        <v>1252</v>
      </c>
      <c r="D1374" s="690">
        <v>2</v>
      </c>
      <c r="E1374" s="345"/>
    </row>
    <row r="1376" spans="1:116" ht="15.5" x14ac:dyDescent="0.25">
      <c r="A1376" s="429" t="s">
        <v>425</v>
      </c>
      <c r="B1376" s="429" t="s">
        <v>400</v>
      </c>
      <c r="C1376" s="429"/>
      <c r="D1376" s="430"/>
      <c r="E1376" s="430"/>
      <c r="F1376" s="430"/>
      <c r="G1376" s="430"/>
      <c r="H1376" s="430"/>
      <c r="I1376" s="430"/>
      <c r="J1376" s="430"/>
      <c r="K1376" s="430"/>
      <c r="L1376" s="430"/>
      <c r="M1376" s="430"/>
      <c r="N1376" s="430"/>
      <c r="O1376" s="430"/>
      <c r="P1376" s="430"/>
      <c r="Q1376" s="430"/>
      <c r="R1376" s="430"/>
      <c r="S1376" s="430"/>
      <c r="T1376" s="430"/>
      <c r="U1376" s="430"/>
      <c r="V1376" s="430"/>
      <c r="W1376" s="430"/>
      <c r="X1376" s="430"/>
      <c r="Y1376" s="430"/>
      <c r="Z1376" s="430"/>
      <c r="AA1376" s="430"/>
      <c r="AB1376" s="430"/>
      <c r="AC1376" s="430"/>
      <c r="AD1376" s="430"/>
      <c r="AE1376" s="430"/>
      <c r="AF1376" s="430"/>
      <c r="AG1376" s="430"/>
      <c r="AH1376" s="430"/>
      <c r="AI1376" s="430"/>
      <c r="AJ1376" s="430"/>
      <c r="AK1376" s="430"/>
      <c r="AL1376" s="430"/>
      <c r="AM1376" s="430"/>
      <c r="AN1376" s="430"/>
      <c r="AO1376" s="430"/>
      <c r="AP1376" s="430"/>
      <c r="AQ1376" s="430"/>
      <c r="AR1376" s="430"/>
      <c r="AS1376" s="430"/>
      <c r="AT1376" s="430"/>
      <c r="AU1376" s="430"/>
      <c r="AV1376" s="430"/>
      <c r="AW1376" s="430"/>
      <c r="AX1376" s="430"/>
      <c r="AY1376" s="430"/>
      <c r="AZ1376" s="430"/>
      <c r="BA1376" s="430"/>
      <c r="BB1376" s="430"/>
      <c r="BC1376" s="430"/>
      <c r="BD1376" s="430"/>
      <c r="BE1376" s="430"/>
      <c r="BF1376" s="430"/>
      <c r="BG1376" s="430"/>
      <c r="BH1376" s="430"/>
      <c r="BI1376" s="430"/>
      <c r="BJ1376" s="430"/>
      <c r="BK1376" s="430"/>
      <c r="BL1376" s="430"/>
      <c r="BM1376" s="430"/>
      <c r="BN1376" s="430"/>
      <c r="BO1376" s="430"/>
      <c r="BP1376" s="430"/>
      <c r="BQ1376" s="430"/>
      <c r="BR1376" s="430"/>
      <c r="BS1376" s="430"/>
      <c r="BT1376" s="430"/>
      <c r="BU1376" s="430"/>
      <c r="BV1376" s="430"/>
    </row>
  </sheetData>
  <autoFilter ref="A245:EV334" xr:uid="{DD6553A8-765A-4C66-ADC4-EDC9B3B1884C}">
    <filterColumn colId="3">
      <filters>
        <filter val="Residencial"/>
        <filter val="Residencial y No Residencial"/>
      </filters>
    </filterColumn>
  </autoFilter>
  <dataConsolidate/>
  <mergeCells count="25">
    <mergeCell ref="F765:I765"/>
    <mergeCell ref="J765:M765"/>
    <mergeCell ref="AX470:BG470"/>
    <mergeCell ref="BH470:BN470"/>
    <mergeCell ref="F593:H593"/>
    <mergeCell ref="I593:K593"/>
    <mergeCell ref="H470:I470"/>
    <mergeCell ref="J470:L470"/>
    <mergeCell ref="M470:N470"/>
    <mergeCell ref="O470:T470"/>
    <mergeCell ref="U470:AC470"/>
    <mergeCell ref="AT470:AW470"/>
    <mergeCell ref="BO470:BS470"/>
    <mergeCell ref="BJ469:BS469"/>
    <mergeCell ref="C6:F6"/>
    <mergeCell ref="C123:F123"/>
    <mergeCell ref="G244:H244"/>
    <mergeCell ref="I244:J244"/>
    <mergeCell ref="H347:I347"/>
    <mergeCell ref="J347:L347"/>
    <mergeCell ref="M347:N347"/>
    <mergeCell ref="O347:T347"/>
    <mergeCell ref="U347:AC347"/>
    <mergeCell ref="AD347:AK347"/>
    <mergeCell ref="AW469:BI469"/>
  </mergeCells>
  <conditionalFormatting sqref="R350 R352:T355 R538:S538 R550:T558 R357:T383 T349:T351 R507:T537 R472:T503 R404:T456 R561:T580 R539:T547">
    <cfRule type="expression" dxfId="747" priority="745">
      <formula>$Q349="No"</formula>
    </cfRule>
  </conditionalFormatting>
  <conditionalFormatting sqref="S233:AJ233 J115:M115 J93 J82 L82 L93 O85 O115:AJ115 O101 O98 O96 O94 O92 O90 O87 R84 R86 R88:R89 R91 R95 R97 R99:R100 AE82:AJ101 M218 T217:T219 P219:Q219 J216:K219 Q216:R216 S216:S219 U191:V219 X191:Y219 AA191:AB219 AD191:AD219">
    <cfRule type="expression" dxfId="746" priority="746">
      <formula>$I82="No"</formula>
    </cfRule>
  </conditionalFormatting>
  <conditionalFormatting sqref="AL82:AL84">
    <cfRule type="expression" dxfId="745" priority="741">
      <formula>$AK82="No"</formula>
    </cfRule>
    <cfRule type="expression" dxfId="744" priority="743">
      <formula>$AK82="No"</formula>
    </cfRule>
    <cfRule type="expression" dxfId="743" priority="744">
      <formula>$AK82="No"</formula>
    </cfRule>
  </conditionalFormatting>
  <conditionalFormatting sqref="AL85:AL86">
    <cfRule type="expression" dxfId="742" priority="742">
      <formula>$AK$85="No"</formula>
    </cfRule>
  </conditionalFormatting>
  <conditionalFormatting sqref="AL89:AN115 AL82:AL88 AL233:AN233 AL191:AN218 AP191:AS215 AL155:AN174 AP155:AS174">
    <cfRule type="expression" dxfId="741" priority="740">
      <formula>$AK82="No"</formula>
    </cfRule>
  </conditionalFormatting>
  <conditionalFormatting sqref="AP115:AS115 AP233:AS233 AP216:AS218 BO443:BO456">
    <cfRule type="expression" dxfId="740" priority="739">
      <formula>$AO115="No"</formula>
    </cfRule>
  </conditionalFormatting>
  <conditionalFormatting sqref="AL216:AN217">
    <cfRule type="expression" dxfId="739" priority="738">
      <formula>$AK$85="No"</formula>
    </cfRule>
  </conditionalFormatting>
  <conditionalFormatting sqref="R384:T403">
    <cfRule type="expression" dxfId="738" priority="737">
      <formula>$Q384="No"</formula>
    </cfRule>
  </conditionalFormatting>
  <conditionalFormatting sqref="S505:S506">
    <cfRule type="expression" dxfId="737" priority="736">
      <formula>$Q505="No"</formula>
    </cfRule>
  </conditionalFormatting>
  <conditionalFormatting sqref="O83">
    <cfRule type="expression" dxfId="736" priority="735">
      <formula>$I83="No"</formula>
    </cfRule>
  </conditionalFormatting>
  <conditionalFormatting sqref="M83">
    <cfRule type="expression" dxfId="735" priority="734">
      <formula>$I83="No"</formula>
    </cfRule>
  </conditionalFormatting>
  <conditionalFormatting sqref="M85">
    <cfRule type="expression" dxfId="734" priority="733">
      <formula>$I85="No"</formula>
    </cfRule>
  </conditionalFormatting>
  <conditionalFormatting sqref="M87">
    <cfRule type="expression" dxfId="733" priority="732">
      <formula>$I87="No"</formula>
    </cfRule>
  </conditionalFormatting>
  <conditionalFormatting sqref="M90">
    <cfRule type="expression" dxfId="732" priority="731">
      <formula>$I90="No"</formula>
    </cfRule>
  </conditionalFormatting>
  <conditionalFormatting sqref="M92">
    <cfRule type="expression" dxfId="731" priority="730">
      <formula>$I92="No"</formula>
    </cfRule>
  </conditionalFormatting>
  <conditionalFormatting sqref="M94">
    <cfRule type="expression" dxfId="730" priority="729">
      <formula>$I94="No"</formula>
    </cfRule>
  </conditionalFormatting>
  <conditionalFormatting sqref="M96">
    <cfRule type="expression" dxfId="729" priority="728">
      <formula>$I96="No"</formula>
    </cfRule>
  </conditionalFormatting>
  <conditionalFormatting sqref="M98">
    <cfRule type="expression" dxfId="728" priority="727">
      <formula>$I98="No"</formula>
    </cfRule>
  </conditionalFormatting>
  <conditionalFormatting sqref="M101">
    <cfRule type="expression" dxfId="727" priority="726">
      <formula>$I101="No"</formula>
    </cfRule>
  </conditionalFormatting>
  <conditionalFormatting sqref="N115">
    <cfRule type="expression" dxfId="726" priority="725">
      <formula>$I115="No"</formula>
    </cfRule>
  </conditionalFormatting>
  <conditionalFormatting sqref="P84">
    <cfRule type="expression" dxfId="725" priority="724">
      <formula>$I84="No"</formula>
    </cfRule>
  </conditionalFormatting>
  <conditionalFormatting sqref="P86">
    <cfRule type="expression" dxfId="724" priority="723">
      <formula>$I86="No"</formula>
    </cfRule>
  </conditionalFormatting>
  <conditionalFormatting sqref="P88">
    <cfRule type="expression" dxfId="723" priority="722">
      <formula>$I88="No"</formula>
    </cfRule>
  </conditionalFormatting>
  <conditionalFormatting sqref="P89">
    <cfRule type="expression" dxfId="722" priority="721">
      <formula>$I89="No"</formula>
    </cfRule>
  </conditionalFormatting>
  <conditionalFormatting sqref="P91">
    <cfRule type="expression" dxfId="721" priority="720">
      <formula>$I91="No"</formula>
    </cfRule>
  </conditionalFormatting>
  <conditionalFormatting sqref="P95">
    <cfRule type="expression" dxfId="720" priority="719">
      <formula>$I95="No"</formula>
    </cfRule>
  </conditionalFormatting>
  <conditionalFormatting sqref="P97">
    <cfRule type="expression" dxfId="719" priority="718">
      <formula>$I97="No"</formula>
    </cfRule>
  </conditionalFormatting>
  <conditionalFormatting sqref="P99">
    <cfRule type="expression" dxfId="718" priority="717">
      <formula>$I99="No"</formula>
    </cfRule>
  </conditionalFormatting>
  <conditionalFormatting sqref="P100">
    <cfRule type="expression" dxfId="717" priority="716">
      <formula>$I100="No"</formula>
    </cfRule>
  </conditionalFormatting>
  <conditionalFormatting sqref="W82">
    <cfRule type="expression" dxfId="716" priority="715">
      <formula>$I82="No"</formula>
    </cfRule>
  </conditionalFormatting>
  <conditionalFormatting sqref="W83 W85 W87 W90 W92:W94 W96 W98 W101">
    <cfRule type="expression" dxfId="715" priority="714">
      <formula>$I83="No"</formula>
    </cfRule>
  </conditionalFormatting>
  <conditionalFormatting sqref="W84">
    <cfRule type="expression" dxfId="714" priority="713">
      <formula>$I84="No"</formula>
    </cfRule>
  </conditionalFormatting>
  <conditionalFormatting sqref="W86">
    <cfRule type="expression" dxfId="713" priority="712">
      <formula>$I86="No"</formula>
    </cfRule>
  </conditionalFormatting>
  <conditionalFormatting sqref="W88:W89">
    <cfRule type="expression" dxfId="712" priority="711">
      <formula>$I88="No"</formula>
    </cfRule>
  </conditionalFormatting>
  <conditionalFormatting sqref="W91">
    <cfRule type="expression" dxfId="711" priority="710">
      <formula>$I91="No"</formula>
    </cfRule>
  </conditionalFormatting>
  <conditionalFormatting sqref="W95">
    <cfRule type="expression" dxfId="710" priority="709">
      <formula>$I95="No"</formula>
    </cfRule>
  </conditionalFormatting>
  <conditionalFormatting sqref="W97">
    <cfRule type="expression" dxfId="709" priority="708">
      <formula>$I97="No"</formula>
    </cfRule>
  </conditionalFormatting>
  <conditionalFormatting sqref="W99:W100">
    <cfRule type="expression" dxfId="708" priority="707">
      <formula>$I99="No"</formula>
    </cfRule>
  </conditionalFormatting>
  <conditionalFormatting sqref="Z82">
    <cfRule type="expression" dxfId="707" priority="706">
      <formula>$I82="No"</formula>
    </cfRule>
  </conditionalFormatting>
  <conditionalFormatting sqref="Z83 Z85 Z87 Z90 Z92:Z94 Z96 Z98 Z101">
    <cfRule type="expression" dxfId="706" priority="705">
      <formula>$I83="No"</formula>
    </cfRule>
  </conditionalFormatting>
  <conditionalFormatting sqref="Z84">
    <cfRule type="expression" dxfId="705" priority="704">
      <formula>$I84="No"</formula>
    </cfRule>
  </conditionalFormatting>
  <conditionalFormatting sqref="Z86">
    <cfRule type="expression" dxfId="704" priority="703">
      <formula>$I86="No"</formula>
    </cfRule>
  </conditionalFormatting>
  <conditionalFormatting sqref="Z88:Z89">
    <cfRule type="expression" dxfId="703" priority="702">
      <formula>$I88="No"</formula>
    </cfRule>
  </conditionalFormatting>
  <conditionalFormatting sqref="Z91">
    <cfRule type="expression" dxfId="702" priority="701">
      <formula>$I91="No"</formula>
    </cfRule>
  </conditionalFormatting>
  <conditionalFormatting sqref="Z95">
    <cfRule type="expression" dxfId="701" priority="700">
      <formula>$I95="No"</formula>
    </cfRule>
  </conditionalFormatting>
  <conditionalFormatting sqref="Z97">
    <cfRule type="expression" dxfId="700" priority="699">
      <formula>$I97="No"</formula>
    </cfRule>
  </conditionalFormatting>
  <conditionalFormatting sqref="Z99:Z100">
    <cfRule type="expression" dxfId="699" priority="698">
      <formula>$I99="No"</formula>
    </cfRule>
  </conditionalFormatting>
  <conditionalFormatting sqref="AC82">
    <cfRule type="expression" dxfId="698" priority="697">
      <formula>$I82="No"</formula>
    </cfRule>
  </conditionalFormatting>
  <conditionalFormatting sqref="AC83 AC85 AC87 AC90 AC92:AC94 AC96 AC98 AC101">
    <cfRule type="expression" dxfId="697" priority="696">
      <formula>$I83="No"</formula>
    </cfRule>
  </conditionalFormatting>
  <conditionalFormatting sqref="AC84">
    <cfRule type="expression" dxfId="696" priority="695">
      <formula>$I84="No"</formula>
    </cfRule>
  </conditionalFormatting>
  <conditionalFormatting sqref="AC86">
    <cfRule type="expression" dxfId="695" priority="694">
      <formula>$I86="No"</formula>
    </cfRule>
  </conditionalFormatting>
  <conditionalFormatting sqref="AC88:AC89">
    <cfRule type="expression" dxfId="694" priority="693">
      <formula>$I88="No"</formula>
    </cfRule>
  </conditionalFormatting>
  <conditionalFormatting sqref="AC91">
    <cfRule type="expression" dxfId="693" priority="692">
      <formula>$I91="No"</formula>
    </cfRule>
  </conditionalFormatting>
  <conditionalFormatting sqref="AC95">
    <cfRule type="expression" dxfId="692" priority="691">
      <formula>$I95="No"</formula>
    </cfRule>
  </conditionalFormatting>
  <conditionalFormatting sqref="AC97">
    <cfRule type="expression" dxfId="691" priority="690">
      <formula>$I97="No"</formula>
    </cfRule>
  </conditionalFormatting>
  <conditionalFormatting sqref="AC99:AC100">
    <cfRule type="expression" dxfId="690" priority="689">
      <formula>$I99="No"</formula>
    </cfRule>
  </conditionalFormatting>
  <conditionalFormatting sqref="AL24:AL81">
    <cfRule type="expression" dxfId="689" priority="688">
      <formula>$AK24="No"</formula>
    </cfRule>
  </conditionalFormatting>
  <conditionalFormatting sqref="AL8:AL20">
    <cfRule type="expression" dxfId="688" priority="687">
      <formula>$AK8="No"</formula>
    </cfRule>
  </conditionalFormatting>
  <conditionalFormatting sqref="AM8:AM20">
    <cfRule type="expression" dxfId="687" priority="686">
      <formula>$AK8="No"</formula>
    </cfRule>
  </conditionalFormatting>
  <conditionalFormatting sqref="AM24:AM36">
    <cfRule type="expression" dxfId="686" priority="685">
      <formula>$AK24="No"</formula>
    </cfRule>
  </conditionalFormatting>
  <conditionalFormatting sqref="AM37:AM49">
    <cfRule type="expression" dxfId="685" priority="684">
      <formula>$AK37="No"</formula>
    </cfRule>
  </conditionalFormatting>
  <conditionalFormatting sqref="AM50:AM62">
    <cfRule type="expression" dxfId="684" priority="683">
      <formula>$AK50="No"</formula>
    </cfRule>
  </conditionalFormatting>
  <conditionalFormatting sqref="AM63:AM75">
    <cfRule type="expression" dxfId="683" priority="682">
      <formula>$AK63="No"</formula>
    </cfRule>
  </conditionalFormatting>
  <conditionalFormatting sqref="AM76:AM88">
    <cfRule type="expression" dxfId="682" priority="681">
      <formula>$AK76="No"</formula>
    </cfRule>
  </conditionalFormatting>
  <conditionalFormatting sqref="AN8:AN20">
    <cfRule type="expression" dxfId="681" priority="680">
      <formula>$AK8="No"</formula>
    </cfRule>
  </conditionalFormatting>
  <conditionalFormatting sqref="AN24:AN36">
    <cfRule type="expression" dxfId="680" priority="679">
      <formula>$AK24="No"</formula>
    </cfRule>
  </conditionalFormatting>
  <conditionalFormatting sqref="AN37:AN49">
    <cfRule type="expression" dxfId="679" priority="678">
      <formula>$AK37="No"</formula>
    </cfRule>
  </conditionalFormatting>
  <conditionalFormatting sqref="AN50:AN62">
    <cfRule type="expression" dxfId="678" priority="677">
      <formula>$AK50="No"</formula>
    </cfRule>
  </conditionalFormatting>
  <conditionalFormatting sqref="AN63:AN75">
    <cfRule type="expression" dxfId="677" priority="676">
      <formula>$AK63="No"</formula>
    </cfRule>
  </conditionalFormatting>
  <conditionalFormatting sqref="AN76:AN88">
    <cfRule type="expression" dxfId="676" priority="675">
      <formula>$AK76="No"</formula>
    </cfRule>
  </conditionalFormatting>
  <conditionalFormatting sqref="AP89:AP101">
    <cfRule type="expression" dxfId="675" priority="674">
      <formula>$AK89="No"</formula>
    </cfRule>
  </conditionalFormatting>
  <conditionalFormatting sqref="AP8:AP29">
    <cfRule type="expression" dxfId="674" priority="673">
      <formula>$AK8="No"</formula>
    </cfRule>
  </conditionalFormatting>
  <conditionalFormatting sqref="AP30:AP36">
    <cfRule type="expression" dxfId="673" priority="672">
      <formula>$AK30="No"</formula>
    </cfRule>
  </conditionalFormatting>
  <conditionalFormatting sqref="AP37:AP49">
    <cfRule type="expression" dxfId="672" priority="671">
      <formula>$AK37="No"</formula>
    </cfRule>
  </conditionalFormatting>
  <conditionalFormatting sqref="AP50:AP62">
    <cfRule type="expression" dxfId="671" priority="670">
      <formula>$AK50="No"</formula>
    </cfRule>
  </conditionalFormatting>
  <conditionalFormatting sqref="AP63:AP75">
    <cfRule type="expression" dxfId="670" priority="669">
      <formula>$AK63="No"</formula>
    </cfRule>
  </conditionalFormatting>
  <conditionalFormatting sqref="AP76:AP88">
    <cfRule type="expression" dxfId="669" priority="668">
      <formula>$AK76="No"</formula>
    </cfRule>
  </conditionalFormatting>
  <conditionalFormatting sqref="AQ89:AS101">
    <cfRule type="expression" dxfId="668" priority="667">
      <formula>$AK89="No"</formula>
    </cfRule>
  </conditionalFormatting>
  <conditionalFormatting sqref="AQ8:AS20 AQ24:AS24">
    <cfRule type="expression" dxfId="667" priority="666">
      <formula>$AK8="No"</formula>
    </cfRule>
  </conditionalFormatting>
  <conditionalFormatting sqref="AQ25:AS36">
    <cfRule type="expression" dxfId="666" priority="665">
      <formula>$AK25="No"</formula>
    </cfRule>
  </conditionalFormatting>
  <conditionalFormatting sqref="AQ37:AS49">
    <cfRule type="expression" dxfId="665" priority="664">
      <formula>$AK37="No"</formula>
    </cfRule>
  </conditionalFormatting>
  <conditionalFormatting sqref="AQ50:AS62">
    <cfRule type="expression" dxfId="664" priority="663">
      <formula>$AK50="No"</formula>
    </cfRule>
  </conditionalFormatting>
  <conditionalFormatting sqref="AQ63:AS75">
    <cfRule type="expression" dxfId="663" priority="662">
      <formula>$AK63="No"</formula>
    </cfRule>
  </conditionalFormatting>
  <conditionalFormatting sqref="AQ76:AS88">
    <cfRule type="expression" dxfId="662" priority="661">
      <formula>$AK76="No"</formula>
    </cfRule>
  </conditionalFormatting>
  <conditionalFormatting sqref="T199">
    <cfRule type="expression" dxfId="661" priority="660">
      <formula>$I199="No"</formula>
    </cfRule>
  </conditionalFormatting>
  <conditionalFormatting sqref="T200 T202 T204 T207 T209:T211 T213 T215:T216">
    <cfRule type="expression" dxfId="660" priority="659">
      <formula>$I200="No"</formula>
    </cfRule>
  </conditionalFormatting>
  <conditionalFormatting sqref="T201">
    <cfRule type="expression" dxfId="659" priority="658">
      <formula>$I201="No"</formula>
    </cfRule>
  </conditionalFormatting>
  <conditionalFormatting sqref="T203">
    <cfRule type="expression" dxfId="658" priority="657">
      <formula>$I203="No"</formula>
    </cfRule>
  </conditionalFormatting>
  <conditionalFormatting sqref="T205:T206">
    <cfRule type="expression" dxfId="657" priority="656">
      <formula>$I205="No"</formula>
    </cfRule>
  </conditionalFormatting>
  <conditionalFormatting sqref="T208">
    <cfRule type="expression" dxfId="656" priority="655">
      <formula>$I208="No"</formula>
    </cfRule>
  </conditionalFormatting>
  <conditionalFormatting sqref="T212">
    <cfRule type="expression" dxfId="655" priority="654">
      <formula>$I212="No"</formula>
    </cfRule>
  </conditionalFormatting>
  <conditionalFormatting sqref="T214">
    <cfRule type="expression" dxfId="654" priority="653">
      <formula>$I214="No"</formula>
    </cfRule>
  </conditionalFormatting>
  <conditionalFormatting sqref="W217:W219">
    <cfRule type="expression" dxfId="653" priority="652">
      <formula>$I217="No"</formula>
    </cfRule>
  </conditionalFormatting>
  <conditionalFormatting sqref="W199">
    <cfRule type="expression" dxfId="652" priority="651">
      <formula>$I199="No"</formula>
    </cfRule>
  </conditionalFormatting>
  <conditionalFormatting sqref="W200 W202 W204 W207 W209:W211 W213 W215:W216">
    <cfRule type="expression" dxfId="651" priority="650">
      <formula>$I200="No"</formula>
    </cfRule>
  </conditionalFormatting>
  <conditionalFormatting sqref="W201">
    <cfRule type="expression" dxfId="650" priority="649">
      <formula>$I201="No"</formula>
    </cfRule>
  </conditionalFormatting>
  <conditionalFormatting sqref="W203">
    <cfRule type="expression" dxfId="649" priority="648">
      <formula>$I203="No"</formula>
    </cfRule>
  </conditionalFormatting>
  <conditionalFormatting sqref="W205:W206">
    <cfRule type="expression" dxfId="648" priority="647">
      <formula>$I205="No"</formula>
    </cfRule>
  </conditionalFormatting>
  <conditionalFormatting sqref="W208">
    <cfRule type="expression" dxfId="647" priority="646">
      <formula>$I208="No"</formula>
    </cfRule>
  </conditionalFormatting>
  <conditionalFormatting sqref="W212">
    <cfRule type="expression" dxfId="646" priority="645">
      <formula>$I212="No"</formula>
    </cfRule>
  </conditionalFormatting>
  <conditionalFormatting sqref="W214">
    <cfRule type="expression" dxfId="645" priority="644">
      <formula>$I214="No"</formula>
    </cfRule>
  </conditionalFormatting>
  <conditionalFormatting sqref="Z217:Z219">
    <cfRule type="expression" dxfId="644" priority="643">
      <formula>$I217="No"</formula>
    </cfRule>
  </conditionalFormatting>
  <conditionalFormatting sqref="Z199">
    <cfRule type="expression" dxfId="643" priority="642">
      <formula>$I199="No"</formula>
    </cfRule>
  </conditionalFormatting>
  <conditionalFormatting sqref="Z200 Z202 Z204 Z207 Z209:Z211 Z213 Z215:Z216">
    <cfRule type="expression" dxfId="642" priority="641">
      <formula>$I200="No"</formula>
    </cfRule>
  </conditionalFormatting>
  <conditionalFormatting sqref="Z201">
    <cfRule type="expression" dxfId="641" priority="640">
      <formula>$I201="No"</formula>
    </cfRule>
  </conditionalFormatting>
  <conditionalFormatting sqref="Z203">
    <cfRule type="expression" dxfId="640" priority="639">
      <formula>$I203="No"</formula>
    </cfRule>
  </conditionalFormatting>
  <conditionalFormatting sqref="Z205:Z206">
    <cfRule type="expression" dxfId="639" priority="638">
      <formula>$I205="No"</formula>
    </cfRule>
  </conditionalFormatting>
  <conditionalFormatting sqref="Z208">
    <cfRule type="expression" dxfId="638" priority="637">
      <formula>$I208="No"</formula>
    </cfRule>
  </conditionalFormatting>
  <conditionalFormatting sqref="Z212">
    <cfRule type="expression" dxfId="637" priority="636">
      <formula>$I212="No"</formula>
    </cfRule>
  </conditionalFormatting>
  <conditionalFormatting sqref="Z214">
    <cfRule type="expression" dxfId="636" priority="635">
      <formula>$I214="No"</formula>
    </cfRule>
  </conditionalFormatting>
  <conditionalFormatting sqref="AC217:AC219">
    <cfRule type="expression" dxfId="635" priority="634">
      <formula>$I217="No"</formula>
    </cfRule>
  </conditionalFormatting>
  <conditionalFormatting sqref="AC199">
    <cfRule type="expression" dxfId="634" priority="633">
      <formula>$I199="No"</formula>
    </cfRule>
  </conditionalFormatting>
  <conditionalFormatting sqref="AC200 AC202 AC204 AC207 AC209:AC211 AC213 AC215:AC216">
    <cfRule type="expression" dxfId="633" priority="632">
      <formula>$I200="No"</formula>
    </cfRule>
  </conditionalFormatting>
  <conditionalFormatting sqref="AC201">
    <cfRule type="expression" dxfId="632" priority="631">
      <formula>$I201="No"</formula>
    </cfRule>
  </conditionalFormatting>
  <conditionalFormatting sqref="AC203">
    <cfRule type="expression" dxfId="631" priority="630">
      <formula>$I203="No"</formula>
    </cfRule>
  </conditionalFormatting>
  <conditionalFormatting sqref="AC205:AC206">
    <cfRule type="expression" dxfId="630" priority="629">
      <formula>$I205="No"</formula>
    </cfRule>
  </conditionalFormatting>
  <conditionalFormatting sqref="AC208">
    <cfRule type="expression" dxfId="629" priority="628">
      <formula>$I208="No"</formula>
    </cfRule>
  </conditionalFormatting>
  <conditionalFormatting sqref="AC212">
    <cfRule type="expression" dxfId="628" priority="627">
      <formula>$I212="No"</formula>
    </cfRule>
  </conditionalFormatting>
  <conditionalFormatting sqref="AC214">
    <cfRule type="expression" dxfId="627" priority="626">
      <formula>$I214="No"</formula>
    </cfRule>
  </conditionalFormatting>
  <conditionalFormatting sqref="R349">
    <cfRule type="expression" dxfId="626" priority="625">
      <formula>$Q349="No"</formula>
    </cfRule>
  </conditionalFormatting>
  <conditionalFormatting sqref="R351">
    <cfRule type="expression" dxfId="625" priority="624">
      <formula>$Q351="No"</formula>
    </cfRule>
  </conditionalFormatting>
  <conditionalFormatting sqref="S349:S351">
    <cfRule type="expression" dxfId="624" priority="623">
      <formula>$Q349="No"</formula>
    </cfRule>
  </conditionalFormatting>
  <conditionalFormatting sqref="BJ349:BK383 BJ404:BK456">
    <cfRule type="expression" dxfId="623" priority="622">
      <formula>$BI349="No"</formula>
    </cfRule>
  </conditionalFormatting>
  <conditionalFormatting sqref="BM349:BO383 BM404:BO442 BM443:BN456">
    <cfRule type="expression" dxfId="622" priority="621">
      <formula>$BL349="No"</formula>
    </cfRule>
  </conditionalFormatting>
  <conditionalFormatting sqref="BJ384:BK403">
    <cfRule type="expression" dxfId="621" priority="620">
      <formula>$BI384="No"</formula>
    </cfRule>
  </conditionalFormatting>
  <conditionalFormatting sqref="BM384:BO403">
    <cfRule type="expression" dxfId="620" priority="619">
      <formula>$BL384="No"</formula>
    </cfRule>
  </conditionalFormatting>
  <conditionalFormatting sqref="R504">
    <cfRule type="expression" dxfId="619" priority="618">
      <formula>$Q504="No"</formula>
    </cfRule>
  </conditionalFormatting>
  <conditionalFormatting sqref="S504:T504">
    <cfRule type="expression" dxfId="618" priority="617">
      <formula>$Q504="No"</formula>
    </cfRule>
  </conditionalFormatting>
  <conditionalFormatting sqref="R505">
    <cfRule type="expression" dxfId="617" priority="616">
      <formula>$Q505="No"</formula>
    </cfRule>
  </conditionalFormatting>
  <conditionalFormatting sqref="R506">
    <cfRule type="expression" dxfId="616" priority="615">
      <formula>$Q506="No"</formula>
    </cfRule>
  </conditionalFormatting>
  <conditionalFormatting sqref="T505:T506">
    <cfRule type="expression" dxfId="615" priority="614">
      <formula>$Q505="No"</formula>
    </cfRule>
  </conditionalFormatting>
  <conditionalFormatting sqref="T538">
    <cfRule type="expression" dxfId="614" priority="613">
      <formula>$Q538="No"</formula>
    </cfRule>
  </conditionalFormatting>
  <conditionalFormatting sqref="R548:T548">
    <cfRule type="expression" dxfId="613" priority="612">
      <formula>$Q548="No"</formula>
    </cfRule>
  </conditionalFormatting>
  <conditionalFormatting sqref="R549:T549">
    <cfRule type="expression" dxfId="612" priority="611">
      <formula>$Q549="No"</formula>
    </cfRule>
  </conditionalFormatting>
  <conditionalFormatting sqref="R559:T559">
    <cfRule type="expression" dxfId="611" priority="610">
      <formula>$Q559="No"</formula>
    </cfRule>
  </conditionalFormatting>
  <conditionalFormatting sqref="R560:T560">
    <cfRule type="expression" dxfId="610" priority="609">
      <formula>$Q560="No"</formula>
    </cfRule>
  </conditionalFormatting>
  <conditionalFormatting sqref="BI472:BJ580">
    <cfRule type="expression" dxfId="609" priority="608">
      <formula>$BH472="No"</formula>
    </cfRule>
  </conditionalFormatting>
  <conditionalFormatting sqref="BL580:BN580 BL472:BN566">
    <cfRule type="expression" dxfId="608" priority="607">
      <formula>$BK472="No"</formula>
    </cfRule>
  </conditionalFormatting>
  <conditionalFormatting sqref="BJ486:BJ488">
    <cfRule type="expression" dxfId="607" priority="606">
      <formula>$BH486="No"</formula>
    </cfRule>
  </conditionalFormatting>
  <conditionalFormatting sqref="AL132">
    <cfRule type="expression" dxfId="606" priority="605">
      <formula>$AK132="No"</formula>
    </cfRule>
  </conditionalFormatting>
  <conditionalFormatting sqref="AM132">
    <cfRule type="expression" dxfId="605" priority="604">
      <formula>$AK132="No"</formula>
    </cfRule>
  </conditionalFormatting>
  <conditionalFormatting sqref="AN132">
    <cfRule type="expression" dxfId="604" priority="603">
      <formula>$AK132="No"</formula>
    </cfRule>
  </conditionalFormatting>
  <conditionalFormatting sqref="AL133">
    <cfRule type="expression" dxfId="603" priority="602">
      <formula>$AK133="No"</formula>
    </cfRule>
  </conditionalFormatting>
  <conditionalFormatting sqref="AM133">
    <cfRule type="expression" dxfId="602" priority="601">
      <formula>$AK133="No"</formula>
    </cfRule>
  </conditionalFormatting>
  <conditionalFormatting sqref="AN133">
    <cfRule type="expression" dxfId="601" priority="600">
      <formula>$AK133="No"</formula>
    </cfRule>
  </conditionalFormatting>
  <conditionalFormatting sqref="AL134">
    <cfRule type="expression" dxfId="600" priority="599">
      <formula>$AK134="No"</formula>
    </cfRule>
  </conditionalFormatting>
  <conditionalFormatting sqref="AM134">
    <cfRule type="expression" dxfId="599" priority="598">
      <formula>$AK134="No"</formula>
    </cfRule>
  </conditionalFormatting>
  <conditionalFormatting sqref="AN134">
    <cfRule type="expression" dxfId="598" priority="597">
      <formula>$AK134="No"</formula>
    </cfRule>
  </conditionalFormatting>
  <conditionalFormatting sqref="AL135">
    <cfRule type="expression" dxfId="597" priority="596">
      <formula>$AK135="No"</formula>
    </cfRule>
  </conditionalFormatting>
  <conditionalFormatting sqref="AM135">
    <cfRule type="expression" dxfId="596" priority="595">
      <formula>$AK135="No"</formula>
    </cfRule>
  </conditionalFormatting>
  <conditionalFormatting sqref="AN135">
    <cfRule type="expression" dxfId="595" priority="594">
      <formula>$AK135="No"</formula>
    </cfRule>
  </conditionalFormatting>
  <conditionalFormatting sqref="AL136:AL138">
    <cfRule type="expression" dxfId="594" priority="593">
      <formula>$AK136="No"</formula>
    </cfRule>
  </conditionalFormatting>
  <conditionalFormatting sqref="AM136:AM138">
    <cfRule type="expression" dxfId="593" priority="592">
      <formula>$AK136="No"</formula>
    </cfRule>
  </conditionalFormatting>
  <conditionalFormatting sqref="AN136:AN138">
    <cfRule type="expression" dxfId="592" priority="591">
      <formula>$AK136="No"</formula>
    </cfRule>
  </conditionalFormatting>
  <conditionalFormatting sqref="AL143">
    <cfRule type="expression" dxfId="591" priority="590">
      <formula>$AK143="No"</formula>
    </cfRule>
  </conditionalFormatting>
  <conditionalFormatting sqref="AM143">
    <cfRule type="expression" dxfId="590" priority="589">
      <formula>$AK143="No"</formula>
    </cfRule>
  </conditionalFormatting>
  <conditionalFormatting sqref="AN143">
    <cfRule type="expression" dxfId="589" priority="588">
      <formula>$AK143="No"</formula>
    </cfRule>
  </conditionalFormatting>
  <conditionalFormatting sqref="AL149">
    <cfRule type="expression" dxfId="588" priority="587">
      <formula>$AK149="No"</formula>
    </cfRule>
  </conditionalFormatting>
  <conditionalFormatting sqref="AM149">
    <cfRule type="expression" dxfId="587" priority="586">
      <formula>$AK149="No"</formula>
    </cfRule>
  </conditionalFormatting>
  <conditionalFormatting sqref="AN149">
    <cfRule type="expression" dxfId="586" priority="585">
      <formula>$AK149="No"</formula>
    </cfRule>
  </conditionalFormatting>
  <conditionalFormatting sqref="AL150">
    <cfRule type="expression" dxfId="585" priority="584">
      <formula>$AK150="No"</formula>
    </cfRule>
  </conditionalFormatting>
  <conditionalFormatting sqref="AM150">
    <cfRule type="expression" dxfId="584" priority="583">
      <formula>$AK150="No"</formula>
    </cfRule>
  </conditionalFormatting>
  <conditionalFormatting sqref="AN150">
    <cfRule type="expression" dxfId="583" priority="582">
      <formula>$AK150="No"</formula>
    </cfRule>
  </conditionalFormatting>
  <conditionalFormatting sqref="AL151">
    <cfRule type="expression" dxfId="582" priority="581">
      <formula>$AK151="No"</formula>
    </cfRule>
  </conditionalFormatting>
  <conditionalFormatting sqref="AM151">
    <cfRule type="expression" dxfId="581" priority="580">
      <formula>$AK151="No"</formula>
    </cfRule>
  </conditionalFormatting>
  <conditionalFormatting sqref="AN151">
    <cfRule type="expression" dxfId="580" priority="579">
      <formula>$AK151="No"</formula>
    </cfRule>
  </conditionalFormatting>
  <conditionalFormatting sqref="AL152">
    <cfRule type="expression" dxfId="579" priority="578">
      <formula>$AK152="No"</formula>
    </cfRule>
  </conditionalFormatting>
  <conditionalFormatting sqref="AM152">
    <cfRule type="expression" dxfId="578" priority="577">
      <formula>$AK152="No"</formula>
    </cfRule>
  </conditionalFormatting>
  <conditionalFormatting sqref="AN152">
    <cfRule type="expression" dxfId="577" priority="576">
      <formula>$AK152="No"</formula>
    </cfRule>
  </conditionalFormatting>
  <conditionalFormatting sqref="AL153">
    <cfRule type="expression" dxfId="576" priority="575">
      <formula>$AK153="No"</formula>
    </cfRule>
  </conditionalFormatting>
  <conditionalFormatting sqref="AM153">
    <cfRule type="expression" dxfId="575" priority="574">
      <formula>$AK153="No"</formula>
    </cfRule>
  </conditionalFormatting>
  <conditionalFormatting sqref="AN153">
    <cfRule type="expression" dxfId="574" priority="573">
      <formula>$AK153="No"</formula>
    </cfRule>
  </conditionalFormatting>
  <conditionalFormatting sqref="AL154">
    <cfRule type="expression" dxfId="573" priority="572">
      <formula>$AK154="No"</formula>
    </cfRule>
  </conditionalFormatting>
  <conditionalFormatting sqref="AM154">
    <cfRule type="expression" dxfId="572" priority="571">
      <formula>$AK154="No"</formula>
    </cfRule>
  </conditionalFormatting>
  <conditionalFormatting sqref="AN154">
    <cfRule type="expression" dxfId="571" priority="570">
      <formula>$AK154="No"</formula>
    </cfRule>
  </conditionalFormatting>
  <conditionalFormatting sqref="AL175">
    <cfRule type="expression" dxfId="570" priority="569">
      <formula>$AK175="No"</formula>
    </cfRule>
  </conditionalFormatting>
  <conditionalFormatting sqref="AM175">
    <cfRule type="expression" dxfId="569" priority="568">
      <formula>$AK175="No"</formula>
    </cfRule>
  </conditionalFormatting>
  <conditionalFormatting sqref="AN175">
    <cfRule type="expression" dxfId="568" priority="567">
      <formula>$AK175="No"</formula>
    </cfRule>
  </conditionalFormatting>
  <conditionalFormatting sqref="AL176">
    <cfRule type="expression" dxfId="567" priority="566">
      <formula>$AK176="No"</formula>
    </cfRule>
  </conditionalFormatting>
  <conditionalFormatting sqref="AM176">
    <cfRule type="expression" dxfId="566" priority="565">
      <formula>$AK176="No"</formula>
    </cfRule>
  </conditionalFormatting>
  <conditionalFormatting sqref="AN176">
    <cfRule type="expression" dxfId="565" priority="564">
      <formula>$AK176="No"</formula>
    </cfRule>
  </conditionalFormatting>
  <conditionalFormatting sqref="AL177">
    <cfRule type="expression" dxfId="564" priority="563">
      <formula>$AK177="No"</formula>
    </cfRule>
  </conditionalFormatting>
  <conditionalFormatting sqref="AM177">
    <cfRule type="expression" dxfId="563" priority="562">
      <formula>$AK177="No"</formula>
    </cfRule>
  </conditionalFormatting>
  <conditionalFormatting sqref="AN177">
    <cfRule type="expression" dxfId="562" priority="561">
      <formula>$AK177="No"</formula>
    </cfRule>
  </conditionalFormatting>
  <conditionalFormatting sqref="AL178">
    <cfRule type="expression" dxfId="561" priority="560">
      <formula>$AK178="No"</formula>
    </cfRule>
  </conditionalFormatting>
  <conditionalFormatting sqref="AM178">
    <cfRule type="expression" dxfId="560" priority="559">
      <formula>$AK178="No"</formula>
    </cfRule>
  </conditionalFormatting>
  <conditionalFormatting sqref="AN178">
    <cfRule type="expression" dxfId="559" priority="558">
      <formula>$AK178="No"</formula>
    </cfRule>
  </conditionalFormatting>
  <conditionalFormatting sqref="AL179">
    <cfRule type="expression" dxfId="558" priority="557">
      <formula>$AK179="No"</formula>
    </cfRule>
  </conditionalFormatting>
  <conditionalFormatting sqref="AM179">
    <cfRule type="expression" dxfId="557" priority="556">
      <formula>$AK179="No"</formula>
    </cfRule>
  </conditionalFormatting>
  <conditionalFormatting sqref="AN179">
    <cfRule type="expression" dxfId="556" priority="555">
      <formula>$AK179="No"</formula>
    </cfRule>
  </conditionalFormatting>
  <conditionalFormatting sqref="AL180">
    <cfRule type="expression" dxfId="555" priority="554">
      <formula>$AK180="No"</formula>
    </cfRule>
  </conditionalFormatting>
  <conditionalFormatting sqref="AM180">
    <cfRule type="expression" dxfId="554" priority="553">
      <formula>$AK180="No"</formula>
    </cfRule>
  </conditionalFormatting>
  <conditionalFormatting sqref="AN180">
    <cfRule type="expression" dxfId="553" priority="552">
      <formula>$AK180="No"</formula>
    </cfRule>
  </conditionalFormatting>
  <conditionalFormatting sqref="AL181">
    <cfRule type="expression" dxfId="552" priority="551">
      <formula>$AK181="No"</formula>
    </cfRule>
  </conditionalFormatting>
  <conditionalFormatting sqref="AM181">
    <cfRule type="expression" dxfId="551" priority="550">
      <formula>$AK181="No"</formula>
    </cfRule>
  </conditionalFormatting>
  <conditionalFormatting sqref="AN181">
    <cfRule type="expression" dxfId="550" priority="549">
      <formula>$AK181="No"</formula>
    </cfRule>
  </conditionalFormatting>
  <conditionalFormatting sqref="AL182">
    <cfRule type="expression" dxfId="549" priority="548">
      <formula>$AK182="No"</formula>
    </cfRule>
  </conditionalFormatting>
  <conditionalFormatting sqref="AM182">
    <cfRule type="expression" dxfId="548" priority="547">
      <formula>$AK182="No"</formula>
    </cfRule>
  </conditionalFormatting>
  <conditionalFormatting sqref="AN182">
    <cfRule type="expression" dxfId="547" priority="546">
      <formula>$AK182="No"</formula>
    </cfRule>
  </conditionalFormatting>
  <conditionalFormatting sqref="AL183">
    <cfRule type="expression" dxfId="546" priority="545">
      <formula>$AK183="No"</formula>
    </cfRule>
  </conditionalFormatting>
  <conditionalFormatting sqref="AM183">
    <cfRule type="expression" dxfId="545" priority="544">
      <formula>$AK183="No"</formula>
    </cfRule>
  </conditionalFormatting>
  <conditionalFormatting sqref="AN183">
    <cfRule type="expression" dxfId="544" priority="543">
      <formula>$AK183="No"</formula>
    </cfRule>
  </conditionalFormatting>
  <conditionalFormatting sqref="AL184">
    <cfRule type="expression" dxfId="543" priority="542">
      <formula>$AK184="No"</formula>
    </cfRule>
  </conditionalFormatting>
  <conditionalFormatting sqref="AM184">
    <cfRule type="expression" dxfId="542" priority="541">
      <formula>$AK184="No"</formula>
    </cfRule>
  </conditionalFormatting>
  <conditionalFormatting sqref="AN184">
    <cfRule type="expression" dxfId="541" priority="540">
      <formula>$AK184="No"</formula>
    </cfRule>
  </conditionalFormatting>
  <conditionalFormatting sqref="AL185">
    <cfRule type="expression" dxfId="540" priority="539">
      <formula>$AK185="No"</formula>
    </cfRule>
  </conditionalFormatting>
  <conditionalFormatting sqref="AM185">
    <cfRule type="expression" dxfId="539" priority="538">
      <formula>$AK185="No"</formula>
    </cfRule>
  </conditionalFormatting>
  <conditionalFormatting sqref="AN185">
    <cfRule type="expression" dxfId="538" priority="537">
      <formula>$AK185="No"</formula>
    </cfRule>
  </conditionalFormatting>
  <conditionalFormatting sqref="AL186">
    <cfRule type="expression" dxfId="537" priority="536">
      <formula>$AK186="No"</formula>
    </cfRule>
  </conditionalFormatting>
  <conditionalFormatting sqref="AM186">
    <cfRule type="expression" dxfId="536" priority="535">
      <formula>$AK186="No"</formula>
    </cfRule>
  </conditionalFormatting>
  <conditionalFormatting sqref="AN186">
    <cfRule type="expression" dxfId="535" priority="534">
      <formula>$AK186="No"</formula>
    </cfRule>
  </conditionalFormatting>
  <conditionalFormatting sqref="AL187">
    <cfRule type="expression" dxfId="534" priority="533">
      <formula>$AK187="No"</formula>
    </cfRule>
  </conditionalFormatting>
  <conditionalFormatting sqref="AM187">
    <cfRule type="expression" dxfId="533" priority="532">
      <formula>$AK187="No"</formula>
    </cfRule>
  </conditionalFormatting>
  <conditionalFormatting sqref="AN187">
    <cfRule type="expression" dxfId="532" priority="531">
      <formula>$AK187="No"</formula>
    </cfRule>
  </conditionalFormatting>
  <conditionalFormatting sqref="AL188">
    <cfRule type="expression" dxfId="531" priority="530">
      <formula>$AK188="No"</formula>
    </cfRule>
  </conditionalFormatting>
  <conditionalFormatting sqref="AM188">
    <cfRule type="expression" dxfId="530" priority="529">
      <formula>$AK188="No"</formula>
    </cfRule>
  </conditionalFormatting>
  <conditionalFormatting sqref="AN188">
    <cfRule type="expression" dxfId="529" priority="528">
      <formula>$AK188="No"</formula>
    </cfRule>
  </conditionalFormatting>
  <conditionalFormatting sqref="AL189">
    <cfRule type="expression" dxfId="528" priority="527">
      <formula>$AK189="No"</formula>
    </cfRule>
  </conditionalFormatting>
  <conditionalFormatting sqref="AM189">
    <cfRule type="expression" dxfId="527" priority="526">
      <formula>$AK189="No"</formula>
    </cfRule>
  </conditionalFormatting>
  <conditionalFormatting sqref="AN189">
    <cfRule type="expression" dxfId="526" priority="525">
      <formula>$AK189="No"</formula>
    </cfRule>
  </conditionalFormatting>
  <conditionalFormatting sqref="AL190">
    <cfRule type="expression" dxfId="525" priority="524">
      <formula>$AK190="No"</formula>
    </cfRule>
  </conditionalFormatting>
  <conditionalFormatting sqref="AM190">
    <cfRule type="expression" dxfId="524" priority="523">
      <formula>$AK190="No"</formula>
    </cfRule>
  </conditionalFormatting>
  <conditionalFormatting sqref="AN190">
    <cfRule type="expression" dxfId="523" priority="522">
      <formula>$AK190="No"</formula>
    </cfRule>
  </conditionalFormatting>
  <conditionalFormatting sqref="AP125:AP132">
    <cfRule type="expression" dxfId="522" priority="521">
      <formula>$AK125="No"</formula>
    </cfRule>
  </conditionalFormatting>
  <conditionalFormatting sqref="AQ132:AS132">
    <cfRule type="expression" dxfId="521" priority="520">
      <formula>$AK132="No"</formula>
    </cfRule>
  </conditionalFormatting>
  <conditionalFormatting sqref="AP133">
    <cfRule type="expression" dxfId="520" priority="519">
      <formula>$AK133="No"</formula>
    </cfRule>
  </conditionalFormatting>
  <conditionalFormatting sqref="AQ133:AS133">
    <cfRule type="expression" dxfId="519" priority="518">
      <formula>$AK133="No"</formula>
    </cfRule>
  </conditionalFormatting>
  <conditionalFormatting sqref="AP134">
    <cfRule type="expression" dxfId="518" priority="517">
      <formula>$AK134="No"</formula>
    </cfRule>
  </conditionalFormatting>
  <conditionalFormatting sqref="AQ134:AS134">
    <cfRule type="expression" dxfId="517" priority="516">
      <formula>$AK134="No"</formula>
    </cfRule>
  </conditionalFormatting>
  <conditionalFormatting sqref="AP135">
    <cfRule type="expression" dxfId="516" priority="515">
      <formula>$AK135="No"</formula>
    </cfRule>
  </conditionalFormatting>
  <conditionalFormatting sqref="AQ135:AS135">
    <cfRule type="expression" dxfId="515" priority="514">
      <formula>$AK135="No"</formula>
    </cfRule>
  </conditionalFormatting>
  <conditionalFormatting sqref="AP136">
    <cfRule type="expression" dxfId="514" priority="513">
      <formula>$AK136="No"</formula>
    </cfRule>
  </conditionalFormatting>
  <conditionalFormatting sqref="AQ136:AS136">
    <cfRule type="expression" dxfId="513" priority="512">
      <formula>$AK136="No"</formula>
    </cfRule>
  </conditionalFormatting>
  <conditionalFormatting sqref="AP146">
    <cfRule type="expression" dxfId="512" priority="511">
      <formula>$AK146="No"</formula>
    </cfRule>
  </conditionalFormatting>
  <conditionalFormatting sqref="AQ146:AS146">
    <cfRule type="expression" dxfId="511" priority="510">
      <formula>$AK146="No"</formula>
    </cfRule>
  </conditionalFormatting>
  <conditionalFormatting sqref="AP149">
    <cfRule type="expression" dxfId="510" priority="509">
      <formula>$AK149="No"</formula>
    </cfRule>
  </conditionalFormatting>
  <conditionalFormatting sqref="AQ149:AS149">
    <cfRule type="expression" dxfId="509" priority="508">
      <formula>$AK149="No"</formula>
    </cfRule>
  </conditionalFormatting>
  <conditionalFormatting sqref="AP150">
    <cfRule type="expression" dxfId="508" priority="507">
      <formula>$AK150="No"</formula>
    </cfRule>
  </conditionalFormatting>
  <conditionalFormatting sqref="AQ150:AS150">
    <cfRule type="expression" dxfId="507" priority="506">
      <formula>$AK150="No"</formula>
    </cfRule>
  </conditionalFormatting>
  <conditionalFormatting sqref="AP151">
    <cfRule type="expression" dxfId="506" priority="505">
      <formula>$AK151="No"</formula>
    </cfRule>
  </conditionalFormatting>
  <conditionalFormatting sqref="AQ151:AS151">
    <cfRule type="expression" dxfId="505" priority="504">
      <formula>$AK151="No"</formula>
    </cfRule>
  </conditionalFormatting>
  <conditionalFormatting sqref="AP152">
    <cfRule type="expression" dxfId="504" priority="503">
      <formula>$AK152="No"</formula>
    </cfRule>
  </conditionalFormatting>
  <conditionalFormatting sqref="AQ152:AS152">
    <cfRule type="expression" dxfId="503" priority="502">
      <formula>$AK152="No"</formula>
    </cfRule>
  </conditionalFormatting>
  <conditionalFormatting sqref="AP153">
    <cfRule type="expression" dxfId="502" priority="501">
      <formula>$AK153="No"</formula>
    </cfRule>
  </conditionalFormatting>
  <conditionalFormatting sqref="AQ153:AS153">
    <cfRule type="expression" dxfId="501" priority="500">
      <formula>$AK153="No"</formula>
    </cfRule>
  </conditionalFormatting>
  <conditionalFormatting sqref="AP154">
    <cfRule type="expression" dxfId="500" priority="499">
      <formula>$AK154="No"</formula>
    </cfRule>
  </conditionalFormatting>
  <conditionalFormatting sqref="AQ154:AS154">
    <cfRule type="expression" dxfId="499" priority="498">
      <formula>$AK154="No"</formula>
    </cfRule>
  </conditionalFormatting>
  <conditionalFormatting sqref="AP175">
    <cfRule type="expression" dxfId="498" priority="497">
      <formula>$AK175="No"</formula>
    </cfRule>
  </conditionalFormatting>
  <conditionalFormatting sqref="AQ175:AS175">
    <cfRule type="expression" dxfId="497" priority="496">
      <formula>$AK175="No"</formula>
    </cfRule>
  </conditionalFormatting>
  <conditionalFormatting sqref="AP176">
    <cfRule type="expression" dxfId="496" priority="495">
      <formula>$AK176="No"</formula>
    </cfRule>
  </conditionalFormatting>
  <conditionalFormatting sqref="AQ176:AS176">
    <cfRule type="expression" dxfId="495" priority="494">
      <formula>$AK176="No"</formula>
    </cfRule>
  </conditionalFormatting>
  <conditionalFormatting sqref="AP177">
    <cfRule type="expression" dxfId="494" priority="493">
      <formula>$AK177="No"</formula>
    </cfRule>
  </conditionalFormatting>
  <conditionalFormatting sqref="AQ177:AS177">
    <cfRule type="expression" dxfId="493" priority="492">
      <formula>$AK177="No"</formula>
    </cfRule>
  </conditionalFormatting>
  <conditionalFormatting sqref="AP178">
    <cfRule type="expression" dxfId="492" priority="491">
      <formula>$AK178="No"</formula>
    </cfRule>
  </conditionalFormatting>
  <conditionalFormatting sqref="AQ178:AS178">
    <cfRule type="expression" dxfId="491" priority="490">
      <formula>$AK178="No"</formula>
    </cfRule>
  </conditionalFormatting>
  <conditionalFormatting sqref="AP179">
    <cfRule type="expression" dxfId="490" priority="489">
      <formula>$AK179="No"</formula>
    </cfRule>
  </conditionalFormatting>
  <conditionalFormatting sqref="AQ179:AS179">
    <cfRule type="expression" dxfId="489" priority="488">
      <formula>$AK179="No"</formula>
    </cfRule>
  </conditionalFormatting>
  <conditionalFormatting sqref="AP180">
    <cfRule type="expression" dxfId="488" priority="487">
      <formula>$AK180="No"</formula>
    </cfRule>
  </conditionalFormatting>
  <conditionalFormatting sqref="AQ180:AS180">
    <cfRule type="expression" dxfId="487" priority="486">
      <formula>$AK180="No"</formula>
    </cfRule>
  </conditionalFormatting>
  <conditionalFormatting sqref="AP181">
    <cfRule type="expression" dxfId="486" priority="485">
      <formula>$AK181="No"</formula>
    </cfRule>
  </conditionalFormatting>
  <conditionalFormatting sqref="AQ181:AS181">
    <cfRule type="expression" dxfId="485" priority="484">
      <formula>$AK181="No"</formula>
    </cfRule>
  </conditionalFormatting>
  <conditionalFormatting sqref="AP182">
    <cfRule type="expression" dxfId="484" priority="483">
      <formula>$AK182="No"</formula>
    </cfRule>
  </conditionalFormatting>
  <conditionalFormatting sqref="AQ182:AS182">
    <cfRule type="expression" dxfId="483" priority="482">
      <formula>$AK182="No"</formula>
    </cfRule>
  </conditionalFormatting>
  <conditionalFormatting sqref="AP183">
    <cfRule type="expression" dxfId="482" priority="481">
      <formula>$AK183="No"</formula>
    </cfRule>
  </conditionalFormatting>
  <conditionalFormatting sqref="AQ183:AS183">
    <cfRule type="expression" dxfId="481" priority="480">
      <formula>$AK183="No"</formula>
    </cfRule>
  </conditionalFormatting>
  <conditionalFormatting sqref="AP184">
    <cfRule type="expression" dxfId="480" priority="479">
      <formula>$AK184="No"</formula>
    </cfRule>
  </conditionalFormatting>
  <conditionalFormatting sqref="AQ184:AS184">
    <cfRule type="expression" dxfId="479" priority="478">
      <formula>$AK184="No"</formula>
    </cfRule>
  </conditionalFormatting>
  <conditionalFormatting sqref="AP185">
    <cfRule type="expression" dxfId="478" priority="477">
      <formula>$AK185="No"</formula>
    </cfRule>
  </conditionalFormatting>
  <conditionalFormatting sqref="AQ185:AS185">
    <cfRule type="expression" dxfId="477" priority="476">
      <formula>$AK185="No"</formula>
    </cfRule>
  </conditionalFormatting>
  <conditionalFormatting sqref="AP186">
    <cfRule type="expression" dxfId="476" priority="475">
      <formula>$AK186="No"</formula>
    </cfRule>
  </conditionalFormatting>
  <conditionalFormatting sqref="AQ186:AS186">
    <cfRule type="expression" dxfId="475" priority="474">
      <formula>$AK186="No"</formula>
    </cfRule>
  </conditionalFormatting>
  <conditionalFormatting sqref="AP187">
    <cfRule type="expression" dxfId="474" priority="473">
      <formula>$AK187="No"</formula>
    </cfRule>
  </conditionalFormatting>
  <conditionalFormatting sqref="AQ187:AS187">
    <cfRule type="expression" dxfId="473" priority="472">
      <formula>$AK187="No"</formula>
    </cfRule>
  </conditionalFormatting>
  <conditionalFormatting sqref="AP188">
    <cfRule type="expression" dxfId="472" priority="471">
      <formula>$AK188="No"</formula>
    </cfRule>
  </conditionalFormatting>
  <conditionalFormatting sqref="AQ188:AS188">
    <cfRule type="expression" dxfId="471" priority="470">
      <formula>$AK188="No"</formula>
    </cfRule>
  </conditionalFormatting>
  <conditionalFormatting sqref="AP189">
    <cfRule type="expression" dxfId="470" priority="469">
      <formula>$AK189="No"</formula>
    </cfRule>
  </conditionalFormatting>
  <conditionalFormatting sqref="AQ189:AS189">
    <cfRule type="expression" dxfId="469" priority="468">
      <formula>$AK189="No"</formula>
    </cfRule>
  </conditionalFormatting>
  <conditionalFormatting sqref="AP190">
    <cfRule type="expression" dxfId="468" priority="467">
      <formula>$AK190="No"</formula>
    </cfRule>
  </conditionalFormatting>
  <conditionalFormatting sqref="AQ190:AS190">
    <cfRule type="expression" dxfId="467" priority="466">
      <formula>$AK190="No"</formula>
    </cfRule>
  </conditionalFormatting>
  <conditionalFormatting sqref="AS147">
    <cfRule type="expression" dxfId="466" priority="465">
      <formula>$BC147="No"</formula>
    </cfRule>
  </conditionalFormatting>
  <conditionalFormatting sqref="AP147:AR147">
    <cfRule type="expression" dxfId="465" priority="464">
      <formula>$AO147="No"</formula>
    </cfRule>
  </conditionalFormatting>
  <conditionalFormatting sqref="V82:V101">
    <cfRule type="expression" dxfId="464" priority="463">
      <formula>$I82="No"</formula>
    </cfRule>
  </conditionalFormatting>
  <conditionalFormatting sqref="X82:X101">
    <cfRule type="expression" dxfId="463" priority="462">
      <formula>$I82="No"</formula>
    </cfRule>
  </conditionalFormatting>
  <conditionalFormatting sqref="Y82:Y101">
    <cfRule type="expression" dxfId="462" priority="461">
      <formula>$I82="No"</formula>
    </cfRule>
  </conditionalFormatting>
  <conditionalFormatting sqref="AA82:AA101">
    <cfRule type="expression" dxfId="461" priority="460">
      <formula>$I82="No"</formula>
    </cfRule>
  </conditionalFormatting>
  <conditionalFormatting sqref="AB82:AB101">
    <cfRule type="expression" dxfId="460" priority="459">
      <formula>$I82="No"</formula>
    </cfRule>
  </conditionalFormatting>
  <conditionalFormatting sqref="AD82:AD101">
    <cfRule type="expression" dxfId="459" priority="458">
      <formula>$I82="No"</formula>
    </cfRule>
  </conditionalFormatting>
  <conditionalFormatting sqref="AQ21:AS23">
    <cfRule type="expression" dxfId="458" priority="457">
      <formula>$AK21="No"</formula>
    </cfRule>
  </conditionalFormatting>
  <conditionalFormatting sqref="K82">
    <cfRule type="expression" dxfId="457" priority="456">
      <formula>$I82="No"</formula>
    </cfRule>
  </conditionalFormatting>
  <conditionalFormatting sqref="K93">
    <cfRule type="expression" dxfId="456" priority="455">
      <formula>$I93="No"</formula>
    </cfRule>
  </conditionalFormatting>
  <conditionalFormatting sqref="N83">
    <cfRule type="expression" dxfId="455" priority="454">
      <formula>$I83="No"</formula>
    </cfRule>
  </conditionalFormatting>
  <conditionalFormatting sqref="N85">
    <cfRule type="expression" dxfId="454" priority="453">
      <formula>$I85="No"</formula>
    </cfRule>
  </conditionalFormatting>
  <conditionalFormatting sqref="N87">
    <cfRule type="expression" dxfId="453" priority="452">
      <formula>$I87="No"</formula>
    </cfRule>
  </conditionalFormatting>
  <conditionalFormatting sqref="N90">
    <cfRule type="expression" dxfId="452" priority="451">
      <formula>$I90="No"</formula>
    </cfRule>
  </conditionalFormatting>
  <conditionalFormatting sqref="N92">
    <cfRule type="expression" dxfId="451" priority="450">
      <formula>$I92="No"</formula>
    </cfRule>
  </conditionalFormatting>
  <conditionalFormatting sqref="N94">
    <cfRule type="expression" dxfId="450" priority="449">
      <formula>$I94="No"</formula>
    </cfRule>
  </conditionalFormatting>
  <conditionalFormatting sqref="N96">
    <cfRule type="expression" dxfId="449" priority="448">
      <formula>$I96="No"</formula>
    </cfRule>
  </conditionalFormatting>
  <conditionalFormatting sqref="N98">
    <cfRule type="expression" dxfId="448" priority="447">
      <formula>$I98="No"</formula>
    </cfRule>
  </conditionalFormatting>
  <conditionalFormatting sqref="N101">
    <cfRule type="expression" dxfId="447" priority="446">
      <formula>$I101="No"</formula>
    </cfRule>
  </conditionalFormatting>
  <conditionalFormatting sqref="Q88">
    <cfRule type="expression" dxfId="446" priority="445">
      <formula>$I88="No"</formula>
    </cfRule>
  </conditionalFormatting>
  <conditionalFormatting sqref="Q89">
    <cfRule type="expression" dxfId="445" priority="444">
      <formula>$I89="No"</formula>
    </cfRule>
  </conditionalFormatting>
  <conditionalFormatting sqref="Q91">
    <cfRule type="expression" dxfId="444" priority="443">
      <formula>$I91="No"</formula>
    </cfRule>
  </conditionalFormatting>
  <conditionalFormatting sqref="Q95">
    <cfRule type="expression" dxfId="443" priority="442">
      <formula>$I95="No"</formula>
    </cfRule>
  </conditionalFormatting>
  <conditionalFormatting sqref="Q97">
    <cfRule type="expression" dxfId="442" priority="441">
      <formula>$I97="No"</formula>
    </cfRule>
  </conditionalFormatting>
  <conditionalFormatting sqref="Q99">
    <cfRule type="expression" dxfId="441" priority="440">
      <formula>$I99="No"</formula>
    </cfRule>
  </conditionalFormatting>
  <conditionalFormatting sqref="Q100">
    <cfRule type="expression" dxfId="440" priority="439">
      <formula>$I100="No"</formula>
    </cfRule>
  </conditionalFormatting>
  <conditionalFormatting sqref="Q84">
    <cfRule type="expression" dxfId="439" priority="438">
      <formula>$I84="No"</formula>
    </cfRule>
  </conditionalFormatting>
  <conditionalFormatting sqref="Q86">
    <cfRule type="expression" dxfId="438" priority="437">
      <formula>$I86="No"</formula>
    </cfRule>
  </conditionalFormatting>
  <conditionalFormatting sqref="N217 N219">
    <cfRule type="expression" dxfId="437" priority="436">
      <formula>$I217="No"</formula>
    </cfRule>
  </conditionalFormatting>
  <conditionalFormatting sqref="O217 O219">
    <cfRule type="expression" dxfId="436" priority="435">
      <formula>$I217="No"</formula>
    </cfRule>
  </conditionalFormatting>
  <conditionalFormatting sqref="Q218 Q233">
    <cfRule type="expression" dxfId="435" priority="434">
      <formula>$I218="No"</formula>
    </cfRule>
  </conditionalFormatting>
  <conditionalFormatting sqref="R218">
    <cfRule type="expression" dxfId="434" priority="433">
      <formula>$I218="No"</formula>
    </cfRule>
  </conditionalFormatting>
  <conditionalFormatting sqref="R356:T356">
    <cfRule type="expression" dxfId="433" priority="432">
      <formula>$Q356="No"</formula>
    </cfRule>
  </conditionalFormatting>
  <conditionalFormatting sqref="J200">
    <cfRule type="expression" dxfId="432" priority="431">
      <formula>$I200="No"</formula>
    </cfRule>
  </conditionalFormatting>
  <conditionalFormatting sqref="J211">
    <cfRule type="expression" dxfId="431" priority="430">
      <formula>$I211="No"</formula>
    </cfRule>
  </conditionalFormatting>
  <conditionalFormatting sqref="M201:N201">
    <cfRule type="expression" dxfId="430" priority="429">
      <formula>$I201="No"</formula>
    </cfRule>
  </conditionalFormatting>
  <conditionalFormatting sqref="N203">
    <cfRule type="expression" dxfId="429" priority="428">
      <formula>$I203="No"</formula>
    </cfRule>
  </conditionalFormatting>
  <conditionalFormatting sqref="N205">
    <cfRule type="expression" dxfId="428" priority="427">
      <formula>$I205="No"</formula>
    </cfRule>
  </conditionalFormatting>
  <conditionalFormatting sqref="N208">
    <cfRule type="expression" dxfId="427" priority="426">
      <formula>$I208="No"</formula>
    </cfRule>
  </conditionalFormatting>
  <conditionalFormatting sqref="N210">
    <cfRule type="expression" dxfId="426" priority="425">
      <formula>$I210="No"</formula>
    </cfRule>
  </conditionalFormatting>
  <conditionalFormatting sqref="N212">
    <cfRule type="expression" dxfId="425" priority="424">
      <formula>$I212="No"</formula>
    </cfRule>
  </conditionalFormatting>
  <conditionalFormatting sqref="N214">
    <cfRule type="expression" dxfId="424" priority="423">
      <formula>$I214="No"</formula>
    </cfRule>
  </conditionalFormatting>
  <conditionalFormatting sqref="M203">
    <cfRule type="expression" dxfId="423" priority="422">
      <formula>$I203="No"</formula>
    </cfRule>
  </conditionalFormatting>
  <conditionalFormatting sqref="M205">
    <cfRule type="expression" dxfId="422" priority="421">
      <formula>$I205="No"</formula>
    </cfRule>
  </conditionalFormatting>
  <conditionalFormatting sqref="M208">
    <cfRule type="expression" dxfId="421" priority="420">
      <formula>$I208="No"</formula>
    </cfRule>
  </conditionalFormatting>
  <conditionalFormatting sqref="M210">
    <cfRule type="expression" dxfId="420" priority="419">
      <formula>$I210="No"</formula>
    </cfRule>
  </conditionalFormatting>
  <conditionalFormatting sqref="M212">
    <cfRule type="expression" dxfId="419" priority="418">
      <formula>$I212="No"</formula>
    </cfRule>
  </conditionalFormatting>
  <conditionalFormatting sqref="M214">
    <cfRule type="expression" dxfId="418" priority="417">
      <formula>$I214="No"</formula>
    </cfRule>
  </conditionalFormatting>
  <conditionalFormatting sqref="M217">
    <cfRule type="expression" dxfId="417" priority="416">
      <formula>$I217="No"</formula>
    </cfRule>
  </conditionalFormatting>
  <conditionalFormatting sqref="N218">
    <cfRule type="expression" dxfId="416" priority="415">
      <formula>$I218="No"</formula>
    </cfRule>
  </conditionalFormatting>
  <conditionalFormatting sqref="M219">
    <cfRule type="expression" dxfId="415" priority="414">
      <formula>$I219="No"</formula>
    </cfRule>
  </conditionalFormatting>
  <conditionalFormatting sqref="P202">
    <cfRule type="expression" dxfId="414" priority="413">
      <formula>$I202="No"</formula>
    </cfRule>
  </conditionalFormatting>
  <conditionalFormatting sqref="P204">
    <cfRule type="expression" dxfId="413" priority="412">
      <formula>$I204="No"</formula>
    </cfRule>
  </conditionalFormatting>
  <conditionalFormatting sqref="P206">
    <cfRule type="expression" dxfId="412" priority="411">
      <formula>$I206="No"</formula>
    </cfRule>
  </conditionalFormatting>
  <conditionalFormatting sqref="P207">
    <cfRule type="expression" dxfId="411" priority="410">
      <formula>$I207="No"</formula>
    </cfRule>
  </conditionalFormatting>
  <conditionalFormatting sqref="P209">
    <cfRule type="expression" dxfId="410" priority="409">
      <formula>$I209="No"</formula>
    </cfRule>
  </conditionalFormatting>
  <conditionalFormatting sqref="P213:Q213">
    <cfRule type="expression" dxfId="409" priority="408">
      <formula>$I213="No"</formula>
    </cfRule>
  </conditionalFormatting>
  <conditionalFormatting sqref="P215">
    <cfRule type="expression" dxfId="408" priority="407">
      <formula>$I215="No"</formula>
    </cfRule>
  </conditionalFormatting>
  <conditionalFormatting sqref="P216">
    <cfRule type="expression" dxfId="407" priority="406">
      <formula>$I216="No"</formula>
    </cfRule>
  </conditionalFormatting>
  <conditionalFormatting sqref="P218">
    <cfRule type="expression" dxfId="406" priority="405">
      <formula>$I218="No"</formula>
    </cfRule>
  </conditionalFormatting>
  <conditionalFormatting sqref="Q215">
    <cfRule type="expression" dxfId="405" priority="404">
      <formula>$I215="No"</formula>
    </cfRule>
  </conditionalFormatting>
  <conditionalFormatting sqref="BA456:BH456">
    <cfRule type="expression" dxfId="404" priority="747">
      <formula>$AY456="No"</formula>
    </cfRule>
  </conditionalFormatting>
  <conditionalFormatting sqref="AY580:BG580">
    <cfRule type="expression" dxfId="403" priority="748">
      <formula>$AX580="No"</formula>
    </cfRule>
  </conditionalFormatting>
  <conditionalFormatting sqref="AL125">
    <cfRule type="expression" dxfId="402" priority="403">
      <formula>$AK125="No"</formula>
    </cfRule>
  </conditionalFormatting>
  <conditionalFormatting sqref="AM125">
    <cfRule type="expression" dxfId="401" priority="402">
      <formula>$AK125="No"</formula>
    </cfRule>
  </conditionalFormatting>
  <conditionalFormatting sqref="AN125">
    <cfRule type="expression" dxfId="400" priority="401">
      <formula>$AK125="No"</formula>
    </cfRule>
  </conditionalFormatting>
  <conditionalFormatting sqref="AL126">
    <cfRule type="expression" dxfId="399" priority="400">
      <formula>$AK126="No"</formula>
    </cfRule>
  </conditionalFormatting>
  <conditionalFormatting sqref="AM126">
    <cfRule type="expression" dxfId="398" priority="399">
      <formula>$AK126="No"</formula>
    </cfRule>
  </conditionalFormatting>
  <conditionalFormatting sqref="AN126">
    <cfRule type="expression" dxfId="397" priority="398">
      <formula>$AK126="No"</formula>
    </cfRule>
  </conditionalFormatting>
  <conditionalFormatting sqref="AL127">
    <cfRule type="expression" dxfId="396" priority="397">
      <formula>$AK127="No"</formula>
    </cfRule>
  </conditionalFormatting>
  <conditionalFormatting sqref="AM127">
    <cfRule type="expression" dxfId="395" priority="396">
      <formula>$AK127="No"</formula>
    </cfRule>
  </conditionalFormatting>
  <conditionalFormatting sqref="AN127">
    <cfRule type="expression" dxfId="394" priority="395">
      <formula>$AK127="No"</formula>
    </cfRule>
  </conditionalFormatting>
  <conditionalFormatting sqref="AL128">
    <cfRule type="expression" dxfId="393" priority="394">
      <formula>$AK128="No"</formula>
    </cfRule>
  </conditionalFormatting>
  <conditionalFormatting sqref="AM128">
    <cfRule type="expression" dxfId="392" priority="393">
      <formula>$AK128="No"</formula>
    </cfRule>
  </conditionalFormatting>
  <conditionalFormatting sqref="AN128">
    <cfRule type="expression" dxfId="391" priority="392">
      <formula>$AK128="No"</formula>
    </cfRule>
  </conditionalFormatting>
  <conditionalFormatting sqref="AL129">
    <cfRule type="expression" dxfId="390" priority="391">
      <formula>$AK129="No"</formula>
    </cfRule>
  </conditionalFormatting>
  <conditionalFormatting sqref="AM129">
    <cfRule type="expression" dxfId="389" priority="390">
      <formula>$AK129="No"</formula>
    </cfRule>
  </conditionalFormatting>
  <conditionalFormatting sqref="AN129">
    <cfRule type="expression" dxfId="388" priority="389">
      <formula>$AK129="No"</formula>
    </cfRule>
  </conditionalFormatting>
  <conditionalFormatting sqref="AL130">
    <cfRule type="expression" dxfId="387" priority="388">
      <formula>$AK130="No"</formula>
    </cfRule>
  </conditionalFormatting>
  <conditionalFormatting sqref="AM130">
    <cfRule type="expression" dxfId="386" priority="387">
      <formula>$AK130="No"</formula>
    </cfRule>
  </conditionalFormatting>
  <conditionalFormatting sqref="AN130">
    <cfRule type="expression" dxfId="385" priority="386">
      <formula>$AK130="No"</formula>
    </cfRule>
  </conditionalFormatting>
  <conditionalFormatting sqref="AL131">
    <cfRule type="expression" dxfId="384" priority="385">
      <formula>$AK131="No"</formula>
    </cfRule>
  </conditionalFormatting>
  <conditionalFormatting sqref="AM131">
    <cfRule type="expression" dxfId="383" priority="384">
      <formula>$AK131="No"</formula>
    </cfRule>
  </conditionalFormatting>
  <conditionalFormatting sqref="AN131">
    <cfRule type="expression" dxfId="382" priority="383">
      <formula>$AK131="No"</formula>
    </cfRule>
  </conditionalFormatting>
  <conditionalFormatting sqref="AL132">
    <cfRule type="expression" dxfId="381" priority="382">
      <formula>$AK132="No"</formula>
    </cfRule>
  </conditionalFormatting>
  <conditionalFormatting sqref="AM132">
    <cfRule type="expression" dxfId="380" priority="381">
      <formula>$AK132="No"</formula>
    </cfRule>
  </conditionalFormatting>
  <conditionalFormatting sqref="AN132">
    <cfRule type="expression" dxfId="379" priority="380">
      <formula>$AK132="No"</formula>
    </cfRule>
  </conditionalFormatting>
  <conditionalFormatting sqref="AL144:AL148">
    <cfRule type="expression" dxfId="378" priority="379">
      <formula>$AK144="No"</formula>
    </cfRule>
  </conditionalFormatting>
  <conditionalFormatting sqref="AM144:AM148">
    <cfRule type="expression" dxfId="377" priority="378">
      <formula>$AK144="No"</formula>
    </cfRule>
  </conditionalFormatting>
  <conditionalFormatting sqref="AN144:AN148">
    <cfRule type="expression" dxfId="376" priority="377">
      <formula>$AK144="No"</formula>
    </cfRule>
  </conditionalFormatting>
  <conditionalFormatting sqref="AL219:AN232">
    <cfRule type="expression" dxfId="375" priority="376">
      <formula>$AK219="No"</formula>
    </cfRule>
  </conditionalFormatting>
  <conditionalFormatting sqref="AL219:AN232">
    <cfRule type="expression" dxfId="374" priority="375">
      <formula>$AK$85="No"</formula>
    </cfRule>
  </conditionalFormatting>
  <conditionalFormatting sqref="AQ125:AS131">
    <cfRule type="expression" dxfId="373" priority="374">
      <formula>$AK125="No"</formula>
    </cfRule>
  </conditionalFormatting>
  <conditionalFormatting sqref="AP137:AP138">
    <cfRule type="expression" dxfId="372" priority="373">
      <formula>$AK137="No"</formula>
    </cfRule>
  </conditionalFormatting>
  <conditionalFormatting sqref="AQ137:AS138">
    <cfRule type="expression" dxfId="371" priority="372">
      <formula>$AK137="No"</formula>
    </cfRule>
  </conditionalFormatting>
  <conditionalFormatting sqref="AP144:AP145">
    <cfRule type="expression" dxfId="370" priority="371">
      <formula>$AK144="No"</formula>
    </cfRule>
  </conditionalFormatting>
  <conditionalFormatting sqref="AQ144:AS145">
    <cfRule type="expression" dxfId="369" priority="370">
      <formula>$AK144="No"</formula>
    </cfRule>
  </conditionalFormatting>
  <conditionalFormatting sqref="AP148">
    <cfRule type="expression" dxfId="368" priority="369">
      <formula>$AK148="No"</formula>
    </cfRule>
  </conditionalFormatting>
  <conditionalFormatting sqref="AQ148:AS148">
    <cfRule type="expression" dxfId="367" priority="368">
      <formula>$AK148="No"</formula>
    </cfRule>
  </conditionalFormatting>
  <conditionalFormatting sqref="AP219:AS232">
    <cfRule type="expression" dxfId="366" priority="367">
      <formula>$AO219="No"</formula>
    </cfRule>
  </conditionalFormatting>
  <conditionalFormatting sqref="AP102:AS102 AP103:AR109 AS103:AS114">
    <cfRule type="expression" dxfId="365" priority="366">
      <formula>$AO102="No"</formula>
    </cfRule>
  </conditionalFormatting>
  <conditionalFormatting sqref="AP110:AR114">
    <cfRule type="expression" dxfId="364" priority="365">
      <formula>$AO110="No"</formula>
    </cfRule>
  </conditionalFormatting>
  <conditionalFormatting sqref="BL567:BM567">
    <cfRule type="expression" dxfId="363" priority="364">
      <formula>$BL567="No"</formula>
    </cfRule>
  </conditionalFormatting>
  <conditionalFormatting sqref="BN567:BN579">
    <cfRule type="expression" dxfId="362" priority="363">
      <formula>$AO567="No"</formula>
    </cfRule>
  </conditionalFormatting>
  <conditionalFormatting sqref="BL568:BM579">
    <cfRule type="expression" dxfId="361" priority="362">
      <formula>$BL568="No"</formula>
    </cfRule>
  </conditionalFormatting>
  <conditionalFormatting sqref="AV115:AY115 AV93 AV82 AX82 AX93 BA85 BA115:BV115 BA101 BA98 BA96 BA94 BA92 BA90 BA87 BD84 BD86 BD88:BD89 BD91 BD95 BD97 BD99:BD100 BQ82:BV101">
    <cfRule type="expression" dxfId="360" priority="361">
      <formula>$I82="No"</formula>
    </cfRule>
  </conditionalFormatting>
  <conditionalFormatting sqref="BX82:BX84">
    <cfRule type="expression" dxfId="359" priority="357">
      <formula>$AK82="No"</formula>
    </cfRule>
    <cfRule type="expression" dxfId="358" priority="359">
      <formula>$AK82="No"</formula>
    </cfRule>
    <cfRule type="expression" dxfId="357" priority="360">
      <formula>$AK82="No"</formula>
    </cfRule>
  </conditionalFormatting>
  <conditionalFormatting sqref="BX85:BX86">
    <cfRule type="expression" dxfId="356" priority="358">
      <formula>$AK$85="No"</formula>
    </cfRule>
  </conditionalFormatting>
  <conditionalFormatting sqref="BX89:BZ115 BX82:BX88">
    <cfRule type="expression" dxfId="355" priority="356">
      <formula>$AK82="No"</formula>
    </cfRule>
  </conditionalFormatting>
  <conditionalFormatting sqref="CB115:CE115">
    <cfRule type="expression" dxfId="354" priority="355">
      <formula>$AO115="No"</formula>
    </cfRule>
  </conditionalFormatting>
  <conditionalFormatting sqref="BA83">
    <cfRule type="expression" dxfId="353" priority="354">
      <formula>$I83="No"</formula>
    </cfRule>
  </conditionalFormatting>
  <conditionalFormatting sqref="AY83">
    <cfRule type="expression" dxfId="352" priority="353">
      <formula>$I83="No"</formula>
    </cfRule>
  </conditionalFormatting>
  <conditionalFormatting sqref="AY85">
    <cfRule type="expression" dxfId="351" priority="352">
      <formula>$I85="No"</formula>
    </cfRule>
  </conditionalFormatting>
  <conditionalFormatting sqref="AY87">
    <cfRule type="expression" dxfId="350" priority="351">
      <formula>$I87="No"</formula>
    </cfRule>
  </conditionalFormatting>
  <conditionalFormatting sqref="AY90">
    <cfRule type="expression" dxfId="349" priority="350">
      <formula>$I90="No"</formula>
    </cfRule>
  </conditionalFormatting>
  <conditionalFormatting sqref="AY92">
    <cfRule type="expression" dxfId="348" priority="349">
      <formula>$I92="No"</formula>
    </cfRule>
  </conditionalFormatting>
  <conditionalFormatting sqref="AY94">
    <cfRule type="expression" dxfId="347" priority="348">
      <formula>$I94="No"</formula>
    </cfRule>
  </conditionalFormatting>
  <conditionalFormatting sqref="AY96">
    <cfRule type="expression" dxfId="346" priority="347">
      <formula>$I96="No"</formula>
    </cfRule>
  </conditionalFormatting>
  <conditionalFormatting sqref="AY98">
    <cfRule type="expression" dxfId="345" priority="346">
      <formula>$I98="No"</formula>
    </cfRule>
  </conditionalFormatting>
  <conditionalFormatting sqref="AY101">
    <cfRule type="expression" dxfId="344" priority="345">
      <formula>$I101="No"</formula>
    </cfRule>
  </conditionalFormatting>
  <conditionalFormatting sqref="AZ115">
    <cfRule type="expression" dxfId="343" priority="344">
      <formula>$I115="No"</formula>
    </cfRule>
  </conditionalFormatting>
  <conditionalFormatting sqref="BB84">
    <cfRule type="expression" dxfId="342" priority="343">
      <formula>$I84="No"</formula>
    </cfRule>
  </conditionalFormatting>
  <conditionalFormatting sqref="BB86">
    <cfRule type="expression" dxfId="341" priority="342">
      <formula>$I86="No"</formula>
    </cfRule>
  </conditionalFormatting>
  <conditionalFormatting sqref="BB88">
    <cfRule type="expression" dxfId="340" priority="341">
      <formula>$I88="No"</formula>
    </cfRule>
  </conditionalFormatting>
  <conditionalFormatting sqref="BB89">
    <cfRule type="expression" dxfId="339" priority="340">
      <formula>$I89="No"</formula>
    </cfRule>
  </conditionalFormatting>
  <conditionalFormatting sqref="BB91">
    <cfRule type="expression" dxfId="338" priority="339">
      <formula>$I91="No"</formula>
    </cfRule>
  </conditionalFormatting>
  <conditionalFormatting sqref="BB95">
    <cfRule type="expression" dxfId="337" priority="338">
      <formula>$I95="No"</formula>
    </cfRule>
  </conditionalFormatting>
  <conditionalFormatting sqref="BB97">
    <cfRule type="expression" dxfId="336" priority="337">
      <formula>$I97="No"</formula>
    </cfRule>
  </conditionalFormatting>
  <conditionalFormatting sqref="BB99">
    <cfRule type="expression" dxfId="335" priority="336">
      <formula>$I99="No"</formula>
    </cfRule>
  </conditionalFormatting>
  <conditionalFormatting sqref="BB100">
    <cfRule type="expression" dxfId="334" priority="335">
      <formula>$I100="No"</formula>
    </cfRule>
  </conditionalFormatting>
  <conditionalFormatting sqref="BI82">
    <cfRule type="expression" dxfId="333" priority="334">
      <formula>$I82="No"</formula>
    </cfRule>
  </conditionalFormatting>
  <conditionalFormatting sqref="BI83 BI85 BI87 BI90 BI92:BI94 BI96 BI98 BI101">
    <cfRule type="expression" dxfId="332" priority="333">
      <formula>$I83="No"</formula>
    </cfRule>
  </conditionalFormatting>
  <conditionalFormatting sqref="BI84">
    <cfRule type="expression" dxfId="331" priority="332">
      <formula>$I84="No"</formula>
    </cfRule>
  </conditionalFormatting>
  <conditionalFormatting sqref="BI86">
    <cfRule type="expression" dxfId="330" priority="331">
      <formula>$I86="No"</formula>
    </cfRule>
  </conditionalFormatting>
  <conditionalFormatting sqref="BI88:BI89">
    <cfRule type="expression" dxfId="329" priority="330">
      <formula>$I88="No"</formula>
    </cfRule>
  </conditionalFormatting>
  <conditionalFormatting sqref="BI91">
    <cfRule type="expression" dxfId="328" priority="329">
      <formula>$I91="No"</formula>
    </cfRule>
  </conditionalFormatting>
  <conditionalFormatting sqref="BI95">
    <cfRule type="expression" dxfId="327" priority="328">
      <formula>$I95="No"</formula>
    </cfRule>
  </conditionalFormatting>
  <conditionalFormatting sqref="BI97">
    <cfRule type="expression" dxfId="326" priority="327">
      <formula>$I97="No"</formula>
    </cfRule>
  </conditionalFormatting>
  <conditionalFormatting sqref="BI99:BI100">
    <cfRule type="expression" dxfId="325" priority="326">
      <formula>$I99="No"</formula>
    </cfRule>
  </conditionalFormatting>
  <conditionalFormatting sqref="BL82">
    <cfRule type="expression" dxfId="324" priority="325">
      <formula>$I82="No"</formula>
    </cfRule>
  </conditionalFormatting>
  <conditionalFormatting sqref="BL83 BL85 BL87 BL90 BL92:BL94 BL96 BL98 BL101">
    <cfRule type="expression" dxfId="323" priority="324">
      <formula>$I83="No"</formula>
    </cfRule>
  </conditionalFormatting>
  <conditionalFormatting sqref="BL84">
    <cfRule type="expression" dxfId="322" priority="323">
      <formula>$I84="No"</formula>
    </cfRule>
  </conditionalFormatting>
  <conditionalFormatting sqref="BL86">
    <cfRule type="expression" dxfId="321" priority="322">
      <formula>$I86="No"</formula>
    </cfRule>
  </conditionalFormatting>
  <conditionalFormatting sqref="BL88:BL89">
    <cfRule type="expression" dxfId="320" priority="321">
      <formula>$I88="No"</formula>
    </cfRule>
  </conditionalFormatting>
  <conditionalFormatting sqref="BL91">
    <cfRule type="expression" dxfId="319" priority="320">
      <formula>$I91="No"</formula>
    </cfRule>
  </conditionalFormatting>
  <conditionalFormatting sqref="BL95">
    <cfRule type="expression" dxfId="318" priority="319">
      <formula>$I95="No"</formula>
    </cfRule>
  </conditionalFormatting>
  <conditionalFormatting sqref="BL97">
    <cfRule type="expression" dxfId="317" priority="318">
      <formula>$I97="No"</formula>
    </cfRule>
  </conditionalFormatting>
  <conditionalFormatting sqref="BL99:BL100">
    <cfRule type="expression" dxfId="316" priority="317">
      <formula>$I99="No"</formula>
    </cfRule>
  </conditionalFormatting>
  <conditionalFormatting sqref="BO82">
    <cfRule type="expression" dxfId="315" priority="316">
      <formula>$I82="No"</formula>
    </cfRule>
  </conditionalFormatting>
  <conditionalFormatting sqref="BO83 BO85 BO87 BO90 BO92:BO94 BO96 BO98 BO101">
    <cfRule type="expression" dxfId="314" priority="315">
      <formula>$I83="No"</formula>
    </cfRule>
  </conditionalFormatting>
  <conditionalFormatting sqref="BO84">
    <cfRule type="expression" dxfId="313" priority="314">
      <formula>$I84="No"</formula>
    </cfRule>
  </conditionalFormatting>
  <conditionalFormatting sqref="BO86">
    <cfRule type="expression" dxfId="312" priority="313">
      <formula>$I86="No"</formula>
    </cfRule>
  </conditionalFormatting>
  <conditionalFormatting sqref="BO88:BO89">
    <cfRule type="expression" dxfId="311" priority="312">
      <formula>$I88="No"</formula>
    </cfRule>
  </conditionalFormatting>
  <conditionalFormatting sqref="BO91">
    <cfRule type="expression" dxfId="310" priority="311">
      <formula>$I91="No"</formula>
    </cfRule>
  </conditionalFormatting>
  <conditionalFormatting sqref="BO95">
    <cfRule type="expression" dxfId="309" priority="310">
      <formula>$I95="No"</formula>
    </cfRule>
  </conditionalFormatting>
  <conditionalFormatting sqref="BO97">
    <cfRule type="expression" dxfId="308" priority="309">
      <formula>$I97="No"</formula>
    </cfRule>
  </conditionalFormatting>
  <conditionalFormatting sqref="BO99:BO100">
    <cfRule type="expression" dxfId="307" priority="308">
      <formula>$I99="No"</formula>
    </cfRule>
  </conditionalFormatting>
  <conditionalFormatting sqref="BX24:BX81">
    <cfRule type="expression" dxfId="306" priority="307">
      <formula>$AK24="No"</formula>
    </cfRule>
  </conditionalFormatting>
  <conditionalFormatting sqref="BX8:BX20">
    <cfRule type="expression" dxfId="305" priority="306">
      <formula>$AK8="No"</formula>
    </cfRule>
  </conditionalFormatting>
  <conditionalFormatting sqref="BY8:BY20">
    <cfRule type="expression" dxfId="304" priority="305">
      <formula>$AK8="No"</formula>
    </cfRule>
  </conditionalFormatting>
  <conditionalFormatting sqref="BY24:BY36">
    <cfRule type="expression" dxfId="303" priority="304">
      <formula>$AK24="No"</formula>
    </cfRule>
  </conditionalFormatting>
  <conditionalFormatting sqref="BY37:BY49">
    <cfRule type="expression" dxfId="302" priority="303">
      <formula>$AK37="No"</formula>
    </cfRule>
  </conditionalFormatting>
  <conditionalFormatting sqref="BY50:BY62">
    <cfRule type="expression" dxfId="301" priority="302">
      <formula>$AK50="No"</formula>
    </cfRule>
  </conditionalFormatting>
  <conditionalFormatting sqref="BY63:BY75">
    <cfRule type="expression" dxfId="300" priority="301">
      <formula>$AK63="No"</formula>
    </cfRule>
  </conditionalFormatting>
  <conditionalFormatting sqref="BY76:BY88">
    <cfRule type="expression" dxfId="299" priority="300">
      <formula>$AK76="No"</formula>
    </cfRule>
  </conditionalFormatting>
  <conditionalFormatting sqref="BZ8:BZ20">
    <cfRule type="expression" dxfId="298" priority="299">
      <formula>$AK8="No"</formula>
    </cfRule>
  </conditionalFormatting>
  <conditionalFormatting sqref="BZ24:BZ36">
    <cfRule type="expression" dxfId="297" priority="298">
      <formula>$AK24="No"</formula>
    </cfRule>
  </conditionalFormatting>
  <conditionalFormatting sqref="BZ37:BZ49">
    <cfRule type="expression" dxfId="296" priority="297">
      <formula>$AK37="No"</formula>
    </cfRule>
  </conditionalFormatting>
  <conditionalFormatting sqref="BZ50:BZ62">
    <cfRule type="expression" dxfId="295" priority="296">
      <formula>$AK50="No"</formula>
    </cfRule>
  </conditionalFormatting>
  <conditionalFormatting sqref="BZ63:BZ75">
    <cfRule type="expression" dxfId="294" priority="295">
      <formula>$AK63="No"</formula>
    </cfRule>
  </conditionalFormatting>
  <conditionalFormatting sqref="BZ76:BZ88">
    <cfRule type="expression" dxfId="293" priority="294">
      <formula>$AK76="No"</formula>
    </cfRule>
  </conditionalFormatting>
  <conditionalFormatting sqref="CB89:CB101">
    <cfRule type="expression" dxfId="292" priority="293">
      <formula>$AK89="No"</formula>
    </cfRule>
  </conditionalFormatting>
  <conditionalFormatting sqref="CB8:CB29">
    <cfRule type="expression" dxfId="291" priority="292">
      <formula>$AK8="No"</formula>
    </cfRule>
  </conditionalFormatting>
  <conditionalFormatting sqref="CB30:CB36">
    <cfRule type="expression" dxfId="290" priority="291">
      <formula>$AK30="No"</formula>
    </cfRule>
  </conditionalFormatting>
  <conditionalFormatting sqref="CB37:CB49">
    <cfRule type="expression" dxfId="289" priority="290">
      <formula>$AK37="No"</formula>
    </cfRule>
  </conditionalFormatting>
  <conditionalFormatting sqref="CB50:CB62">
    <cfRule type="expression" dxfId="288" priority="289">
      <formula>$AK50="No"</formula>
    </cfRule>
  </conditionalFormatting>
  <conditionalFormatting sqref="CB63:CB75">
    <cfRule type="expression" dxfId="287" priority="288">
      <formula>$AK63="No"</formula>
    </cfRule>
  </conditionalFormatting>
  <conditionalFormatting sqref="CB76:CB88">
    <cfRule type="expression" dxfId="286" priority="287">
      <formula>$AK76="No"</formula>
    </cfRule>
  </conditionalFormatting>
  <conditionalFormatting sqref="CC89:CE101">
    <cfRule type="expression" dxfId="285" priority="286">
      <formula>$AK89="No"</formula>
    </cfRule>
  </conditionalFormatting>
  <conditionalFormatting sqref="CC8:CE20 CC24:CE24">
    <cfRule type="expression" dxfId="284" priority="285">
      <formula>$AK8="No"</formula>
    </cfRule>
  </conditionalFormatting>
  <conditionalFormatting sqref="CC25:CE36">
    <cfRule type="expression" dxfId="283" priority="284">
      <formula>$AK25="No"</formula>
    </cfRule>
  </conditionalFormatting>
  <conditionalFormatting sqref="CC37:CE49">
    <cfRule type="expression" dxfId="282" priority="283">
      <formula>$AK37="No"</formula>
    </cfRule>
  </conditionalFormatting>
  <conditionalFormatting sqref="CC50:CE62">
    <cfRule type="expression" dxfId="281" priority="282">
      <formula>$AK50="No"</formula>
    </cfRule>
  </conditionalFormatting>
  <conditionalFormatting sqref="CC63:CE75">
    <cfRule type="expression" dxfId="280" priority="281">
      <formula>$AK63="No"</formula>
    </cfRule>
  </conditionalFormatting>
  <conditionalFormatting sqref="CC76:CE88">
    <cfRule type="expression" dxfId="279" priority="280">
      <formula>$AK76="No"</formula>
    </cfRule>
  </conditionalFormatting>
  <conditionalFormatting sqref="BH82:BH101">
    <cfRule type="expression" dxfId="278" priority="279">
      <formula>$I82="No"</formula>
    </cfRule>
  </conditionalFormatting>
  <conditionalFormatting sqref="BJ82:BJ101">
    <cfRule type="expression" dxfId="277" priority="278">
      <formula>$I82="No"</formula>
    </cfRule>
  </conditionalFormatting>
  <conditionalFormatting sqref="BK82:BK101">
    <cfRule type="expression" dxfId="276" priority="277">
      <formula>$I82="No"</formula>
    </cfRule>
  </conditionalFormatting>
  <conditionalFormatting sqref="BM82:BM101">
    <cfRule type="expression" dxfId="275" priority="276">
      <formula>$I82="No"</formula>
    </cfRule>
  </conditionalFormatting>
  <conditionalFormatting sqref="BN82:BN101">
    <cfRule type="expression" dxfId="274" priority="275">
      <formula>$I82="No"</formula>
    </cfRule>
  </conditionalFormatting>
  <conditionalFormatting sqref="BP82:BP101">
    <cfRule type="expression" dxfId="273" priority="274">
      <formula>$I82="No"</formula>
    </cfRule>
  </conditionalFormatting>
  <conditionalFormatting sqref="CC21:CE23">
    <cfRule type="expression" dxfId="272" priority="273">
      <formula>$AK21="No"</formula>
    </cfRule>
  </conditionalFormatting>
  <conditionalFormatting sqref="AW82">
    <cfRule type="expression" dxfId="271" priority="272">
      <formula>$I82="No"</formula>
    </cfRule>
  </conditionalFormatting>
  <conditionalFormatting sqref="AW93">
    <cfRule type="expression" dxfId="270" priority="271">
      <formula>$I93="No"</formula>
    </cfRule>
  </conditionalFormatting>
  <conditionalFormatting sqref="AZ83">
    <cfRule type="expression" dxfId="269" priority="270">
      <formula>$I83="No"</formula>
    </cfRule>
  </conditionalFormatting>
  <conditionalFormatting sqref="AZ85">
    <cfRule type="expression" dxfId="268" priority="269">
      <formula>$I85="No"</formula>
    </cfRule>
  </conditionalFormatting>
  <conditionalFormatting sqref="AZ87">
    <cfRule type="expression" dxfId="267" priority="268">
      <formula>$I87="No"</formula>
    </cfRule>
  </conditionalFormatting>
  <conditionalFormatting sqref="AZ90">
    <cfRule type="expression" dxfId="266" priority="267">
      <formula>$I90="No"</formula>
    </cfRule>
  </conditionalFormatting>
  <conditionalFormatting sqref="AZ92">
    <cfRule type="expression" dxfId="265" priority="266">
      <formula>$I92="No"</formula>
    </cfRule>
  </conditionalFormatting>
  <conditionalFormatting sqref="AZ94">
    <cfRule type="expression" dxfId="264" priority="265">
      <formula>$I94="No"</formula>
    </cfRule>
  </conditionalFormatting>
  <conditionalFormatting sqref="AZ96">
    <cfRule type="expression" dxfId="263" priority="264">
      <formula>$I96="No"</formula>
    </cfRule>
  </conditionalFormatting>
  <conditionalFormatting sqref="AZ98">
    <cfRule type="expression" dxfId="262" priority="263">
      <formula>$I98="No"</formula>
    </cfRule>
  </conditionalFormatting>
  <conditionalFormatting sqref="AZ101">
    <cfRule type="expression" dxfId="261" priority="262">
      <formula>$I101="No"</formula>
    </cfRule>
  </conditionalFormatting>
  <conditionalFormatting sqref="BC88">
    <cfRule type="expression" dxfId="260" priority="261">
      <formula>$I88="No"</formula>
    </cfRule>
  </conditionalFormatting>
  <conditionalFormatting sqref="BC89">
    <cfRule type="expression" dxfId="259" priority="260">
      <formula>$I89="No"</formula>
    </cfRule>
  </conditionalFormatting>
  <conditionalFormatting sqref="BC91">
    <cfRule type="expression" dxfId="258" priority="259">
      <formula>$I91="No"</formula>
    </cfRule>
  </conditionalFormatting>
  <conditionalFormatting sqref="BC95">
    <cfRule type="expression" dxfId="257" priority="258">
      <formula>$I95="No"</formula>
    </cfRule>
  </conditionalFormatting>
  <conditionalFormatting sqref="BC97">
    <cfRule type="expression" dxfId="256" priority="257">
      <formula>$I97="No"</formula>
    </cfRule>
  </conditionalFormatting>
  <conditionalFormatting sqref="BC99">
    <cfRule type="expression" dxfId="255" priority="256">
      <formula>$I99="No"</formula>
    </cfRule>
  </conditionalFormatting>
  <conditionalFormatting sqref="BC100">
    <cfRule type="expression" dxfId="254" priority="255">
      <formula>$I100="No"</formula>
    </cfRule>
  </conditionalFormatting>
  <conditionalFormatting sqref="BC84">
    <cfRule type="expression" dxfId="253" priority="254">
      <formula>$I84="No"</formula>
    </cfRule>
  </conditionalFormatting>
  <conditionalFormatting sqref="BC86">
    <cfRule type="expression" dxfId="252" priority="253">
      <formula>$I86="No"</formula>
    </cfRule>
  </conditionalFormatting>
  <conditionalFormatting sqref="CB102:CE102 CB103:CD109 CE103:CE114">
    <cfRule type="expression" dxfId="251" priority="252">
      <formula>$AO102="No"</formula>
    </cfRule>
  </conditionalFormatting>
  <conditionalFormatting sqref="CB110:CD114">
    <cfRule type="expression" dxfId="250" priority="251">
      <formula>$AO110="No"</formula>
    </cfRule>
  </conditionalFormatting>
  <conditionalFormatting sqref="AY218 BF217:BF219 BB219:BC219 AV216:AW219 BC216:BD216 BE216:BE219 BG191:BH219 BJ191:BK219 BM191:BN219 BP191:BP219">
    <cfRule type="expression" dxfId="249" priority="250">
      <formula>$I191="No"</formula>
    </cfRule>
  </conditionalFormatting>
  <conditionalFormatting sqref="BX191:BZ218 CB191:CE215 BX155:BZ174 CB155:CE174">
    <cfRule type="expression" dxfId="248" priority="249">
      <formula>$AK155="No"</formula>
    </cfRule>
  </conditionalFormatting>
  <conditionalFormatting sqref="CB216:CE218">
    <cfRule type="expression" dxfId="247" priority="248">
      <formula>$AO216="No"</formula>
    </cfRule>
  </conditionalFormatting>
  <conditionalFormatting sqref="BX216:BZ217">
    <cfRule type="expression" dxfId="246" priority="247">
      <formula>$AK$85="No"</formula>
    </cfRule>
  </conditionalFormatting>
  <conditionalFormatting sqref="BF199">
    <cfRule type="expression" dxfId="245" priority="246">
      <formula>$I199="No"</formula>
    </cfRule>
  </conditionalFormatting>
  <conditionalFormatting sqref="BF200 BF202 BF204 BF207 BF209:BF211 BF213 BF215:BF216">
    <cfRule type="expression" dxfId="244" priority="245">
      <formula>$I200="No"</formula>
    </cfRule>
  </conditionalFormatting>
  <conditionalFormatting sqref="BF201">
    <cfRule type="expression" dxfId="243" priority="244">
      <formula>$I201="No"</formula>
    </cfRule>
  </conditionalFormatting>
  <conditionalFormatting sqref="BF203">
    <cfRule type="expression" dxfId="242" priority="243">
      <formula>$I203="No"</formula>
    </cfRule>
  </conditionalFormatting>
  <conditionalFormatting sqref="BF205:BF206">
    <cfRule type="expression" dxfId="241" priority="242">
      <formula>$I205="No"</formula>
    </cfRule>
  </conditionalFormatting>
  <conditionalFormatting sqref="BF208">
    <cfRule type="expression" dxfId="240" priority="241">
      <formula>$I208="No"</formula>
    </cfRule>
  </conditionalFormatting>
  <conditionalFormatting sqref="BF212">
    <cfRule type="expression" dxfId="239" priority="240">
      <formula>$I212="No"</formula>
    </cfRule>
  </conditionalFormatting>
  <conditionalFormatting sqref="BF214">
    <cfRule type="expression" dxfId="238" priority="239">
      <formula>$I214="No"</formula>
    </cfRule>
  </conditionalFormatting>
  <conditionalFormatting sqref="BI217:BI219">
    <cfRule type="expression" dxfId="237" priority="238">
      <formula>$I217="No"</formula>
    </cfRule>
  </conditionalFormatting>
  <conditionalFormatting sqref="BI199">
    <cfRule type="expression" dxfId="236" priority="237">
      <formula>$I199="No"</formula>
    </cfRule>
  </conditionalFormatting>
  <conditionalFormatting sqref="BI200 BI202 BI204 BI207 BI209:BI211 BI213 BI215:BI216">
    <cfRule type="expression" dxfId="235" priority="236">
      <formula>$I200="No"</formula>
    </cfRule>
  </conditionalFormatting>
  <conditionalFormatting sqref="BI201">
    <cfRule type="expression" dxfId="234" priority="235">
      <formula>$I201="No"</formula>
    </cfRule>
  </conditionalFormatting>
  <conditionalFormatting sqref="BI203">
    <cfRule type="expression" dxfId="233" priority="234">
      <formula>$I203="No"</formula>
    </cfRule>
  </conditionalFormatting>
  <conditionalFormatting sqref="BI205:BI206">
    <cfRule type="expression" dxfId="232" priority="233">
      <formula>$I205="No"</formula>
    </cfRule>
  </conditionalFormatting>
  <conditionalFormatting sqref="BI208">
    <cfRule type="expression" dxfId="231" priority="232">
      <formula>$I208="No"</formula>
    </cfRule>
  </conditionalFormatting>
  <conditionalFormatting sqref="BI212">
    <cfRule type="expression" dxfId="230" priority="231">
      <formula>$I212="No"</formula>
    </cfRule>
  </conditionalFormatting>
  <conditionalFormatting sqref="BI214">
    <cfRule type="expression" dxfId="229" priority="230">
      <formula>$I214="No"</formula>
    </cfRule>
  </conditionalFormatting>
  <conditionalFormatting sqref="BL217:BL219">
    <cfRule type="expression" dxfId="228" priority="229">
      <formula>$I217="No"</formula>
    </cfRule>
  </conditionalFormatting>
  <conditionalFormatting sqref="BL199">
    <cfRule type="expression" dxfId="227" priority="228">
      <formula>$I199="No"</formula>
    </cfRule>
  </conditionalFormatting>
  <conditionalFormatting sqref="BL200 BL202 BL204 BL207 BL209:BL211 BL213 BL215:BL216">
    <cfRule type="expression" dxfId="226" priority="227">
      <formula>$I200="No"</formula>
    </cfRule>
  </conditionalFormatting>
  <conditionalFormatting sqref="BL201">
    <cfRule type="expression" dxfId="225" priority="226">
      <formula>$I201="No"</formula>
    </cfRule>
  </conditionalFormatting>
  <conditionalFormatting sqref="BL203">
    <cfRule type="expression" dxfId="224" priority="225">
      <formula>$I203="No"</formula>
    </cfRule>
  </conditionalFormatting>
  <conditionalFormatting sqref="BL205:BL206">
    <cfRule type="expression" dxfId="223" priority="224">
      <formula>$I205="No"</formula>
    </cfRule>
  </conditionalFormatting>
  <conditionalFormatting sqref="BL208">
    <cfRule type="expression" dxfId="222" priority="223">
      <formula>$I208="No"</formula>
    </cfRule>
  </conditionalFormatting>
  <conditionalFormatting sqref="BL212">
    <cfRule type="expression" dxfId="221" priority="222">
      <formula>$I212="No"</formula>
    </cfRule>
  </conditionalFormatting>
  <conditionalFormatting sqref="BL214">
    <cfRule type="expression" dxfId="220" priority="221">
      <formula>$I214="No"</formula>
    </cfRule>
  </conditionalFormatting>
  <conditionalFormatting sqref="BO217:BO219">
    <cfRule type="expression" dxfId="219" priority="220">
      <formula>$I217="No"</formula>
    </cfRule>
  </conditionalFormatting>
  <conditionalFormatting sqref="BO199">
    <cfRule type="expression" dxfId="218" priority="219">
      <formula>$I199="No"</formula>
    </cfRule>
  </conditionalFormatting>
  <conditionalFormatting sqref="BO200 BO202 BO204 BO207 BO209:BO211 BO213 BO215:BO216">
    <cfRule type="expression" dxfId="217" priority="218">
      <formula>$I200="No"</formula>
    </cfRule>
  </conditionalFormatting>
  <conditionalFormatting sqref="BO201">
    <cfRule type="expression" dxfId="216" priority="217">
      <formula>$I201="No"</formula>
    </cfRule>
  </conditionalFormatting>
  <conditionalFormatting sqref="BO203">
    <cfRule type="expression" dxfId="215" priority="216">
      <formula>$I203="No"</formula>
    </cfRule>
  </conditionalFormatting>
  <conditionalFormatting sqref="BO205:BO206">
    <cfRule type="expression" dxfId="214" priority="215">
      <formula>$I205="No"</formula>
    </cfRule>
  </conditionalFormatting>
  <conditionalFormatting sqref="BO208">
    <cfRule type="expression" dxfId="213" priority="214">
      <formula>$I208="No"</formula>
    </cfRule>
  </conditionalFormatting>
  <conditionalFormatting sqref="BO212">
    <cfRule type="expression" dxfId="212" priority="213">
      <formula>$I212="No"</formula>
    </cfRule>
  </conditionalFormatting>
  <conditionalFormatting sqref="BO214">
    <cfRule type="expression" dxfId="211" priority="212">
      <formula>$I214="No"</formula>
    </cfRule>
  </conditionalFormatting>
  <conditionalFormatting sqref="BX132">
    <cfRule type="expression" dxfId="210" priority="211">
      <formula>$AK132="No"</formula>
    </cfRule>
  </conditionalFormatting>
  <conditionalFormatting sqref="BY132">
    <cfRule type="expression" dxfId="209" priority="210">
      <formula>$AK132="No"</formula>
    </cfRule>
  </conditionalFormatting>
  <conditionalFormatting sqref="BZ132">
    <cfRule type="expression" dxfId="208" priority="209">
      <formula>$AK132="No"</formula>
    </cfRule>
  </conditionalFormatting>
  <conditionalFormatting sqref="BX133">
    <cfRule type="expression" dxfId="207" priority="208">
      <formula>$AK133="No"</formula>
    </cfRule>
  </conditionalFormatting>
  <conditionalFormatting sqref="BY133">
    <cfRule type="expression" dxfId="206" priority="207">
      <formula>$AK133="No"</formula>
    </cfRule>
  </conditionalFormatting>
  <conditionalFormatting sqref="BZ133">
    <cfRule type="expression" dxfId="205" priority="206">
      <formula>$AK133="No"</formula>
    </cfRule>
  </conditionalFormatting>
  <conditionalFormatting sqref="BX134">
    <cfRule type="expression" dxfId="204" priority="205">
      <formula>$AK134="No"</formula>
    </cfRule>
  </conditionalFormatting>
  <conditionalFormatting sqref="BY134">
    <cfRule type="expression" dxfId="203" priority="204">
      <formula>$AK134="No"</formula>
    </cfRule>
  </conditionalFormatting>
  <conditionalFormatting sqref="BZ134">
    <cfRule type="expression" dxfId="202" priority="203">
      <formula>$AK134="No"</formula>
    </cfRule>
  </conditionalFormatting>
  <conditionalFormatting sqref="BX135">
    <cfRule type="expression" dxfId="201" priority="202">
      <formula>$AK135="No"</formula>
    </cfRule>
  </conditionalFormatting>
  <conditionalFormatting sqref="BY135">
    <cfRule type="expression" dxfId="200" priority="201">
      <formula>$AK135="No"</formula>
    </cfRule>
  </conditionalFormatting>
  <conditionalFormatting sqref="BZ135">
    <cfRule type="expression" dxfId="199" priority="200">
      <formula>$AK135="No"</formula>
    </cfRule>
  </conditionalFormatting>
  <conditionalFormatting sqref="BX136:BX138">
    <cfRule type="expression" dxfId="198" priority="199">
      <formula>$AK136="No"</formula>
    </cfRule>
  </conditionalFormatting>
  <conditionalFormatting sqref="BY136:BY138">
    <cfRule type="expression" dxfId="197" priority="198">
      <formula>$AK136="No"</formula>
    </cfRule>
  </conditionalFormatting>
  <conditionalFormatting sqref="BZ136:BZ138">
    <cfRule type="expression" dxfId="196" priority="197">
      <formula>$AK136="No"</formula>
    </cfRule>
  </conditionalFormatting>
  <conditionalFormatting sqref="BX143">
    <cfRule type="expression" dxfId="195" priority="196">
      <formula>$AK143="No"</formula>
    </cfRule>
  </conditionalFormatting>
  <conditionalFormatting sqref="BY143">
    <cfRule type="expression" dxfId="194" priority="195">
      <formula>$AK143="No"</formula>
    </cfRule>
  </conditionalFormatting>
  <conditionalFormatting sqref="BZ143">
    <cfRule type="expression" dxfId="193" priority="194">
      <formula>$AK143="No"</formula>
    </cfRule>
  </conditionalFormatting>
  <conditionalFormatting sqref="BX149">
    <cfRule type="expression" dxfId="192" priority="193">
      <formula>$AK149="No"</formula>
    </cfRule>
  </conditionalFormatting>
  <conditionalFormatting sqref="BY149">
    <cfRule type="expression" dxfId="191" priority="192">
      <formula>$AK149="No"</formula>
    </cfRule>
  </conditionalFormatting>
  <conditionalFormatting sqref="BZ149">
    <cfRule type="expression" dxfId="190" priority="191">
      <formula>$AK149="No"</formula>
    </cfRule>
  </conditionalFormatting>
  <conditionalFormatting sqref="BX150">
    <cfRule type="expression" dxfId="189" priority="190">
      <formula>$AK150="No"</formula>
    </cfRule>
  </conditionalFormatting>
  <conditionalFormatting sqref="BY150">
    <cfRule type="expression" dxfId="188" priority="189">
      <formula>$AK150="No"</formula>
    </cfRule>
  </conditionalFormatting>
  <conditionalFormatting sqref="BZ150">
    <cfRule type="expression" dxfId="187" priority="188">
      <formula>$AK150="No"</formula>
    </cfRule>
  </conditionalFormatting>
  <conditionalFormatting sqref="BX151">
    <cfRule type="expression" dxfId="186" priority="187">
      <formula>$AK151="No"</formula>
    </cfRule>
  </conditionalFormatting>
  <conditionalFormatting sqref="BY151">
    <cfRule type="expression" dxfId="185" priority="186">
      <formula>$AK151="No"</formula>
    </cfRule>
  </conditionalFormatting>
  <conditionalFormatting sqref="BZ151">
    <cfRule type="expression" dxfId="184" priority="185">
      <formula>$AK151="No"</formula>
    </cfRule>
  </conditionalFormatting>
  <conditionalFormatting sqref="BX152">
    <cfRule type="expression" dxfId="183" priority="184">
      <formula>$AK152="No"</formula>
    </cfRule>
  </conditionalFormatting>
  <conditionalFormatting sqref="BY152">
    <cfRule type="expression" dxfId="182" priority="183">
      <formula>$AK152="No"</formula>
    </cfRule>
  </conditionalFormatting>
  <conditionalFormatting sqref="BZ152">
    <cfRule type="expression" dxfId="181" priority="182">
      <formula>$AK152="No"</formula>
    </cfRule>
  </conditionalFormatting>
  <conditionalFormatting sqref="BX153">
    <cfRule type="expression" dxfId="180" priority="181">
      <formula>$AK153="No"</formula>
    </cfRule>
  </conditionalFormatting>
  <conditionalFormatting sqref="BY153">
    <cfRule type="expression" dxfId="179" priority="180">
      <formula>$AK153="No"</formula>
    </cfRule>
  </conditionalFormatting>
  <conditionalFormatting sqref="BZ153">
    <cfRule type="expression" dxfId="178" priority="179">
      <formula>$AK153="No"</formula>
    </cfRule>
  </conditionalFormatting>
  <conditionalFormatting sqref="BX154">
    <cfRule type="expression" dxfId="177" priority="178">
      <formula>$AK154="No"</formula>
    </cfRule>
  </conditionalFormatting>
  <conditionalFormatting sqref="BY154">
    <cfRule type="expression" dxfId="176" priority="177">
      <formula>$AK154="No"</formula>
    </cfRule>
  </conditionalFormatting>
  <conditionalFormatting sqref="BZ154">
    <cfRule type="expression" dxfId="175" priority="176">
      <formula>$AK154="No"</formula>
    </cfRule>
  </conditionalFormatting>
  <conditionalFormatting sqref="BX175">
    <cfRule type="expression" dxfId="174" priority="175">
      <formula>$AK175="No"</formula>
    </cfRule>
  </conditionalFormatting>
  <conditionalFormatting sqref="BY175">
    <cfRule type="expression" dxfId="173" priority="174">
      <formula>$AK175="No"</formula>
    </cfRule>
  </conditionalFormatting>
  <conditionalFormatting sqref="BZ175">
    <cfRule type="expression" dxfId="172" priority="173">
      <formula>$AK175="No"</formula>
    </cfRule>
  </conditionalFormatting>
  <conditionalFormatting sqref="BX176">
    <cfRule type="expression" dxfId="171" priority="172">
      <formula>$AK176="No"</formula>
    </cfRule>
  </conditionalFormatting>
  <conditionalFormatting sqref="BY176">
    <cfRule type="expression" dxfId="170" priority="171">
      <formula>$AK176="No"</formula>
    </cfRule>
  </conditionalFormatting>
  <conditionalFormatting sqref="BZ176">
    <cfRule type="expression" dxfId="169" priority="170">
      <formula>$AK176="No"</formula>
    </cfRule>
  </conditionalFormatting>
  <conditionalFormatting sqref="BX177">
    <cfRule type="expression" dxfId="168" priority="169">
      <formula>$AK177="No"</formula>
    </cfRule>
  </conditionalFormatting>
  <conditionalFormatting sqref="BY177">
    <cfRule type="expression" dxfId="167" priority="168">
      <formula>$AK177="No"</formula>
    </cfRule>
  </conditionalFormatting>
  <conditionalFormatting sqref="BZ177">
    <cfRule type="expression" dxfId="166" priority="167">
      <formula>$AK177="No"</formula>
    </cfRule>
  </conditionalFormatting>
  <conditionalFormatting sqref="BX178">
    <cfRule type="expression" dxfId="165" priority="166">
      <formula>$AK178="No"</formula>
    </cfRule>
  </conditionalFormatting>
  <conditionalFormatting sqref="BY178">
    <cfRule type="expression" dxfId="164" priority="165">
      <formula>$AK178="No"</formula>
    </cfRule>
  </conditionalFormatting>
  <conditionalFormatting sqref="BZ178">
    <cfRule type="expression" dxfId="163" priority="164">
      <formula>$AK178="No"</formula>
    </cfRule>
  </conditionalFormatting>
  <conditionalFormatting sqref="BX179">
    <cfRule type="expression" dxfId="162" priority="163">
      <formula>$AK179="No"</formula>
    </cfRule>
  </conditionalFormatting>
  <conditionalFormatting sqref="BY179">
    <cfRule type="expression" dxfId="161" priority="162">
      <formula>$AK179="No"</formula>
    </cfRule>
  </conditionalFormatting>
  <conditionalFormatting sqref="BZ179">
    <cfRule type="expression" dxfId="160" priority="161">
      <formula>$AK179="No"</formula>
    </cfRule>
  </conditionalFormatting>
  <conditionalFormatting sqref="BX180">
    <cfRule type="expression" dxfId="159" priority="160">
      <formula>$AK180="No"</formula>
    </cfRule>
  </conditionalFormatting>
  <conditionalFormatting sqref="BY180">
    <cfRule type="expression" dxfId="158" priority="159">
      <formula>$AK180="No"</formula>
    </cfRule>
  </conditionalFormatting>
  <conditionalFormatting sqref="BZ180">
    <cfRule type="expression" dxfId="157" priority="158">
      <formula>$AK180="No"</formula>
    </cfRule>
  </conditionalFormatting>
  <conditionalFormatting sqref="BX181">
    <cfRule type="expression" dxfId="156" priority="157">
      <formula>$AK181="No"</formula>
    </cfRule>
  </conditionalFormatting>
  <conditionalFormatting sqref="BY181">
    <cfRule type="expression" dxfId="155" priority="156">
      <formula>$AK181="No"</formula>
    </cfRule>
  </conditionalFormatting>
  <conditionalFormatting sqref="BZ181">
    <cfRule type="expression" dxfId="154" priority="155">
      <formula>$AK181="No"</formula>
    </cfRule>
  </conditionalFormatting>
  <conditionalFormatting sqref="BX182">
    <cfRule type="expression" dxfId="153" priority="154">
      <formula>$AK182="No"</formula>
    </cfRule>
  </conditionalFormatting>
  <conditionalFormatting sqref="BY182">
    <cfRule type="expression" dxfId="152" priority="153">
      <formula>$AK182="No"</formula>
    </cfRule>
  </conditionalFormatting>
  <conditionalFormatting sqref="BZ182">
    <cfRule type="expression" dxfId="151" priority="152">
      <formula>$AK182="No"</formula>
    </cfRule>
  </conditionalFormatting>
  <conditionalFormatting sqref="BX183">
    <cfRule type="expression" dxfId="150" priority="151">
      <formula>$AK183="No"</formula>
    </cfRule>
  </conditionalFormatting>
  <conditionalFormatting sqref="BY183">
    <cfRule type="expression" dxfId="149" priority="150">
      <formula>$AK183="No"</formula>
    </cfRule>
  </conditionalFormatting>
  <conditionalFormatting sqref="BZ183">
    <cfRule type="expression" dxfId="148" priority="149">
      <formula>$AK183="No"</formula>
    </cfRule>
  </conditionalFormatting>
  <conditionalFormatting sqref="BX184">
    <cfRule type="expression" dxfId="147" priority="148">
      <formula>$AK184="No"</formula>
    </cfRule>
  </conditionalFormatting>
  <conditionalFormatting sqref="BY184">
    <cfRule type="expression" dxfId="146" priority="147">
      <formula>$AK184="No"</formula>
    </cfRule>
  </conditionalFormatting>
  <conditionalFormatting sqref="BZ184">
    <cfRule type="expression" dxfId="145" priority="146">
      <formula>$AK184="No"</formula>
    </cfRule>
  </conditionalFormatting>
  <conditionalFormatting sqref="BX185">
    <cfRule type="expression" dxfId="144" priority="145">
      <formula>$AK185="No"</formula>
    </cfRule>
  </conditionalFormatting>
  <conditionalFormatting sqref="BY185">
    <cfRule type="expression" dxfId="143" priority="144">
      <formula>$AK185="No"</formula>
    </cfRule>
  </conditionalFormatting>
  <conditionalFormatting sqref="BZ185">
    <cfRule type="expression" dxfId="142" priority="143">
      <formula>$AK185="No"</formula>
    </cfRule>
  </conditionalFormatting>
  <conditionalFormatting sqref="BX186">
    <cfRule type="expression" dxfId="141" priority="142">
      <formula>$AK186="No"</formula>
    </cfRule>
  </conditionalFormatting>
  <conditionalFormatting sqref="BY186">
    <cfRule type="expression" dxfId="140" priority="141">
      <formula>$AK186="No"</formula>
    </cfRule>
  </conditionalFormatting>
  <conditionalFormatting sqref="BZ186">
    <cfRule type="expression" dxfId="139" priority="140">
      <formula>$AK186="No"</formula>
    </cfRule>
  </conditionalFormatting>
  <conditionalFormatting sqref="BX187">
    <cfRule type="expression" dxfId="138" priority="139">
      <formula>$AK187="No"</formula>
    </cfRule>
  </conditionalFormatting>
  <conditionalFormatting sqref="BY187">
    <cfRule type="expression" dxfId="137" priority="138">
      <formula>$AK187="No"</formula>
    </cfRule>
  </conditionalFormatting>
  <conditionalFormatting sqref="BZ187">
    <cfRule type="expression" dxfId="136" priority="137">
      <formula>$AK187="No"</formula>
    </cfRule>
  </conditionalFormatting>
  <conditionalFormatting sqref="BX188">
    <cfRule type="expression" dxfId="135" priority="136">
      <formula>$AK188="No"</formula>
    </cfRule>
  </conditionalFormatting>
  <conditionalFormatting sqref="BY188">
    <cfRule type="expression" dxfId="134" priority="135">
      <formula>$AK188="No"</formula>
    </cfRule>
  </conditionalFormatting>
  <conditionalFormatting sqref="BZ188">
    <cfRule type="expression" dxfId="133" priority="134">
      <formula>$AK188="No"</formula>
    </cfRule>
  </conditionalFormatting>
  <conditionalFormatting sqref="BX189">
    <cfRule type="expression" dxfId="132" priority="133">
      <formula>$AK189="No"</formula>
    </cfRule>
  </conditionalFormatting>
  <conditionalFormatting sqref="BY189">
    <cfRule type="expression" dxfId="131" priority="132">
      <formula>$AK189="No"</formula>
    </cfRule>
  </conditionalFormatting>
  <conditionalFormatting sqref="BZ189">
    <cfRule type="expression" dxfId="130" priority="131">
      <formula>$AK189="No"</formula>
    </cfRule>
  </conditionalFormatting>
  <conditionalFormatting sqref="BX190">
    <cfRule type="expression" dxfId="129" priority="130">
      <formula>$AK190="No"</formula>
    </cfRule>
  </conditionalFormatting>
  <conditionalFormatting sqref="BY190">
    <cfRule type="expression" dxfId="128" priority="129">
      <formula>$AK190="No"</formula>
    </cfRule>
  </conditionalFormatting>
  <conditionalFormatting sqref="BZ190">
    <cfRule type="expression" dxfId="127" priority="128">
      <formula>$AK190="No"</formula>
    </cfRule>
  </conditionalFormatting>
  <conditionalFormatting sqref="CB125:CB132">
    <cfRule type="expression" dxfId="126" priority="127">
      <formula>$AK125="No"</formula>
    </cfRule>
  </conditionalFormatting>
  <conditionalFormatting sqref="CC132:CE132">
    <cfRule type="expression" dxfId="125" priority="126">
      <formula>$AK132="No"</formula>
    </cfRule>
  </conditionalFormatting>
  <conditionalFormatting sqref="CB133">
    <cfRule type="expression" dxfId="124" priority="125">
      <formula>$AK133="No"</formula>
    </cfRule>
  </conditionalFormatting>
  <conditionalFormatting sqref="CC133:CE133">
    <cfRule type="expression" dxfId="123" priority="124">
      <formula>$AK133="No"</formula>
    </cfRule>
  </conditionalFormatting>
  <conditionalFormatting sqref="CB134">
    <cfRule type="expression" dxfId="122" priority="123">
      <formula>$AK134="No"</formula>
    </cfRule>
  </conditionalFormatting>
  <conditionalFormatting sqref="CC134:CE134">
    <cfRule type="expression" dxfId="121" priority="122">
      <formula>$AK134="No"</formula>
    </cfRule>
  </conditionalFormatting>
  <conditionalFormatting sqref="CB135">
    <cfRule type="expression" dxfId="120" priority="121">
      <formula>$AK135="No"</formula>
    </cfRule>
  </conditionalFormatting>
  <conditionalFormatting sqref="CC135:CE135">
    <cfRule type="expression" dxfId="119" priority="120">
      <formula>$AK135="No"</formula>
    </cfRule>
  </conditionalFormatting>
  <conditionalFormatting sqref="CB136">
    <cfRule type="expression" dxfId="118" priority="119">
      <formula>$AK136="No"</formula>
    </cfRule>
  </conditionalFormatting>
  <conditionalFormatting sqref="CC136:CE136">
    <cfRule type="expression" dxfId="117" priority="118">
      <formula>$AK136="No"</formula>
    </cfRule>
  </conditionalFormatting>
  <conditionalFormatting sqref="CB146">
    <cfRule type="expression" dxfId="116" priority="117">
      <formula>$AK146="No"</formula>
    </cfRule>
  </conditionalFormatting>
  <conditionalFormatting sqref="CC146:CE146">
    <cfRule type="expression" dxfId="115" priority="116">
      <formula>$AK146="No"</formula>
    </cfRule>
  </conditionalFormatting>
  <conditionalFormatting sqref="CB149">
    <cfRule type="expression" dxfId="114" priority="115">
      <formula>$AK149="No"</formula>
    </cfRule>
  </conditionalFormatting>
  <conditionalFormatting sqref="CC149:CE149">
    <cfRule type="expression" dxfId="113" priority="114">
      <formula>$AK149="No"</formula>
    </cfRule>
  </conditionalFormatting>
  <conditionalFormatting sqref="CB150">
    <cfRule type="expression" dxfId="112" priority="113">
      <formula>$AK150="No"</formula>
    </cfRule>
  </conditionalFormatting>
  <conditionalFormatting sqref="CC150:CE150">
    <cfRule type="expression" dxfId="111" priority="112">
      <formula>$AK150="No"</formula>
    </cfRule>
  </conditionalFormatting>
  <conditionalFormatting sqref="CB151">
    <cfRule type="expression" dxfId="110" priority="111">
      <formula>$AK151="No"</formula>
    </cfRule>
  </conditionalFormatting>
  <conditionalFormatting sqref="CC151:CE151">
    <cfRule type="expression" dxfId="109" priority="110">
      <formula>$AK151="No"</formula>
    </cfRule>
  </conditionalFormatting>
  <conditionalFormatting sqref="CB152">
    <cfRule type="expression" dxfId="108" priority="109">
      <formula>$AK152="No"</formula>
    </cfRule>
  </conditionalFormatting>
  <conditionalFormatting sqref="CC152:CE152">
    <cfRule type="expression" dxfId="107" priority="108">
      <formula>$AK152="No"</formula>
    </cfRule>
  </conditionalFormatting>
  <conditionalFormatting sqref="CB153">
    <cfRule type="expression" dxfId="106" priority="107">
      <formula>$AK153="No"</formula>
    </cfRule>
  </conditionalFormatting>
  <conditionalFormatting sqref="CC153:CE153">
    <cfRule type="expression" dxfId="105" priority="106">
      <formula>$AK153="No"</formula>
    </cfRule>
  </conditionalFormatting>
  <conditionalFormatting sqref="CB154">
    <cfRule type="expression" dxfId="104" priority="105">
      <formula>$AK154="No"</formula>
    </cfRule>
  </conditionalFormatting>
  <conditionalFormatting sqref="CC154:CE154">
    <cfRule type="expression" dxfId="103" priority="104">
      <formula>$AK154="No"</formula>
    </cfRule>
  </conditionalFormatting>
  <conditionalFormatting sqref="CB175">
    <cfRule type="expression" dxfId="102" priority="103">
      <formula>$AK175="No"</formula>
    </cfRule>
  </conditionalFormatting>
  <conditionalFormatting sqref="CC175:CE175">
    <cfRule type="expression" dxfId="101" priority="102">
      <formula>$AK175="No"</formula>
    </cfRule>
  </conditionalFormatting>
  <conditionalFormatting sqref="CB176">
    <cfRule type="expression" dxfId="100" priority="101">
      <formula>$AK176="No"</formula>
    </cfRule>
  </conditionalFormatting>
  <conditionalFormatting sqref="CC176:CE176">
    <cfRule type="expression" dxfId="99" priority="100">
      <formula>$AK176="No"</formula>
    </cfRule>
  </conditionalFormatting>
  <conditionalFormatting sqref="CB177">
    <cfRule type="expression" dxfId="98" priority="99">
      <formula>$AK177="No"</formula>
    </cfRule>
  </conditionalFormatting>
  <conditionalFormatting sqref="CC177:CE177">
    <cfRule type="expression" dxfId="97" priority="98">
      <formula>$AK177="No"</formula>
    </cfRule>
  </conditionalFormatting>
  <conditionalFormatting sqref="CB178">
    <cfRule type="expression" dxfId="96" priority="97">
      <formula>$AK178="No"</formula>
    </cfRule>
  </conditionalFormatting>
  <conditionalFormatting sqref="CC178:CE178">
    <cfRule type="expression" dxfId="95" priority="96">
      <formula>$AK178="No"</formula>
    </cfRule>
  </conditionalFormatting>
  <conditionalFormatting sqref="CB179">
    <cfRule type="expression" dxfId="94" priority="95">
      <formula>$AK179="No"</formula>
    </cfRule>
  </conditionalFormatting>
  <conditionalFormatting sqref="CC179:CE179">
    <cfRule type="expression" dxfId="93" priority="94">
      <formula>$AK179="No"</formula>
    </cfRule>
  </conditionalFormatting>
  <conditionalFormatting sqref="CB180">
    <cfRule type="expression" dxfId="92" priority="93">
      <formula>$AK180="No"</formula>
    </cfRule>
  </conditionalFormatting>
  <conditionalFormatting sqref="CC180:CE180">
    <cfRule type="expression" dxfId="91" priority="92">
      <formula>$AK180="No"</formula>
    </cfRule>
  </conditionalFormatting>
  <conditionalFormatting sqref="CB181">
    <cfRule type="expression" dxfId="90" priority="91">
      <formula>$AK181="No"</formula>
    </cfRule>
  </conditionalFormatting>
  <conditionalFormatting sqref="CC181:CE181">
    <cfRule type="expression" dxfId="89" priority="90">
      <formula>$AK181="No"</formula>
    </cfRule>
  </conditionalFormatting>
  <conditionalFormatting sqref="CB182">
    <cfRule type="expression" dxfId="88" priority="89">
      <formula>$AK182="No"</formula>
    </cfRule>
  </conditionalFormatting>
  <conditionalFormatting sqref="CC182:CE182">
    <cfRule type="expression" dxfId="87" priority="88">
      <formula>$AK182="No"</formula>
    </cfRule>
  </conditionalFormatting>
  <conditionalFormatting sqref="CB183">
    <cfRule type="expression" dxfId="86" priority="87">
      <formula>$AK183="No"</formula>
    </cfRule>
  </conditionalFormatting>
  <conditionalFormatting sqref="CC183:CE183">
    <cfRule type="expression" dxfId="85" priority="86">
      <formula>$AK183="No"</formula>
    </cfRule>
  </conditionalFormatting>
  <conditionalFormatting sqref="CB184">
    <cfRule type="expression" dxfId="84" priority="85">
      <formula>$AK184="No"</formula>
    </cfRule>
  </conditionalFormatting>
  <conditionalFormatting sqref="CC184:CE184">
    <cfRule type="expression" dxfId="83" priority="84">
      <formula>$AK184="No"</formula>
    </cfRule>
  </conditionalFormatting>
  <conditionalFormatting sqref="CB185">
    <cfRule type="expression" dxfId="82" priority="83">
      <formula>$AK185="No"</formula>
    </cfRule>
  </conditionalFormatting>
  <conditionalFormatting sqref="CC185:CE185">
    <cfRule type="expression" dxfId="81" priority="82">
      <formula>$AK185="No"</formula>
    </cfRule>
  </conditionalFormatting>
  <conditionalFormatting sqref="CB186">
    <cfRule type="expression" dxfId="80" priority="81">
      <formula>$AK186="No"</formula>
    </cfRule>
  </conditionalFormatting>
  <conditionalFormatting sqref="CC186:CE186">
    <cfRule type="expression" dxfId="79" priority="80">
      <formula>$AK186="No"</formula>
    </cfRule>
  </conditionalFormatting>
  <conditionalFormatting sqref="CB187">
    <cfRule type="expression" dxfId="78" priority="79">
      <formula>$AK187="No"</formula>
    </cfRule>
  </conditionalFormatting>
  <conditionalFormatting sqref="CC187:CE187">
    <cfRule type="expression" dxfId="77" priority="78">
      <formula>$AK187="No"</formula>
    </cfRule>
  </conditionalFormatting>
  <conditionalFormatting sqref="CB188">
    <cfRule type="expression" dxfId="76" priority="77">
      <formula>$AK188="No"</formula>
    </cfRule>
  </conditionalFormatting>
  <conditionalFormatting sqref="CC188:CE188">
    <cfRule type="expression" dxfId="75" priority="76">
      <formula>$AK188="No"</formula>
    </cfRule>
  </conditionalFormatting>
  <conditionalFormatting sqref="CB189">
    <cfRule type="expression" dxfId="74" priority="75">
      <formula>$AK189="No"</formula>
    </cfRule>
  </conditionalFormatting>
  <conditionalFormatting sqref="CC189:CE189">
    <cfRule type="expression" dxfId="73" priority="74">
      <formula>$AK189="No"</formula>
    </cfRule>
  </conditionalFormatting>
  <conditionalFormatting sqref="CB190">
    <cfRule type="expression" dxfId="72" priority="73">
      <formula>$AK190="No"</formula>
    </cfRule>
  </conditionalFormatting>
  <conditionalFormatting sqref="CC190:CE190">
    <cfRule type="expression" dxfId="71" priority="72">
      <formula>$AK190="No"</formula>
    </cfRule>
  </conditionalFormatting>
  <conditionalFormatting sqref="CE147">
    <cfRule type="expression" dxfId="70" priority="71">
      <formula>$BC147="No"</formula>
    </cfRule>
  </conditionalFormatting>
  <conditionalFormatting sqref="CB147:CD147">
    <cfRule type="expression" dxfId="69" priority="70">
      <formula>$AO147="No"</formula>
    </cfRule>
  </conditionalFormatting>
  <conditionalFormatting sqref="AZ217 AZ219">
    <cfRule type="expression" dxfId="68" priority="69">
      <formula>$I217="No"</formula>
    </cfRule>
  </conditionalFormatting>
  <conditionalFormatting sqref="BA217 BA219">
    <cfRule type="expression" dxfId="67" priority="68">
      <formula>$I217="No"</formula>
    </cfRule>
  </conditionalFormatting>
  <conditionalFormatting sqref="BC218">
    <cfRule type="expression" dxfId="66" priority="67">
      <formula>$I218="No"</formula>
    </cfRule>
  </conditionalFormatting>
  <conditionalFormatting sqref="BD218">
    <cfRule type="expression" dxfId="65" priority="66">
      <formula>$I218="No"</formula>
    </cfRule>
  </conditionalFormatting>
  <conditionalFormatting sqref="AV200">
    <cfRule type="expression" dxfId="64" priority="65">
      <formula>$I200="No"</formula>
    </cfRule>
  </conditionalFormatting>
  <conditionalFormatting sqref="AV211">
    <cfRule type="expression" dxfId="63" priority="64">
      <formula>$I211="No"</formula>
    </cfRule>
  </conditionalFormatting>
  <conditionalFormatting sqref="AY201:AZ201">
    <cfRule type="expression" dxfId="62" priority="63">
      <formula>$I201="No"</formula>
    </cfRule>
  </conditionalFormatting>
  <conditionalFormatting sqref="AZ203">
    <cfRule type="expression" dxfId="61" priority="62">
      <formula>$I203="No"</formula>
    </cfRule>
  </conditionalFormatting>
  <conditionalFormatting sqref="AZ205">
    <cfRule type="expression" dxfId="60" priority="61">
      <formula>$I205="No"</formula>
    </cfRule>
  </conditionalFormatting>
  <conditionalFormatting sqref="AZ208">
    <cfRule type="expression" dxfId="59" priority="60">
      <formula>$I208="No"</formula>
    </cfRule>
  </conditionalFormatting>
  <conditionalFormatting sqref="AZ210">
    <cfRule type="expression" dxfId="58" priority="59">
      <formula>$I210="No"</formula>
    </cfRule>
  </conditionalFormatting>
  <conditionalFormatting sqref="AZ212">
    <cfRule type="expression" dxfId="57" priority="58">
      <formula>$I212="No"</formula>
    </cfRule>
  </conditionalFormatting>
  <conditionalFormatting sqref="AZ214">
    <cfRule type="expression" dxfId="56" priority="57">
      <formula>$I214="No"</formula>
    </cfRule>
  </conditionalFormatting>
  <conditionalFormatting sqref="AY203">
    <cfRule type="expression" dxfId="55" priority="56">
      <formula>$I203="No"</formula>
    </cfRule>
  </conditionalFormatting>
  <conditionalFormatting sqref="AY205">
    <cfRule type="expression" dxfId="54" priority="55">
      <formula>$I205="No"</formula>
    </cfRule>
  </conditionalFormatting>
  <conditionalFormatting sqref="AY208">
    <cfRule type="expression" dxfId="53" priority="54">
      <formula>$I208="No"</formula>
    </cfRule>
  </conditionalFormatting>
  <conditionalFormatting sqref="AY210">
    <cfRule type="expression" dxfId="52" priority="53">
      <formula>$I210="No"</formula>
    </cfRule>
  </conditionalFormatting>
  <conditionalFormatting sqref="AY212">
    <cfRule type="expression" dxfId="51" priority="52">
      <formula>$I212="No"</formula>
    </cfRule>
  </conditionalFormatting>
  <conditionalFormatting sqref="AY214">
    <cfRule type="expression" dxfId="50" priority="51">
      <formula>$I214="No"</formula>
    </cfRule>
  </conditionalFormatting>
  <conditionalFormatting sqref="AY217">
    <cfRule type="expression" dxfId="49" priority="50">
      <formula>$I217="No"</formula>
    </cfRule>
  </conditionalFormatting>
  <conditionalFormatting sqref="AZ218">
    <cfRule type="expression" dxfId="48" priority="49">
      <formula>$I218="No"</formula>
    </cfRule>
  </conditionalFormatting>
  <conditionalFormatting sqref="AY219">
    <cfRule type="expression" dxfId="47" priority="48">
      <formula>$I219="No"</formula>
    </cfRule>
  </conditionalFormatting>
  <conditionalFormatting sqref="BB202">
    <cfRule type="expression" dxfId="46" priority="47">
      <formula>$I202="No"</formula>
    </cfRule>
  </conditionalFormatting>
  <conditionalFormatting sqref="BB204">
    <cfRule type="expression" dxfId="45" priority="46">
      <formula>$I204="No"</formula>
    </cfRule>
  </conditionalFormatting>
  <conditionalFormatting sqref="BB206">
    <cfRule type="expression" dxfId="44" priority="45">
      <formula>$I206="No"</formula>
    </cfRule>
  </conditionalFormatting>
  <conditionalFormatting sqref="BB207">
    <cfRule type="expression" dxfId="43" priority="44">
      <formula>$I207="No"</formula>
    </cfRule>
  </conditionalFormatting>
  <conditionalFormatting sqref="BB209">
    <cfRule type="expression" dxfId="42" priority="43">
      <formula>$I209="No"</formula>
    </cfRule>
  </conditionalFormatting>
  <conditionalFormatting sqref="BB213:BC213">
    <cfRule type="expression" dxfId="41" priority="42">
      <formula>$I213="No"</formula>
    </cfRule>
  </conditionalFormatting>
  <conditionalFormatting sqref="BB215">
    <cfRule type="expression" dxfId="40" priority="41">
      <formula>$I215="No"</formula>
    </cfRule>
  </conditionalFormatting>
  <conditionalFormatting sqref="BB216">
    <cfRule type="expression" dxfId="39" priority="40">
      <formula>$I216="No"</formula>
    </cfRule>
  </conditionalFormatting>
  <conditionalFormatting sqref="BB218">
    <cfRule type="expression" dxfId="38" priority="39">
      <formula>$I218="No"</formula>
    </cfRule>
  </conditionalFormatting>
  <conditionalFormatting sqref="BC215">
    <cfRule type="expression" dxfId="37" priority="38">
      <formula>$I215="No"</formula>
    </cfRule>
  </conditionalFormatting>
  <conditionalFormatting sqref="BX125">
    <cfRule type="expression" dxfId="36" priority="37">
      <formula>$AK125="No"</formula>
    </cfRule>
  </conditionalFormatting>
  <conditionalFormatting sqref="BY125">
    <cfRule type="expression" dxfId="35" priority="36">
      <formula>$AK125="No"</formula>
    </cfRule>
  </conditionalFormatting>
  <conditionalFormatting sqref="BZ125">
    <cfRule type="expression" dxfId="34" priority="35">
      <formula>$AK125="No"</formula>
    </cfRule>
  </conditionalFormatting>
  <conditionalFormatting sqref="BX126">
    <cfRule type="expression" dxfId="33" priority="34">
      <formula>$AK126="No"</formula>
    </cfRule>
  </conditionalFormatting>
  <conditionalFormatting sqref="BY126">
    <cfRule type="expression" dxfId="32" priority="33">
      <formula>$AK126="No"</formula>
    </cfRule>
  </conditionalFormatting>
  <conditionalFormatting sqref="BZ126">
    <cfRule type="expression" dxfId="31" priority="32">
      <formula>$AK126="No"</formula>
    </cfRule>
  </conditionalFormatting>
  <conditionalFormatting sqref="BX127">
    <cfRule type="expression" dxfId="30" priority="31">
      <formula>$AK127="No"</formula>
    </cfRule>
  </conditionalFormatting>
  <conditionalFormatting sqref="BY127">
    <cfRule type="expression" dxfId="29" priority="30">
      <formula>$AK127="No"</formula>
    </cfRule>
  </conditionalFormatting>
  <conditionalFormatting sqref="BZ127">
    <cfRule type="expression" dxfId="28" priority="29">
      <formula>$AK127="No"</formula>
    </cfRule>
  </conditionalFormatting>
  <conditionalFormatting sqref="BX128">
    <cfRule type="expression" dxfId="27" priority="28">
      <formula>$AK128="No"</formula>
    </cfRule>
  </conditionalFormatting>
  <conditionalFormatting sqref="BY128">
    <cfRule type="expression" dxfId="26" priority="27">
      <formula>$AK128="No"</formula>
    </cfRule>
  </conditionalFormatting>
  <conditionalFormatting sqref="BZ128">
    <cfRule type="expression" dxfId="25" priority="26">
      <formula>$AK128="No"</formula>
    </cfRule>
  </conditionalFormatting>
  <conditionalFormatting sqref="BX129">
    <cfRule type="expression" dxfId="24" priority="25">
      <formula>$AK129="No"</formula>
    </cfRule>
  </conditionalFormatting>
  <conditionalFormatting sqref="BY129">
    <cfRule type="expression" dxfId="23" priority="24">
      <formula>$AK129="No"</formula>
    </cfRule>
  </conditionalFormatting>
  <conditionalFormatting sqref="BZ129">
    <cfRule type="expression" dxfId="22" priority="23">
      <formula>$AK129="No"</formula>
    </cfRule>
  </conditionalFormatting>
  <conditionalFormatting sqref="BX130">
    <cfRule type="expression" dxfId="21" priority="22">
      <formula>$AK130="No"</formula>
    </cfRule>
  </conditionalFormatting>
  <conditionalFormatting sqref="BY130">
    <cfRule type="expression" dxfId="20" priority="21">
      <formula>$AK130="No"</formula>
    </cfRule>
  </conditionalFormatting>
  <conditionalFormatting sqref="BZ130">
    <cfRule type="expression" dxfId="19" priority="20">
      <formula>$AK130="No"</formula>
    </cfRule>
  </conditionalFormatting>
  <conditionalFormatting sqref="BX131">
    <cfRule type="expression" dxfId="18" priority="19">
      <formula>$AK131="No"</formula>
    </cfRule>
  </conditionalFormatting>
  <conditionalFormatting sqref="BY131">
    <cfRule type="expression" dxfId="17" priority="18">
      <formula>$AK131="No"</formula>
    </cfRule>
  </conditionalFormatting>
  <conditionalFormatting sqref="BZ131">
    <cfRule type="expression" dxfId="16" priority="17">
      <formula>$AK131="No"</formula>
    </cfRule>
  </conditionalFormatting>
  <conditionalFormatting sqref="BX132">
    <cfRule type="expression" dxfId="15" priority="16">
      <formula>$AK132="No"</formula>
    </cfRule>
  </conditionalFormatting>
  <conditionalFormatting sqref="BY132">
    <cfRule type="expression" dxfId="14" priority="15">
      <formula>$AK132="No"</formula>
    </cfRule>
  </conditionalFormatting>
  <conditionalFormatting sqref="BZ132">
    <cfRule type="expression" dxfId="13" priority="14">
      <formula>$AK132="No"</formula>
    </cfRule>
  </conditionalFormatting>
  <conditionalFormatting sqref="BX144:BX148">
    <cfRule type="expression" dxfId="12" priority="13">
      <formula>$AK144="No"</formula>
    </cfRule>
  </conditionalFormatting>
  <conditionalFormatting sqref="BY144:BY148">
    <cfRule type="expression" dxfId="11" priority="12">
      <formula>$AK144="No"</formula>
    </cfRule>
  </conditionalFormatting>
  <conditionalFormatting sqref="BZ144:BZ148">
    <cfRule type="expression" dxfId="10" priority="11">
      <formula>$AK144="No"</formula>
    </cfRule>
  </conditionalFormatting>
  <conditionalFormatting sqref="BX219:BZ232">
    <cfRule type="expression" dxfId="9" priority="10">
      <formula>$AK219="No"</formula>
    </cfRule>
  </conditionalFormatting>
  <conditionalFormatting sqref="BX219:BZ232">
    <cfRule type="expression" dxfId="8" priority="9">
      <formula>$AK$85="No"</formula>
    </cfRule>
  </conditionalFormatting>
  <conditionalFormatting sqref="CC125:CE131">
    <cfRule type="expression" dxfId="7" priority="8">
      <formula>$AK125="No"</formula>
    </cfRule>
  </conditionalFormatting>
  <conditionalFormatting sqref="CB137:CB138">
    <cfRule type="expression" dxfId="6" priority="7">
      <formula>$AK137="No"</formula>
    </cfRule>
  </conditionalFormatting>
  <conditionalFormatting sqref="CC137:CE138">
    <cfRule type="expression" dxfId="5" priority="6">
      <formula>$AK137="No"</formula>
    </cfRule>
  </conditionalFormatting>
  <conditionalFormatting sqref="CB144:CB145">
    <cfRule type="expression" dxfId="4" priority="5">
      <formula>$AK144="No"</formula>
    </cfRule>
  </conditionalFormatting>
  <conditionalFormatting sqref="CC144:CE145">
    <cfRule type="expression" dxfId="3" priority="4">
      <formula>$AK144="No"</formula>
    </cfRule>
  </conditionalFormatting>
  <conditionalFormatting sqref="CB148">
    <cfRule type="expression" dxfId="2" priority="3">
      <formula>$AK148="No"</formula>
    </cfRule>
  </conditionalFormatting>
  <conditionalFormatting sqref="CC148:CE148">
    <cfRule type="expression" dxfId="1" priority="2">
      <formula>$AK148="No"</formula>
    </cfRule>
  </conditionalFormatting>
  <conditionalFormatting sqref="CB219:CE232">
    <cfRule type="expression" dxfId="0" priority="1">
      <formula>$AO219="No"</formula>
    </cfRule>
  </conditionalFormatting>
  <dataValidations count="3">
    <dataValidation type="list" allowBlank="1" showInputMessage="1" showErrorMessage="1" sqref="F246:F329 F8:F115 F125:F233" xr:uid="{A536B912-DB36-43D4-908F-D710B3155709}">
      <formula1>Tipo.Cobro</formula1>
    </dataValidation>
    <dataValidation type="list" allowBlank="1" showInputMessage="1" showErrorMessage="1" sqref="AE714:AE755 D246:D329 D714:D755 D8:D115 D349:D456 Y767:Y874 Y595:Y703 D125:D233 D595:D703 D767:D874 D472:D580" xr:uid="{D1BF9B50-1ABF-4F60-B783-03357E801E51}">
      <formula1>Tipo.Modalidad</formula1>
    </dataValidation>
    <dataValidation type="list" allowBlank="1" showInputMessage="1" showErrorMessage="1" sqref="AF714:AF755 E246:E329 E714:E755 E8:E115 E349:E456 Z767:Z874 Z595:Z703 E125:E233 E595:E703 E767:E874 E472:E580" xr:uid="{556644C0-6C37-4C45-B11D-E82904606B8F}">
      <formula1>Tipo.Servicio</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ignoredErrors>
    <ignoredError sqref="BO545:BP579 BQ545:BS573 BQ480:BS544 BO472:BP544" unlockedFormula="1"/>
  </ignoredError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090E7-660F-4ED9-A079-0E5FB83B97B6}">
  <sheetPr>
    <tabColor rgb="FF00CC00"/>
    <pageSetUpPr autoPageBreaks="0"/>
  </sheetPr>
  <dimension ref="A1:CN654"/>
  <sheetViews>
    <sheetView showGridLines="0" defaultGridColor="0" colorId="22" zoomScale="70" zoomScaleNormal="70" workbookViewId="0">
      <selection activeCell="H21" sqref="H21"/>
    </sheetView>
  </sheetViews>
  <sheetFormatPr baseColWidth="10" defaultColWidth="12.69921875" defaultRowHeight="11.5" outlineLevelRow="2" x14ac:dyDescent="0.25"/>
  <cols>
    <col min="1" max="1" width="2.09765625" style="209" customWidth="1"/>
    <col min="2" max="2" width="1.3984375" style="209" customWidth="1"/>
    <col min="3" max="3" width="1.8984375" style="209" customWidth="1"/>
    <col min="4" max="4" width="64.296875" style="209" customWidth="1"/>
    <col min="5" max="5" width="17" style="209" customWidth="1"/>
    <col min="6" max="6" width="17.69921875" style="209" bestFit="1" customWidth="1"/>
    <col min="7" max="7" width="33.09765625" style="209" customWidth="1"/>
    <col min="8" max="8" width="39" style="209" customWidth="1"/>
    <col min="9" max="9" width="23.09765625" style="209" customWidth="1"/>
    <col min="10" max="10" width="35.3984375" style="209" customWidth="1"/>
    <col min="11" max="11" width="23.3984375" style="209" customWidth="1"/>
    <col min="12" max="13" width="20.296875" style="209" customWidth="1"/>
    <col min="14" max="18" width="14" style="209" customWidth="1"/>
    <col min="19" max="19" width="19.8984375" style="209" customWidth="1"/>
    <col min="20" max="20" width="51.8984375" style="209" customWidth="1"/>
    <col min="21" max="21" width="21.69921875" style="209" customWidth="1"/>
    <col min="22" max="22" width="17" style="209" customWidth="1"/>
    <col min="23" max="23" width="17" style="209" bestFit="1" customWidth="1"/>
    <col min="24" max="24" width="16" style="209" bestFit="1" customWidth="1"/>
    <col min="25" max="25" width="51.8984375" style="209" customWidth="1"/>
    <col min="26" max="26" width="17.69921875" style="209" customWidth="1"/>
    <col min="27" max="28" width="12.69921875" style="209"/>
    <col min="29" max="29" width="16.09765625" style="209" customWidth="1"/>
    <col min="30" max="30" width="20.8984375" style="209" customWidth="1"/>
    <col min="31" max="16384" width="12.69921875" style="209"/>
  </cols>
  <sheetData>
    <row r="1" spans="1:92" s="581" customFormat="1" ht="33.75" customHeight="1" x14ac:dyDescent="0.25">
      <c r="A1" s="580"/>
      <c r="B1" s="580"/>
    </row>
    <row r="2" spans="1:92" s="584" customFormat="1" ht="20" x14ac:dyDescent="0.25">
      <c r="A2" s="582">
        <v>7</v>
      </c>
      <c r="B2" s="582"/>
      <c r="C2" s="741" t="s">
        <v>401</v>
      </c>
      <c r="D2" s="582"/>
      <c r="E2" s="583"/>
      <c r="F2" s="583"/>
      <c r="G2" s="583"/>
      <c r="H2" s="583"/>
      <c r="I2" s="583"/>
      <c r="J2" s="583"/>
      <c r="K2" s="583"/>
      <c r="L2" s="583"/>
      <c r="M2" s="583"/>
      <c r="N2" s="583"/>
      <c r="O2" s="583"/>
      <c r="P2" s="583"/>
      <c r="Q2" s="583"/>
      <c r="R2" s="583"/>
      <c r="S2" s="583"/>
      <c r="T2" s="583"/>
      <c r="U2" s="583"/>
      <c r="V2" s="583"/>
      <c r="W2" s="583"/>
      <c r="X2" s="583"/>
      <c r="Y2" s="583"/>
      <c r="Z2" s="583"/>
      <c r="AA2" s="583"/>
      <c r="AB2" s="583"/>
      <c r="AC2" s="583"/>
      <c r="AD2" s="583"/>
      <c r="AE2" s="583"/>
      <c r="AF2" s="583"/>
      <c r="AG2" s="583"/>
      <c r="AH2" s="583"/>
      <c r="AI2" s="583"/>
      <c r="AJ2" s="583"/>
      <c r="AK2" s="583"/>
      <c r="AL2" s="583"/>
      <c r="AM2" s="583"/>
      <c r="AN2" s="583"/>
      <c r="AO2" s="583"/>
      <c r="AP2" s="583"/>
      <c r="AQ2" s="583"/>
      <c r="AR2" s="583"/>
      <c r="AS2" s="583"/>
      <c r="AT2" s="583"/>
      <c r="AU2" s="583"/>
      <c r="AV2" s="583"/>
      <c r="AW2" s="583"/>
      <c r="AX2" s="583"/>
      <c r="AY2" s="583"/>
      <c r="AZ2" s="583"/>
      <c r="BA2" s="583"/>
      <c r="BB2" s="583"/>
      <c r="BC2" s="583"/>
      <c r="BD2" s="583"/>
      <c r="BE2" s="583"/>
      <c r="BF2" s="583"/>
      <c r="BG2" s="583"/>
      <c r="BH2" s="583"/>
      <c r="BI2" s="583"/>
      <c r="BJ2" s="583"/>
      <c r="BK2" s="583"/>
      <c r="BL2" s="583"/>
      <c r="BM2" s="583"/>
      <c r="BN2" s="583"/>
      <c r="BO2" s="583"/>
      <c r="BP2" s="583"/>
      <c r="BQ2" s="583"/>
      <c r="BR2" s="583"/>
      <c r="BS2" s="583"/>
      <c r="BT2" s="583"/>
      <c r="BU2" s="583"/>
      <c r="BV2" s="583"/>
      <c r="BW2" s="583"/>
      <c r="BX2" s="583"/>
      <c r="BY2" s="583"/>
      <c r="BZ2" s="583"/>
      <c r="CA2" s="583"/>
      <c r="CB2" s="583"/>
      <c r="CC2" s="583"/>
      <c r="CD2" s="583"/>
      <c r="CE2" s="583"/>
      <c r="CF2" s="583"/>
      <c r="CG2" s="583"/>
      <c r="CH2" s="583"/>
      <c r="CI2" s="583"/>
      <c r="CJ2" s="583"/>
      <c r="CK2" s="583"/>
      <c r="CL2" s="583"/>
      <c r="CM2" s="583"/>
      <c r="CN2" s="583"/>
    </row>
    <row r="3" spans="1:92" x14ac:dyDescent="0.25">
      <c r="D3" s="585"/>
      <c r="E3" s="585"/>
      <c r="F3" s="585"/>
      <c r="G3" s="585"/>
    </row>
    <row r="4" spans="1:92" x14ac:dyDescent="0.25">
      <c r="D4" s="585"/>
      <c r="E4" s="585"/>
      <c r="F4" s="585"/>
      <c r="G4" s="585"/>
    </row>
    <row r="5" spans="1:92" hidden="1" outlineLevel="1" x14ac:dyDescent="0.25">
      <c r="D5" s="585"/>
      <c r="E5" s="585"/>
      <c r="F5" s="585"/>
      <c r="G5" s="585"/>
    </row>
    <row r="6" spans="1:92" ht="15.5" hidden="1" outlineLevel="1" x14ac:dyDescent="0.25">
      <c r="C6" s="585"/>
      <c r="D6" s="586" t="s">
        <v>401</v>
      </c>
    </row>
    <row r="7" spans="1:92" hidden="1" outlineLevel="1" x14ac:dyDescent="0.25">
      <c r="C7" s="585"/>
      <c r="D7" s="587" t="s">
        <v>402</v>
      </c>
    </row>
    <row r="8" spans="1:92" hidden="1" outlineLevel="1" x14ac:dyDescent="0.25">
      <c r="C8" s="585"/>
      <c r="D8" s="587" t="s">
        <v>403</v>
      </c>
    </row>
    <row r="9" spans="1:92" hidden="1" outlineLevel="1" x14ac:dyDescent="0.25">
      <c r="C9" s="585"/>
      <c r="D9" s="587"/>
    </row>
    <row r="10" spans="1:92" hidden="1" outlineLevel="1" x14ac:dyDescent="0.25">
      <c r="C10" s="585"/>
      <c r="D10" s="588" t="s">
        <v>331</v>
      </c>
      <c r="H10" s="589" t="s">
        <v>404</v>
      </c>
    </row>
    <row r="11" spans="1:92" hidden="1" outlineLevel="1" x14ac:dyDescent="0.25">
      <c r="C11" s="585"/>
      <c r="D11" s="590">
        <v>2020</v>
      </c>
      <c r="H11" s="591" t="s">
        <v>1259</v>
      </c>
      <c r="I11" s="592"/>
    </row>
    <row r="12" spans="1:92" hidden="1" outlineLevel="1" x14ac:dyDescent="0.25">
      <c r="C12" s="585"/>
      <c r="D12" s="585"/>
    </row>
    <row r="13" spans="1:92" ht="34.5" hidden="1" outlineLevel="1" x14ac:dyDescent="0.25">
      <c r="C13" s="585"/>
      <c r="D13" s="593" t="s">
        <v>405</v>
      </c>
      <c r="G13" s="594" t="s">
        <v>406</v>
      </c>
      <c r="H13" s="594"/>
      <c r="I13" s="594"/>
      <c r="J13" s="595"/>
      <c r="K13" s="596" t="s">
        <v>407</v>
      </c>
      <c r="L13" s="594" t="s">
        <v>408</v>
      </c>
      <c r="M13" s="594"/>
      <c r="N13" s="594"/>
      <c r="O13" s="594"/>
      <c r="P13" s="594"/>
      <c r="Q13" s="594"/>
      <c r="R13" s="594"/>
      <c r="S13" s="594"/>
      <c r="T13" s="594"/>
      <c r="U13" s="594"/>
      <c r="V13" s="594"/>
      <c r="W13" s="594"/>
    </row>
    <row r="14" spans="1:92" ht="39.75" hidden="1" customHeight="1" outlineLevel="1" x14ac:dyDescent="0.25">
      <c r="C14" s="585"/>
      <c r="D14" s="597" t="s">
        <v>252</v>
      </c>
      <c r="E14" s="598" t="s">
        <v>334</v>
      </c>
      <c r="F14" s="598" t="s">
        <v>409</v>
      </c>
      <c r="G14" s="598" t="s">
        <v>410</v>
      </c>
      <c r="H14" s="598" t="s">
        <v>411</v>
      </c>
      <c r="I14" s="598" t="s">
        <v>412</v>
      </c>
      <c r="J14" s="599" t="s">
        <v>413</v>
      </c>
      <c r="K14" s="599" t="s">
        <v>407</v>
      </c>
      <c r="L14" s="598" t="s">
        <v>416</v>
      </c>
      <c r="M14" s="598" t="s">
        <v>417</v>
      </c>
      <c r="N14" s="598" t="s">
        <v>418</v>
      </c>
      <c r="O14" s="598" t="s">
        <v>419</v>
      </c>
      <c r="P14" s="598" t="s">
        <v>420</v>
      </c>
      <c r="Q14" s="598" t="s">
        <v>421</v>
      </c>
      <c r="R14" s="598" t="s">
        <v>422</v>
      </c>
      <c r="S14" s="598" t="s">
        <v>423</v>
      </c>
      <c r="T14" s="598" t="s">
        <v>424</v>
      </c>
      <c r="U14" s="598" t="s">
        <v>908</v>
      </c>
      <c r="V14" s="598" t="s">
        <v>978</v>
      </c>
      <c r="W14" s="598" t="s">
        <v>414</v>
      </c>
      <c r="X14" s="598" t="s">
        <v>258</v>
      </c>
      <c r="Y14" s="598" t="s">
        <v>1260</v>
      </c>
    </row>
    <row r="15" spans="1:92" ht="23" hidden="1" outlineLevel="1" x14ac:dyDescent="0.35">
      <c r="C15" s="600">
        <v>1</v>
      </c>
      <c r="D15" s="601" t="s">
        <v>415</v>
      </c>
      <c r="E15" s="342">
        <v>300.86</v>
      </c>
      <c r="F15" s="733">
        <v>0</v>
      </c>
      <c r="G15" s="733">
        <v>0</v>
      </c>
      <c r="H15" s="733">
        <v>0</v>
      </c>
      <c r="I15" s="733">
        <v>0</v>
      </c>
      <c r="J15" s="733">
        <v>0</v>
      </c>
      <c r="K15" s="733">
        <v>272</v>
      </c>
      <c r="L15" s="706"/>
      <c r="M15" s="706"/>
      <c r="N15" s="706"/>
      <c r="O15" s="706"/>
      <c r="P15" s="706"/>
      <c r="Q15" s="706"/>
      <c r="R15" s="706"/>
      <c r="S15" s="706"/>
      <c r="T15" s="706"/>
      <c r="U15" s="706"/>
      <c r="V15" s="706"/>
      <c r="W15" s="706"/>
      <c r="X15" s="706"/>
      <c r="Y15" s="734" t="s">
        <v>1261</v>
      </c>
    </row>
    <row r="16" spans="1:92" ht="14.5" hidden="1" outlineLevel="1" x14ac:dyDescent="0.35">
      <c r="C16" s="600">
        <f>1+C15</f>
        <v>2</v>
      </c>
      <c r="D16" s="601" t="s">
        <v>815</v>
      </c>
      <c r="E16" s="342">
        <v>775</v>
      </c>
      <c r="F16" s="733">
        <v>0</v>
      </c>
      <c r="G16" s="733">
        <v>0</v>
      </c>
      <c r="H16" s="733">
        <v>0</v>
      </c>
      <c r="I16" s="733">
        <v>0</v>
      </c>
      <c r="J16" s="733">
        <v>0</v>
      </c>
      <c r="K16" s="733">
        <v>579</v>
      </c>
      <c r="L16" s="706"/>
      <c r="M16" s="706"/>
      <c r="N16" s="706"/>
      <c r="O16" s="706"/>
      <c r="P16" s="706"/>
      <c r="Q16" s="706"/>
      <c r="R16" s="706"/>
      <c r="S16" s="706"/>
      <c r="T16" s="706"/>
      <c r="U16" s="706"/>
      <c r="V16" s="706"/>
      <c r="W16" s="706"/>
      <c r="X16" s="706"/>
      <c r="Y16" s="706"/>
    </row>
    <row r="17" spans="3:25" ht="14.5" hidden="1" outlineLevel="1" x14ac:dyDescent="0.35">
      <c r="C17" s="600">
        <f t="shared" ref="C17:C80" si="0">1+C16</f>
        <v>3</v>
      </c>
      <c r="D17" s="601" t="s">
        <v>823</v>
      </c>
      <c r="E17" s="342">
        <v>343.97</v>
      </c>
      <c r="F17" s="733">
        <v>0</v>
      </c>
      <c r="G17" s="733">
        <v>0</v>
      </c>
      <c r="H17" s="733">
        <v>0</v>
      </c>
      <c r="I17" s="733">
        <v>0</v>
      </c>
      <c r="J17" s="733">
        <v>0</v>
      </c>
      <c r="K17" s="733">
        <v>314</v>
      </c>
      <c r="L17" s="706"/>
      <c r="M17" s="706"/>
      <c r="N17" s="706"/>
      <c r="O17" s="706"/>
      <c r="P17" s="706"/>
      <c r="Q17" s="706"/>
      <c r="R17" s="706"/>
      <c r="S17" s="706"/>
      <c r="T17" s="706"/>
      <c r="U17" s="706"/>
      <c r="V17" s="706"/>
      <c r="W17" s="706"/>
      <c r="X17" s="706"/>
      <c r="Y17" s="706"/>
    </row>
    <row r="18" spans="3:25" ht="14.5" hidden="1" outlineLevel="1" x14ac:dyDescent="0.35">
      <c r="C18" s="600">
        <f t="shared" si="0"/>
        <v>4</v>
      </c>
      <c r="D18" s="601" t="s">
        <v>848</v>
      </c>
      <c r="E18" s="342">
        <v>473.28</v>
      </c>
      <c r="F18" s="733">
        <v>0</v>
      </c>
      <c r="G18" s="733">
        <v>0</v>
      </c>
      <c r="H18" s="733">
        <v>0</v>
      </c>
      <c r="I18" s="733">
        <v>0</v>
      </c>
      <c r="J18" s="733">
        <v>0</v>
      </c>
      <c r="K18" s="733">
        <v>584</v>
      </c>
      <c r="L18" s="706"/>
      <c r="M18" s="706"/>
      <c r="N18" s="706"/>
      <c r="O18" s="706"/>
      <c r="P18" s="706"/>
      <c r="Q18" s="706"/>
      <c r="R18" s="706"/>
      <c r="S18" s="706"/>
      <c r="T18" s="706"/>
      <c r="U18" s="706"/>
      <c r="V18" s="706"/>
      <c r="W18" s="706"/>
      <c r="X18" s="706"/>
      <c r="Y18" s="706"/>
    </row>
    <row r="19" spans="3:25" ht="14.5" hidden="1" outlineLevel="1" x14ac:dyDescent="0.35">
      <c r="C19" s="600">
        <f t="shared" si="0"/>
        <v>5</v>
      </c>
      <c r="D19" s="601" t="s">
        <v>948</v>
      </c>
      <c r="E19" s="342">
        <v>240.52</v>
      </c>
      <c r="F19" s="733">
        <v>0</v>
      </c>
      <c r="G19" s="733">
        <v>0</v>
      </c>
      <c r="H19" s="733">
        <v>0</v>
      </c>
      <c r="I19" s="733">
        <v>0</v>
      </c>
      <c r="J19" s="733">
        <v>0</v>
      </c>
      <c r="K19" s="733">
        <v>205</v>
      </c>
      <c r="L19" s="706"/>
      <c r="M19" s="706"/>
      <c r="N19" s="706"/>
      <c r="O19" s="706"/>
      <c r="P19" s="706"/>
      <c r="Q19" s="706"/>
      <c r="R19" s="706"/>
      <c r="S19" s="706"/>
      <c r="T19" s="706"/>
      <c r="U19" s="706"/>
      <c r="V19" s="706"/>
      <c r="W19" s="706"/>
      <c r="X19" s="706"/>
      <c r="Y19" s="706"/>
    </row>
    <row r="20" spans="3:25" ht="14.5" hidden="1" outlineLevel="1" x14ac:dyDescent="0.35">
      <c r="C20" s="600">
        <f t="shared" si="0"/>
        <v>6</v>
      </c>
      <c r="D20" s="601" t="s">
        <v>949</v>
      </c>
      <c r="E20" s="342">
        <v>257.76</v>
      </c>
      <c r="F20" s="733">
        <v>0</v>
      </c>
      <c r="G20" s="733">
        <v>0</v>
      </c>
      <c r="H20" s="733">
        <v>0</v>
      </c>
      <c r="I20" s="733">
        <v>0</v>
      </c>
      <c r="J20" s="733">
        <v>0</v>
      </c>
      <c r="K20" s="733">
        <v>335</v>
      </c>
      <c r="L20" s="706"/>
      <c r="M20" s="706"/>
      <c r="N20" s="706"/>
      <c r="O20" s="706"/>
      <c r="P20" s="706"/>
      <c r="Q20" s="706"/>
      <c r="R20" s="706"/>
      <c r="S20" s="706"/>
      <c r="T20" s="706"/>
      <c r="U20" s="706"/>
      <c r="V20" s="706"/>
      <c r="W20" s="706"/>
      <c r="X20" s="706"/>
      <c r="Y20" s="706"/>
    </row>
    <row r="21" spans="3:25" ht="14.5" hidden="1" outlineLevel="1" x14ac:dyDescent="0.35">
      <c r="C21" s="600">
        <f t="shared" si="0"/>
        <v>7</v>
      </c>
      <c r="D21" s="601" t="s">
        <v>949</v>
      </c>
      <c r="E21" s="342">
        <v>257.76</v>
      </c>
      <c r="F21" s="733">
        <v>0</v>
      </c>
      <c r="G21" s="733">
        <v>0</v>
      </c>
      <c r="H21" s="733">
        <v>0</v>
      </c>
      <c r="I21" s="733">
        <v>0</v>
      </c>
      <c r="J21" s="733">
        <v>0</v>
      </c>
      <c r="K21" s="733">
        <v>325</v>
      </c>
      <c r="L21" s="706"/>
      <c r="M21" s="706"/>
      <c r="N21" s="706"/>
      <c r="O21" s="706"/>
      <c r="P21" s="706"/>
      <c r="Q21" s="706"/>
      <c r="R21" s="706"/>
      <c r="S21" s="706"/>
      <c r="T21" s="706"/>
      <c r="U21" s="706"/>
      <c r="V21" s="706"/>
      <c r="W21" s="706"/>
      <c r="X21" s="706"/>
      <c r="Y21" s="706"/>
    </row>
    <row r="22" spans="3:25" ht="14.5" hidden="1" outlineLevel="1" x14ac:dyDescent="0.35">
      <c r="C22" s="600">
        <f t="shared" si="0"/>
        <v>8</v>
      </c>
      <c r="D22" s="601" t="s">
        <v>950</v>
      </c>
      <c r="E22" s="342">
        <v>300.86</v>
      </c>
      <c r="F22" s="733">
        <v>0</v>
      </c>
      <c r="G22" s="733">
        <v>0</v>
      </c>
      <c r="H22" s="733">
        <v>0</v>
      </c>
      <c r="I22" s="733">
        <v>0</v>
      </c>
      <c r="J22" s="733">
        <v>0</v>
      </c>
      <c r="K22" s="733">
        <v>229</v>
      </c>
      <c r="L22" s="706"/>
      <c r="M22" s="706"/>
      <c r="N22" s="706"/>
      <c r="O22" s="706"/>
      <c r="P22" s="706"/>
      <c r="Q22" s="706"/>
      <c r="R22" s="706"/>
      <c r="S22" s="706"/>
      <c r="T22" s="706"/>
      <c r="U22" s="706"/>
      <c r="V22" s="706"/>
      <c r="W22" s="706"/>
      <c r="X22" s="706"/>
      <c r="Y22" s="706"/>
    </row>
    <row r="23" spans="3:25" ht="14.5" hidden="1" outlineLevel="1" x14ac:dyDescent="0.35">
      <c r="C23" s="600">
        <f t="shared" si="0"/>
        <v>9</v>
      </c>
      <c r="D23" s="601" t="s">
        <v>951</v>
      </c>
      <c r="E23" s="342">
        <v>343.97</v>
      </c>
      <c r="F23" s="733">
        <v>0</v>
      </c>
      <c r="G23" s="733">
        <v>0</v>
      </c>
      <c r="H23" s="733">
        <v>0</v>
      </c>
      <c r="I23" s="733">
        <v>0</v>
      </c>
      <c r="J23" s="733">
        <v>0</v>
      </c>
      <c r="K23" s="733">
        <v>444</v>
      </c>
      <c r="L23" s="706"/>
      <c r="M23" s="706"/>
      <c r="N23" s="706"/>
      <c r="O23" s="706"/>
      <c r="P23" s="706"/>
      <c r="Q23" s="706"/>
      <c r="R23" s="706"/>
      <c r="S23" s="706"/>
      <c r="T23" s="706"/>
      <c r="U23" s="706"/>
      <c r="V23" s="706"/>
      <c r="W23" s="706"/>
      <c r="X23" s="706"/>
      <c r="Y23" s="706"/>
    </row>
    <row r="24" spans="3:25" ht="14.5" hidden="1" outlineLevel="2" x14ac:dyDescent="0.35">
      <c r="C24" s="600">
        <f t="shared" si="0"/>
        <v>10</v>
      </c>
      <c r="D24" s="601" t="s">
        <v>952</v>
      </c>
      <c r="E24" s="342">
        <v>473.28</v>
      </c>
      <c r="F24" s="733">
        <v>0</v>
      </c>
      <c r="G24" s="733">
        <v>0</v>
      </c>
      <c r="H24" s="733">
        <v>0</v>
      </c>
      <c r="I24" s="733">
        <v>0</v>
      </c>
      <c r="J24" s="733">
        <v>0</v>
      </c>
      <c r="K24" s="733">
        <v>379</v>
      </c>
      <c r="L24" s="706"/>
      <c r="M24" s="706"/>
      <c r="N24" s="706"/>
      <c r="O24" s="706"/>
      <c r="P24" s="706"/>
      <c r="Q24" s="706"/>
      <c r="R24" s="706"/>
      <c r="S24" s="706"/>
      <c r="T24" s="706"/>
      <c r="U24" s="706"/>
      <c r="V24" s="706"/>
      <c r="W24" s="706"/>
      <c r="X24" s="706"/>
      <c r="Y24" s="706"/>
    </row>
    <row r="25" spans="3:25" ht="14.5" hidden="1" outlineLevel="2" x14ac:dyDescent="0.35">
      <c r="C25" s="600">
        <f t="shared" si="0"/>
        <v>11</v>
      </c>
      <c r="D25" s="601" t="s">
        <v>953</v>
      </c>
      <c r="E25" s="342">
        <v>775</v>
      </c>
      <c r="F25" s="733">
        <v>0</v>
      </c>
      <c r="G25" s="733">
        <v>0</v>
      </c>
      <c r="H25" s="733">
        <v>0</v>
      </c>
      <c r="I25" s="733">
        <v>0</v>
      </c>
      <c r="J25" s="733">
        <v>0</v>
      </c>
      <c r="K25" s="733">
        <v>701</v>
      </c>
      <c r="L25" s="706"/>
      <c r="M25" s="706"/>
      <c r="N25" s="706"/>
      <c r="O25" s="706"/>
      <c r="P25" s="706"/>
      <c r="Q25" s="706"/>
      <c r="R25" s="706"/>
      <c r="S25" s="706"/>
      <c r="T25" s="706"/>
      <c r="U25" s="706"/>
      <c r="V25" s="706"/>
      <c r="W25" s="706"/>
      <c r="X25" s="706"/>
      <c r="Y25" s="706"/>
    </row>
    <row r="26" spans="3:25" ht="14.5" hidden="1" outlineLevel="2" x14ac:dyDescent="0.35">
      <c r="C26" s="600">
        <f t="shared" si="0"/>
        <v>12</v>
      </c>
      <c r="D26" s="601" t="s">
        <v>852</v>
      </c>
      <c r="E26" s="342">
        <v>210.24</v>
      </c>
      <c r="F26" s="733">
        <v>164</v>
      </c>
      <c r="G26" s="733">
        <v>0</v>
      </c>
      <c r="H26" s="733">
        <v>0</v>
      </c>
      <c r="I26" s="733">
        <v>0</v>
      </c>
      <c r="J26" s="733">
        <v>0</v>
      </c>
      <c r="K26" s="733">
        <v>39</v>
      </c>
      <c r="L26" s="706"/>
      <c r="M26" s="706"/>
      <c r="N26" s="706"/>
      <c r="O26" s="706"/>
      <c r="P26" s="706"/>
      <c r="Q26" s="706"/>
      <c r="R26" s="706"/>
      <c r="S26" s="706"/>
      <c r="T26" s="706"/>
      <c r="U26" s="706"/>
      <c r="V26" s="706"/>
      <c r="W26" s="706"/>
      <c r="X26" s="706"/>
      <c r="Y26" s="706"/>
    </row>
    <row r="27" spans="3:25" ht="14.5" hidden="1" outlineLevel="2" x14ac:dyDescent="0.35">
      <c r="C27" s="600">
        <f t="shared" si="0"/>
        <v>13</v>
      </c>
      <c r="D27" s="601" t="s">
        <v>204</v>
      </c>
      <c r="E27" s="342">
        <v>244.01</v>
      </c>
      <c r="F27" s="733">
        <v>177</v>
      </c>
      <c r="G27" s="733">
        <v>0</v>
      </c>
      <c r="H27" s="733">
        <v>0</v>
      </c>
      <c r="I27" s="733">
        <v>0</v>
      </c>
      <c r="J27" s="733">
        <v>0</v>
      </c>
      <c r="K27" s="733">
        <v>112</v>
      </c>
      <c r="L27" s="706"/>
      <c r="M27" s="706"/>
      <c r="N27" s="706"/>
      <c r="O27" s="706"/>
      <c r="P27" s="706"/>
      <c r="Q27" s="706"/>
      <c r="R27" s="706"/>
      <c r="S27" s="706"/>
      <c r="T27" s="706"/>
      <c r="U27" s="706"/>
      <c r="V27" s="706"/>
      <c r="W27" s="706"/>
      <c r="X27" s="706"/>
      <c r="Y27" s="706"/>
    </row>
    <row r="28" spans="3:25" ht="14.5" hidden="1" outlineLevel="2" x14ac:dyDescent="0.35">
      <c r="C28" s="600">
        <f t="shared" si="0"/>
        <v>14</v>
      </c>
      <c r="D28" s="601" t="s">
        <v>797</v>
      </c>
      <c r="E28" s="342">
        <v>367.29</v>
      </c>
      <c r="F28" s="733">
        <v>145</v>
      </c>
      <c r="G28" s="733">
        <v>2</v>
      </c>
      <c r="H28" s="733">
        <v>3</v>
      </c>
      <c r="I28" s="733">
        <v>1</v>
      </c>
      <c r="J28" s="733">
        <v>22</v>
      </c>
      <c r="K28" s="733">
        <v>149</v>
      </c>
      <c r="L28" s="706"/>
      <c r="M28" s="706"/>
      <c r="N28" s="706"/>
      <c r="O28" s="706"/>
      <c r="P28" s="706"/>
      <c r="Q28" s="706"/>
      <c r="R28" s="706"/>
      <c r="S28" s="706"/>
      <c r="T28" s="706"/>
      <c r="U28" s="706"/>
      <c r="V28" s="706"/>
      <c r="W28" s="706"/>
      <c r="X28" s="706"/>
      <c r="Y28" s="706"/>
    </row>
    <row r="29" spans="3:25" ht="14.5" hidden="1" outlineLevel="2" x14ac:dyDescent="0.35">
      <c r="C29" s="600">
        <f t="shared" si="0"/>
        <v>15</v>
      </c>
      <c r="D29" s="601" t="s">
        <v>798</v>
      </c>
      <c r="E29" s="342">
        <v>421.32</v>
      </c>
      <c r="F29" s="733">
        <v>157</v>
      </c>
      <c r="G29" s="733">
        <v>2</v>
      </c>
      <c r="H29" s="733">
        <v>2</v>
      </c>
      <c r="I29" s="733">
        <v>1</v>
      </c>
      <c r="J29" s="733">
        <v>29</v>
      </c>
      <c r="K29" s="733">
        <v>274</v>
      </c>
      <c r="L29" s="706"/>
      <c r="M29" s="706"/>
      <c r="N29" s="706"/>
      <c r="O29" s="706"/>
      <c r="P29" s="706"/>
      <c r="Q29" s="706"/>
      <c r="R29" s="706"/>
      <c r="S29" s="706"/>
      <c r="T29" s="706"/>
      <c r="U29" s="706"/>
      <c r="V29" s="706"/>
      <c r="W29" s="706"/>
      <c r="X29" s="706"/>
      <c r="Y29" s="706"/>
    </row>
    <row r="30" spans="3:25" ht="14.5" hidden="1" outlineLevel="2" x14ac:dyDescent="0.35">
      <c r="C30" s="600">
        <f t="shared" si="0"/>
        <v>16</v>
      </c>
      <c r="D30" s="601" t="s">
        <v>205</v>
      </c>
      <c r="E30" s="342">
        <v>505.76</v>
      </c>
      <c r="F30" s="733">
        <v>130</v>
      </c>
      <c r="G30" s="733">
        <v>19</v>
      </c>
      <c r="H30" s="733">
        <v>9</v>
      </c>
      <c r="I30" s="733">
        <v>6</v>
      </c>
      <c r="J30" s="733">
        <v>50</v>
      </c>
      <c r="K30" s="733">
        <v>285</v>
      </c>
      <c r="L30" s="706"/>
      <c r="M30" s="706"/>
      <c r="N30" s="706"/>
      <c r="O30" s="706"/>
      <c r="P30" s="706"/>
      <c r="Q30" s="706"/>
      <c r="R30" s="706"/>
      <c r="S30" s="706"/>
      <c r="T30" s="706"/>
      <c r="U30" s="706"/>
      <c r="V30" s="706"/>
      <c r="W30" s="706"/>
      <c r="X30" s="706"/>
      <c r="Y30" s="706"/>
    </row>
    <row r="31" spans="3:25" ht="14.5" hidden="1" outlineLevel="2" x14ac:dyDescent="0.35">
      <c r="C31" s="600">
        <f t="shared" si="0"/>
        <v>17</v>
      </c>
      <c r="D31" s="601" t="s">
        <v>708</v>
      </c>
      <c r="E31" s="342">
        <v>328.44</v>
      </c>
      <c r="F31" s="733">
        <v>129</v>
      </c>
      <c r="G31" s="733">
        <v>2</v>
      </c>
      <c r="H31" s="733">
        <v>2</v>
      </c>
      <c r="I31" s="733">
        <v>1</v>
      </c>
      <c r="J31" s="733">
        <v>36</v>
      </c>
      <c r="K31" s="733">
        <v>131</v>
      </c>
      <c r="L31" s="706"/>
      <c r="M31" s="706"/>
      <c r="N31" s="706"/>
      <c r="O31" s="706"/>
      <c r="P31" s="706"/>
      <c r="Q31" s="706"/>
      <c r="R31" s="706"/>
      <c r="S31" s="706"/>
      <c r="T31" s="706"/>
      <c r="U31" s="706"/>
      <c r="V31" s="706"/>
      <c r="W31" s="706"/>
      <c r="X31" s="706"/>
      <c r="Y31" s="706"/>
    </row>
    <row r="32" spans="3:25" ht="14.5" hidden="1" outlineLevel="2" x14ac:dyDescent="0.35">
      <c r="C32" s="600">
        <f t="shared" si="0"/>
        <v>18</v>
      </c>
      <c r="D32" s="601" t="s">
        <v>206</v>
      </c>
      <c r="E32" s="342">
        <v>336.9</v>
      </c>
      <c r="F32" s="733">
        <v>229</v>
      </c>
      <c r="G32" s="733">
        <v>5</v>
      </c>
      <c r="H32" s="733">
        <v>1</v>
      </c>
      <c r="I32" s="733">
        <v>1</v>
      </c>
      <c r="J32" s="733">
        <v>6</v>
      </c>
      <c r="K32" s="733">
        <v>110</v>
      </c>
      <c r="L32" s="706"/>
      <c r="M32" s="706"/>
      <c r="N32" s="706"/>
      <c r="O32" s="706"/>
      <c r="P32" s="706"/>
      <c r="Q32" s="706"/>
      <c r="R32" s="706"/>
      <c r="S32" s="706"/>
      <c r="T32" s="706"/>
      <c r="U32" s="706"/>
      <c r="V32" s="706"/>
      <c r="W32" s="706"/>
      <c r="X32" s="706"/>
      <c r="Y32" s="706"/>
    </row>
    <row r="33" spans="3:25" ht="14.5" hidden="1" outlineLevel="2" x14ac:dyDescent="0.35">
      <c r="C33" s="600">
        <f t="shared" si="0"/>
        <v>19</v>
      </c>
      <c r="D33" s="601" t="s">
        <v>799</v>
      </c>
      <c r="E33" s="342">
        <v>1301.31</v>
      </c>
      <c r="F33" s="733">
        <v>114</v>
      </c>
      <c r="G33" s="733">
        <v>36</v>
      </c>
      <c r="H33" s="733">
        <v>23</v>
      </c>
      <c r="I33" s="733">
        <v>6</v>
      </c>
      <c r="J33" s="733">
        <v>40</v>
      </c>
      <c r="K33" s="733">
        <v>952</v>
      </c>
      <c r="L33" s="706"/>
      <c r="M33" s="706"/>
      <c r="N33" s="706"/>
      <c r="O33" s="706"/>
      <c r="P33" s="706"/>
      <c r="Q33" s="706"/>
      <c r="R33" s="706"/>
      <c r="S33" s="706"/>
      <c r="T33" s="706"/>
      <c r="U33" s="706">
        <v>174</v>
      </c>
      <c r="V33" s="706"/>
      <c r="W33" s="706"/>
      <c r="X33" s="706"/>
      <c r="Y33" s="706"/>
    </row>
    <row r="34" spans="3:25" ht="14.5" hidden="1" outlineLevel="2" x14ac:dyDescent="0.35">
      <c r="C34" s="600">
        <f t="shared" si="0"/>
        <v>20</v>
      </c>
      <c r="D34" s="601" t="s">
        <v>853</v>
      </c>
      <c r="E34" s="342">
        <v>281.16000000000003</v>
      </c>
      <c r="F34" s="733">
        <v>180</v>
      </c>
      <c r="G34" s="733">
        <v>0</v>
      </c>
      <c r="H34" s="733">
        <v>0</v>
      </c>
      <c r="I34" s="733">
        <v>0</v>
      </c>
      <c r="J34" s="733">
        <v>0</v>
      </c>
      <c r="K34" s="733">
        <v>119</v>
      </c>
      <c r="L34" s="706"/>
      <c r="M34" s="706"/>
      <c r="N34" s="706"/>
      <c r="O34" s="706"/>
      <c r="P34" s="706"/>
      <c r="Q34" s="706"/>
      <c r="R34" s="706"/>
      <c r="S34" s="706"/>
      <c r="T34" s="706"/>
      <c r="U34" s="706">
        <v>0</v>
      </c>
      <c r="V34" s="706"/>
      <c r="W34" s="706"/>
      <c r="X34" s="706"/>
      <c r="Y34" s="706"/>
    </row>
    <row r="35" spans="3:25" ht="14.5" hidden="1" outlineLevel="2" x14ac:dyDescent="0.35">
      <c r="C35" s="600">
        <f t="shared" si="0"/>
        <v>21</v>
      </c>
      <c r="D35" s="601" t="s">
        <v>207</v>
      </c>
      <c r="E35" s="342">
        <v>463.55</v>
      </c>
      <c r="F35" s="733">
        <v>233</v>
      </c>
      <c r="G35" s="733">
        <v>106</v>
      </c>
      <c r="H35" s="733">
        <v>2</v>
      </c>
      <c r="I35" s="733">
        <v>1</v>
      </c>
      <c r="J35" s="733">
        <v>24</v>
      </c>
      <c r="K35" s="733">
        <v>174</v>
      </c>
      <c r="L35" s="706"/>
      <c r="M35" s="706"/>
      <c r="N35" s="706"/>
      <c r="O35" s="706"/>
      <c r="P35" s="706"/>
      <c r="Q35" s="706"/>
      <c r="R35" s="706"/>
      <c r="S35" s="706"/>
      <c r="T35" s="706"/>
      <c r="U35" s="706">
        <v>0</v>
      </c>
      <c r="V35" s="706"/>
      <c r="W35" s="706"/>
      <c r="X35" s="706"/>
      <c r="Y35" s="706"/>
    </row>
    <row r="36" spans="3:25" ht="14.5" hidden="1" outlineLevel="2" x14ac:dyDescent="0.35">
      <c r="C36" s="600">
        <f t="shared" si="0"/>
        <v>22</v>
      </c>
      <c r="D36" s="601" t="s">
        <v>367</v>
      </c>
      <c r="E36" s="342">
        <v>674.64</v>
      </c>
      <c r="F36" s="733">
        <v>180</v>
      </c>
      <c r="G36" s="733">
        <v>113</v>
      </c>
      <c r="H36" s="733">
        <v>5</v>
      </c>
      <c r="I36" s="733">
        <v>3</v>
      </c>
      <c r="J36" s="733">
        <v>43</v>
      </c>
      <c r="K36" s="733">
        <v>195</v>
      </c>
      <c r="L36" s="706"/>
      <c r="M36" s="706"/>
      <c r="N36" s="706"/>
      <c r="O36" s="706"/>
      <c r="P36" s="706"/>
      <c r="Q36" s="706"/>
      <c r="R36" s="706"/>
      <c r="S36" s="706"/>
      <c r="T36" s="706"/>
      <c r="U36" s="706">
        <v>0</v>
      </c>
      <c r="V36" s="706"/>
      <c r="W36" s="706"/>
      <c r="X36" s="706"/>
      <c r="Y36" s="706"/>
    </row>
    <row r="37" spans="3:25" ht="14.5" hidden="1" outlineLevel="2" x14ac:dyDescent="0.35">
      <c r="C37" s="600">
        <f t="shared" si="0"/>
        <v>23</v>
      </c>
      <c r="D37" s="601" t="s">
        <v>208</v>
      </c>
      <c r="E37" s="342">
        <v>843.5</v>
      </c>
      <c r="F37" s="733">
        <v>194</v>
      </c>
      <c r="G37" s="733">
        <v>95</v>
      </c>
      <c r="H37" s="733">
        <v>61</v>
      </c>
      <c r="I37" s="733">
        <v>20</v>
      </c>
      <c r="J37" s="733">
        <v>93</v>
      </c>
      <c r="K37" s="733">
        <v>416</v>
      </c>
      <c r="L37" s="706"/>
      <c r="M37" s="706"/>
      <c r="N37" s="706"/>
      <c r="O37" s="706"/>
      <c r="P37" s="706"/>
      <c r="Q37" s="706"/>
      <c r="R37" s="706"/>
      <c r="S37" s="706"/>
      <c r="T37" s="706"/>
      <c r="U37" s="706">
        <v>0</v>
      </c>
      <c r="V37" s="706"/>
      <c r="W37" s="706"/>
      <c r="X37" s="706"/>
      <c r="Y37" s="706"/>
    </row>
    <row r="38" spans="3:25" ht="14.5" hidden="1" outlineLevel="2" x14ac:dyDescent="0.35">
      <c r="C38" s="600">
        <f t="shared" si="0"/>
        <v>24</v>
      </c>
      <c r="D38" s="601" t="s">
        <v>226</v>
      </c>
      <c r="E38" s="342">
        <v>198</v>
      </c>
      <c r="F38" s="733">
        <v>219</v>
      </c>
      <c r="G38" s="733">
        <v>0</v>
      </c>
      <c r="H38" s="733">
        <v>0</v>
      </c>
      <c r="I38" s="733">
        <v>0</v>
      </c>
      <c r="J38" s="733">
        <v>0</v>
      </c>
      <c r="K38" s="733">
        <v>0</v>
      </c>
      <c r="L38" s="706"/>
      <c r="M38" s="706"/>
      <c r="N38" s="706"/>
      <c r="O38" s="706"/>
      <c r="P38" s="706"/>
      <c r="Q38" s="706"/>
      <c r="R38" s="706"/>
      <c r="S38" s="706"/>
      <c r="T38" s="706"/>
      <c r="U38" s="706">
        <v>0</v>
      </c>
      <c r="V38" s="706"/>
      <c r="W38" s="706"/>
      <c r="X38" s="706"/>
      <c r="Y38" s="706"/>
    </row>
    <row r="39" spans="3:25" ht="14.5" hidden="1" outlineLevel="2" x14ac:dyDescent="0.35">
      <c r="C39" s="600">
        <f t="shared" si="0"/>
        <v>25</v>
      </c>
      <c r="D39" s="601" t="s">
        <v>225</v>
      </c>
      <c r="E39" s="342">
        <v>156.55000000000001</v>
      </c>
      <c r="F39" s="733">
        <v>178</v>
      </c>
      <c r="G39" s="733">
        <v>0</v>
      </c>
      <c r="H39" s="733">
        <v>0</v>
      </c>
      <c r="I39" s="733">
        <v>0</v>
      </c>
      <c r="J39" s="733">
        <v>0</v>
      </c>
      <c r="K39" s="733">
        <v>0</v>
      </c>
      <c r="L39" s="706"/>
      <c r="M39" s="706"/>
      <c r="N39" s="706"/>
      <c r="O39" s="706"/>
      <c r="P39" s="706"/>
      <c r="Q39" s="706"/>
      <c r="R39" s="706"/>
      <c r="S39" s="706"/>
      <c r="T39" s="706"/>
      <c r="U39" s="706">
        <v>0</v>
      </c>
      <c r="V39" s="706"/>
      <c r="W39" s="706"/>
      <c r="X39" s="706"/>
      <c r="Y39" s="706"/>
    </row>
    <row r="40" spans="3:25" ht="14.5" hidden="1" outlineLevel="2" x14ac:dyDescent="0.35">
      <c r="C40" s="600">
        <f t="shared" si="0"/>
        <v>26</v>
      </c>
      <c r="D40" s="601" t="s">
        <v>800</v>
      </c>
      <c r="E40" s="342">
        <v>1301.31</v>
      </c>
      <c r="F40" s="733">
        <v>150</v>
      </c>
      <c r="G40" s="733">
        <v>383</v>
      </c>
      <c r="H40" s="733">
        <v>6</v>
      </c>
      <c r="I40" s="733">
        <v>4</v>
      </c>
      <c r="J40" s="733">
        <v>49</v>
      </c>
      <c r="K40" s="733">
        <v>408</v>
      </c>
      <c r="L40" s="706"/>
      <c r="M40" s="706"/>
      <c r="N40" s="706"/>
      <c r="O40" s="706"/>
      <c r="P40" s="706"/>
      <c r="Q40" s="706"/>
      <c r="R40" s="706"/>
      <c r="S40" s="706"/>
      <c r="T40" s="706"/>
      <c r="U40" s="706">
        <v>172</v>
      </c>
      <c r="V40" s="706"/>
      <c r="W40" s="706"/>
      <c r="X40" s="706"/>
      <c r="Y40" s="706"/>
    </row>
    <row r="41" spans="3:25" ht="14.5" hidden="1" outlineLevel="2" x14ac:dyDescent="0.35">
      <c r="C41" s="600">
        <f t="shared" si="0"/>
        <v>27</v>
      </c>
      <c r="D41" s="601" t="s">
        <v>801</v>
      </c>
      <c r="E41" s="342">
        <v>1546.17</v>
      </c>
      <c r="F41" s="733">
        <v>133</v>
      </c>
      <c r="G41" s="733">
        <v>738</v>
      </c>
      <c r="H41" s="733">
        <v>8</v>
      </c>
      <c r="I41" s="733">
        <v>6</v>
      </c>
      <c r="J41" s="733">
        <v>59</v>
      </c>
      <c r="K41" s="733">
        <v>548</v>
      </c>
      <c r="L41" s="706"/>
      <c r="M41" s="706"/>
      <c r="N41" s="706"/>
      <c r="O41" s="706"/>
      <c r="P41" s="706"/>
      <c r="Q41" s="706"/>
      <c r="R41" s="706"/>
      <c r="S41" s="706"/>
      <c r="T41" s="706"/>
      <c r="U41" s="706">
        <v>203</v>
      </c>
      <c r="V41" s="706"/>
      <c r="W41" s="706"/>
      <c r="X41" s="706"/>
      <c r="Y41" s="706"/>
    </row>
    <row r="42" spans="3:25" ht="14.5" hidden="1" outlineLevel="2" x14ac:dyDescent="0.35">
      <c r="C42" s="600">
        <f t="shared" si="0"/>
        <v>28</v>
      </c>
      <c r="D42" s="601" t="s">
        <v>847</v>
      </c>
      <c r="E42" s="342">
        <v>1968.34</v>
      </c>
      <c r="F42" s="733">
        <v>142</v>
      </c>
      <c r="G42" s="733">
        <v>1071</v>
      </c>
      <c r="H42" s="733">
        <v>138</v>
      </c>
      <c r="I42" s="733">
        <v>66</v>
      </c>
      <c r="J42" s="733">
        <v>120</v>
      </c>
      <c r="K42" s="733">
        <v>313</v>
      </c>
      <c r="L42" s="706"/>
      <c r="M42" s="706"/>
      <c r="N42" s="706"/>
      <c r="O42" s="706"/>
      <c r="P42" s="706"/>
      <c r="Q42" s="706"/>
      <c r="R42" s="706"/>
      <c r="S42" s="706"/>
      <c r="T42" s="706"/>
      <c r="U42" s="706">
        <v>163</v>
      </c>
      <c r="V42" s="706"/>
      <c r="W42" s="706"/>
      <c r="X42" s="706"/>
      <c r="Y42" s="706"/>
    </row>
    <row r="43" spans="3:25" ht="14.5" hidden="1" outlineLevel="2" x14ac:dyDescent="0.35">
      <c r="C43" s="600">
        <f t="shared" si="0"/>
        <v>29</v>
      </c>
      <c r="D43" s="601" t="s">
        <v>201</v>
      </c>
      <c r="E43" s="342">
        <v>349</v>
      </c>
      <c r="F43" s="733">
        <v>0</v>
      </c>
      <c r="G43" s="733">
        <v>0</v>
      </c>
      <c r="H43" s="733">
        <v>0</v>
      </c>
      <c r="I43" s="733">
        <v>0</v>
      </c>
      <c r="J43" s="733">
        <v>0</v>
      </c>
      <c r="K43" s="733">
        <v>336</v>
      </c>
      <c r="L43" s="706"/>
      <c r="M43" s="706"/>
      <c r="N43" s="706"/>
      <c r="O43" s="706"/>
      <c r="P43" s="706"/>
      <c r="Q43" s="706"/>
      <c r="R43" s="706"/>
      <c r="S43" s="706"/>
      <c r="T43" s="706"/>
      <c r="U43" s="706">
        <v>0</v>
      </c>
      <c r="V43" s="706"/>
      <c r="W43" s="706"/>
      <c r="X43" s="706"/>
      <c r="Y43" s="706"/>
    </row>
    <row r="44" spans="3:25" ht="14.5" hidden="1" outlineLevel="2" x14ac:dyDescent="0.35">
      <c r="C44" s="600">
        <f t="shared" si="0"/>
        <v>30</v>
      </c>
      <c r="D44" s="601" t="s">
        <v>202</v>
      </c>
      <c r="E44" s="342">
        <v>608.69000000000005</v>
      </c>
      <c r="F44" s="733">
        <v>0</v>
      </c>
      <c r="G44" s="733">
        <v>0</v>
      </c>
      <c r="H44" s="733">
        <v>0</v>
      </c>
      <c r="I44" s="733">
        <v>0</v>
      </c>
      <c r="J44" s="733">
        <v>0</v>
      </c>
      <c r="K44" s="733">
        <v>578</v>
      </c>
      <c r="L44" s="706"/>
      <c r="M44" s="706"/>
      <c r="N44" s="706"/>
      <c r="O44" s="706"/>
      <c r="P44" s="706"/>
      <c r="Q44" s="706"/>
      <c r="R44" s="706"/>
      <c r="S44" s="706"/>
      <c r="T44" s="706"/>
      <c r="U44" s="706">
        <v>0</v>
      </c>
      <c r="V44" s="706"/>
      <c r="W44" s="706"/>
      <c r="X44" s="706"/>
      <c r="Y44" s="706"/>
    </row>
    <row r="45" spans="3:25" ht="14.5" hidden="1" outlineLevel="2" x14ac:dyDescent="0.35">
      <c r="C45" s="600">
        <f t="shared" si="0"/>
        <v>31</v>
      </c>
      <c r="D45" s="601" t="s">
        <v>203</v>
      </c>
      <c r="E45" s="342">
        <v>1042.5999999999999</v>
      </c>
      <c r="F45" s="733">
        <v>0</v>
      </c>
      <c r="G45" s="733">
        <v>0</v>
      </c>
      <c r="H45" s="733">
        <v>0</v>
      </c>
      <c r="I45" s="733">
        <v>0</v>
      </c>
      <c r="J45" s="733">
        <v>0</v>
      </c>
      <c r="K45" s="733">
        <v>1353</v>
      </c>
      <c r="L45" s="706"/>
      <c r="M45" s="706"/>
      <c r="N45" s="706"/>
      <c r="O45" s="706"/>
      <c r="P45" s="706"/>
      <c r="Q45" s="706"/>
      <c r="R45" s="706"/>
      <c r="S45" s="706"/>
      <c r="T45" s="706"/>
      <c r="U45" s="706">
        <v>0</v>
      </c>
      <c r="V45" s="706"/>
      <c r="W45" s="706"/>
      <c r="X45" s="706"/>
      <c r="Y45" s="706"/>
    </row>
    <row r="46" spans="3:25" ht="14.5" hidden="1" outlineLevel="2" x14ac:dyDescent="0.35">
      <c r="C46" s="600">
        <f t="shared" si="0"/>
        <v>32</v>
      </c>
      <c r="D46" s="601" t="s">
        <v>854</v>
      </c>
      <c r="E46" s="342">
        <v>441.41</v>
      </c>
      <c r="F46" s="733">
        <v>104</v>
      </c>
      <c r="G46" s="733">
        <v>2</v>
      </c>
      <c r="H46" s="733">
        <v>3</v>
      </c>
      <c r="I46" s="733">
        <v>1</v>
      </c>
      <c r="J46" s="733">
        <v>38</v>
      </c>
      <c r="K46" s="733">
        <v>153</v>
      </c>
      <c r="L46" s="706"/>
      <c r="M46" s="706"/>
      <c r="N46" s="706"/>
      <c r="O46" s="706"/>
      <c r="P46" s="706"/>
      <c r="Q46" s="706"/>
      <c r="R46" s="706"/>
      <c r="S46" s="706"/>
      <c r="T46" s="706"/>
      <c r="U46" s="706">
        <v>120</v>
      </c>
      <c r="V46" s="706"/>
      <c r="W46" s="706"/>
      <c r="X46" s="706"/>
      <c r="Y46" s="706"/>
    </row>
    <row r="47" spans="3:25" ht="14.5" hidden="1" outlineLevel="2" x14ac:dyDescent="0.35">
      <c r="C47" s="600">
        <f t="shared" si="0"/>
        <v>33</v>
      </c>
      <c r="D47" s="601" t="s">
        <v>855</v>
      </c>
      <c r="E47" s="342">
        <v>481.41</v>
      </c>
      <c r="F47" s="733">
        <v>169</v>
      </c>
      <c r="G47" s="733">
        <v>2</v>
      </c>
      <c r="H47" s="733">
        <v>3</v>
      </c>
      <c r="I47" s="733">
        <v>1</v>
      </c>
      <c r="J47" s="733">
        <v>37</v>
      </c>
      <c r="K47" s="733">
        <v>164</v>
      </c>
      <c r="L47" s="706"/>
      <c r="M47" s="706"/>
      <c r="N47" s="706"/>
      <c r="O47" s="706"/>
      <c r="P47" s="706"/>
      <c r="Q47" s="706"/>
      <c r="R47" s="706"/>
      <c r="S47" s="706"/>
      <c r="T47" s="706"/>
      <c r="U47" s="706">
        <v>119</v>
      </c>
      <c r="V47" s="706"/>
      <c r="W47" s="706"/>
      <c r="X47" s="706"/>
      <c r="Y47" s="706"/>
    </row>
    <row r="48" spans="3:25" ht="14.5" hidden="1" outlineLevel="2" x14ac:dyDescent="0.35">
      <c r="C48" s="600">
        <f t="shared" si="0"/>
        <v>34</v>
      </c>
      <c r="D48" s="601" t="s">
        <v>856</v>
      </c>
      <c r="E48" s="342">
        <v>541.41</v>
      </c>
      <c r="F48" s="733">
        <v>162</v>
      </c>
      <c r="G48" s="733">
        <v>2</v>
      </c>
      <c r="H48" s="733">
        <v>2</v>
      </c>
      <c r="I48" s="733">
        <v>1</v>
      </c>
      <c r="J48" s="733">
        <v>27</v>
      </c>
      <c r="K48" s="733">
        <v>97</v>
      </c>
      <c r="L48" s="706"/>
      <c r="M48" s="706"/>
      <c r="N48" s="706"/>
      <c r="O48" s="706"/>
      <c r="P48" s="706"/>
      <c r="Q48" s="706"/>
      <c r="R48" s="706"/>
      <c r="S48" s="706"/>
      <c r="T48" s="706"/>
      <c r="U48" s="706">
        <v>173</v>
      </c>
      <c r="V48" s="706"/>
      <c r="W48" s="706"/>
      <c r="X48" s="706"/>
      <c r="Y48" s="706"/>
    </row>
    <row r="49" spans="3:25" ht="14.5" hidden="1" outlineLevel="2" x14ac:dyDescent="0.35">
      <c r="C49" s="600">
        <f t="shared" si="0"/>
        <v>35</v>
      </c>
      <c r="D49" s="601" t="s">
        <v>857</v>
      </c>
      <c r="E49" s="342">
        <v>515.17999999999995</v>
      </c>
      <c r="F49" s="733">
        <v>174</v>
      </c>
      <c r="G49" s="733">
        <v>2</v>
      </c>
      <c r="H49" s="733">
        <v>3</v>
      </c>
      <c r="I49" s="733">
        <v>1</v>
      </c>
      <c r="J49" s="733">
        <v>33</v>
      </c>
      <c r="K49" s="733">
        <v>167</v>
      </c>
      <c r="L49" s="706"/>
      <c r="M49" s="706"/>
      <c r="N49" s="706"/>
      <c r="O49" s="706"/>
      <c r="P49" s="706"/>
      <c r="Q49" s="706"/>
      <c r="R49" s="706"/>
      <c r="S49" s="706"/>
      <c r="T49" s="706"/>
      <c r="U49" s="706">
        <v>216</v>
      </c>
      <c r="V49" s="706"/>
      <c r="W49" s="706"/>
      <c r="X49" s="706"/>
      <c r="Y49" s="706"/>
    </row>
    <row r="50" spans="3:25" ht="14.5" hidden="1" outlineLevel="2" x14ac:dyDescent="0.35">
      <c r="C50" s="600">
        <f t="shared" si="0"/>
        <v>36</v>
      </c>
      <c r="D50" s="601" t="s">
        <v>858</v>
      </c>
      <c r="E50" s="342">
        <v>575.17999999999995</v>
      </c>
      <c r="F50" s="733">
        <v>165</v>
      </c>
      <c r="G50" s="733">
        <v>2</v>
      </c>
      <c r="H50" s="733">
        <v>3</v>
      </c>
      <c r="I50" s="733">
        <v>1</v>
      </c>
      <c r="J50" s="733">
        <v>31</v>
      </c>
      <c r="K50" s="733">
        <v>147</v>
      </c>
      <c r="L50" s="706"/>
      <c r="M50" s="706"/>
      <c r="N50" s="706"/>
      <c r="O50" s="706"/>
      <c r="P50" s="706"/>
      <c r="Q50" s="706"/>
      <c r="R50" s="706"/>
      <c r="S50" s="706"/>
      <c r="T50" s="706"/>
      <c r="U50" s="706">
        <v>214</v>
      </c>
      <c r="V50" s="706"/>
      <c r="W50" s="706"/>
      <c r="X50" s="706"/>
      <c r="Y50" s="706"/>
    </row>
    <row r="51" spans="3:25" ht="14.5" hidden="1" outlineLevel="2" x14ac:dyDescent="0.35">
      <c r="C51" s="600">
        <f t="shared" si="0"/>
        <v>37</v>
      </c>
      <c r="D51" s="601" t="s">
        <v>859</v>
      </c>
      <c r="E51" s="342">
        <v>565.84</v>
      </c>
      <c r="F51" s="733">
        <v>156</v>
      </c>
      <c r="G51" s="733">
        <v>2</v>
      </c>
      <c r="H51" s="733">
        <v>3</v>
      </c>
      <c r="I51" s="733">
        <v>1</v>
      </c>
      <c r="J51" s="733">
        <v>26</v>
      </c>
      <c r="K51" s="733">
        <v>286</v>
      </c>
      <c r="L51" s="706"/>
      <c r="M51" s="706"/>
      <c r="N51" s="706"/>
      <c r="O51" s="706"/>
      <c r="P51" s="706"/>
      <c r="Q51" s="706"/>
      <c r="R51" s="706"/>
      <c r="S51" s="706"/>
      <c r="T51" s="706"/>
      <c r="U51" s="706">
        <v>197</v>
      </c>
      <c r="V51" s="706"/>
      <c r="W51" s="706"/>
      <c r="X51" s="706"/>
      <c r="Y51" s="706"/>
    </row>
    <row r="52" spans="3:25" ht="14.5" hidden="1" outlineLevel="2" x14ac:dyDescent="0.35">
      <c r="C52" s="600">
        <f t="shared" si="0"/>
        <v>38</v>
      </c>
      <c r="D52" s="601" t="s">
        <v>860</v>
      </c>
      <c r="E52" s="342">
        <v>625.84</v>
      </c>
      <c r="F52" s="733">
        <v>102</v>
      </c>
      <c r="G52" s="733">
        <v>2</v>
      </c>
      <c r="H52" s="733">
        <v>3</v>
      </c>
      <c r="I52" s="733">
        <v>1</v>
      </c>
      <c r="J52" s="733">
        <v>28</v>
      </c>
      <c r="K52" s="733">
        <v>203</v>
      </c>
      <c r="L52" s="706"/>
      <c r="M52" s="706"/>
      <c r="N52" s="706"/>
      <c r="O52" s="706"/>
      <c r="P52" s="706"/>
      <c r="Q52" s="706"/>
      <c r="R52" s="706"/>
      <c r="S52" s="706"/>
      <c r="T52" s="706"/>
      <c r="U52" s="706">
        <v>274</v>
      </c>
      <c r="V52" s="706"/>
      <c r="W52" s="706"/>
      <c r="X52" s="706"/>
      <c r="Y52" s="706"/>
    </row>
    <row r="53" spans="3:25" ht="14.5" hidden="1" outlineLevel="2" x14ac:dyDescent="0.35">
      <c r="C53" s="600">
        <f t="shared" si="0"/>
        <v>39</v>
      </c>
      <c r="D53" s="601" t="s">
        <v>861</v>
      </c>
      <c r="E53" s="342">
        <v>691.7</v>
      </c>
      <c r="F53" s="733">
        <v>100</v>
      </c>
      <c r="G53" s="733">
        <v>17</v>
      </c>
      <c r="H53" s="733">
        <v>12</v>
      </c>
      <c r="I53" s="733">
        <v>4</v>
      </c>
      <c r="J53" s="733">
        <v>50</v>
      </c>
      <c r="K53" s="733">
        <v>193</v>
      </c>
      <c r="L53" s="706"/>
      <c r="M53" s="706"/>
      <c r="N53" s="706"/>
      <c r="O53" s="706"/>
      <c r="P53" s="706"/>
      <c r="Q53" s="706"/>
      <c r="R53" s="706"/>
      <c r="S53" s="706"/>
      <c r="T53" s="706"/>
      <c r="U53" s="706">
        <v>195</v>
      </c>
      <c r="V53" s="706"/>
      <c r="W53" s="706"/>
      <c r="X53" s="706"/>
      <c r="Y53" s="706"/>
    </row>
    <row r="54" spans="3:25" ht="14.5" hidden="1" outlineLevel="2" x14ac:dyDescent="0.35">
      <c r="C54" s="600">
        <f t="shared" si="0"/>
        <v>40</v>
      </c>
      <c r="D54" s="601" t="s">
        <v>862</v>
      </c>
      <c r="E54" s="342">
        <v>650.27</v>
      </c>
      <c r="F54" s="733">
        <v>131</v>
      </c>
      <c r="G54" s="733">
        <v>13</v>
      </c>
      <c r="H54" s="733">
        <v>10</v>
      </c>
      <c r="I54" s="733">
        <v>6</v>
      </c>
      <c r="J54" s="733">
        <v>48</v>
      </c>
      <c r="K54" s="733">
        <v>234</v>
      </c>
      <c r="L54" s="706"/>
      <c r="M54" s="706"/>
      <c r="N54" s="706"/>
      <c r="O54" s="706"/>
      <c r="P54" s="706"/>
      <c r="Q54" s="706"/>
      <c r="R54" s="706"/>
      <c r="S54" s="706"/>
      <c r="T54" s="706"/>
      <c r="U54" s="706">
        <v>186</v>
      </c>
      <c r="V54" s="706"/>
      <c r="W54" s="706"/>
      <c r="X54" s="706"/>
      <c r="Y54" s="706"/>
    </row>
    <row r="55" spans="3:25" ht="14.5" hidden="1" outlineLevel="2" x14ac:dyDescent="0.35">
      <c r="C55" s="600">
        <f t="shared" si="0"/>
        <v>41</v>
      </c>
      <c r="D55" s="601" t="s">
        <v>863</v>
      </c>
      <c r="E55" s="342">
        <v>1005.79</v>
      </c>
      <c r="F55" s="733">
        <v>92</v>
      </c>
      <c r="G55" s="733">
        <v>64</v>
      </c>
      <c r="H55" s="733">
        <v>51</v>
      </c>
      <c r="I55" s="733">
        <v>21</v>
      </c>
      <c r="J55" s="733">
        <v>73</v>
      </c>
      <c r="K55" s="733">
        <v>560</v>
      </c>
      <c r="L55" s="706"/>
      <c r="M55" s="706"/>
      <c r="N55" s="706"/>
      <c r="O55" s="706"/>
      <c r="P55" s="706"/>
      <c r="Q55" s="706"/>
      <c r="R55" s="706"/>
      <c r="S55" s="706"/>
      <c r="T55" s="706"/>
      <c r="U55" s="706">
        <v>169</v>
      </c>
      <c r="V55" s="706"/>
      <c r="W55" s="706"/>
      <c r="X55" s="706"/>
      <c r="Y55" s="706"/>
    </row>
    <row r="56" spans="3:25" ht="14.5" hidden="1" outlineLevel="2" x14ac:dyDescent="0.35">
      <c r="C56" s="600">
        <f t="shared" si="0"/>
        <v>42</v>
      </c>
      <c r="D56" s="601" t="s">
        <v>864</v>
      </c>
      <c r="E56" s="342">
        <v>969.43</v>
      </c>
      <c r="F56" s="733">
        <v>102</v>
      </c>
      <c r="G56" s="733">
        <v>99</v>
      </c>
      <c r="H56" s="733">
        <v>47</v>
      </c>
      <c r="I56" s="733">
        <v>13</v>
      </c>
      <c r="J56" s="733">
        <v>60</v>
      </c>
      <c r="K56" s="733">
        <v>510</v>
      </c>
      <c r="L56" s="706"/>
      <c r="M56" s="706"/>
      <c r="N56" s="706"/>
      <c r="O56" s="706"/>
      <c r="P56" s="706"/>
      <c r="Q56" s="706"/>
      <c r="R56" s="706"/>
      <c r="S56" s="706"/>
      <c r="T56" s="706"/>
      <c r="U56" s="706">
        <v>185</v>
      </c>
      <c r="V56" s="706"/>
      <c r="W56" s="706"/>
      <c r="X56" s="706"/>
      <c r="Y56" s="706"/>
    </row>
    <row r="57" spans="3:25" ht="14.5" hidden="1" outlineLevel="2" x14ac:dyDescent="0.35">
      <c r="C57" s="600">
        <f t="shared" si="0"/>
        <v>43</v>
      </c>
      <c r="D57" s="601" t="s">
        <v>865</v>
      </c>
      <c r="E57" s="342">
        <v>413.48</v>
      </c>
      <c r="F57" s="733">
        <v>0</v>
      </c>
      <c r="G57" s="733">
        <v>0</v>
      </c>
      <c r="H57" s="733">
        <v>0</v>
      </c>
      <c r="I57" s="733">
        <v>0</v>
      </c>
      <c r="J57" s="733">
        <v>0</v>
      </c>
      <c r="K57" s="733">
        <v>277</v>
      </c>
      <c r="L57" s="706"/>
      <c r="M57" s="706"/>
      <c r="N57" s="706"/>
      <c r="O57" s="706"/>
      <c r="P57" s="706"/>
      <c r="Q57" s="706"/>
      <c r="R57" s="706"/>
      <c r="S57" s="706"/>
      <c r="T57" s="706"/>
      <c r="U57" s="706">
        <v>129</v>
      </c>
      <c r="V57" s="706"/>
      <c r="W57" s="706"/>
      <c r="X57" s="706"/>
      <c r="Y57" s="706"/>
    </row>
    <row r="58" spans="3:25" ht="14.5" hidden="1" outlineLevel="2" x14ac:dyDescent="0.35">
      <c r="C58" s="600">
        <f t="shared" si="0"/>
        <v>44</v>
      </c>
      <c r="D58" s="601" t="s">
        <v>866</v>
      </c>
      <c r="E58" s="342">
        <v>453.48</v>
      </c>
      <c r="F58" s="733">
        <v>0</v>
      </c>
      <c r="G58" s="733">
        <v>0</v>
      </c>
      <c r="H58" s="733">
        <v>0</v>
      </c>
      <c r="I58" s="733">
        <v>0</v>
      </c>
      <c r="J58" s="733">
        <v>0</v>
      </c>
      <c r="K58" s="733">
        <v>351</v>
      </c>
      <c r="L58" s="706"/>
      <c r="M58" s="706"/>
      <c r="N58" s="706"/>
      <c r="O58" s="706"/>
      <c r="P58" s="706"/>
      <c r="Q58" s="706"/>
      <c r="R58" s="706"/>
      <c r="S58" s="706"/>
      <c r="T58" s="706"/>
      <c r="U58" s="706">
        <v>202</v>
      </c>
      <c r="V58" s="706"/>
      <c r="W58" s="706"/>
      <c r="X58" s="706"/>
      <c r="Y58" s="706"/>
    </row>
    <row r="59" spans="3:25" ht="14.5" hidden="1" outlineLevel="2" x14ac:dyDescent="0.35">
      <c r="C59" s="600">
        <f t="shared" si="0"/>
        <v>45</v>
      </c>
      <c r="D59" s="601" t="s">
        <v>867</v>
      </c>
      <c r="E59" s="342">
        <v>513.48</v>
      </c>
      <c r="F59" s="733">
        <v>0</v>
      </c>
      <c r="G59" s="733">
        <v>0</v>
      </c>
      <c r="H59" s="733">
        <v>0</v>
      </c>
      <c r="I59" s="733">
        <v>0</v>
      </c>
      <c r="J59" s="733">
        <v>0</v>
      </c>
      <c r="K59" s="733">
        <v>297</v>
      </c>
      <c r="L59" s="706"/>
      <c r="M59" s="706"/>
      <c r="N59" s="706"/>
      <c r="O59" s="706"/>
      <c r="P59" s="706"/>
      <c r="Q59" s="706"/>
      <c r="R59" s="706"/>
      <c r="S59" s="706"/>
      <c r="T59" s="706"/>
      <c r="U59" s="706">
        <v>185</v>
      </c>
      <c r="V59" s="706"/>
      <c r="W59" s="706"/>
      <c r="X59" s="706"/>
      <c r="Y59" s="706"/>
    </row>
    <row r="60" spans="3:25" ht="14.5" hidden="1" outlineLevel="2" x14ac:dyDescent="0.35">
      <c r="C60" s="600">
        <f t="shared" si="0"/>
        <v>46</v>
      </c>
      <c r="D60" s="601" t="s">
        <v>868</v>
      </c>
      <c r="E60" s="342">
        <v>491.41</v>
      </c>
      <c r="F60" s="733">
        <v>0</v>
      </c>
      <c r="G60" s="733">
        <v>0</v>
      </c>
      <c r="H60" s="733">
        <v>0</v>
      </c>
      <c r="I60" s="733">
        <v>0</v>
      </c>
      <c r="J60" s="733">
        <v>0</v>
      </c>
      <c r="K60" s="733">
        <v>391</v>
      </c>
      <c r="L60" s="706"/>
      <c r="M60" s="706"/>
      <c r="N60" s="706"/>
      <c r="O60" s="706"/>
      <c r="P60" s="706"/>
      <c r="Q60" s="706"/>
      <c r="R60" s="706"/>
      <c r="S60" s="706"/>
      <c r="T60" s="706"/>
      <c r="U60" s="706">
        <v>212</v>
      </c>
      <c r="V60" s="706"/>
      <c r="W60" s="706"/>
      <c r="X60" s="706"/>
      <c r="Y60" s="706"/>
    </row>
    <row r="61" spans="3:25" ht="14.5" hidden="1" outlineLevel="2" x14ac:dyDescent="0.35">
      <c r="C61" s="600">
        <f t="shared" si="0"/>
        <v>47</v>
      </c>
      <c r="D61" s="601" t="s">
        <v>869</v>
      </c>
      <c r="E61" s="342">
        <v>551.41</v>
      </c>
      <c r="F61" s="733">
        <v>0</v>
      </c>
      <c r="G61" s="733">
        <v>0</v>
      </c>
      <c r="H61" s="733">
        <v>0</v>
      </c>
      <c r="I61" s="733">
        <v>0</v>
      </c>
      <c r="J61" s="733">
        <v>0</v>
      </c>
      <c r="K61" s="733">
        <v>356</v>
      </c>
      <c r="L61" s="706"/>
      <c r="M61" s="706"/>
      <c r="N61" s="706"/>
      <c r="O61" s="706"/>
      <c r="P61" s="706"/>
      <c r="Q61" s="706"/>
      <c r="R61" s="706"/>
      <c r="S61" s="706"/>
      <c r="T61" s="706"/>
      <c r="U61" s="706">
        <v>239</v>
      </c>
      <c r="V61" s="706"/>
      <c r="W61" s="706"/>
      <c r="X61" s="706"/>
      <c r="Y61" s="706"/>
    </row>
    <row r="62" spans="3:25" ht="14.5" hidden="1" outlineLevel="2" x14ac:dyDescent="0.35">
      <c r="C62" s="600">
        <f t="shared" si="0"/>
        <v>48</v>
      </c>
      <c r="D62" s="601" t="s">
        <v>870</v>
      </c>
      <c r="E62" s="342">
        <v>658.31</v>
      </c>
      <c r="F62" s="733">
        <v>0</v>
      </c>
      <c r="G62" s="733">
        <v>0</v>
      </c>
      <c r="H62" s="733">
        <v>0</v>
      </c>
      <c r="I62" s="733">
        <v>0</v>
      </c>
      <c r="J62" s="733">
        <v>0</v>
      </c>
      <c r="K62" s="733">
        <v>512</v>
      </c>
      <c r="L62" s="706"/>
      <c r="M62" s="706"/>
      <c r="N62" s="706"/>
      <c r="O62" s="706"/>
      <c r="P62" s="706"/>
      <c r="Q62" s="706"/>
      <c r="R62" s="706"/>
      <c r="S62" s="706"/>
      <c r="T62" s="706"/>
      <c r="U62" s="706">
        <v>256</v>
      </c>
      <c r="V62" s="706"/>
      <c r="W62" s="706"/>
      <c r="X62" s="706"/>
      <c r="Y62" s="706"/>
    </row>
    <row r="63" spans="3:25" ht="14.5" hidden="1" outlineLevel="2" x14ac:dyDescent="0.35">
      <c r="C63" s="600">
        <f t="shared" si="0"/>
        <v>49</v>
      </c>
      <c r="D63" s="601" t="s">
        <v>871</v>
      </c>
      <c r="E63" s="342">
        <v>617.28</v>
      </c>
      <c r="F63" s="733">
        <v>0</v>
      </c>
      <c r="G63" s="733">
        <v>0</v>
      </c>
      <c r="H63" s="733">
        <v>0</v>
      </c>
      <c r="I63" s="733">
        <v>0</v>
      </c>
      <c r="J63" s="733">
        <v>0</v>
      </c>
      <c r="K63" s="733">
        <v>381</v>
      </c>
      <c r="L63" s="706"/>
      <c r="M63" s="706"/>
      <c r="N63" s="706"/>
      <c r="O63" s="706"/>
      <c r="P63" s="706"/>
      <c r="Q63" s="706"/>
      <c r="R63" s="706"/>
      <c r="S63" s="706"/>
      <c r="T63" s="706"/>
      <c r="U63" s="706">
        <v>197</v>
      </c>
      <c r="V63" s="706"/>
      <c r="W63" s="706"/>
      <c r="X63" s="706"/>
      <c r="Y63" s="706"/>
    </row>
    <row r="64" spans="3:25" ht="14.5" hidden="1" outlineLevel="2" x14ac:dyDescent="0.35">
      <c r="C64" s="600">
        <f t="shared" si="0"/>
        <v>50</v>
      </c>
      <c r="D64" s="601" t="s">
        <v>872</v>
      </c>
      <c r="E64" s="342">
        <v>935.9</v>
      </c>
      <c r="F64" s="733">
        <v>0</v>
      </c>
      <c r="G64" s="733">
        <v>0</v>
      </c>
      <c r="H64" s="733">
        <v>0</v>
      </c>
      <c r="I64" s="733">
        <v>0</v>
      </c>
      <c r="J64" s="733">
        <v>0</v>
      </c>
      <c r="K64" s="733">
        <v>866</v>
      </c>
      <c r="L64" s="706"/>
      <c r="M64" s="706"/>
      <c r="N64" s="706"/>
      <c r="O64" s="706"/>
      <c r="P64" s="706"/>
      <c r="Q64" s="706"/>
      <c r="R64" s="706"/>
      <c r="S64" s="706"/>
      <c r="T64" s="706"/>
      <c r="U64" s="706">
        <v>209</v>
      </c>
      <c r="V64" s="706"/>
      <c r="W64" s="706"/>
      <c r="X64" s="706"/>
      <c r="Y64" s="706"/>
    </row>
    <row r="65" spans="3:25" ht="14.5" hidden="1" outlineLevel="2" x14ac:dyDescent="0.35">
      <c r="C65" s="600">
        <f t="shared" si="0"/>
        <v>51</v>
      </c>
      <c r="D65" s="601" t="s">
        <v>873</v>
      </c>
      <c r="E65" s="342">
        <v>900.03</v>
      </c>
      <c r="F65" s="733">
        <v>0</v>
      </c>
      <c r="G65" s="733">
        <v>0</v>
      </c>
      <c r="H65" s="733">
        <v>0</v>
      </c>
      <c r="I65" s="733">
        <v>0</v>
      </c>
      <c r="J65" s="733">
        <v>0</v>
      </c>
      <c r="K65" s="733">
        <v>563</v>
      </c>
      <c r="L65" s="706"/>
      <c r="M65" s="706"/>
      <c r="N65" s="706"/>
      <c r="O65" s="706"/>
      <c r="P65" s="706"/>
      <c r="Q65" s="706"/>
      <c r="R65" s="706"/>
      <c r="S65" s="706"/>
      <c r="T65" s="706"/>
      <c r="U65" s="706">
        <v>213</v>
      </c>
      <c r="V65" s="706"/>
      <c r="W65" s="706"/>
      <c r="X65" s="706"/>
      <c r="Y65" s="706"/>
    </row>
    <row r="66" spans="3:25" ht="14.5" hidden="1" outlineLevel="2" x14ac:dyDescent="0.35">
      <c r="C66" s="600">
        <f t="shared" si="0"/>
        <v>52</v>
      </c>
      <c r="D66" s="601" t="s">
        <v>874</v>
      </c>
      <c r="E66" s="342">
        <v>449.84839069201939</v>
      </c>
      <c r="F66" s="733">
        <v>187</v>
      </c>
      <c r="G66" s="733">
        <v>6</v>
      </c>
      <c r="H66" s="733">
        <v>1</v>
      </c>
      <c r="I66" s="733">
        <v>1</v>
      </c>
      <c r="J66" s="733">
        <v>6</v>
      </c>
      <c r="K66" s="733">
        <v>106</v>
      </c>
      <c r="L66" s="706"/>
      <c r="M66" s="706"/>
      <c r="N66" s="706"/>
      <c r="O66" s="706"/>
      <c r="P66" s="706"/>
      <c r="Q66" s="706"/>
      <c r="R66" s="706"/>
      <c r="S66" s="706"/>
      <c r="T66" s="706"/>
      <c r="U66" s="706">
        <v>151</v>
      </c>
      <c r="V66" s="706"/>
      <c r="W66" s="706"/>
      <c r="X66" s="706"/>
      <c r="Y66" s="706"/>
    </row>
    <row r="67" spans="3:25" ht="14.5" hidden="1" outlineLevel="2" x14ac:dyDescent="0.35">
      <c r="C67" s="600">
        <f t="shared" si="0"/>
        <v>53</v>
      </c>
      <c r="D67" s="601" t="s">
        <v>875</v>
      </c>
      <c r="E67" s="342">
        <v>489.84839069201939</v>
      </c>
      <c r="F67" s="733">
        <v>205</v>
      </c>
      <c r="G67" s="733">
        <v>5</v>
      </c>
      <c r="H67" s="733">
        <v>1</v>
      </c>
      <c r="I67" s="733">
        <v>1</v>
      </c>
      <c r="J67" s="733">
        <v>5</v>
      </c>
      <c r="K67" s="733">
        <v>104</v>
      </c>
      <c r="L67" s="706"/>
      <c r="M67" s="706"/>
      <c r="N67" s="706"/>
      <c r="O67" s="706"/>
      <c r="P67" s="706"/>
      <c r="Q67" s="706"/>
      <c r="R67" s="706"/>
      <c r="S67" s="706"/>
      <c r="T67" s="706"/>
      <c r="U67" s="706">
        <v>203</v>
      </c>
      <c r="V67" s="706"/>
      <c r="W67" s="706"/>
      <c r="X67" s="706"/>
      <c r="Y67" s="706"/>
    </row>
    <row r="68" spans="3:25" ht="14.5" hidden="1" outlineLevel="2" x14ac:dyDescent="0.35">
      <c r="C68" s="600">
        <f t="shared" si="0"/>
        <v>54</v>
      </c>
      <c r="D68" s="601" t="s">
        <v>876</v>
      </c>
      <c r="E68" s="342">
        <v>549.84839069201939</v>
      </c>
      <c r="F68" s="733">
        <v>149</v>
      </c>
      <c r="G68" s="733">
        <v>6</v>
      </c>
      <c r="H68" s="733">
        <v>1</v>
      </c>
      <c r="I68" s="733">
        <v>1</v>
      </c>
      <c r="J68" s="733">
        <v>6</v>
      </c>
      <c r="K68" s="733">
        <v>117</v>
      </c>
      <c r="L68" s="706"/>
      <c r="M68" s="706"/>
      <c r="N68" s="706"/>
      <c r="O68" s="706"/>
      <c r="P68" s="706"/>
      <c r="Q68" s="706"/>
      <c r="R68" s="706"/>
      <c r="S68" s="706"/>
      <c r="T68" s="706"/>
      <c r="U68" s="706">
        <v>188</v>
      </c>
      <c r="V68" s="706"/>
      <c r="W68" s="706"/>
      <c r="X68" s="706"/>
      <c r="Y68" s="706"/>
    </row>
    <row r="69" spans="3:25" ht="14.5" hidden="1" outlineLevel="2" x14ac:dyDescent="0.35">
      <c r="C69" s="600">
        <f t="shared" si="0"/>
        <v>55</v>
      </c>
      <c r="D69" s="601" t="s">
        <v>877</v>
      </c>
      <c r="E69" s="342">
        <v>608.05569252592124</v>
      </c>
      <c r="F69" s="733">
        <v>222</v>
      </c>
      <c r="G69" s="733">
        <v>114</v>
      </c>
      <c r="H69" s="733">
        <v>2</v>
      </c>
      <c r="I69" s="733">
        <v>1</v>
      </c>
      <c r="J69" s="733">
        <v>23</v>
      </c>
      <c r="K69" s="733">
        <v>102</v>
      </c>
      <c r="L69" s="706"/>
      <c r="M69" s="706"/>
      <c r="N69" s="706"/>
      <c r="O69" s="706"/>
      <c r="P69" s="706"/>
      <c r="Q69" s="706"/>
      <c r="R69" s="706"/>
      <c r="S69" s="706"/>
      <c r="T69" s="706"/>
      <c r="U69" s="706">
        <v>132</v>
      </c>
      <c r="V69" s="706"/>
      <c r="W69" s="706"/>
      <c r="X69" s="706"/>
      <c r="Y69" s="706"/>
    </row>
    <row r="70" spans="3:25" ht="14.5" hidden="1" outlineLevel="2" x14ac:dyDescent="0.35">
      <c r="C70" s="600">
        <f t="shared" si="0"/>
        <v>56</v>
      </c>
      <c r="D70" s="601" t="s">
        <v>878</v>
      </c>
      <c r="E70" s="342">
        <v>668.05569252592124</v>
      </c>
      <c r="F70" s="733">
        <v>174</v>
      </c>
      <c r="G70" s="733">
        <v>124</v>
      </c>
      <c r="H70" s="733">
        <v>2</v>
      </c>
      <c r="I70" s="733">
        <v>1</v>
      </c>
      <c r="J70" s="733">
        <v>30</v>
      </c>
      <c r="K70" s="733">
        <v>141</v>
      </c>
      <c r="L70" s="706"/>
      <c r="M70" s="706"/>
      <c r="N70" s="706"/>
      <c r="O70" s="706"/>
      <c r="P70" s="706"/>
      <c r="Q70" s="706"/>
      <c r="R70" s="706"/>
      <c r="S70" s="706"/>
      <c r="T70" s="706"/>
      <c r="U70" s="706">
        <v>276</v>
      </c>
      <c r="V70" s="706"/>
      <c r="W70" s="706"/>
      <c r="X70" s="706"/>
      <c r="Y70" s="706"/>
    </row>
    <row r="71" spans="3:25" ht="14.5" hidden="1" outlineLevel="2" x14ac:dyDescent="0.35">
      <c r="C71" s="600">
        <f t="shared" si="0"/>
        <v>57</v>
      </c>
      <c r="D71" s="601" t="s">
        <v>879</v>
      </c>
      <c r="E71" s="342">
        <v>819.14016008646036</v>
      </c>
      <c r="F71" s="733">
        <v>135</v>
      </c>
      <c r="G71" s="733">
        <v>114</v>
      </c>
      <c r="H71" s="733">
        <v>4</v>
      </c>
      <c r="I71" s="733">
        <v>3</v>
      </c>
      <c r="J71" s="733">
        <v>48</v>
      </c>
      <c r="K71" s="733">
        <v>282</v>
      </c>
      <c r="L71" s="706"/>
      <c r="M71" s="706"/>
      <c r="N71" s="706"/>
      <c r="O71" s="706"/>
      <c r="P71" s="706"/>
      <c r="Q71" s="706"/>
      <c r="R71" s="706"/>
      <c r="S71" s="706"/>
      <c r="T71" s="706"/>
      <c r="U71" s="706">
        <v>185</v>
      </c>
      <c r="V71" s="706"/>
      <c r="W71" s="706"/>
      <c r="X71" s="706"/>
      <c r="Y71" s="706"/>
    </row>
    <row r="72" spans="3:25" ht="14.5" hidden="1" outlineLevel="2" x14ac:dyDescent="0.35">
      <c r="C72" s="600">
        <f t="shared" si="0"/>
        <v>58</v>
      </c>
      <c r="D72" s="601" t="s">
        <v>880</v>
      </c>
      <c r="E72" s="342">
        <v>860.5647269411329</v>
      </c>
      <c r="F72" s="733">
        <v>135</v>
      </c>
      <c r="G72" s="733">
        <v>197</v>
      </c>
      <c r="H72" s="733">
        <v>6</v>
      </c>
      <c r="I72" s="733">
        <v>3</v>
      </c>
      <c r="J72" s="733">
        <v>51</v>
      </c>
      <c r="K72" s="733">
        <v>195</v>
      </c>
      <c r="L72" s="706"/>
      <c r="M72" s="706"/>
      <c r="N72" s="706"/>
      <c r="O72" s="706"/>
      <c r="P72" s="706"/>
      <c r="Q72" s="706"/>
      <c r="R72" s="706"/>
      <c r="S72" s="706"/>
      <c r="T72" s="706"/>
      <c r="U72" s="706">
        <v>209</v>
      </c>
      <c r="V72" s="706"/>
      <c r="W72" s="706"/>
      <c r="X72" s="706"/>
      <c r="Y72" s="706"/>
    </row>
    <row r="73" spans="3:25" ht="14.5" hidden="1" outlineLevel="2" x14ac:dyDescent="0.35">
      <c r="C73" s="600">
        <f t="shared" si="0"/>
        <v>59</v>
      </c>
      <c r="D73" s="601" t="s">
        <v>881</v>
      </c>
      <c r="E73" s="342">
        <v>413.48</v>
      </c>
      <c r="F73" s="733">
        <v>0</v>
      </c>
      <c r="G73" s="733">
        <v>0</v>
      </c>
      <c r="H73" s="733">
        <v>0</v>
      </c>
      <c r="I73" s="733">
        <v>0</v>
      </c>
      <c r="J73" s="733">
        <v>0</v>
      </c>
      <c r="K73" s="733">
        <v>307</v>
      </c>
      <c r="L73" s="706"/>
      <c r="M73" s="706"/>
      <c r="N73" s="706"/>
      <c r="O73" s="706"/>
      <c r="P73" s="706"/>
      <c r="Q73" s="706"/>
      <c r="R73" s="706"/>
      <c r="S73" s="706"/>
      <c r="T73" s="706"/>
      <c r="U73" s="706">
        <v>135</v>
      </c>
      <c r="V73" s="706"/>
      <c r="W73" s="706"/>
      <c r="X73" s="706"/>
      <c r="Y73" s="706"/>
    </row>
    <row r="74" spans="3:25" ht="14.5" hidden="1" outlineLevel="2" x14ac:dyDescent="0.35">
      <c r="C74" s="600">
        <f t="shared" si="0"/>
        <v>60</v>
      </c>
      <c r="D74" s="601" t="s">
        <v>882</v>
      </c>
      <c r="E74" s="342">
        <v>453.48</v>
      </c>
      <c r="F74" s="733">
        <v>0</v>
      </c>
      <c r="G74" s="733">
        <v>0</v>
      </c>
      <c r="H74" s="733">
        <v>0</v>
      </c>
      <c r="I74" s="733">
        <v>0</v>
      </c>
      <c r="J74" s="733">
        <v>0</v>
      </c>
      <c r="K74" s="733">
        <v>338</v>
      </c>
      <c r="L74" s="706"/>
      <c r="M74" s="706"/>
      <c r="N74" s="706"/>
      <c r="O74" s="706"/>
      <c r="P74" s="706"/>
      <c r="Q74" s="706"/>
      <c r="R74" s="706"/>
      <c r="S74" s="706"/>
      <c r="T74" s="706"/>
      <c r="U74" s="706">
        <v>142</v>
      </c>
      <c r="V74" s="706"/>
      <c r="W74" s="706"/>
      <c r="X74" s="706"/>
      <c r="Y74" s="706"/>
    </row>
    <row r="75" spans="3:25" ht="14.5" hidden="1" outlineLevel="2" x14ac:dyDescent="0.35">
      <c r="C75" s="600">
        <f t="shared" si="0"/>
        <v>61</v>
      </c>
      <c r="D75" s="601" t="s">
        <v>883</v>
      </c>
      <c r="E75" s="342">
        <v>513.48</v>
      </c>
      <c r="F75" s="733">
        <v>0</v>
      </c>
      <c r="G75" s="733">
        <v>0</v>
      </c>
      <c r="H75" s="733">
        <v>0</v>
      </c>
      <c r="I75" s="733">
        <v>0</v>
      </c>
      <c r="J75" s="733">
        <v>0</v>
      </c>
      <c r="K75" s="733">
        <v>206</v>
      </c>
      <c r="L75" s="706"/>
      <c r="M75" s="706"/>
      <c r="N75" s="706"/>
      <c r="O75" s="706"/>
      <c r="P75" s="706"/>
      <c r="Q75" s="706"/>
      <c r="R75" s="706"/>
      <c r="S75" s="706"/>
      <c r="T75" s="706"/>
      <c r="U75" s="706">
        <v>237</v>
      </c>
      <c r="V75" s="706"/>
      <c r="W75" s="706"/>
      <c r="X75" s="706"/>
      <c r="Y75" s="706"/>
    </row>
    <row r="76" spans="3:25" ht="14.5" hidden="1" outlineLevel="2" x14ac:dyDescent="0.35">
      <c r="C76" s="600">
        <f t="shared" si="0"/>
        <v>62</v>
      </c>
      <c r="D76" s="601" t="s">
        <v>884</v>
      </c>
      <c r="E76" s="342">
        <v>491.41</v>
      </c>
      <c r="F76" s="733">
        <v>0</v>
      </c>
      <c r="G76" s="733">
        <v>0</v>
      </c>
      <c r="H76" s="733">
        <v>0</v>
      </c>
      <c r="I76" s="733">
        <v>0</v>
      </c>
      <c r="J76" s="733">
        <v>0</v>
      </c>
      <c r="K76" s="733">
        <v>419</v>
      </c>
      <c r="L76" s="706"/>
      <c r="M76" s="706"/>
      <c r="N76" s="706"/>
      <c r="O76" s="706"/>
      <c r="P76" s="706"/>
      <c r="Q76" s="706"/>
      <c r="R76" s="706"/>
      <c r="S76" s="706"/>
      <c r="T76" s="706"/>
      <c r="U76" s="706">
        <v>216</v>
      </c>
      <c r="V76" s="706"/>
      <c r="W76" s="706"/>
      <c r="X76" s="706"/>
      <c r="Y76" s="706"/>
    </row>
    <row r="77" spans="3:25" ht="14.5" hidden="1" outlineLevel="2" x14ac:dyDescent="0.35">
      <c r="C77" s="600">
        <f t="shared" si="0"/>
        <v>63</v>
      </c>
      <c r="D77" s="601" t="s">
        <v>885</v>
      </c>
      <c r="E77" s="342">
        <v>551.41</v>
      </c>
      <c r="F77" s="733">
        <v>0</v>
      </c>
      <c r="G77" s="733">
        <v>0</v>
      </c>
      <c r="H77" s="733">
        <v>0</v>
      </c>
      <c r="I77" s="733">
        <v>0</v>
      </c>
      <c r="J77" s="733">
        <v>0</v>
      </c>
      <c r="K77" s="733">
        <v>228</v>
      </c>
      <c r="L77" s="706"/>
      <c r="M77" s="706"/>
      <c r="N77" s="706"/>
      <c r="O77" s="706"/>
      <c r="P77" s="706"/>
      <c r="Q77" s="706"/>
      <c r="R77" s="706"/>
      <c r="S77" s="706"/>
      <c r="T77" s="706"/>
      <c r="U77" s="706">
        <v>204</v>
      </c>
      <c r="V77" s="706"/>
      <c r="W77" s="706"/>
      <c r="X77" s="706"/>
      <c r="Y77" s="706"/>
    </row>
    <row r="78" spans="3:25" ht="14.5" hidden="1" outlineLevel="2" x14ac:dyDescent="0.35">
      <c r="C78" s="600">
        <f t="shared" si="0"/>
        <v>64</v>
      </c>
      <c r="D78" s="601" t="s">
        <v>886</v>
      </c>
      <c r="E78" s="342">
        <v>658.31</v>
      </c>
      <c r="F78" s="733">
        <v>0</v>
      </c>
      <c r="G78" s="733">
        <v>0</v>
      </c>
      <c r="H78" s="733">
        <v>0</v>
      </c>
      <c r="I78" s="733">
        <v>0</v>
      </c>
      <c r="J78" s="733">
        <v>0</v>
      </c>
      <c r="K78" s="733">
        <v>414</v>
      </c>
      <c r="L78" s="706"/>
      <c r="M78" s="706"/>
      <c r="N78" s="706"/>
      <c r="O78" s="706"/>
      <c r="P78" s="706"/>
      <c r="Q78" s="706"/>
      <c r="R78" s="706"/>
      <c r="S78" s="706"/>
      <c r="T78" s="706"/>
      <c r="U78" s="706">
        <v>257</v>
      </c>
      <c r="V78" s="706"/>
      <c r="W78" s="706"/>
      <c r="X78" s="706"/>
      <c r="Y78" s="706"/>
    </row>
    <row r="79" spans="3:25" ht="14.5" hidden="1" outlineLevel="2" x14ac:dyDescent="0.35">
      <c r="C79" s="600">
        <f t="shared" si="0"/>
        <v>65</v>
      </c>
      <c r="D79" s="601" t="s">
        <v>887</v>
      </c>
      <c r="E79" s="342">
        <v>617.28</v>
      </c>
      <c r="F79" s="733">
        <v>0</v>
      </c>
      <c r="G79" s="733">
        <v>0</v>
      </c>
      <c r="H79" s="733">
        <v>0</v>
      </c>
      <c r="I79" s="733">
        <v>0</v>
      </c>
      <c r="J79" s="733">
        <v>0</v>
      </c>
      <c r="K79" s="733">
        <v>441</v>
      </c>
      <c r="L79" s="706"/>
      <c r="M79" s="706"/>
      <c r="N79" s="706"/>
      <c r="O79" s="706"/>
      <c r="P79" s="706"/>
      <c r="Q79" s="706"/>
      <c r="R79" s="706"/>
      <c r="S79" s="706"/>
      <c r="T79" s="706"/>
      <c r="U79" s="706">
        <v>159</v>
      </c>
      <c r="V79" s="706"/>
      <c r="W79" s="706"/>
      <c r="X79" s="706"/>
      <c r="Y79" s="706"/>
    </row>
    <row r="80" spans="3:25" ht="14.5" hidden="1" outlineLevel="2" x14ac:dyDescent="0.35">
      <c r="C80" s="600">
        <f t="shared" si="0"/>
        <v>66</v>
      </c>
      <c r="D80" s="601" t="s">
        <v>888</v>
      </c>
      <c r="E80" s="342">
        <v>935.9</v>
      </c>
      <c r="F80" s="733">
        <v>0</v>
      </c>
      <c r="G80" s="733">
        <v>0</v>
      </c>
      <c r="H80" s="733">
        <v>0</v>
      </c>
      <c r="I80" s="733">
        <v>0</v>
      </c>
      <c r="J80" s="733">
        <v>0</v>
      </c>
      <c r="K80" s="733">
        <v>892</v>
      </c>
      <c r="L80" s="706"/>
      <c r="M80" s="706"/>
      <c r="N80" s="706"/>
      <c r="O80" s="706"/>
      <c r="P80" s="706"/>
      <c r="Q80" s="706"/>
      <c r="R80" s="706"/>
      <c r="S80" s="706"/>
      <c r="T80" s="706"/>
      <c r="U80" s="706">
        <v>288</v>
      </c>
      <c r="V80" s="706"/>
      <c r="W80" s="706"/>
      <c r="X80" s="706"/>
      <c r="Y80" s="706"/>
    </row>
    <row r="81" spans="1:25" ht="14.5" hidden="1" outlineLevel="2" x14ac:dyDescent="0.35">
      <c r="C81" s="600">
        <f t="shared" ref="C81:C90" si="1">1+C80</f>
        <v>67</v>
      </c>
      <c r="D81" s="601" t="s">
        <v>889</v>
      </c>
      <c r="E81" s="342">
        <v>900.03</v>
      </c>
      <c r="F81" s="733">
        <v>0</v>
      </c>
      <c r="G81" s="733">
        <v>0</v>
      </c>
      <c r="H81" s="733">
        <v>0</v>
      </c>
      <c r="I81" s="733">
        <v>0</v>
      </c>
      <c r="J81" s="733">
        <v>0</v>
      </c>
      <c r="K81" s="733">
        <v>643</v>
      </c>
      <c r="L81" s="706"/>
      <c r="M81" s="706"/>
      <c r="N81" s="706"/>
      <c r="O81" s="706"/>
      <c r="P81" s="706"/>
      <c r="Q81" s="706"/>
      <c r="R81" s="706"/>
      <c r="S81" s="706"/>
      <c r="T81" s="706"/>
      <c r="U81" s="706">
        <v>154</v>
      </c>
      <c r="V81" s="706"/>
      <c r="W81" s="706"/>
      <c r="X81" s="706"/>
      <c r="Y81" s="706"/>
    </row>
    <row r="82" spans="1:25" ht="14.5" hidden="1" outlineLevel="2" x14ac:dyDescent="0.35">
      <c r="C82" s="600">
        <f t="shared" si="1"/>
        <v>68</v>
      </c>
      <c r="D82" s="601" t="s">
        <v>955</v>
      </c>
      <c r="E82" s="342">
        <v>367.29</v>
      </c>
      <c r="F82" s="733">
        <v>167</v>
      </c>
      <c r="G82" s="733">
        <v>2</v>
      </c>
      <c r="H82" s="733">
        <v>3</v>
      </c>
      <c r="I82" s="733">
        <v>1</v>
      </c>
      <c r="J82" s="733">
        <v>24</v>
      </c>
      <c r="K82" s="733">
        <v>181</v>
      </c>
      <c r="L82" s="706"/>
      <c r="M82" s="706"/>
      <c r="N82" s="706"/>
      <c r="O82" s="706"/>
      <c r="P82" s="706"/>
      <c r="Q82" s="706"/>
      <c r="R82" s="706"/>
      <c r="S82" s="706"/>
      <c r="T82" s="706"/>
      <c r="U82" s="706">
        <v>0</v>
      </c>
      <c r="V82" s="706"/>
      <c r="W82" s="706"/>
      <c r="X82" s="706"/>
      <c r="Y82" s="706"/>
    </row>
    <row r="83" spans="1:25" ht="14.5" hidden="1" outlineLevel="2" x14ac:dyDescent="0.35">
      <c r="C83" s="600">
        <f t="shared" si="1"/>
        <v>69</v>
      </c>
      <c r="D83" s="601" t="s">
        <v>956</v>
      </c>
      <c r="E83" s="342">
        <v>388.4</v>
      </c>
      <c r="F83" s="733">
        <v>142</v>
      </c>
      <c r="G83" s="733">
        <v>2</v>
      </c>
      <c r="H83" s="733">
        <v>3</v>
      </c>
      <c r="I83" s="733">
        <v>1</v>
      </c>
      <c r="J83" s="733">
        <v>24</v>
      </c>
      <c r="K83" s="733">
        <v>222</v>
      </c>
      <c r="L83" s="706"/>
      <c r="M83" s="706"/>
      <c r="N83" s="706"/>
      <c r="O83" s="706"/>
      <c r="P83" s="706"/>
      <c r="Q83" s="706"/>
      <c r="R83" s="706"/>
      <c r="S83" s="706"/>
      <c r="T83" s="706"/>
      <c r="U83" s="706">
        <v>0</v>
      </c>
      <c r="V83" s="706"/>
      <c r="W83" s="706"/>
      <c r="X83" s="706"/>
      <c r="Y83" s="706"/>
    </row>
    <row r="84" spans="1:25" ht="14.5" hidden="1" outlineLevel="2" x14ac:dyDescent="0.35">
      <c r="C84" s="600">
        <f t="shared" si="1"/>
        <v>70</v>
      </c>
      <c r="D84" s="601" t="s">
        <v>957</v>
      </c>
      <c r="E84" s="342">
        <v>463.54</v>
      </c>
      <c r="F84" s="733">
        <v>167</v>
      </c>
      <c r="G84" s="733">
        <v>2</v>
      </c>
      <c r="H84" s="733">
        <v>3</v>
      </c>
      <c r="I84" s="733">
        <v>1</v>
      </c>
      <c r="J84" s="733">
        <v>39</v>
      </c>
      <c r="K84" s="733">
        <v>259</v>
      </c>
      <c r="L84" s="706"/>
      <c r="M84" s="706"/>
      <c r="N84" s="706"/>
      <c r="O84" s="706"/>
      <c r="P84" s="706"/>
      <c r="Q84" s="706"/>
      <c r="R84" s="706"/>
      <c r="S84" s="706"/>
      <c r="T84" s="706"/>
      <c r="U84" s="706">
        <v>0</v>
      </c>
      <c r="V84" s="706"/>
      <c r="W84" s="706"/>
      <c r="X84" s="706"/>
      <c r="Y84" s="706"/>
    </row>
    <row r="85" spans="1:25" ht="14.5" hidden="1" outlineLevel="2" x14ac:dyDescent="0.35">
      <c r="C85" s="600">
        <f t="shared" si="1"/>
        <v>71</v>
      </c>
      <c r="D85" s="601" t="s">
        <v>958</v>
      </c>
      <c r="E85" s="342">
        <v>607.08000000000004</v>
      </c>
      <c r="F85" s="733">
        <v>161</v>
      </c>
      <c r="G85" s="733">
        <v>15</v>
      </c>
      <c r="H85" s="733">
        <v>10</v>
      </c>
      <c r="I85" s="733">
        <v>5</v>
      </c>
      <c r="J85" s="733">
        <v>38</v>
      </c>
      <c r="K85" s="733">
        <v>382</v>
      </c>
      <c r="L85" s="706"/>
      <c r="M85" s="706"/>
      <c r="N85" s="706"/>
      <c r="O85" s="706"/>
      <c r="P85" s="706"/>
      <c r="Q85" s="706"/>
      <c r="R85" s="706"/>
      <c r="S85" s="706"/>
      <c r="T85" s="706"/>
      <c r="U85" s="706">
        <v>0</v>
      </c>
      <c r="V85" s="706"/>
      <c r="W85" s="706"/>
      <c r="X85" s="706"/>
      <c r="Y85" s="706"/>
    </row>
    <row r="86" spans="1:25" ht="14.5" hidden="1" outlineLevel="2" x14ac:dyDescent="0.35">
      <c r="C86" s="600">
        <f t="shared" si="1"/>
        <v>72</v>
      </c>
      <c r="D86" s="601" t="s">
        <v>959</v>
      </c>
      <c r="E86" s="342">
        <v>1037.69</v>
      </c>
      <c r="F86" s="733">
        <v>183</v>
      </c>
      <c r="G86" s="733">
        <v>72</v>
      </c>
      <c r="H86" s="733">
        <v>69</v>
      </c>
      <c r="I86" s="733">
        <v>21</v>
      </c>
      <c r="J86" s="733">
        <v>106</v>
      </c>
      <c r="K86" s="733">
        <v>642</v>
      </c>
      <c r="L86" s="706"/>
      <c r="M86" s="706"/>
      <c r="N86" s="706"/>
      <c r="O86" s="706"/>
      <c r="P86" s="706"/>
      <c r="Q86" s="706"/>
      <c r="R86" s="706"/>
      <c r="S86" s="706"/>
      <c r="T86" s="706"/>
      <c r="U86" s="706">
        <v>0</v>
      </c>
      <c r="V86" s="706"/>
      <c r="W86" s="706"/>
      <c r="X86" s="706"/>
      <c r="Y86" s="706"/>
    </row>
    <row r="87" spans="1:25" ht="14.5" hidden="1" outlineLevel="2" x14ac:dyDescent="0.35">
      <c r="C87" s="600">
        <f t="shared" si="1"/>
        <v>73</v>
      </c>
      <c r="D87" s="601" t="s">
        <v>960</v>
      </c>
      <c r="E87" s="342">
        <v>322.41000000000003</v>
      </c>
      <c r="F87" s="733">
        <v>0</v>
      </c>
      <c r="G87" s="733">
        <v>0</v>
      </c>
      <c r="H87" s="733">
        <v>0</v>
      </c>
      <c r="I87" s="733">
        <v>0</v>
      </c>
      <c r="J87" s="733">
        <v>0</v>
      </c>
      <c r="K87" s="733">
        <v>254</v>
      </c>
      <c r="L87" s="706"/>
      <c r="M87" s="706"/>
      <c r="N87" s="706"/>
      <c r="O87" s="706"/>
      <c r="P87" s="706"/>
      <c r="Q87" s="706"/>
      <c r="R87" s="706"/>
      <c r="S87" s="706"/>
      <c r="T87" s="706"/>
      <c r="U87" s="706">
        <v>0</v>
      </c>
      <c r="V87" s="706"/>
      <c r="W87" s="706"/>
      <c r="X87" s="706"/>
      <c r="Y87" s="706"/>
    </row>
    <row r="88" spans="1:25" ht="14.5" hidden="1" outlineLevel="2" x14ac:dyDescent="0.35">
      <c r="C88" s="600">
        <f t="shared" si="1"/>
        <v>74</v>
      </c>
      <c r="D88" s="601" t="s">
        <v>961</v>
      </c>
      <c r="E88" s="342">
        <v>365.52</v>
      </c>
      <c r="F88" s="733">
        <v>0</v>
      </c>
      <c r="G88" s="733">
        <v>0</v>
      </c>
      <c r="H88" s="733">
        <v>0</v>
      </c>
      <c r="I88" s="733">
        <v>0</v>
      </c>
      <c r="J88" s="733">
        <v>0</v>
      </c>
      <c r="K88" s="733">
        <v>458</v>
      </c>
      <c r="L88" s="706"/>
      <c r="M88" s="706"/>
      <c r="N88" s="706"/>
      <c r="O88" s="706"/>
      <c r="P88" s="706"/>
      <c r="Q88" s="706"/>
      <c r="R88" s="706"/>
      <c r="S88" s="706"/>
      <c r="T88" s="706"/>
      <c r="U88" s="706">
        <v>0</v>
      </c>
      <c r="V88" s="706"/>
      <c r="W88" s="706"/>
      <c r="X88" s="706"/>
      <c r="Y88" s="706"/>
    </row>
    <row r="89" spans="1:25" ht="14.5" hidden="1" outlineLevel="2" x14ac:dyDescent="0.35">
      <c r="C89" s="600">
        <f t="shared" si="1"/>
        <v>75</v>
      </c>
      <c r="D89" s="601" t="s">
        <v>962</v>
      </c>
      <c r="E89" s="342">
        <v>585.34</v>
      </c>
      <c r="F89" s="733">
        <v>0</v>
      </c>
      <c r="G89" s="733">
        <v>0</v>
      </c>
      <c r="H89" s="733">
        <v>0</v>
      </c>
      <c r="I89" s="733">
        <v>0</v>
      </c>
      <c r="J89" s="733">
        <v>0</v>
      </c>
      <c r="K89" s="733">
        <v>416</v>
      </c>
      <c r="L89" s="706"/>
      <c r="M89" s="706"/>
      <c r="N89" s="706"/>
      <c r="O89" s="706"/>
      <c r="P89" s="706"/>
      <c r="Q89" s="706"/>
      <c r="R89" s="706"/>
      <c r="S89" s="706"/>
      <c r="T89" s="706"/>
      <c r="U89" s="706">
        <v>0</v>
      </c>
      <c r="V89" s="706"/>
      <c r="W89" s="706"/>
      <c r="X89" s="706"/>
      <c r="Y89" s="706"/>
    </row>
    <row r="90" spans="1:25" ht="14.5" hidden="1" outlineLevel="2" x14ac:dyDescent="0.35">
      <c r="C90" s="600">
        <f t="shared" si="1"/>
        <v>76</v>
      </c>
      <c r="D90" s="601" t="s">
        <v>963</v>
      </c>
      <c r="E90" s="342">
        <v>973.28</v>
      </c>
      <c r="F90" s="733">
        <v>0</v>
      </c>
      <c r="G90" s="733">
        <v>0</v>
      </c>
      <c r="H90" s="733">
        <v>0</v>
      </c>
      <c r="I90" s="733">
        <v>0</v>
      </c>
      <c r="J90" s="733">
        <v>0</v>
      </c>
      <c r="K90" s="733">
        <v>903</v>
      </c>
      <c r="L90" s="706"/>
      <c r="M90" s="706"/>
      <c r="N90" s="706"/>
      <c r="O90" s="706"/>
      <c r="P90" s="706"/>
      <c r="Q90" s="706"/>
      <c r="R90" s="706"/>
      <c r="S90" s="706"/>
      <c r="T90" s="706"/>
      <c r="U90" s="706">
        <v>0</v>
      </c>
      <c r="V90" s="706"/>
      <c r="W90" s="706"/>
      <c r="X90" s="706"/>
      <c r="Y90" s="706"/>
    </row>
    <row r="91" spans="1:25" hidden="1" outlineLevel="1" x14ac:dyDescent="0.25"/>
    <row r="92" spans="1:25" hidden="1" outlineLevel="1" x14ac:dyDescent="0.25"/>
    <row r="93" spans="1:25" hidden="1" outlineLevel="1" x14ac:dyDescent="0.25">
      <c r="D93" s="585" t="s">
        <v>1262</v>
      </c>
    </row>
    <row r="94" spans="1:25" hidden="1" outlineLevel="1" x14ac:dyDescent="0.25">
      <c r="D94" s="602" t="s">
        <v>1263</v>
      </c>
    </row>
    <row r="95" spans="1:25" hidden="1" outlineLevel="1" x14ac:dyDescent="0.25">
      <c r="D95" s="603" t="s">
        <v>1264</v>
      </c>
    </row>
    <row r="96" spans="1:25" hidden="1" outlineLevel="1" x14ac:dyDescent="0.25">
      <c r="A96" s="585"/>
      <c r="B96" s="585"/>
    </row>
    <row r="97" spans="1:8" s="583" customFormat="1" ht="15.5" collapsed="1" x14ac:dyDescent="0.25">
      <c r="A97" s="582">
        <v>7</v>
      </c>
      <c r="B97" s="582"/>
      <c r="C97" s="582" t="s">
        <v>401</v>
      </c>
      <c r="D97" s="582"/>
    </row>
    <row r="98" spans="1:8" x14ac:dyDescent="0.25">
      <c r="D98" s="585"/>
    </row>
    <row r="99" spans="1:8" x14ac:dyDescent="0.25">
      <c r="D99" s="585"/>
    </row>
    <row r="100" spans="1:8" ht="15.5" x14ac:dyDescent="0.25">
      <c r="C100" s="585"/>
      <c r="D100" s="586" t="s">
        <v>401</v>
      </c>
    </row>
    <row r="101" spans="1:8" x14ac:dyDescent="0.25">
      <c r="C101" s="585"/>
      <c r="D101" s="209" t="s">
        <v>1265</v>
      </c>
    </row>
    <row r="102" spans="1:8" x14ac:dyDescent="0.25">
      <c r="C102" s="585"/>
      <c r="D102" s="587" t="s">
        <v>1266</v>
      </c>
    </row>
    <row r="103" spans="1:8" ht="12.5" x14ac:dyDescent="0.25">
      <c r="C103" s="585"/>
      <c r="D103" s="604" t="s">
        <v>1146</v>
      </c>
      <c r="E103" s="605"/>
      <c r="F103" s="605"/>
      <c r="G103" s="605"/>
      <c r="H103" s="606"/>
    </row>
    <row r="104" spans="1:8" ht="12.5" x14ac:dyDescent="0.25">
      <c r="C104" s="585"/>
      <c r="D104" s="604" t="s">
        <v>1147</v>
      </c>
      <c r="E104" s="605"/>
      <c r="F104" s="605"/>
      <c r="G104" s="605"/>
      <c r="H104" s="606"/>
    </row>
    <row r="105" spans="1:8" ht="12.5" x14ac:dyDescent="0.25">
      <c r="C105" s="585"/>
      <c r="D105" s="604" t="s">
        <v>1148</v>
      </c>
      <c r="E105" s="605"/>
      <c r="F105" s="605"/>
      <c r="G105" s="605"/>
      <c r="H105" s="606"/>
    </row>
    <row r="106" spans="1:8" x14ac:dyDescent="0.25">
      <c r="C106" s="585"/>
      <c r="D106" s="587" t="s">
        <v>403</v>
      </c>
    </row>
    <row r="107" spans="1:8" x14ac:dyDescent="0.25">
      <c r="C107" s="585"/>
      <c r="D107" s="587" t="s">
        <v>1267</v>
      </c>
    </row>
    <row r="108" spans="1:8" x14ac:dyDescent="0.25">
      <c r="C108" s="585"/>
      <c r="D108" s="587"/>
    </row>
    <row r="109" spans="1:8" x14ac:dyDescent="0.25">
      <c r="C109" s="585"/>
      <c r="D109" s="588" t="s">
        <v>331</v>
      </c>
    </row>
    <row r="110" spans="1:8" x14ac:dyDescent="0.25">
      <c r="C110" s="585"/>
      <c r="D110" s="590">
        <v>2021</v>
      </c>
      <c r="E110" s="588" t="s">
        <v>1268</v>
      </c>
    </row>
    <row r="111" spans="1:8" x14ac:dyDescent="0.25">
      <c r="C111" s="585"/>
      <c r="D111" s="587"/>
    </row>
    <row r="112" spans="1:8" ht="15.5" x14ac:dyDescent="0.25">
      <c r="C112" s="585"/>
      <c r="D112" s="607" t="s">
        <v>1146</v>
      </c>
      <c r="E112" s="605"/>
      <c r="F112" s="605"/>
      <c r="G112" s="605"/>
      <c r="H112" s="606"/>
    </row>
    <row r="113" spans="1:22" x14ac:dyDescent="0.25">
      <c r="C113" s="585"/>
    </row>
    <row r="114" spans="1:22" ht="23" x14ac:dyDescent="0.25">
      <c r="C114" s="585"/>
      <c r="D114" s="593" t="s">
        <v>405</v>
      </c>
      <c r="F114" s="608" t="s">
        <v>409</v>
      </c>
      <c r="G114" s="784" t="s">
        <v>1269</v>
      </c>
      <c r="H114" s="785"/>
      <c r="I114" s="785"/>
      <c r="J114" s="786"/>
      <c r="K114" s="784" t="s">
        <v>407</v>
      </c>
      <c r="L114" s="786"/>
      <c r="M114" s="609" t="s">
        <v>1270</v>
      </c>
      <c r="N114" s="784" t="s">
        <v>1271</v>
      </c>
      <c r="O114" s="785"/>
      <c r="P114" s="785"/>
      <c r="Q114" s="785"/>
      <c r="R114" s="785"/>
      <c r="S114" s="785"/>
      <c r="T114" s="786"/>
      <c r="U114" s="608" t="s">
        <v>408</v>
      </c>
      <c r="V114" s="608"/>
    </row>
    <row r="115" spans="1:22" ht="57.5" x14ac:dyDescent="0.25">
      <c r="C115" s="585"/>
      <c r="D115" s="597" t="s">
        <v>252</v>
      </c>
      <c r="E115" s="598" t="s">
        <v>334</v>
      </c>
      <c r="F115" s="598" t="s">
        <v>409</v>
      </c>
      <c r="G115" s="598" t="s">
        <v>410</v>
      </c>
      <c r="H115" s="598" t="s">
        <v>411</v>
      </c>
      <c r="I115" s="598" t="s">
        <v>412</v>
      </c>
      <c r="J115" s="599" t="s">
        <v>1272</v>
      </c>
      <c r="K115" s="599" t="s">
        <v>407</v>
      </c>
      <c r="L115" s="599" t="s">
        <v>1273</v>
      </c>
      <c r="M115" s="598" t="s">
        <v>416</v>
      </c>
      <c r="N115" s="598" t="s">
        <v>419</v>
      </c>
      <c r="O115" s="598" t="s">
        <v>908</v>
      </c>
      <c r="P115" s="598" t="s">
        <v>1274</v>
      </c>
      <c r="Q115" s="598" t="s">
        <v>1275</v>
      </c>
      <c r="R115" s="598" t="s">
        <v>978</v>
      </c>
      <c r="S115" s="598" t="s">
        <v>1276</v>
      </c>
      <c r="T115" s="598" t="s">
        <v>1277</v>
      </c>
      <c r="U115" s="598" t="s">
        <v>1278</v>
      </c>
      <c r="V115" s="598" t="s">
        <v>1279</v>
      </c>
    </row>
    <row r="116" spans="1:22" ht="14.5" x14ac:dyDescent="0.35">
      <c r="A116" s="209">
        <v>0</v>
      </c>
      <c r="B116" s="209">
        <v>2</v>
      </c>
      <c r="C116" s="600">
        <v>1</v>
      </c>
      <c r="D116" s="610" t="s">
        <v>415</v>
      </c>
      <c r="E116" s="611">
        <v>300.86</v>
      </c>
      <c r="F116" s="733">
        <v>0</v>
      </c>
      <c r="G116" s="733">
        <v>0</v>
      </c>
      <c r="H116" s="733">
        <v>0</v>
      </c>
      <c r="I116" s="733">
        <v>0</v>
      </c>
      <c r="J116" s="733">
        <v>0</v>
      </c>
      <c r="K116" s="733">
        <v>326</v>
      </c>
      <c r="L116" s="706">
        <v>0</v>
      </c>
      <c r="M116" s="706">
        <v>0</v>
      </c>
      <c r="N116" s="706">
        <v>0</v>
      </c>
      <c r="O116" s="706">
        <v>0</v>
      </c>
      <c r="P116" s="613"/>
      <c r="Q116" s="613"/>
      <c r="R116" s="613"/>
      <c r="S116" s="613"/>
      <c r="T116" s="613"/>
      <c r="U116" s="613"/>
      <c r="V116" s="613"/>
    </row>
    <row r="117" spans="1:22" ht="14.5" x14ac:dyDescent="0.35">
      <c r="A117" s="209">
        <f>A116</f>
        <v>0</v>
      </c>
      <c r="B117" s="209">
        <f>B116</f>
        <v>2</v>
      </c>
      <c r="C117" s="600">
        <f>1+C116</f>
        <v>2</v>
      </c>
      <c r="D117" s="610" t="s">
        <v>815</v>
      </c>
      <c r="E117" s="611">
        <v>775</v>
      </c>
      <c r="F117" s="733">
        <v>0</v>
      </c>
      <c r="G117" s="733">
        <v>0</v>
      </c>
      <c r="H117" s="733">
        <v>0</v>
      </c>
      <c r="I117" s="733">
        <v>0</v>
      </c>
      <c r="J117" s="733">
        <v>0</v>
      </c>
      <c r="K117" s="733">
        <v>626</v>
      </c>
      <c r="L117" s="706">
        <v>0</v>
      </c>
      <c r="M117" s="706">
        <v>0</v>
      </c>
      <c r="N117" s="706">
        <v>0</v>
      </c>
      <c r="O117" s="706">
        <v>0</v>
      </c>
      <c r="P117" s="613"/>
      <c r="Q117" s="613"/>
      <c r="R117" s="613"/>
      <c r="S117" s="613"/>
      <c r="T117" s="613"/>
      <c r="U117" s="613"/>
      <c r="V117" s="613"/>
    </row>
    <row r="118" spans="1:22" ht="14.5" x14ac:dyDescent="0.35">
      <c r="A118" s="209">
        <f t="shared" ref="A118:B133" si="2">A117</f>
        <v>0</v>
      </c>
      <c r="B118" s="209">
        <f t="shared" si="2"/>
        <v>2</v>
      </c>
      <c r="C118" s="600">
        <f t="shared" ref="C118:C181" si="3">1+C117</f>
        <v>3</v>
      </c>
      <c r="D118" s="610" t="s">
        <v>823</v>
      </c>
      <c r="E118" s="611">
        <v>343.97</v>
      </c>
      <c r="F118" s="733">
        <v>0</v>
      </c>
      <c r="G118" s="733">
        <v>0</v>
      </c>
      <c r="H118" s="733">
        <v>0</v>
      </c>
      <c r="I118" s="733">
        <v>0</v>
      </c>
      <c r="J118" s="733">
        <v>0</v>
      </c>
      <c r="K118" s="733">
        <v>241</v>
      </c>
      <c r="L118" s="706">
        <v>0</v>
      </c>
      <c r="M118" s="706">
        <v>0</v>
      </c>
      <c r="N118" s="706">
        <v>0</v>
      </c>
      <c r="O118" s="706">
        <v>0</v>
      </c>
      <c r="P118" s="613"/>
      <c r="Q118" s="613"/>
      <c r="R118" s="613"/>
      <c r="S118" s="613"/>
      <c r="T118" s="613"/>
      <c r="U118" s="613"/>
      <c r="V118" s="613"/>
    </row>
    <row r="119" spans="1:22" ht="14.5" x14ac:dyDescent="0.35">
      <c r="A119" s="209">
        <f t="shared" si="2"/>
        <v>0</v>
      </c>
      <c r="B119" s="209">
        <f t="shared" si="2"/>
        <v>2</v>
      </c>
      <c r="C119" s="600">
        <f t="shared" si="3"/>
        <v>4</v>
      </c>
      <c r="D119" s="610" t="s">
        <v>848</v>
      </c>
      <c r="E119" s="611">
        <v>473.28</v>
      </c>
      <c r="F119" s="733">
        <v>0</v>
      </c>
      <c r="G119" s="733">
        <v>0</v>
      </c>
      <c r="H119" s="733">
        <v>0</v>
      </c>
      <c r="I119" s="733">
        <v>0</v>
      </c>
      <c r="J119" s="733">
        <v>0</v>
      </c>
      <c r="K119" s="733">
        <v>596</v>
      </c>
      <c r="L119" s="706">
        <v>0</v>
      </c>
      <c r="M119" s="706">
        <v>0</v>
      </c>
      <c r="N119" s="706">
        <v>0</v>
      </c>
      <c r="O119" s="706">
        <v>0</v>
      </c>
      <c r="P119" s="613"/>
      <c r="Q119" s="613"/>
      <c r="R119" s="613"/>
      <c r="S119" s="613"/>
      <c r="T119" s="613"/>
      <c r="U119" s="613"/>
      <c r="V119" s="613"/>
    </row>
    <row r="120" spans="1:22" ht="14.5" x14ac:dyDescent="0.35">
      <c r="A120" s="209">
        <f t="shared" si="2"/>
        <v>0</v>
      </c>
      <c r="B120" s="209">
        <f t="shared" si="2"/>
        <v>2</v>
      </c>
      <c r="C120" s="600">
        <f t="shared" si="3"/>
        <v>5</v>
      </c>
      <c r="D120" s="610" t="s">
        <v>948</v>
      </c>
      <c r="E120" s="611">
        <v>240.52</v>
      </c>
      <c r="F120" s="733">
        <v>0</v>
      </c>
      <c r="G120" s="733">
        <v>0</v>
      </c>
      <c r="H120" s="733">
        <v>0</v>
      </c>
      <c r="I120" s="733">
        <v>0</v>
      </c>
      <c r="J120" s="733">
        <v>0</v>
      </c>
      <c r="K120" s="733">
        <v>193</v>
      </c>
      <c r="L120" s="706">
        <v>0</v>
      </c>
      <c r="M120" s="706">
        <v>0</v>
      </c>
      <c r="N120" s="706">
        <v>0</v>
      </c>
      <c r="O120" s="706">
        <v>0</v>
      </c>
      <c r="P120" s="613"/>
      <c r="Q120" s="613"/>
      <c r="R120" s="613"/>
      <c r="S120" s="613"/>
      <c r="T120" s="613"/>
      <c r="U120" s="613"/>
      <c r="V120" s="613"/>
    </row>
    <row r="121" spans="1:22" ht="14.5" x14ac:dyDescent="0.35">
      <c r="A121" s="209">
        <f t="shared" si="2"/>
        <v>0</v>
      </c>
      <c r="B121" s="209">
        <f t="shared" si="2"/>
        <v>2</v>
      </c>
      <c r="C121" s="600">
        <f t="shared" si="3"/>
        <v>6</v>
      </c>
      <c r="D121" s="610" t="s">
        <v>949</v>
      </c>
      <c r="E121" s="611">
        <v>257.76</v>
      </c>
      <c r="F121" s="733">
        <v>0</v>
      </c>
      <c r="G121" s="733">
        <v>0</v>
      </c>
      <c r="H121" s="733">
        <v>0</v>
      </c>
      <c r="I121" s="733">
        <v>0</v>
      </c>
      <c r="J121" s="733">
        <v>0</v>
      </c>
      <c r="K121" s="733">
        <v>258</v>
      </c>
      <c r="L121" s="706">
        <v>0</v>
      </c>
      <c r="M121" s="706">
        <v>0</v>
      </c>
      <c r="N121" s="706">
        <v>0</v>
      </c>
      <c r="O121" s="706">
        <v>0</v>
      </c>
      <c r="P121" s="613"/>
      <c r="Q121" s="613"/>
      <c r="R121" s="613"/>
      <c r="S121" s="613"/>
      <c r="T121" s="613"/>
      <c r="U121" s="613"/>
      <c r="V121" s="613"/>
    </row>
    <row r="122" spans="1:22" ht="14.5" x14ac:dyDescent="0.35">
      <c r="A122" s="209">
        <f t="shared" si="2"/>
        <v>0</v>
      </c>
      <c r="B122" s="209">
        <f t="shared" si="2"/>
        <v>2</v>
      </c>
      <c r="C122" s="600">
        <f t="shared" si="3"/>
        <v>7</v>
      </c>
      <c r="D122" s="610" t="s">
        <v>949</v>
      </c>
      <c r="E122" s="611">
        <v>257.76</v>
      </c>
      <c r="F122" s="733">
        <v>0</v>
      </c>
      <c r="G122" s="733">
        <v>0</v>
      </c>
      <c r="H122" s="733">
        <v>0</v>
      </c>
      <c r="I122" s="733">
        <v>0</v>
      </c>
      <c r="J122" s="733">
        <v>0</v>
      </c>
      <c r="K122" s="733">
        <v>299</v>
      </c>
      <c r="L122" s="706">
        <v>0</v>
      </c>
      <c r="M122" s="706">
        <v>0</v>
      </c>
      <c r="N122" s="706">
        <v>0</v>
      </c>
      <c r="O122" s="706">
        <v>0</v>
      </c>
      <c r="P122" s="613"/>
      <c r="Q122" s="613"/>
      <c r="R122" s="613"/>
      <c r="S122" s="613"/>
      <c r="T122" s="613"/>
      <c r="U122" s="613"/>
      <c r="V122" s="613"/>
    </row>
    <row r="123" spans="1:22" ht="14.5" x14ac:dyDescent="0.35">
      <c r="A123" s="209">
        <f t="shared" si="2"/>
        <v>0</v>
      </c>
      <c r="B123" s="209">
        <f t="shared" si="2"/>
        <v>2</v>
      </c>
      <c r="C123" s="600">
        <f t="shared" si="3"/>
        <v>8</v>
      </c>
      <c r="D123" s="610" t="s">
        <v>200</v>
      </c>
      <c r="E123" s="611">
        <v>300.86</v>
      </c>
      <c r="F123" s="733">
        <v>0</v>
      </c>
      <c r="G123" s="733">
        <v>0</v>
      </c>
      <c r="H123" s="733">
        <v>0</v>
      </c>
      <c r="I123" s="733">
        <v>0</v>
      </c>
      <c r="J123" s="733">
        <v>0</v>
      </c>
      <c r="K123" s="733">
        <v>302</v>
      </c>
      <c r="L123" s="706">
        <v>0</v>
      </c>
      <c r="M123" s="706">
        <v>0</v>
      </c>
      <c r="N123" s="706">
        <v>0</v>
      </c>
      <c r="O123" s="706">
        <v>0</v>
      </c>
      <c r="P123" s="613"/>
      <c r="Q123" s="613"/>
      <c r="R123" s="613"/>
      <c r="S123" s="613"/>
      <c r="T123" s="613"/>
      <c r="U123" s="613"/>
      <c r="V123" s="613"/>
    </row>
    <row r="124" spans="1:22" ht="14.5" x14ac:dyDescent="0.35">
      <c r="A124" s="209">
        <f t="shared" si="2"/>
        <v>0</v>
      </c>
      <c r="B124" s="209">
        <f t="shared" si="2"/>
        <v>2</v>
      </c>
      <c r="C124" s="600">
        <f t="shared" si="3"/>
        <v>9</v>
      </c>
      <c r="D124" s="610" t="s">
        <v>849</v>
      </c>
      <c r="E124" s="611">
        <v>343.97</v>
      </c>
      <c r="F124" s="733">
        <v>0</v>
      </c>
      <c r="G124" s="733">
        <v>0</v>
      </c>
      <c r="H124" s="733">
        <v>0</v>
      </c>
      <c r="I124" s="733">
        <v>0</v>
      </c>
      <c r="J124" s="733">
        <v>0</v>
      </c>
      <c r="K124" s="733">
        <v>431</v>
      </c>
      <c r="L124" s="706">
        <v>0</v>
      </c>
      <c r="M124" s="706">
        <v>0</v>
      </c>
      <c r="N124" s="706">
        <v>0</v>
      </c>
      <c r="O124" s="706">
        <v>0</v>
      </c>
      <c r="P124" s="613"/>
      <c r="Q124" s="613"/>
      <c r="R124" s="613"/>
      <c r="S124" s="613"/>
      <c r="T124" s="613"/>
      <c r="U124" s="613"/>
      <c r="V124" s="613"/>
    </row>
    <row r="125" spans="1:22" ht="14.5" hidden="1" outlineLevel="1" x14ac:dyDescent="0.35">
      <c r="A125" s="209">
        <f t="shared" si="2"/>
        <v>0</v>
      </c>
      <c r="B125" s="209">
        <f t="shared" si="2"/>
        <v>2</v>
      </c>
      <c r="C125" s="600">
        <f t="shared" si="3"/>
        <v>10</v>
      </c>
      <c r="D125" s="610" t="s">
        <v>850</v>
      </c>
      <c r="E125" s="611">
        <v>473.28</v>
      </c>
      <c r="F125" s="733">
        <v>0</v>
      </c>
      <c r="G125" s="733">
        <v>0</v>
      </c>
      <c r="H125" s="733">
        <v>0</v>
      </c>
      <c r="I125" s="733">
        <v>0</v>
      </c>
      <c r="J125" s="733">
        <v>0</v>
      </c>
      <c r="K125" s="733">
        <v>604</v>
      </c>
      <c r="L125" s="706">
        <v>0</v>
      </c>
      <c r="M125" s="706">
        <v>0</v>
      </c>
      <c r="N125" s="706">
        <v>0</v>
      </c>
      <c r="O125" s="706">
        <v>0</v>
      </c>
      <c r="P125" s="613"/>
      <c r="Q125" s="613"/>
      <c r="R125" s="613"/>
      <c r="S125" s="613"/>
      <c r="T125" s="613"/>
      <c r="U125" s="613"/>
      <c r="V125" s="613"/>
    </row>
    <row r="126" spans="1:22" ht="14.5" hidden="1" outlineLevel="1" x14ac:dyDescent="0.35">
      <c r="A126" s="209">
        <f t="shared" si="2"/>
        <v>0</v>
      </c>
      <c r="B126" s="209">
        <f t="shared" si="2"/>
        <v>2</v>
      </c>
      <c r="C126" s="600">
        <f t="shared" si="3"/>
        <v>11</v>
      </c>
      <c r="D126" s="610" t="s">
        <v>851</v>
      </c>
      <c r="E126" s="611">
        <v>775</v>
      </c>
      <c r="F126" s="733">
        <v>0</v>
      </c>
      <c r="G126" s="733">
        <v>0</v>
      </c>
      <c r="H126" s="733">
        <v>0</v>
      </c>
      <c r="I126" s="733">
        <v>0</v>
      </c>
      <c r="J126" s="733">
        <v>0</v>
      </c>
      <c r="K126" s="733">
        <v>853</v>
      </c>
      <c r="L126" s="706">
        <v>0</v>
      </c>
      <c r="M126" s="706">
        <v>0</v>
      </c>
      <c r="N126" s="706">
        <v>0</v>
      </c>
      <c r="O126" s="706">
        <v>0</v>
      </c>
      <c r="P126" s="613"/>
      <c r="Q126" s="613"/>
      <c r="R126" s="613"/>
      <c r="S126" s="613"/>
      <c r="T126" s="613"/>
      <c r="U126" s="613"/>
      <c r="V126" s="613"/>
    </row>
    <row r="127" spans="1:22" ht="14.5" hidden="1" outlineLevel="1" x14ac:dyDescent="0.35">
      <c r="A127" s="209">
        <v>1</v>
      </c>
      <c r="B127" s="209">
        <v>1</v>
      </c>
      <c r="C127" s="600">
        <f t="shared" si="3"/>
        <v>12</v>
      </c>
      <c r="D127" s="610" t="s">
        <v>852</v>
      </c>
      <c r="E127" s="611">
        <v>210.24</v>
      </c>
      <c r="F127" s="733">
        <v>171</v>
      </c>
      <c r="G127" s="733">
        <v>0</v>
      </c>
      <c r="H127" s="733">
        <v>0</v>
      </c>
      <c r="I127" s="733">
        <v>0</v>
      </c>
      <c r="J127" s="733">
        <v>0</v>
      </c>
      <c r="K127" s="733">
        <v>47</v>
      </c>
      <c r="L127" s="706">
        <v>0</v>
      </c>
      <c r="M127" s="706">
        <v>0</v>
      </c>
      <c r="N127" s="706">
        <v>0</v>
      </c>
      <c r="O127" s="706">
        <v>0</v>
      </c>
      <c r="P127" s="613"/>
      <c r="Q127" s="613"/>
      <c r="R127" s="613"/>
      <c r="S127" s="613"/>
      <c r="T127" s="613"/>
      <c r="U127" s="613"/>
      <c r="V127" s="613"/>
    </row>
    <row r="128" spans="1:22" ht="14.5" hidden="1" outlineLevel="1" x14ac:dyDescent="0.35">
      <c r="A128" s="209">
        <f t="shared" si="2"/>
        <v>1</v>
      </c>
      <c r="B128" s="209">
        <f t="shared" si="2"/>
        <v>1</v>
      </c>
      <c r="C128" s="600">
        <f t="shared" si="3"/>
        <v>13</v>
      </c>
      <c r="D128" s="610" t="s">
        <v>204</v>
      </c>
      <c r="E128" s="611">
        <v>244.01</v>
      </c>
      <c r="F128" s="733">
        <v>145</v>
      </c>
      <c r="G128" s="733">
        <v>0</v>
      </c>
      <c r="H128" s="733">
        <v>0</v>
      </c>
      <c r="I128" s="733">
        <v>0</v>
      </c>
      <c r="J128" s="733">
        <v>0</v>
      </c>
      <c r="K128" s="733">
        <v>100</v>
      </c>
      <c r="L128" s="706">
        <v>0</v>
      </c>
      <c r="M128" s="706">
        <v>0</v>
      </c>
      <c r="N128" s="706">
        <v>0</v>
      </c>
      <c r="O128" s="706">
        <v>0</v>
      </c>
      <c r="P128" s="613"/>
      <c r="Q128" s="613"/>
      <c r="R128" s="613"/>
      <c r="S128" s="613"/>
      <c r="T128" s="613"/>
      <c r="U128" s="613"/>
      <c r="V128" s="613"/>
    </row>
    <row r="129" spans="1:22" ht="14.5" hidden="1" outlineLevel="1" x14ac:dyDescent="0.35">
      <c r="A129" s="209">
        <f t="shared" si="2"/>
        <v>1</v>
      </c>
      <c r="B129" s="209">
        <f t="shared" si="2"/>
        <v>1</v>
      </c>
      <c r="C129" s="600">
        <f t="shared" si="3"/>
        <v>14</v>
      </c>
      <c r="D129" s="610" t="s">
        <v>797</v>
      </c>
      <c r="E129" s="611">
        <v>367.29</v>
      </c>
      <c r="F129" s="733">
        <v>135</v>
      </c>
      <c r="G129" s="733">
        <v>2</v>
      </c>
      <c r="H129" s="733">
        <v>2</v>
      </c>
      <c r="I129" s="733">
        <v>1</v>
      </c>
      <c r="J129" s="733">
        <v>35</v>
      </c>
      <c r="K129" s="733">
        <v>188</v>
      </c>
      <c r="L129" s="706">
        <v>0</v>
      </c>
      <c r="M129" s="706">
        <v>0</v>
      </c>
      <c r="N129" s="706">
        <v>0</v>
      </c>
      <c r="O129" s="706">
        <v>0</v>
      </c>
      <c r="P129" s="613"/>
      <c r="Q129" s="613"/>
      <c r="R129" s="613"/>
      <c r="S129" s="613"/>
      <c r="T129" s="613"/>
      <c r="U129" s="613"/>
      <c r="V129" s="613"/>
    </row>
    <row r="130" spans="1:22" ht="14.5" hidden="1" outlineLevel="1" x14ac:dyDescent="0.35">
      <c r="A130" s="209">
        <f t="shared" si="2"/>
        <v>1</v>
      </c>
      <c r="B130" s="209">
        <f t="shared" si="2"/>
        <v>1</v>
      </c>
      <c r="C130" s="600">
        <f t="shared" si="3"/>
        <v>15</v>
      </c>
      <c r="D130" s="610" t="s">
        <v>798</v>
      </c>
      <c r="E130" s="611">
        <v>421.32</v>
      </c>
      <c r="F130" s="733">
        <v>183</v>
      </c>
      <c r="G130" s="733">
        <v>2</v>
      </c>
      <c r="H130" s="733">
        <v>2</v>
      </c>
      <c r="I130" s="733">
        <v>1</v>
      </c>
      <c r="J130" s="733">
        <v>29</v>
      </c>
      <c r="K130" s="733">
        <v>244</v>
      </c>
      <c r="L130" s="706">
        <v>0</v>
      </c>
      <c r="M130" s="706">
        <v>0</v>
      </c>
      <c r="N130" s="706">
        <v>0</v>
      </c>
      <c r="O130" s="706">
        <v>0</v>
      </c>
      <c r="P130" s="613"/>
      <c r="Q130" s="613"/>
      <c r="R130" s="613"/>
      <c r="S130" s="613"/>
      <c r="T130" s="613"/>
      <c r="U130" s="613"/>
      <c r="V130" s="613"/>
    </row>
    <row r="131" spans="1:22" ht="14.5" hidden="1" outlineLevel="1" x14ac:dyDescent="0.35">
      <c r="A131" s="209">
        <f t="shared" si="2"/>
        <v>1</v>
      </c>
      <c r="B131" s="209">
        <f t="shared" si="2"/>
        <v>1</v>
      </c>
      <c r="C131" s="600">
        <f t="shared" si="3"/>
        <v>16</v>
      </c>
      <c r="D131" s="610" t="s">
        <v>205</v>
      </c>
      <c r="E131" s="611">
        <v>505.76</v>
      </c>
      <c r="F131" s="733">
        <v>157</v>
      </c>
      <c r="G131" s="733">
        <v>16</v>
      </c>
      <c r="H131" s="733">
        <v>9</v>
      </c>
      <c r="I131" s="733">
        <v>4</v>
      </c>
      <c r="J131" s="733">
        <v>49</v>
      </c>
      <c r="K131" s="733">
        <v>280</v>
      </c>
      <c r="L131" s="706">
        <v>0</v>
      </c>
      <c r="M131" s="706">
        <v>0</v>
      </c>
      <c r="N131" s="706">
        <v>0</v>
      </c>
      <c r="O131" s="706">
        <v>0</v>
      </c>
      <c r="P131" s="613"/>
      <c r="Q131" s="613"/>
      <c r="R131" s="613"/>
      <c r="S131" s="613"/>
      <c r="T131" s="613"/>
      <c r="U131" s="613"/>
      <c r="V131" s="613"/>
    </row>
    <row r="132" spans="1:22" ht="14.5" hidden="1" outlineLevel="1" x14ac:dyDescent="0.35">
      <c r="A132" s="209">
        <f t="shared" si="2"/>
        <v>1</v>
      </c>
      <c r="B132" s="209">
        <f t="shared" si="2"/>
        <v>1</v>
      </c>
      <c r="C132" s="600">
        <f t="shared" si="3"/>
        <v>17</v>
      </c>
      <c r="D132" s="610" t="s">
        <v>708</v>
      </c>
      <c r="E132" s="611">
        <v>328.44</v>
      </c>
      <c r="F132" s="733">
        <v>198</v>
      </c>
      <c r="G132" s="733">
        <v>2</v>
      </c>
      <c r="H132" s="733">
        <v>2</v>
      </c>
      <c r="I132" s="733">
        <v>1</v>
      </c>
      <c r="J132" s="733">
        <v>28</v>
      </c>
      <c r="K132" s="733">
        <v>112</v>
      </c>
      <c r="L132" s="706">
        <v>0</v>
      </c>
      <c r="M132" s="706">
        <v>0</v>
      </c>
      <c r="N132" s="706">
        <v>0</v>
      </c>
      <c r="O132" s="706">
        <v>0</v>
      </c>
      <c r="P132" s="613"/>
      <c r="Q132" s="613"/>
      <c r="R132" s="613"/>
      <c r="S132" s="613"/>
      <c r="T132" s="613"/>
      <c r="U132" s="613"/>
      <c r="V132" s="613"/>
    </row>
    <row r="133" spans="1:22" ht="14.5" hidden="1" outlineLevel="1" x14ac:dyDescent="0.35">
      <c r="A133" s="209">
        <f t="shared" si="2"/>
        <v>1</v>
      </c>
      <c r="B133" s="209">
        <f t="shared" si="2"/>
        <v>1</v>
      </c>
      <c r="C133" s="600">
        <f t="shared" si="3"/>
        <v>18</v>
      </c>
      <c r="D133" s="610" t="s">
        <v>206</v>
      </c>
      <c r="E133" s="611">
        <v>336.9</v>
      </c>
      <c r="F133" s="733">
        <v>154</v>
      </c>
      <c r="G133" s="733">
        <v>5</v>
      </c>
      <c r="H133" s="733">
        <v>1</v>
      </c>
      <c r="I133" s="733">
        <v>1</v>
      </c>
      <c r="J133" s="733">
        <v>6</v>
      </c>
      <c r="K133" s="733">
        <v>125</v>
      </c>
      <c r="L133" s="706">
        <v>0</v>
      </c>
      <c r="M133" s="706">
        <v>0</v>
      </c>
      <c r="N133" s="706">
        <v>0</v>
      </c>
      <c r="O133" s="706">
        <v>0</v>
      </c>
      <c r="P133" s="613"/>
      <c r="Q133" s="613"/>
      <c r="R133" s="613"/>
      <c r="S133" s="613"/>
      <c r="T133" s="613"/>
      <c r="U133" s="613"/>
      <c r="V133" s="613"/>
    </row>
    <row r="134" spans="1:22" ht="14.5" hidden="1" outlineLevel="1" x14ac:dyDescent="0.35">
      <c r="A134" s="209">
        <v>2</v>
      </c>
      <c r="B134" s="209">
        <f t="shared" ref="B134:B144" si="4">B133</f>
        <v>1</v>
      </c>
      <c r="C134" s="600">
        <f t="shared" si="3"/>
        <v>19</v>
      </c>
      <c r="D134" s="610" t="s">
        <v>799</v>
      </c>
      <c r="E134" s="611">
        <v>1270.3800000000001</v>
      </c>
      <c r="F134" s="733">
        <v>99</v>
      </c>
      <c r="G134" s="733">
        <v>36</v>
      </c>
      <c r="H134" s="733">
        <v>30</v>
      </c>
      <c r="I134" s="733">
        <v>9</v>
      </c>
      <c r="J134" s="733">
        <v>37</v>
      </c>
      <c r="K134" s="733">
        <v>827</v>
      </c>
      <c r="L134" s="706">
        <v>0</v>
      </c>
      <c r="M134" s="706">
        <v>0</v>
      </c>
      <c r="N134" s="706">
        <v>0</v>
      </c>
      <c r="O134" s="706">
        <v>223</v>
      </c>
      <c r="P134" s="613"/>
      <c r="Q134" s="613"/>
      <c r="R134" s="613"/>
      <c r="S134" s="613"/>
      <c r="T134" s="613"/>
      <c r="U134" s="613"/>
      <c r="V134" s="613"/>
    </row>
    <row r="135" spans="1:22" ht="14.5" hidden="1" outlineLevel="1" x14ac:dyDescent="0.35">
      <c r="A135" s="209">
        <v>1</v>
      </c>
      <c r="B135" s="209">
        <f t="shared" si="4"/>
        <v>1</v>
      </c>
      <c r="C135" s="600">
        <f t="shared" si="3"/>
        <v>20</v>
      </c>
      <c r="D135" s="610" t="s">
        <v>853</v>
      </c>
      <c r="E135" s="611">
        <v>281.16000000000003</v>
      </c>
      <c r="F135" s="733">
        <v>157</v>
      </c>
      <c r="G135" s="733">
        <v>0</v>
      </c>
      <c r="H135" s="733">
        <v>0</v>
      </c>
      <c r="I135" s="733">
        <v>0</v>
      </c>
      <c r="J135" s="733">
        <v>0</v>
      </c>
      <c r="K135" s="733">
        <v>125</v>
      </c>
      <c r="L135" s="706">
        <v>0</v>
      </c>
      <c r="M135" s="706">
        <v>0</v>
      </c>
      <c r="N135" s="706">
        <v>0</v>
      </c>
      <c r="O135" s="706">
        <v>0</v>
      </c>
      <c r="P135" s="613"/>
      <c r="Q135" s="613"/>
      <c r="R135" s="613"/>
      <c r="S135" s="613"/>
      <c r="T135" s="613"/>
      <c r="U135" s="613"/>
      <c r="V135" s="613"/>
    </row>
    <row r="136" spans="1:22" ht="14.5" hidden="1" outlineLevel="1" x14ac:dyDescent="0.35">
      <c r="A136" s="209">
        <v>1</v>
      </c>
      <c r="B136" s="209">
        <f t="shared" si="4"/>
        <v>1</v>
      </c>
      <c r="C136" s="600">
        <f t="shared" si="3"/>
        <v>21</v>
      </c>
      <c r="D136" s="610" t="s">
        <v>207</v>
      </c>
      <c r="E136" s="611">
        <v>463.55</v>
      </c>
      <c r="F136" s="733">
        <v>194</v>
      </c>
      <c r="G136" s="733">
        <v>99</v>
      </c>
      <c r="H136" s="733">
        <v>2</v>
      </c>
      <c r="I136" s="733">
        <v>1</v>
      </c>
      <c r="J136" s="733">
        <v>29</v>
      </c>
      <c r="K136" s="733">
        <v>157</v>
      </c>
      <c r="L136" s="706">
        <v>0</v>
      </c>
      <c r="M136" s="706">
        <v>0</v>
      </c>
      <c r="N136" s="706">
        <v>0</v>
      </c>
      <c r="O136" s="706">
        <v>0</v>
      </c>
      <c r="P136" s="613"/>
      <c r="Q136" s="613"/>
      <c r="R136" s="613"/>
      <c r="S136" s="613"/>
      <c r="T136" s="613"/>
      <c r="U136" s="613"/>
      <c r="V136" s="613"/>
    </row>
    <row r="137" spans="1:22" ht="14.5" hidden="1" outlineLevel="1" x14ac:dyDescent="0.35">
      <c r="A137" s="209">
        <v>1</v>
      </c>
      <c r="B137" s="209">
        <f t="shared" si="4"/>
        <v>1</v>
      </c>
      <c r="C137" s="600">
        <f t="shared" si="3"/>
        <v>22</v>
      </c>
      <c r="D137" s="610" t="s">
        <v>367</v>
      </c>
      <c r="E137" s="611">
        <v>674.64</v>
      </c>
      <c r="F137" s="733">
        <v>171</v>
      </c>
      <c r="G137" s="733">
        <v>117</v>
      </c>
      <c r="H137" s="733">
        <v>4</v>
      </c>
      <c r="I137" s="733">
        <v>3</v>
      </c>
      <c r="J137" s="733">
        <v>34</v>
      </c>
      <c r="K137" s="733">
        <v>237</v>
      </c>
      <c r="L137" s="706">
        <v>0</v>
      </c>
      <c r="M137" s="706">
        <v>0</v>
      </c>
      <c r="N137" s="706">
        <v>0</v>
      </c>
      <c r="O137" s="706">
        <v>0</v>
      </c>
      <c r="P137" s="613"/>
      <c r="Q137" s="613"/>
      <c r="R137" s="613"/>
      <c r="S137" s="613"/>
      <c r="T137" s="613"/>
      <c r="U137" s="613"/>
      <c r="V137" s="613"/>
    </row>
    <row r="138" spans="1:22" ht="14.5" hidden="1" outlineLevel="1" x14ac:dyDescent="0.35">
      <c r="A138" s="209">
        <f t="shared" ref="A138:A180" si="5">A137</f>
        <v>1</v>
      </c>
      <c r="B138" s="209">
        <f t="shared" si="4"/>
        <v>1</v>
      </c>
      <c r="C138" s="600">
        <f t="shared" si="3"/>
        <v>23</v>
      </c>
      <c r="D138" s="610" t="s">
        <v>208</v>
      </c>
      <c r="E138" s="611">
        <v>843.5</v>
      </c>
      <c r="F138" s="733">
        <v>185</v>
      </c>
      <c r="G138" s="733">
        <v>75</v>
      </c>
      <c r="H138" s="733">
        <v>73</v>
      </c>
      <c r="I138" s="733">
        <v>23</v>
      </c>
      <c r="J138" s="733">
        <v>96</v>
      </c>
      <c r="K138" s="733">
        <v>363</v>
      </c>
      <c r="L138" s="706">
        <v>0</v>
      </c>
      <c r="M138" s="706">
        <v>0</v>
      </c>
      <c r="N138" s="706">
        <v>0</v>
      </c>
      <c r="O138" s="706">
        <v>0</v>
      </c>
      <c r="P138" s="613"/>
      <c r="Q138" s="613"/>
      <c r="R138" s="613"/>
      <c r="S138" s="613"/>
      <c r="T138" s="613"/>
      <c r="U138" s="613"/>
      <c r="V138" s="613"/>
    </row>
    <row r="139" spans="1:22" ht="14.5" hidden="1" outlineLevel="1" x14ac:dyDescent="0.35">
      <c r="A139" s="209">
        <v>2</v>
      </c>
      <c r="B139" s="209">
        <f t="shared" si="4"/>
        <v>1</v>
      </c>
      <c r="C139" s="600">
        <f t="shared" si="3"/>
        <v>24</v>
      </c>
      <c r="D139" s="610" t="s">
        <v>800</v>
      </c>
      <c r="E139" s="611">
        <v>1301.6199999999999</v>
      </c>
      <c r="F139" s="733">
        <v>160</v>
      </c>
      <c r="G139" s="733">
        <v>450</v>
      </c>
      <c r="H139" s="733">
        <v>5</v>
      </c>
      <c r="I139" s="733">
        <v>5</v>
      </c>
      <c r="J139" s="733">
        <v>35</v>
      </c>
      <c r="K139" s="733">
        <v>562</v>
      </c>
      <c r="L139" s="706">
        <v>0</v>
      </c>
      <c r="M139" s="706">
        <v>0</v>
      </c>
      <c r="N139" s="706">
        <v>0</v>
      </c>
      <c r="O139" s="706">
        <v>298</v>
      </c>
      <c r="P139" s="613"/>
      <c r="Q139" s="613"/>
      <c r="R139" s="613"/>
      <c r="S139" s="613"/>
      <c r="T139" s="613"/>
      <c r="U139" s="613"/>
      <c r="V139" s="613"/>
    </row>
    <row r="140" spans="1:22" ht="14.5" hidden="1" outlineLevel="1" x14ac:dyDescent="0.35">
      <c r="A140" s="209">
        <f t="shared" si="5"/>
        <v>2</v>
      </c>
      <c r="B140" s="209">
        <f t="shared" si="4"/>
        <v>1</v>
      </c>
      <c r="C140" s="600">
        <f t="shared" si="3"/>
        <v>25</v>
      </c>
      <c r="D140" s="610" t="s">
        <v>801</v>
      </c>
      <c r="E140" s="611">
        <v>1546.48</v>
      </c>
      <c r="F140" s="733">
        <v>154</v>
      </c>
      <c r="G140" s="733">
        <v>858</v>
      </c>
      <c r="H140" s="733">
        <v>7</v>
      </c>
      <c r="I140" s="733">
        <v>5</v>
      </c>
      <c r="J140" s="733">
        <v>51</v>
      </c>
      <c r="K140" s="733">
        <v>486</v>
      </c>
      <c r="L140" s="706">
        <v>0</v>
      </c>
      <c r="M140" s="706">
        <v>0</v>
      </c>
      <c r="N140" s="706">
        <v>0</v>
      </c>
      <c r="O140" s="706">
        <v>215</v>
      </c>
      <c r="P140" s="613"/>
      <c r="Q140" s="613"/>
      <c r="R140" s="613"/>
      <c r="S140" s="613"/>
      <c r="T140" s="613"/>
      <c r="U140" s="613"/>
      <c r="V140" s="613"/>
    </row>
    <row r="141" spans="1:22" ht="14.5" hidden="1" outlineLevel="1" x14ac:dyDescent="0.35">
      <c r="A141" s="209">
        <f t="shared" si="5"/>
        <v>2</v>
      </c>
      <c r="B141" s="209">
        <f t="shared" si="4"/>
        <v>1</v>
      </c>
      <c r="C141" s="600">
        <f t="shared" si="3"/>
        <v>26</v>
      </c>
      <c r="D141" s="610" t="s">
        <v>847</v>
      </c>
      <c r="E141" s="611">
        <v>1968.65</v>
      </c>
      <c r="F141" s="733">
        <v>92</v>
      </c>
      <c r="G141" s="733">
        <v>1144</v>
      </c>
      <c r="H141" s="733">
        <v>120</v>
      </c>
      <c r="I141" s="733">
        <v>71</v>
      </c>
      <c r="J141" s="733">
        <v>127</v>
      </c>
      <c r="K141" s="733">
        <v>347</v>
      </c>
      <c r="L141" s="706">
        <v>0</v>
      </c>
      <c r="M141" s="706">
        <v>0</v>
      </c>
      <c r="N141" s="706">
        <v>0</v>
      </c>
      <c r="O141" s="706">
        <v>284</v>
      </c>
      <c r="P141" s="613"/>
      <c r="Q141" s="613"/>
      <c r="R141" s="613"/>
      <c r="S141" s="613"/>
      <c r="T141" s="613"/>
      <c r="U141" s="613"/>
      <c r="V141" s="613"/>
    </row>
    <row r="142" spans="1:22" ht="14.5" hidden="1" outlineLevel="1" x14ac:dyDescent="0.35">
      <c r="A142" s="209">
        <v>0</v>
      </c>
      <c r="B142" s="209">
        <v>3</v>
      </c>
      <c r="C142" s="600">
        <f t="shared" si="3"/>
        <v>27</v>
      </c>
      <c r="D142" s="610" t="s">
        <v>201</v>
      </c>
      <c r="E142" s="611">
        <v>349</v>
      </c>
      <c r="F142" s="733">
        <v>0</v>
      </c>
      <c r="G142" s="733">
        <v>0</v>
      </c>
      <c r="H142" s="733">
        <v>0</v>
      </c>
      <c r="I142" s="733">
        <v>0</v>
      </c>
      <c r="J142" s="733">
        <v>0</v>
      </c>
      <c r="K142" s="733">
        <v>372</v>
      </c>
      <c r="L142" s="706">
        <v>0</v>
      </c>
      <c r="M142" s="706">
        <v>0</v>
      </c>
      <c r="N142" s="706">
        <v>0</v>
      </c>
      <c r="O142" s="706">
        <v>0</v>
      </c>
      <c r="P142" s="613"/>
      <c r="Q142" s="613"/>
      <c r="R142" s="613"/>
      <c r="S142" s="613"/>
      <c r="T142" s="613"/>
      <c r="U142" s="613"/>
      <c r="V142" s="613"/>
    </row>
    <row r="143" spans="1:22" ht="14.5" hidden="1" outlineLevel="1" x14ac:dyDescent="0.35">
      <c r="A143" s="209">
        <f t="shared" si="5"/>
        <v>0</v>
      </c>
      <c r="B143" s="209">
        <v>3</v>
      </c>
      <c r="C143" s="600">
        <f t="shared" si="3"/>
        <v>28</v>
      </c>
      <c r="D143" s="610" t="s">
        <v>202</v>
      </c>
      <c r="E143" s="611">
        <v>608.69000000000005</v>
      </c>
      <c r="F143" s="733">
        <v>0</v>
      </c>
      <c r="G143" s="733">
        <v>0</v>
      </c>
      <c r="H143" s="733">
        <v>0</v>
      </c>
      <c r="I143" s="733">
        <v>0</v>
      </c>
      <c r="J143" s="733">
        <v>0</v>
      </c>
      <c r="K143" s="733">
        <v>494</v>
      </c>
      <c r="L143" s="706">
        <v>0</v>
      </c>
      <c r="M143" s="706">
        <v>0</v>
      </c>
      <c r="N143" s="706">
        <v>0</v>
      </c>
      <c r="O143" s="706">
        <v>0</v>
      </c>
      <c r="P143" s="613"/>
      <c r="Q143" s="613"/>
      <c r="R143" s="613"/>
      <c r="S143" s="613"/>
      <c r="T143" s="613"/>
      <c r="U143" s="613"/>
      <c r="V143" s="613"/>
    </row>
    <row r="144" spans="1:22" ht="14.5" hidden="1" outlineLevel="1" x14ac:dyDescent="0.35">
      <c r="A144" s="209">
        <f t="shared" si="5"/>
        <v>0</v>
      </c>
      <c r="B144" s="209">
        <f t="shared" si="4"/>
        <v>3</v>
      </c>
      <c r="C144" s="600">
        <f t="shared" si="3"/>
        <v>29</v>
      </c>
      <c r="D144" s="610" t="s">
        <v>203</v>
      </c>
      <c r="E144" s="611">
        <v>1042.5999999999999</v>
      </c>
      <c r="F144" s="733">
        <v>0</v>
      </c>
      <c r="G144" s="733">
        <v>0</v>
      </c>
      <c r="H144" s="733">
        <v>0</v>
      </c>
      <c r="I144" s="733">
        <v>0</v>
      </c>
      <c r="J144" s="733">
        <v>0</v>
      </c>
      <c r="K144" s="733">
        <v>1236</v>
      </c>
      <c r="L144" s="706">
        <v>0</v>
      </c>
      <c r="M144" s="706">
        <v>0</v>
      </c>
      <c r="N144" s="706">
        <v>0</v>
      </c>
      <c r="O144" s="706">
        <v>0</v>
      </c>
      <c r="P144" s="613"/>
      <c r="Q144" s="613"/>
      <c r="R144" s="613"/>
      <c r="S144" s="613"/>
      <c r="T144" s="613"/>
      <c r="U144" s="613"/>
      <c r="V144" s="613"/>
    </row>
    <row r="145" spans="1:22" ht="14.5" hidden="1" outlineLevel="1" x14ac:dyDescent="0.35">
      <c r="A145" s="209">
        <v>2</v>
      </c>
      <c r="B145" s="209">
        <v>1</v>
      </c>
      <c r="C145" s="600">
        <f t="shared" si="3"/>
        <v>30</v>
      </c>
      <c r="D145" s="610" t="s">
        <v>854</v>
      </c>
      <c r="E145" s="611">
        <v>432.23</v>
      </c>
      <c r="F145" s="733">
        <v>136</v>
      </c>
      <c r="G145" s="733">
        <v>2</v>
      </c>
      <c r="H145" s="733">
        <v>2</v>
      </c>
      <c r="I145" s="733">
        <v>1</v>
      </c>
      <c r="J145" s="733">
        <v>32</v>
      </c>
      <c r="K145" s="733">
        <v>168</v>
      </c>
      <c r="L145" s="706">
        <v>0</v>
      </c>
      <c r="M145" s="706">
        <v>0</v>
      </c>
      <c r="N145" s="706">
        <v>0</v>
      </c>
      <c r="O145" s="706">
        <v>146</v>
      </c>
      <c r="P145" s="613"/>
      <c r="Q145" s="613"/>
      <c r="R145" s="613"/>
      <c r="S145" s="613"/>
      <c r="T145" s="613"/>
      <c r="U145" s="613"/>
      <c r="V145" s="613"/>
    </row>
    <row r="146" spans="1:22" ht="14.5" hidden="1" outlineLevel="1" x14ac:dyDescent="0.35">
      <c r="A146" s="209">
        <f t="shared" si="5"/>
        <v>2</v>
      </c>
      <c r="B146" s="209">
        <v>0</v>
      </c>
      <c r="C146" s="600">
        <f t="shared" si="3"/>
        <v>31</v>
      </c>
      <c r="D146" s="610" t="s">
        <v>855</v>
      </c>
      <c r="E146" s="611">
        <v>481.37</v>
      </c>
      <c r="F146" s="733">
        <v>101</v>
      </c>
      <c r="G146" s="733">
        <v>2</v>
      </c>
      <c r="H146" s="733">
        <v>2</v>
      </c>
      <c r="I146" s="733">
        <v>1</v>
      </c>
      <c r="J146" s="733">
        <v>22</v>
      </c>
      <c r="K146" s="733">
        <v>147</v>
      </c>
      <c r="L146" s="706">
        <v>0</v>
      </c>
      <c r="M146" s="706">
        <v>0</v>
      </c>
      <c r="N146" s="706">
        <v>0</v>
      </c>
      <c r="O146" s="706">
        <v>167</v>
      </c>
      <c r="P146" s="613"/>
      <c r="Q146" s="613"/>
      <c r="R146" s="613"/>
      <c r="S146" s="613"/>
      <c r="T146" s="613"/>
      <c r="U146" s="613"/>
      <c r="V146" s="613"/>
    </row>
    <row r="147" spans="1:22" ht="14.5" hidden="1" outlineLevel="1" x14ac:dyDescent="0.35">
      <c r="A147" s="209">
        <f t="shared" si="5"/>
        <v>2</v>
      </c>
      <c r="B147" s="209">
        <v>0</v>
      </c>
      <c r="C147" s="600">
        <f t="shared" si="3"/>
        <v>32</v>
      </c>
      <c r="D147" s="610" t="s">
        <v>856</v>
      </c>
      <c r="E147" s="611">
        <v>541.71</v>
      </c>
      <c r="F147" s="733">
        <v>135</v>
      </c>
      <c r="G147" s="733">
        <v>2</v>
      </c>
      <c r="H147" s="733">
        <v>2</v>
      </c>
      <c r="I147" s="733">
        <v>1</v>
      </c>
      <c r="J147" s="733">
        <v>28</v>
      </c>
      <c r="K147" s="733">
        <v>117</v>
      </c>
      <c r="L147" s="706">
        <v>0</v>
      </c>
      <c r="M147" s="706">
        <v>0</v>
      </c>
      <c r="N147" s="706">
        <v>0</v>
      </c>
      <c r="O147" s="706">
        <v>163</v>
      </c>
      <c r="P147" s="613"/>
      <c r="Q147" s="613"/>
      <c r="R147" s="613"/>
      <c r="S147" s="613"/>
      <c r="T147" s="613"/>
      <c r="U147" s="613"/>
      <c r="V147" s="613"/>
    </row>
    <row r="148" spans="1:22" ht="14.5" hidden="1" outlineLevel="1" x14ac:dyDescent="0.35">
      <c r="A148" s="209">
        <f t="shared" si="5"/>
        <v>2</v>
      </c>
      <c r="B148" s="209">
        <v>1</v>
      </c>
      <c r="C148" s="600">
        <f t="shared" si="3"/>
        <v>33</v>
      </c>
      <c r="D148" s="610" t="s">
        <v>857</v>
      </c>
      <c r="E148" s="611">
        <v>515.15</v>
      </c>
      <c r="F148" s="733">
        <v>143</v>
      </c>
      <c r="G148" s="733">
        <v>2</v>
      </c>
      <c r="H148" s="733">
        <v>3</v>
      </c>
      <c r="I148" s="733">
        <v>1</v>
      </c>
      <c r="J148" s="733">
        <v>36</v>
      </c>
      <c r="K148" s="733">
        <v>149</v>
      </c>
      <c r="L148" s="706">
        <v>0</v>
      </c>
      <c r="M148" s="706">
        <v>0</v>
      </c>
      <c r="N148" s="706">
        <v>0</v>
      </c>
      <c r="O148" s="706">
        <v>119</v>
      </c>
      <c r="P148" s="613"/>
      <c r="Q148" s="613"/>
      <c r="R148" s="613"/>
      <c r="S148" s="613"/>
      <c r="T148" s="613"/>
      <c r="U148" s="613"/>
      <c r="V148" s="613"/>
    </row>
    <row r="149" spans="1:22" ht="14.5" hidden="1" outlineLevel="1" x14ac:dyDescent="0.35">
      <c r="A149" s="209">
        <f t="shared" si="5"/>
        <v>2</v>
      </c>
      <c r="B149" s="209">
        <v>0</v>
      </c>
      <c r="C149" s="600">
        <f t="shared" si="3"/>
        <v>34</v>
      </c>
      <c r="D149" s="610" t="s">
        <v>858</v>
      </c>
      <c r="E149" s="611">
        <v>575.49</v>
      </c>
      <c r="F149" s="733">
        <v>145</v>
      </c>
      <c r="G149" s="733">
        <v>2</v>
      </c>
      <c r="H149" s="733">
        <v>3</v>
      </c>
      <c r="I149" s="733">
        <v>1</v>
      </c>
      <c r="J149" s="733">
        <v>30</v>
      </c>
      <c r="K149" s="733">
        <v>123</v>
      </c>
      <c r="L149" s="706">
        <v>0</v>
      </c>
      <c r="M149" s="706">
        <v>0</v>
      </c>
      <c r="N149" s="706">
        <v>0</v>
      </c>
      <c r="O149" s="706">
        <v>252</v>
      </c>
      <c r="P149" s="613"/>
      <c r="Q149" s="613"/>
      <c r="R149" s="613"/>
      <c r="S149" s="613"/>
      <c r="T149" s="613"/>
      <c r="U149" s="613"/>
      <c r="V149" s="613"/>
    </row>
    <row r="150" spans="1:22" ht="14.5" hidden="1" outlineLevel="1" x14ac:dyDescent="0.35">
      <c r="A150" s="209">
        <f t="shared" si="5"/>
        <v>2</v>
      </c>
      <c r="B150" s="209">
        <v>1</v>
      </c>
      <c r="C150" s="600">
        <f t="shared" si="3"/>
        <v>35</v>
      </c>
      <c r="D150" s="610" t="s">
        <v>859</v>
      </c>
      <c r="E150" s="611">
        <v>565.80999999999995</v>
      </c>
      <c r="F150" s="733">
        <v>95</v>
      </c>
      <c r="G150" s="733">
        <v>2</v>
      </c>
      <c r="H150" s="733">
        <v>3</v>
      </c>
      <c r="I150" s="733">
        <v>1</v>
      </c>
      <c r="J150" s="733">
        <v>38</v>
      </c>
      <c r="K150" s="733">
        <v>234</v>
      </c>
      <c r="L150" s="706">
        <v>0</v>
      </c>
      <c r="M150" s="706">
        <v>0</v>
      </c>
      <c r="N150" s="706">
        <v>0</v>
      </c>
      <c r="O150" s="706">
        <v>157</v>
      </c>
      <c r="P150" s="613"/>
      <c r="Q150" s="613"/>
      <c r="R150" s="613"/>
      <c r="S150" s="613"/>
      <c r="T150" s="613"/>
      <c r="U150" s="613"/>
      <c r="V150" s="613"/>
    </row>
    <row r="151" spans="1:22" ht="14.5" hidden="1" outlineLevel="1" x14ac:dyDescent="0.35">
      <c r="A151" s="209">
        <f t="shared" si="5"/>
        <v>2</v>
      </c>
      <c r="B151" s="209">
        <v>0</v>
      </c>
      <c r="C151" s="600">
        <f t="shared" si="3"/>
        <v>36</v>
      </c>
      <c r="D151" s="610" t="s">
        <v>860</v>
      </c>
      <c r="E151" s="611">
        <v>626.15</v>
      </c>
      <c r="F151" s="733">
        <v>117</v>
      </c>
      <c r="G151" s="733">
        <v>2</v>
      </c>
      <c r="H151" s="733">
        <v>3</v>
      </c>
      <c r="I151" s="733">
        <v>1</v>
      </c>
      <c r="J151" s="733">
        <v>39</v>
      </c>
      <c r="K151" s="733">
        <v>202</v>
      </c>
      <c r="L151" s="706">
        <v>0</v>
      </c>
      <c r="M151" s="706">
        <v>0</v>
      </c>
      <c r="N151" s="706">
        <v>0</v>
      </c>
      <c r="O151" s="706">
        <v>166</v>
      </c>
      <c r="P151" s="613"/>
      <c r="Q151" s="613"/>
      <c r="R151" s="613"/>
      <c r="S151" s="613"/>
      <c r="T151" s="613"/>
      <c r="U151" s="613"/>
      <c r="V151" s="613"/>
    </row>
    <row r="152" spans="1:22" ht="14.5" hidden="1" outlineLevel="1" x14ac:dyDescent="0.35">
      <c r="A152" s="209">
        <f t="shared" si="5"/>
        <v>2</v>
      </c>
      <c r="B152" s="209">
        <v>1</v>
      </c>
      <c r="C152" s="600">
        <f t="shared" si="3"/>
        <v>37</v>
      </c>
      <c r="D152" s="610" t="s">
        <v>861</v>
      </c>
      <c r="E152" s="611">
        <v>692.01</v>
      </c>
      <c r="F152" s="733">
        <v>104</v>
      </c>
      <c r="G152" s="733">
        <v>19</v>
      </c>
      <c r="H152" s="733">
        <v>15</v>
      </c>
      <c r="I152" s="733">
        <v>5</v>
      </c>
      <c r="J152" s="733">
        <v>44</v>
      </c>
      <c r="K152" s="733">
        <v>255</v>
      </c>
      <c r="L152" s="706">
        <v>0</v>
      </c>
      <c r="M152" s="706">
        <v>0</v>
      </c>
      <c r="N152" s="706">
        <v>0</v>
      </c>
      <c r="O152" s="706">
        <v>179</v>
      </c>
      <c r="P152" s="613"/>
      <c r="Q152" s="613"/>
      <c r="R152" s="613"/>
      <c r="S152" s="613"/>
      <c r="T152" s="613"/>
      <c r="U152" s="613"/>
      <c r="V152" s="613"/>
    </row>
    <row r="153" spans="1:22" ht="14.5" hidden="1" outlineLevel="1" x14ac:dyDescent="0.35">
      <c r="A153" s="209">
        <f t="shared" si="5"/>
        <v>2</v>
      </c>
      <c r="B153" s="209">
        <v>0</v>
      </c>
      <c r="C153" s="600">
        <f t="shared" si="3"/>
        <v>38</v>
      </c>
      <c r="D153" s="610" t="s">
        <v>862</v>
      </c>
      <c r="E153" s="611">
        <v>650.24</v>
      </c>
      <c r="F153" s="733">
        <v>110</v>
      </c>
      <c r="G153" s="733">
        <v>11</v>
      </c>
      <c r="H153" s="733">
        <v>13</v>
      </c>
      <c r="I153" s="733">
        <v>5</v>
      </c>
      <c r="J153" s="733">
        <v>50</v>
      </c>
      <c r="K153" s="733">
        <v>218</v>
      </c>
      <c r="L153" s="706">
        <v>0</v>
      </c>
      <c r="M153" s="706">
        <v>0</v>
      </c>
      <c r="N153" s="706">
        <v>0</v>
      </c>
      <c r="O153" s="706">
        <v>212</v>
      </c>
      <c r="P153" s="613"/>
      <c r="Q153" s="613"/>
      <c r="R153" s="613"/>
      <c r="S153" s="613"/>
      <c r="T153" s="613"/>
      <c r="U153" s="613"/>
      <c r="V153" s="613"/>
    </row>
    <row r="154" spans="1:22" ht="14.5" hidden="1" outlineLevel="1" x14ac:dyDescent="0.35">
      <c r="A154" s="209">
        <f t="shared" si="5"/>
        <v>2</v>
      </c>
      <c r="B154" s="209">
        <v>1</v>
      </c>
      <c r="C154" s="600">
        <f t="shared" si="3"/>
        <v>39</v>
      </c>
      <c r="D154" s="610" t="s">
        <v>863</v>
      </c>
      <c r="E154" s="611">
        <v>1006.1</v>
      </c>
      <c r="F154" s="733">
        <v>106</v>
      </c>
      <c r="G154" s="733">
        <v>97</v>
      </c>
      <c r="H154" s="733">
        <v>46</v>
      </c>
      <c r="I154" s="733">
        <v>15</v>
      </c>
      <c r="J154" s="733">
        <v>104</v>
      </c>
      <c r="K154" s="733">
        <v>485</v>
      </c>
      <c r="L154" s="706">
        <v>0</v>
      </c>
      <c r="M154" s="706">
        <v>0</v>
      </c>
      <c r="N154" s="706">
        <v>0</v>
      </c>
      <c r="O154" s="706">
        <v>183</v>
      </c>
      <c r="P154" s="613"/>
      <c r="Q154" s="613"/>
      <c r="R154" s="613"/>
      <c r="S154" s="613"/>
      <c r="T154" s="613"/>
      <c r="U154" s="613"/>
      <c r="V154" s="613"/>
    </row>
    <row r="155" spans="1:22" ht="14.5" hidden="1" outlineLevel="1" x14ac:dyDescent="0.35">
      <c r="A155" s="209">
        <f t="shared" si="5"/>
        <v>2</v>
      </c>
      <c r="B155" s="209">
        <v>0</v>
      </c>
      <c r="C155" s="600">
        <f t="shared" si="3"/>
        <v>40</v>
      </c>
      <c r="D155" s="610" t="s">
        <v>864</v>
      </c>
      <c r="E155" s="611">
        <v>969.4</v>
      </c>
      <c r="F155" s="733">
        <v>87</v>
      </c>
      <c r="G155" s="733">
        <v>88</v>
      </c>
      <c r="H155" s="733">
        <v>76</v>
      </c>
      <c r="I155" s="733">
        <v>17</v>
      </c>
      <c r="J155" s="733">
        <v>61</v>
      </c>
      <c r="K155" s="733">
        <v>472</v>
      </c>
      <c r="L155" s="706">
        <v>0</v>
      </c>
      <c r="M155" s="706">
        <v>0</v>
      </c>
      <c r="N155" s="706">
        <v>0</v>
      </c>
      <c r="O155" s="706">
        <v>153</v>
      </c>
      <c r="P155" s="613"/>
      <c r="Q155" s="613"/>
      <c r="R155" s="613"/>
      <c r="S155" s="613"/>
      <c r="T155" s="613"/>
      <c r="U155" s="613"/>
      <c r="V155" s="613"/>
    </row>
    <row r="156" spans="1:22" ht="14.5" hidden="1" outlineLevel="1" x14ac:dyDescent="0.35">
      <c r="A156" s="209">
        <v>0</v>
      </c>
      <c r="B156" s="209">
        <v>2</v>
      </c>
      <c r="C156" s="600">
        <f t="shared" si="3"/>
        <v>41</v>
      </c>
      <c r="D156" s="610" t="s">
        <v>865</v>
      </c>
      <c r="E156" s="611">
        <v>404.31</v>
      </c>
      <c r="F156" s="733">
        <v>0</v>
      </c>
      <c r="G156" s="733">
        <v>0</v>
      </c>
      <c r="H156" s="733">
        <v>0</v>
      </c>
      <c r="I156" s="733">
        <v>0</v>
      </c>
      <c r="J156" s="733">
        <v>0</v>
      </c>
      <c r="K156" s="733">
        <v>356</v>
      </c>
      <c r="L156" s="706">
        <v>0</v>
      </c>
      <c r="M156" s="706">
        <v>0</v>
      </c>
      <c r="N156" s="706">
        <v>0</v>
      </c>
      <c r="O156" s="706">
        <v>151</v>
      </c>
      <c r="P156" s="613"/>
      <c r="Q156" s="613"/>
      <c r="R156" s="613"/>
      <c r="S156" s="613"/>
      <c r="T156" s="613"/>
      <c r="U156" s="613"/>
      <c r="V156" s="613"/>
    </row>
    <row r="157" spans="1:22" ht="14.5" hidden="1" outlineLevel="1" x14ac:dyDescent="0.35">
      <c r="A157" s="209">
        <f t="shared" si="5"/>
        <v>0</v>
      </c>
      <c r="B157" s="209">
        <v>0</v>
      </c>
      <c r="C157" s="600">
        <f t="shared" si="3"/>
        <v>42</v>
      </c>
      <c r="D157" s="610" t="s">
        <v>866</v>
      </c>
      <c r="E157" s="611">
        <v>453.45</v>
      </c>
      <c r="F157" s="733">
        <v>0</v>
      </c>
      <c r="G157" s="733">
        <v>0</v>
      </c>
      <c r="H157" s="733">
        <v>0</v>
      </c>
      <c r="I157" s="733">
        <v>0</v>
      </c>
      <c r="J157" s="733">
        <v>0</v>
      </c>
      <c r="K157" s="733">
        <v>299</v>
      </c>
      <c r="L157" s="706">
        <v>0</v>
      </c>
      <c r="M157" s="706">
        <v>0</v>
      </c>
      <c r="N157" s="706">
        <v>0</v>
      </c>
      <c r="O157" s="706">
        <v>154</v>
      </c>
      <c r="P157" s="613"/>
      <c r="Q157" s="613"/>
      <c r="R157" s="613"/>
      <c r="S157" s="613"/>
      <c r="T157" s="613"/>
      <c r="U157" s="613"/>
      <c r="V157" s="613"/>
    </row>
    <row r="158" spans="1:22" ht="14.5" hidden="1" outlineLevel="1" x14ac:dyDescent="0.35">
      <c r="A158" s="209">
        <f t="shared" si="5"/>
        <v>0</v>
      </c>
      <c r="B158" s="209">
        <v>0</v>
      </c>
      <c r="C158" s="600">
        <f t="shared" si="3"/>
        <v>43</v>
      </c>
      <c r="D158" s="610" t="s">
        <v>867</v>
      </c>
      <c r="E158" s="611">
        <v>513.79</v>
      </c>
      <c r="F158" s="733">
        <v>0</v>
      </c>
      <c r="G158" s="733">
        <v>0</v>
      </c>
      <c r="H158" s="733">
        <v>0</v>
      </c>
      <c r="I158" s="733">
        <v>0</v>
      </c>
      <c r="J158" s="733">
        <v>0</v>
      </c>
      <c r="K158" s="733">
        <v>346</v>
      </c>
      <c r="L158" s="706">
        <v>0</v>
      </c>
      <c r="M158" s="706">
        <v>0</v>
      </c>
      <c r="N158" s="706">
        <v>0</v>
      </c>
      <c r="O158" s="706">
        <v>187</v>
      </c>
      <c r="P158" s="613"/>
      <c r="Q158" s="613"/>
      <c r="R158" s="613"/>
      <c r="S158" s="613"/>
      <c r="T158" s="613"/>
      <c r="U158" s="613"/>
      <c r="V158" s="613"/>
    </row>
    <row r="159" spans="1:22" ht="14.5" hidden="1" outlineLevel="1" x14ac:dyDescent="0.35">
      <c r="A159" s="209">
        <f t="shared" si="5"/>
        <v>0</v>
      </c>
      <c r="B159" s="209">
        <v>2</v>
      </c>
      <c r="C159" s="600">
        <f t="shared" si="3"/>
        <v>44</v>
      </c>
      <c r="D159" s="610" t="s">
        <v>868</v>
      </c>
      <c r="E159" s="611">
        <v>491.38</v>
      </c>
      <c r="F159" s="733">
        <v>0</v>
      </c>
      <c r="G159" s="733">
        <v>0</v>
      </c>
      <c r="H159" s="733">
        <v>0</v>
      </c>
      <c r="I159" s="733">
        <v>0</v>
      </c>
      <c r="J159" s="733">
        <v>0</v>
      </c>
      <c r="K159" s="733">
        <v>279</v>
      </c>
      <c r="L159" s="706">
        <v>0</v>
      </c>
      <c r="M159" s="706">
        <v>0</v>
      </c>
      <c r="N159" s="706">
        <v>0</v>
      </c>
      <c r="O159" s="706">
        <v>208</v>
      </c>
      <c r="P159" s="613"/>
      <c r="Q159" s="613"/>
      <c r="R159" s="613"/>
      <c r="S159" s="613"/>
      <c r="T159" s="613"/>
      <c r="U159" s="613"/>
      <c r="V159" s="613"/>
    </row>
    <row r="160" spans="1:22" ht="14.5" hidden="1" outlineLevel="1" x14ac:dyDescent="0.35">
      <c r="A160" s="209">
        <f t="shared" si="5"/>
        <v>0</v>
      </c>
      <c r="B160" s="209">
        <v>0</v>
      </c>
      <c r="C160" s="600">
        <f t="shared" si="3"/>
        <v>45</v>
      </c>
      <c r="D160" s="610" t="s">
        <v>869</v>
      </c>
      <c r="E160" s="611">
        <v>551.72</v>
      </c>
      <c r="F160" s="733">
        <v>0</v>
      </c>
      <c r="G160" s="733">
        <v>0</v>
      </c>
      <c r="H160" s="733">
        <v>0</v>
      </c>
      <c r="I160" s="733">
        <v>0</v>
      </c>
      <c r="J160" s="733">
        <v>0</v>
      </c>
      <c r="K160" s="733">
        <v>277</v>
      </c>
      <c r="L160" s="706">
        <v>0</v>
      </c>
      <c r="M160" s="706">
        <v>0</v>
      </c>
      <c r="N160" s="706">
        <v>0</v>
      </c>
      <c r="O160" s="706">
        <v>256</v>
      </c>
      <c r="P160" s="613"/>
      <c r="Q160" s="613"/>
      <c r="R160" s="613"/>
      <c r="S160" s="613"/>
      <c r="T160" s="613"/>
      <c r="U160" s="613"/>
      <c r="V160" s="613"/>
    </row>
    <row r="161" spans="1:22" ht="14.5" hidden="1" outlineLevel="1" x14ac:dyDescent="0.35">
      <c r="A161" s="209">
        <f t="shared" si="5"/>
        <v>0</v>
      </c>
      <c r="B161" s="209">
        <v>2</v>
      </c>
      <c r="C161" s="600">
        <f t="shared" si="3"/>
        <v>46</v>
      </c>
      <c r="D161" s="610" t="s">
        <v>870</v>
      </c>
      <c r="E161" s="611">
        <v>658.62</v>
      </c>
      <c r="F161" s="733">
        <v>0</v>
      </c>
      <c r="G161" s="733">
        <v>0</v>
      </c>
      <c r="H161" s="733">
        <v>0</v>
      </c>
      <c r="I161" s="733">
        <v>0</v>
      </c>
      <c r="J161" s="733">
        <v>0</v>
      </c>
      <c r="K161" s="733">
        <v>347</v>
      </c>
      <c r="L161" s="706">
        <v>0</v>
      </c>
      <c r="M161" s="706">
        <v>0</v>
      </c>
      <c r="N161" s="706">
        <v>0</v>
      </c>
      <c r="O161" s="706">
        <v>205</v>
      </c>
      <c r="P161" s="613"/>
      <c r="Q161" s="613"/>
      <c r="R161" s="613"/>
      <c r="S161" s="613"/>
      <c r="T161" s="613"/>
      <c r="U161" s="613"/>
      <c r="V161" s="613"/>
    </row>
    <row r="162" spans="1:22" ht="14.5" hidden="1" outlineLevel="1" x14ac:dyDescent="0.35">
      <c r="A162" s="209">
        <f t="shared" si="5"/>
        <v>0</v>
      </c>
      <c r="B162" s="209">
        <v>0</v>
      </c>
      <c r="C162" s="600">
        <f t="shared" si="3"/>
        <v>47</v>
      </c>
      <c r="D162" s="610" t="s">
        <v>871</v>
      </c>
      <c r="E162" s="611">
        <v>617.25</v>
      </c>
      <c r="F162" s="733">
        <v>0</v>
      </c>
      <c r="G162" s="733">
        <v>0</v>
      </c>
      <c r="H162" s="733">
        <v>0</v>
      </c>
      <c r="I162" s="733">
        <v>0</v>
      </c>
      <c r="J162" s="733">
        <v>0</v>
      </c>
      <c r="K162" s="733">
        <v>426</v>
      </c>
      <c r="L162" s="706">
        <v>0</v>
      </c>
      <c r="M162" s="706">
        <v>0</v>
      </c>
      <c r="N162" s="706">
        <v>0</v>
      </c>
      <c r="O162" s="706">
        <v>159</v>
      </c>
      <c r="P162" s="613"/>
      <c r="Q162" s="613"/>
      <c r="R162" s="613"/>
      <c r="S162" s="613"/>
      <c r="T162" s="613"/>
      <c r="U162" s="613"/>
      <c r="V162" s="613"/>
    </row>
    <row r="163" spans="1:22" ht="14.5" hidden="1" outlineLevel="1" x14ac:dyDescent="0.35">
      <c r="A163" s="209">
        <f t="shared" si="5"/>
        <v>0</v>
      </c>
      <c r="B163" s="209">
        <v>2</v>
      </c>
      <c r="C163" s="600">
        <f t="shared" si="3"/>
        <v>48</v>
      </c>
      <c r="D163" s="610" t="s">
        <v>872</v>
      </c>
      <c r="E163" s="611">
        <v>936.21</v>
      </c>
      <c r="F163" s="733">
        <v>0</v>
      </c>
      <c r="G163" s="733">
        <v>0</v>
      </c>
      <c r="H163" s="733">
        <v>0</v>
      </c>
      <c r="I163" s="733">
        <v>0</v>
      </c>
      <c r="J163" s="733">
        <v>0</v>
      </c>
      <c r="K163" s="733">
        <v>835</v>
      </c>
      <c r="L163" s="706">
        <v>0</v>
      </c>
      <c r="M163" s="706">
        <v>0</v>
      </c>
      <c r="N163" s="706">
        <v>0</v>
      </c>
      <c r="O163" s="706">
        <v>166</v>
      </c>
      <c r="P163" s="613"/>
      <c r="Q163" s="613"/>
      <c r="R163" s="613"/>
      <c r="S163" s="613"/>
      <c r="T163" s="613"/>
      <c r="U163" s="613"/>
      <c r="V163" s="613"/>
    </row>
    <row r="164" spans="1:22" ht="14.5" hidden="1" outlineLevel="1" x14ac:dyDescent="0.35">
      <c r="A164" s="209">
        <f t="shared" si="5"/>
        <v>0</v>
      </c>
      <c r="B164" s="209">
        <v>0</v>
      </c>
      <c r="C164" s="600">
        <f t="shared" si="3"/>
        <v>49</v>
      </c>
      <c r="D164" s="610" t="s">
        <v>873</v>
      </c>
      <c r="E164" s="611">
        <v>900</v>
      </c>
      <c r="F164" s="733">
        <v>0</v>
      </c>
      <c r="G164" s="733">
        <v>0</v>
      </c>
      <c r="H164" s="733">
        <v>0</v>
      </c>
      <c r="I164" s="733">
        <v>0</v>
      </c>
      <c r="J164" s="733">
        <v>0</v>
      </c>
      <c r="K164" s="733">
        <v>532</v>
      </c>
      <c r="L164" s="706">
        <v>0</v>
      </c>
      <c r="M164" s="706">
        <v>0</v>
      </c>
      <c r="N164" s="706">
        <v>0</v>
      </c>
      <c r="O164" s="706">
        <v>194</v>
      </c>
      <c r="P164" s="613"/>
      <c r="Q164" s="613"/>
      <c r="R164" s="613"/>
      <c r="S164" s="613"/>
      <c r="T164" s="613"/>
      <c r="U164" s="613"/>
      <c r="V164" s="613"/>
    </row>
    <row r="165" spans="1:22" ht="14.5" hidden="1" outlineLevel="1" x14ac:dyDescent="0.35">
      <c r="A165" s="209">
        <v>2</v>
      </c>
      <c r="B165" s="209">
        <v>1</v>
      </c>
      <c r="C165" s="600">
        <f t="shared" si="3"/>
        <v>50</v>
      </c>
      <c r="D165" s="610" t="s">
        <v>874</v>
      </c>
      <c r="E165" s="611">
        <v>440.68</v>
      </c>
      <c r="F165" s="733">
        <v>210</v>
      </c>
      <c r="G165" s="733">
        <v>7</v>
      </c>
      <c r="H165" s="733">
        <v>1</v>
      </c>
      <c r="I165" s="733">
        <v>1</v>
      </c>
      <c r="J165" s="733">
        <v>7</v>
      </c>
      <c r="K165" s="733">
        <v>94</v>
      </c>
      <c r="L165" s="706">
        <v>0</v>
      </c>
      <c r="M165" s="706">
        <v>0</v>
      </c>
      <c r="N165" s="706">
        <v>0</v>
      </c>
      <c r="O165" s="706">
        <v>96</v>
      </c>
      <c r="P165" s="613"/>
      <c r="Q165" s="613"/>
      <c r="R165" s="613"/>
      <c r="S165" s="613"/>
      <c r="T165" s="613"/>
      <c r="U165" s="613"/>
      <c r="V165" s="613"/>
    </row>
    <row r="166" spans="1:22" ht="14.5" hidden="1" outlineLevel="1" x14ac:dyDescent="0.35">
      <c r="A166" s="209">
        <f t="shared" si="5"/>
        <v>2</v>
      </c>
      <c r="B166" s="209">
        <v>0</v>
      </c>
      <c r="C166" s="600">
        <f t="shared" si="3"/>
        <v>51</v>
      </c>
      <c r="D166" s="610" t="s">
        <v>875</v>
      </c>
      <c r="E166" s="611">
        <v>489.81</v>
      </c>
      <c r="F166" s="733">
        <v>233</v>
      </c>
      <c r="G166" s="733">
        <v>5</v>
      </c>
      <c r="H166" s="733">
        <v>1</v>
      </c>
      <c r="I166" s="733">
        <v>1</v>
      </c>
      <c r="J166" s="733">
        <v>8</v>
      </c>
      <c r="K166" s="733">
        <v>103</v>
      </c>
      <c r="L166" s="706">
        <v>0</v>
      </c>
      <c r="M166" s="706">
        <v>0</v>
      </c>
      <c r="N166" s="706">
        <v>0</v>
      </c>
      <c r="O166" s="706">
        <v>126</v>
      </c>
      <c r="P166" s="613"/>
      <c r="Q166" s="613"/>
      <c r="R166" s="613"/>
      <c r="S166" s="613"/>
      <c r="T166" s="613"/>
      <c r="U166" s="613"/>
      <c r="V166" s="613"/>
    </row>
    <row r="167" spans="1:22" ht="14.5" hidden="1" outlineLevel="1" x14ac:dyDescent="0.35">
      <c r="A167" s="209">
        <f t="shared" si="5"/>
        <v>2</v>
      </c>
      <c r="B167" s="209">
        <v>0</v>
      </c>
      <c r="C167" s="600">
        <f t="shared" si="3"/>
        <v>52</v>
      </c>
      <c r="D167" s="610" t="s">
        <v>876</v>
      </c>
      <c r="E167" s="611">
        <v>550.16</v>
      </c>
      <c r="F167" s="733">
        <v>228</v>
      </c>
      <c r="G167" s="733">
        <v>6</v>
      </c>
      <c r="H167" s="733">
        <v>1</v>
      </c>
      <c r="I167" s="733">
        <v>1</v>
      </c>
      <c r="J167" s="733">
        <v>8</v>
      </c>
      <c r="K167" s="733">
        <v>93</v>
      </c>
      <c r="L167" s="706">
        <v>0</v>
      </c>
      <c r="M167" s="706">
        <v>0</v>
      </c>
      <c r="N167" s="706">
        <v>0</v>
      </c>
      <c r="O167" s="706">
        <v>257</v>
      </c>
      <c r="P167" s="613"/>
      <c r="Q167" s="613"/>
      <c r="R167" s="613"/>
      <c r="S167" s="613"/>
      <c r="T167" s="613"/>
      <c r="U167" s="613"/>
      <c r="V167" s="613"/>
    </row>
    <row r="168" spans="1:22" ht="14.5" hidden="1" outlineLevel="1" x14ac:dyDescent="0.35">
      <c r="A168" s="209">
        <f t="shared" si="5"/>
        <v>2</v>
      </c>
      <c r="B168" s="209">
        <v>1</v>
      </c>
      <c r="C168" s="600">
        <f t="shared" si="3"/>
        <v>53</v>
      </c>
      <c r="D168" s="610" t="s">
        <v>877</v>
      </c>
      <c r="E168" s="611">
        <v>608.88</v>
      </c>
      <c r="F168" s="733">
        <v>200</v>
      </c>
      <c r="G168" s="733">
        <v>105</v>
      </c>
      <c r="H168" s="733">
        <v>2</v>
      </c>
      <c r="I168" s="733">
        <v>1</v>
      </c>
      <c r="J168" s="733">
        <v>28</v>
      </c>
      <c r="K168" s="733">
        <v>168</v>
      </c>
      <c r="L168" s="706">
        <v>0</v>
      </c>
      <c r="M168" s="706">
        <v>0</v>
      </c>
      <c r="N168" s="706">
        <v>0</v>
      </c>
      <c r="O168" s="706">
        <v>165</v>
      </c>
      <c r="P168" s="613"/>
      <c r="Q168" s="613"/>
      <c r="R168" s="613"/>
      <c r="S168" s="613"/>
      <c r="T168" s="613"/>
      <c r="U168" s="613"/>
      <c r="V168" s="613"/>
    </row>
    <row r="169" spans="1:22" ht="14.5" hidden="1" outlineLevel="1" x14ac:dyDescent="0.35">
      <c r="A169" s="209">
        <f t="shared" si="5"/>
        <v>2</v>
      </c>
      <c r="B169" s="209">
        <v>0</v>
      </c>
      <c r="C169" s="600">
        <f t="shared" si="3"/>
        <v>54</v>
      </c>
      <c r="D169" s="610" t="s">
        <v>878</v>
      </c>
      <c r="E169" s="611">
        <v>668.37</v>
      </c>
      <c r="F169" s="733">
        <v>140</v>
      </c>
      <c r="G169" s="733">
        <v>114</v>
      </c>
      <c r="H169" s="733">
        <v>2</v>
      </c>
      <c r="I169" s="733">
        <v>1</v>
      </c>
      <c r="J169" s="733">
        <v>32</v>
      </c>
      <c r="K169" s="733">
        <v>96</v>
      </c>
      <c r="L169" s="706">
        <v>0</v>
      </c>
      <c r="M169" s="706">
        <v>0</v>
      </c>
      <c r="N169" s="706">
        <v>0</v>
      </c>
      <c r="O169" s="706">
        <v>199</v>
      </c>
      <c r="P169" s="613"/>
      <c r="Q169" s="613"/>
      <c r="R169" s="613"/>
      <c r="S169" s="613"/>
      <c r="T169" s="613"/>
      <c r="U169" s="613"/>
      <c r="V169" s="613"/>
    </row>
    <row r="170" spans="1:22" ht="14.5" hidden="1" outlineLevel="1" x14ac:dyDescent="0.35">
      <c r="A170" s="209">
        <f t="shared" si="5"/>
        <v>2</v>
      </c>
      <c r="B170" s="209">
        <v>1</v>
      </c>
      <c r="C170" s="600">
        <f t="shared" si="3"/>
        <v>55</v>
      </c>
      <c r="D170" s="610" t="s">
        <v>879</v>
      </c>
      <c r="E170" s="611">
        <v>819.11</v>
      </c>
      <c r="F170" s="733">
        <v>193</v>
      </c>
      <c r="G170" s="733">
        <v>200</v>
      </c>
      <c r="H170" s="733">
        <v>6</v>
      </c>
      <c r="I170" s="733">
        <v>3</v>
      </c>
      <c r="J170" s="733">
        <v>38</v>
      </c>
      <c r="K170" s="733">
        <v>299</v>
      </c>
      <c r="L170" s="706">
        <v>0</v>
      </c>
      <c r="M170" s="706">
        <v>0</v>
      </c>
      <c r="N170" s="706">
        <v>0</v>
      </c>
      <c r="O170" s="706">
        <v>134</v>
      </c>
      <c r="P170" s="613"/>
      <c r="Q170" s="613"/>
      <c r="R170" s="613"/>
      <c r="S170" s="613"/>
      <c r="T170" s="613"/>
      <c r="U170" s="613"/>
      <c r="V170" s="613"/>
    </row>
    <row r="171" spans="1:22" ht="14.5" hidden="1" outlineLevel="1" x14ac:dyDescent="0.35">
      <c r="A171" s="209">
        <f t="shared" si="5"/>
        <v>2</v>
      </c>
      <c r="B171" s="209">
        <v>0</v>
      </c>
      <c r="C171" s="600">
        <f t="shared" si="3"/>
        <v>56</v>
      </c>
      <c r="D171" s="610" t="s">
        <v>880</v>
      </c>
      <c r="E171" s="611">
        <v>860.88</v>
      </c>
      <c r="F171" s="733">
        <v>114</v>
      </c>
      <c r="G171" s="733">
        <v>184</v>
      </c>
      <c r="H171" s="733">
        <v>4</v>
      </c>
      <c r="I171" s="733">
        <v>3</v>
      </c>
      <c r="J171" s="733">
        <v>41</v>
      </c>
      <c r="K171" s="733">
        <v>194</v>
      </c>
      <c r="L171" s="706">
        <v>0</v>
      </c>
      <c r="M171" s="706">
        <v>0</v>
      </c>
      <c r="N171" s="706">
        <v>0</v>
      </c>
      <c r="O171" s="706">
        <v>189</v>
      </c>
      <c r="P171" s="613"/>
      <c r="Q171" s="613"/>
      <c r="R171" s="613"/>
      <c r="S171" s="613"/>
      <c r="T171" s="613"/>
      <c r="U171" s="613"/>
      <c r="V171" s="613"/>
    </row>
    <row r="172" spans="1:22" ht="14.5" hidden="1" outlineLevel="1" x14ac:dyDescent="0.35">
      <c r="A172" s="209">
        <v>0</v>
      </c>
      <c r="B172" s="209">
        <v>2</v>
      </c>
      <c r="C172" s="600">
        <f t="shared" si="3"/>
        <v>57</v>
      </c>
      <c r="D172" s="610" t="s">
        <v>881</v>
      </c>
      <c r="E172" s="611">
        <v>404.31</v>
      </c>
      <c r="F172" s="733">
        <v>0</v>
      </c>
      <c r="G172" s="733">
        <v>0</v>
      </c>
      <c r="H172" s="733">
        <v>0</v>
      </c>
      <c r="I172" s="733">
        <v>0</v>
      </c>
      <c r="J172" s="733">
        <v>0</v>
      </c>
      <c r="K172" s="733">
        <v>351</v>
      </c>
      <c r="L172" s="706">
        <v>0</v>
      </c>
      <c r="M172" s="706">
        <v>0</v>
      </c>
      <c r="N172" s="706">
        <v>0</v>
      </c>
      <c r="O172" s="706">
        <v>107</v>
      </c>
      <c r="P172" s="613"/>
      <c r="Q172" s="613"/>
      <c r="R172" s="613"/>
      <c r="S172" s="613"/>
      <c r="T172" s="613"/>
      <c r="U172" s="613"/>
      <c r="V172" s="613"/>
    </row>
    <row r="173" spans="1:22" ht="14.5" hidden="1" outlineLevel="1" x14ac:dyDescent="0.35">
      <c r="A173" s="209">
        <f t="shared" si="5"/>
        <v>0</v>
      </c>
      <c r="B173" s="209">
        <v>0</v>
      </c>
      <c r="C173" s="600">
        <f t="shared" si="3"/>
        <v>58</v>
      </c>
      <c r="D173" s="610" t="s">
        <v>882</v>
      </c>
      <c r="E173" s="611">
        <v>453.45</v>
      </c>
      <c r="F173" s="733">
        <v>0</v>
      </c>
      <c r="G173" s="733">
        <v>0</v>
      </c>
      <c r="H173" s="733">
        <v>0</v>
      </c>
      <c r="I173" s="733">
        <v>0</v>
      </c>
      <c r="J173" s="733">
        <v>0</v>
      </c>
      <c r="K173" s="733">
        <v>238</v>
      </c>
      <c r="L173" s="706">
        <v>0</v>
      </c>
      <c r="M173" s="706">
        <v>0</v>
      </c>
      <c r="N173" s="706">
        <v>0</v>
      </c>
      <c r="O173" s="706">
        <v>191</v>
      </c>
      <c r="P173" s="613"/>
      <c r="Q173" s="613"/>
      <c r="R173" s="613"/>
      <c r="S173" s="613"/>
      <c r="T173" s="613"/>
      <c r="U173" s="613"/>
      <c r="V173" s="613"/>
    </row>
    <row r="174" spans="1:22" ht="14.5" hidden="1" outlineLevel="1" x14ac:dyDescent="0.35">
      <c r="A174" s="209">
        <f t="shared" si="5"/>
        <v>0</v>
      </c>
      <c r="B174" s="209">
        <v>0</v>
      </c>
      <c r="C174" s="600">
        <f t="shared" si="3"/>
        <v>59</v>
      </c>
      <c r="D174" s="610" t="s">
        <v>883</v>
      </c>
      <c r="E174" s="611">
        <v>513.79</v>
      </c>
      <c r="F174" s="733">
        <v>0</v>
      </c>
      <c r="G174" s="733">
        <v>0</v>
      </c>
      <c r="H174" s="733">
        <v>0</v>
      </c>
      <c r="I174" s="733">
        <v>0</v>
      </c>
      <c r="J174" s="733">
        <v>0</v>
      </c>
      <c r="K174" s="733">
        <v>284</v>
      </c>
      <c r="L174" s="706">
        <v>0</v>
      </c>
      <c r="M174" s="706">
        <v>0</v>
      </c>
      <c r="N174" s="706">
        <v>0</v>
      </c>
      <c r="O174" s="706">
        <v>186</v>
      </c>
      <c r="P174" s="613"/>
      <c r="Q174" s="613"/>
      <c r="R174" s="613"/>
      <c r="S174" s="613"/>
      <c r="T174" s="613"/>
      <c r="U174" s="613"/>
      <c r="V174" s="613"/>
    </row>
    <row r="175" spans="1:22" ht="14.5" hidden="1" outlineLevel="1" x14ac:dyDescent="0.35">
      <c r="A175" s="209">
        <f t="shared" si="5"/>
        <v>0</v>
      </c>
      <c r="B175" s="209">
        <v>2</v>
      </c>
      <c r="C175" s="600">
        <f t="shared" si="3"/>
        <v>60</v>
      </c>
      <c r="D175" s="610" t="s">
        <v>884</v>
      </c>
      <c r="E175" s="611">
        <v>491.38</v>
      </c>
      <c r="F175" s="733">
        <v>0</v>
      </c>
      <c r="G175" s="733">
        <v>0</v>
      </c>
      <c r="H175" s="733">
        <v>0</v>
      </c>
      <c r="I175" s="733">
        <v>0</v>
      </c>
      <c r="J175" s="733">
        <v>0</v>
      </c>
      <c r="K175" s="733">
        <v>236</v>
      </c>
      <c r="L175" s="706">
        <v>0</v>
      </c>
      <c r="M175" s="706">
        <v>0</v>
      </c>
      <c r="N175" s="706">
        <v>0</v>
      </c>
      <c r="O175" s="706">
        <v>160</v>
      </c>
      <c r="P175" s="613"/>
      <c r="Q175" s="613"/>
      <c r="R175" s="613"/>
      <c r="S175" s="613"/>
      <c r="T175" s="613"/>
      <c r="U175" s="613"/>
      <c r="V175" s="613"/>
    </row>
    <row r="176" spans="1:22" ht="14.5" hidden="1" outlineLevel="1" x14ac:dyDescent="0.35">
      <c r="A176" s="209">
        <f t="shared" si="5"/>
        <v>0</v>
      </c>
      <c r="B176" s="209">
        <v>0</v>
      </c>
      <c r="C176" s="600">
        <f t="shared" si="3"/>
        <v>61</v>
      </c>
      <c r="D176" s="610" t="s">
        <v>885</v>
      </c>
      <c r="E176" s="611">
        <v>551.72</v>
      </c>
      <c r="F176" s="733">
        <v>0</v>
      </c>
      <c r="G176" s="733">
        <v>0</v>
      </c>
      <c r="H176" s="733">
        <v>0</v>
      </c>
      <c r="I176" s="733">
        <v>0</v>
      </c>
      <c r="J176" s="733">
        <v>0</v>
      </c>
      <c r="K176" s="733">
        <v>314</v>
      </c>
      <c r="L176" s="706">
        <v>0</v>
      </c>
      <c r="M176" s="706">
        <v>0</v>
      </c>
      <c r="N176" s="706">
        <v>0</v>
      </c>
      <c r="O176" s="706">
        <v>263</v>
      </c>
      <c r="P176" s="613"/>
      <c r="Q176" s="613"/>
      <c r="R176" s="613"/>
      <c r="S176" s="613"/>
      <c r="T176" s="613"/>
      <c r="U176" s="613"/>
      <c r="V176" s="613"/>
    </row>
    <row r="177" spans="1:22" ht="14.5" hidden="1" outlineLevel="1" x14ac:dyDescent="0.35">
      <c r="A177" s="209">
        <f t="shared" si="5"/>
        <v>0</v>
      </c>
      <c r="B177" s="209">
        <v>2</v>
      </c>
      <c r="C177" s="600">
        <f t="shared" si="3"/>
        <v>62</v>
      </c>
      <c r="D177" s="610" t="s">
        <v>886</v>
      </c>
      <c r="E177" s="611">
        <v>658.62</v>
      </c>
      <c r="F177" s="733">
        <v>0</v>
      </c>
      <c r="G177" s="733">
        <v>0</v>
      </c>
      <c r="H177" s="733">
        <v>0</v>
      </c>
      <c r="I177" s="733">
        <v>0</v>
      </c>
      <c r="J177" s="733">
        <v>0</v>
      </c>
      <c r="K177" s="733">
        <v>453</v>
      </c>
      <c r="L177" s="706">
        <v>0</v>
      </c>
      <c r="M177" s="706">
        <v>0</v>
      </c>
      <c r="N177" s="706">
        <v>0</v>
      </c>
      <c r="O177" s="706">
        <v>294</v>
      </c>
      <c r="P177" s="613"/>
      <c r="Q177" s="613"/>
      <c r="R177" s="613"/>
      <c r="S177" s="613"/>
      <c r="T177" s="613"/>
      <c r="U177" s="613"/>
      <c r="V177" s="613"/>
    </row>
    <row r="178" spans="1:22" ht="14.5" hidden="1" outlineLevel="1" x14ac:dyDescent="0.35">
      <c r="A178" s="209">
        <f t="shared" si="5"/>
        <v>0</v>
      </c>
      <c r="B178" s="209">
        <v>0</v>
      </c>
      <c r="C178" s="600">
        <f t="shared" si="3"/>
        <v>63</v>
      </c>
      <c r="D178" s="610" t="s">
        <v>887</v>
      </c>
      <c r="E178" s="611">
        <v>617.25</v>
      </c>
      <c r="F178" s="733">
        <v>0</v>
      </c>
      <c r="G178" s="733">
        <v>0</v>
      </c>
      <c r="H178" s="733">
        <v>0</v>
      </c>
      <c r="I178" s="733">
        <v>0</v>
      </c>
      <c r="J178" s="733">
        <v>0</v>
      </c>
      <c r="K178" s="733">
        <v>349</v>
      </c>
      <c r="L178" s="706">
        <v>0</v>
      </c>
      <c r="M178" s="706">
        <v>0</v>
      </c>
      <c r="N178" s="706">
        <v>0</v>
      </c>
      <c r="O178" s="706">
        <v>156</v>
      </c>
      <c r="P178" s="613"/>
      <c r="Q178" s="613"/>
      <c r="R178" s="613"/>
      <c r="S178" s="613"/>
      <c r="T178" s="613"/>
      <c r="U178" s="613"/>
      <c r="V178" s="613"/>
    </row>
    <row r="179" spans="1:22" ht="14.5" hidden="1" outlineLevel="1" x14ac:dyDescent="0.35">
      <c r="A179" s="209">
        <f t="shared" si="5"/>
        <v>0</v>
      </c>
      <c r="B179" s="209">
        <v>2</v>
      </c>
      <c r="C179" s="600">
        <f t="shared" si="3"/>
        <v>64</v>
      </c>
      <c r="D179" s="610" t="s">
        <v>888</v>
      </c>
      <c r="E179" s="611">
        <v>936.21</v>
      </c>
      <c r="F179" s="733">
        <v>0</v>
      </c>
      <c r="G179" s="733">
        <v>0</v>
      </c>
      <c r="H179" s="733">
        <v>0</v>
      </c>
      <c r="I179" s="733">
        <v>0</v>
      </c>
      <c r="J179" s="733">
        <v>0</v>
      </c>
      <c r="K179" s="733">
        <v>743</v>
      </c>
      <c r="L179" s="706">
        <v>0</v>
      </c>
      <c r="M179" s="706">
        <v>0</v>
      </c>
      <c r="N179" s="706">
        <v>0</v>
      </c>
      <c r="O179" s="706">
        <v>189</v>
      </c>
      <c r="P179" s="613"/>
      <c r="Q179" s="613"/>
      <c r="R179" s="613"/>
      <c r="S179" s="613"/>
      <c r="T179" s="613"/>
      <c r="U179" s="613"/>
      <c r="V179" s="613"/>
    </row>
    <row r="180" spans="1:22" ht="14.5" hidden="1" outlineLevel="1" x14ac:dyDescent="0.35">
      <c r="A180" s="209">
        <f t="shared" si="5"/>
        <v>0</v>
      </c>
      <c r="B180" s="209">
        <v>0</v>
      </c>
      <c r="C180" s="600">
        <f t="shared" si="3"/>
        <v>65</v>
      </c>
      <c r="D180" s="610" t="s">
        <v>889</v>
      </c>
      <c r="E180" s="611">
        <v>900</v>
      </c>
      <c r="F180" s="733">
        <v>0</v>
      </c>
      <c r="G180" s="733">
        <v>0</v>
      </c>
      <c r="H180" s="733">
        <v>0</v>
      </c>
      <c r="I180" s="733">
        <v>0</v>
      </c>
      <c r="J180" s="733">
        <v>0</v>
      </c>
      <c r="K180" s="733">
        <v>716</v>
      </c>
      <c r="L180" s="706">
        <v>0</v>
      </c>
      <c r="M180" s="706">
        <v>0</v>
      </c>
      <c r="N180" s="706">
        <v>0</v>
      </c>
      <c r="O180" s="706">
        <v>155</v>
      </c>
      <c r="P180" s="613"/>
      <c r="Q180" s="613"/>
      <c r="R180" s="613"/>
      <c r="S180" s="613"/>
      <c r="T180" s="613"/>
      <c r="U180" s="613"/>
      <c r="V180" s="613"/>
    </row>
    <row r="181" spans="1:22" ht="14.5" hidden="1" outlineLevel="1" x14ac:dyDescent="0.35">
      <c r="A181" s="209">
        <v>1</v>
      </c>
      <c r="B181" s="209">
        <v>1</v>
      </c>
      <c r="C181" s="600">
        <f t="shared" si="3"/>
        <v>66</v>
      </c>
      <c r="D181" s="610" t="s">
        <v>955</v>
      </c>
      <c r="E181" s="611">
        <v>367.29</v>
      </c>
      <c r="F181" s="733">
        <v>143</v>
      </c>
      <c r="G181" s="733">
        <v>2</v>
      </c>
      <c r="H181" s="733">
        <v>2</v>
      </c>
      <c r="I181" s="733">
        <v>1</v>
      </c>
      <c r="J181" s="733">
        <v>34</v>
      </c>
      <c r="K181" s="733">
        <v>207</v>
      </c>
      <c r="L181" s="706">
        <v>0</v>
      </c>
      <c r="M181" s="706">
        <v>0</v>
      </c>
      <c r="N181" s="706">
        <v>0</v>
      </c>
      <c r="O181" s="706">
        <v>0</v>
      </c>
      <c r="P181" s="613"/>
      <c r="Q181" s="613"/>
      <c r="R181" s="613"/>
      <c r="S181" s="613"/>
      <c r="T181" s="613"/>
      <c r="U181" s="613"/>
      <c r="V181" s="613"/>
    </row>
    <row r="182" spans="1:22" ht="14.5" hidden="1" outlineLevel="1" x14ac:dyDescent="0.35">
      <c r="A182" s="209">
        <f t="shared" ref="A182:B197" si="6">A181</f>
        <v>1</v>
      </c>
      <c r="B182" s="209">
        <f t="shared" si="6"/>
        <v>1</v>
      </c>
      <c r="C182" s="600">
        <f t="shared" ref="C182:C223" si="7">1+C181</f>
        <v>67</v>
      </c>
      <c r="D182" s="610" t="s">
        <v>956</v>
      </c>
      <c r="E182" s="611">
        <v>388.4</v>
      </c>
      <c r="F182" s="733">
        <v>190</v>
      </c>
      <c r="G182" s="733">
        <v>2</v>
      </c>
      <c r="H182" s="733">
        <v>3</v>
      </c>
      <c r="I182" s="733">
        <v>1</v>
      </c>
      <c r="J182" s="733">
        <v>29</v>
      </c>
      <c r="K182" s="733">
        <v>208</v>
      </c>
      <c r="L182" s="706">
        <v>0</v>
      </c>
      <c r="M182" s="706">
        <v>0</v>
      </c>
      <c r="N182" s="706">
        <v>0</v>
      </c>
      <c r="O182" s="706">
        <v>0</v>
      </c>
      <c r="P182" s="613"/>
      <c r="Q182" s="613"/>
      <c r="R182" s="613"/>
      <c r="S182" s="613"/>
      <c r="T182" s="613"/>
      <c r="U182" s="613"/>
      <c r="V182" s="613"/>
    </row>
    <row r="183" spans="1:22" ht="14.5" hidden="1" outlineLevel="1" x14ac:dyDescent="0.35">
      <c r="A183" s="209">
        <f t="shared" si="6"/>
        <v>1</v>
      </c>
      <c r="B183" s="209">
        <f t="shared" si="6"/>
        <v>1</v>
      </c>
      <c r="C183" s="600">
        <f t="shared" si="7"/>
        <v>68</v>
      </c>
      <c r="D183" s="610" t="s">
        <v>957</v>
      </c>
      <c r="E183" s="611">
        <v>463.54</v>
      </c>
      <c r="F183" s="733">
        <v>155</v>
      </c>
      <c r="G183" s="733">
        <v>2</v>
      </c>
      <c r="H183" s="733">
        <v>2</v>
      </c>
      <c r="I183" s="733">
        <v>1</v>
      </c>
      <c r="J183" s="733">
        <v>34</v>
      </c>
      <c r="K183" s="733">
        <v>320</v>
      </c>
      <c r="L183" s="706">
        <v>0</v>
      </c>
      <c r="M183" s="706">
        <v>0</v>
      </c>
      <c r="N183" s="706">
        <v>0</v>
      </c>
      <c r="O183" s="706">
        <v>0</v>
      </c>
      <c r="P183" s="613"/>
      <c r="Q183" s="613"/>
      <c r="R183" s="613"/>
      <c r="S183" s="613"/>
      <c r="T183" s="613"/>
      <c r="U183" s="613"/>
      <c r="V183" s="613"/>
    </row>
    <row r="184" spans="1:22" ht="14.5" hidden="1" outlineLevel="1" x14ac:dyDescent="0.35">
      <c r="A184" s="209">
        <f t="shared" si="6"/>
        <v>1</v>
      </c>
      <c r="B184" s="209">
        <f t="shared" si="6"/>
        <v>1</v>
      </c>
      <c r="C184" s="600">
        <f t="shared" si="7"/>
        <v>69</v>
      </c>
      <c r="D184" s="610" t="s">
        <v>958</v>
      </c>
      <c r="E184" s="611">
        <v>607.08000000000004</v>
      </c>
      <c r="F184" s="733">
        <v>195</v>
      </c>
      <c r="G184" s="733">
        <v>14</v>
      </c>
      <c r="H184" s="733">
        <v>10</v>
      </c>
      <c r="I184" s="733">
        <v>5</v>
      </c>
      <c r="J184" s="733">
        <v>44</v>
      </c>
      <c r="K184" s="733">
        <v>483</v>
      </c>
      <c r="L184" s="706">
        <v>0</v>
      </c>
      <c r="M184" s="706">
        <v>0</v>
      </c>
      <c r="N184" s="706">
        <v>0</v>
      </c>
      <c r="O184" s="706">
        <v>0</v>
      </c>
      <c r="P184" s="613"/>
      <c r="Q184" s="613"/>
      <c r="R184" s="613"/>
      <c r="S184" s="613"/>
      <c r="T184" s="613"/>
      <c r="U184" s="613"/>
      <c r="V184" s="613"/>
    </row>
    <row r="185" spans="1:22" ht="14.5" hidden="1" outlineLevel="1" x14ac:dyDescent="0.35">
      <c r="A185" s="209">
        <f t="shared" si="6"/>
        <v>1</v>
      </c>
      <c r="B185" s="209">
        <f t="shared" si="6"/>
        <v>1</v>
      </c>
      <c r="C185" s="600">
        <f t="shared" si="7"/>
        <v>70</v>
      </c>
      <c r="D185" s="610" t="s">
        <v>959</v>
      </c>
      <c r="E185" s="611">
        <v>1037.69</v>
      </c>
      <c r="F185" s="733">
        <v>166</v>
      </c>
      <c r="G185" s="733">
        <v>98</v>
      </c>
      <c r="H185" s="733">
        <v>57</v>
      </c>
      <c r="I185" s="733">
        <v>18</v>
      </c>
      <c r="J185" s="733">
        <v>103</v>
      </c>
      <c r="K185" s="733">
        <v>750</v>
      </c>
      <c r="L185" s="706">
        <v>0</v>
      </c>
      <c r="M185" s="706">
        <v>0</v>
      </c>
      <c r="N185" s="706">
        <v>0</v>
      </c>
      <c r="O185" s="706">
        <v>0</v>
      </c>
      <c r="P185" s="613"/>
      <c r="Q185" s="613"/>
      <c r="R185" s="613"/>
      <c r="S185" s="613"/>
      <c r="T185" s="613"/>
      <c r="U185" s="613"/>
      <c r="V185" s="613"/>
    </row>
    <row r="186" spans="1:22" ht="14.5" hidden="1" outlineLevel="1" x14ac:dyDescent="0.35">
      <c r="A186" s="209">
        <v>0</v>
      </c>
      <c r="B186" s="209">
        <v>2</v>
      </c>
      <c r="C186" s="600">
        <f t="shared" si="7"/>
        <v>71</v>
      </c>
      <c r="D186" s="610" t="s">
        <v>960</v>
      </c>
      <c r="E186" s="611">
        <v>322.41000000000003</v>
      </c>
      <c r="F186" s="733">
        <v>0</v>
      </c>
      <c r="G186" s="733">
        <v>0</v>
      </c>
      <c r="H186" s="733">
        <v>0</v>
      </c>
      <c r="I186" s="733">
        <v>0</v>
      </c>
      <c r="J186" s="733">
        <v>0</v>
      </c>
      <c r="K186" s="733">
        <v>226</v>
      </c>
      <c r="L186" s="706">
        <v>0</v>
      </c>
      <c r="M186" s="706">
        <v>0</v>
      </c>
      <c r="N186" s="706">
        <v>0</v>
      </c>
      <c r="O186" s="706">
        <v>0</v>
      </c>
      <c r="P186" s="613"/>
      <c r="Q186" s="613"/>
      <c r="R186" s="613"/>
      <c r="S186" s="613"/>
      <c r="T186" s="613"/>
      <c r="U186" s="613"/>
      <c r="V186" s="613"/>
    </row>
    <row r="187" spans="1:22" ht="14.5" hidden="1" outlineLevel="1" x14ac:dyDescent="0.35">
      <c r="A187" s="209">
        <f t="shared" si="6"/>
        <v>0</v>
      </c>
      <c r="B187" s="209">
        <f t="shared" si="6"/>
        <v>2</v>
      </c>
      <c r="C187" s="600">
        <f t="shared" si="7"/>
        <v>72</v>
      </c>
      <c r="D187" s="610" t="s">
        <v>961</v>
      </c>
      <c r="E187" s="611">
        <v>365.52</v>
      </c>
      <c r="F187" s="733">
        <v>0</v>
      </c>
      <c r="G187" s="733">
        <v>0</v>
      </c>
      <c r="H187" s="733">
        <v>0</v>
      </c>
      <c r="I187" s="733">
        <v>0</v>
      </c>
      <c r="J187" s="733">
        <v>0</v>
      </c>
      <c r="K187" s="733">
        <v>256</v>
      </c>
      <c r="L187" s="706">
        <v>0</v>
      </c>
      <c r="M187" s="706">
        <v>0</v>
      </c>
      <c r="N187" s="706">
        <v>0</v>
      </c>
      <c r="O187" s="706">
        <v>0</v>
      </c>
      <c r="P187" s="613"/>
      <c r="Q187" s="613"/>
      <c r="R187" s="613"/>
      <c r="S187" s="613"/>
      <c r="T187" s="613"/>
      <c r="U187" s="613"/>
      <c r="V187" s="613"/>
    </row>
    <row r="188" spans="1:22" ht="14.5" hidden="1" outlineLevel="1" x14ac:dyDescent="0.35">
      <c r="A188" s="209">
        <f t="shared" si="6"/>
        <v>0</v>
      </c>
      <c r="B188" s="209">
        <f t="shared" si="6"/>
        <v>2</v>
      </c>
      <c r="C188" s="600">
        <f t="shared" si="7"/>
        <v>73</v>
      </c>
      <c r="D188" s="610" t="s">
        <v>962</v>
      </c>
      <c r="E188" s="611">
        <v>585.34</v>
      </c>
      <c r="F188" s="733">
        <v>0</v>
      </c>
      <c r="G188" s="733">
        <v>0</v>
      </c>
      <c r="H188" s="733">
        <v>0</v>
      </c>
      <c r="I188" s="733">
        <v>0</v>
      </c>
      <c r="J188" s="733">
        <v>0</v>
      </c>
      <c r="K188" s="733">
        <v>690</v>
      </c>
      <c r="L188" s="706">
        <v>0</v>
      </c>
      <c r="M188" s="706">
        <v>0</v>
      </c>
      <c r="N188" s="706">
        <v>0</v>
      </c>
      <c r="O188" s="706">
        <v>0</v>
      </c>
      <c r="P188" s="613"/>
      <c r="Q188" s="613"/>
      <c r="R188" s="613"/>
      <c r="S188" s="613"/>
      <c r="T188" s="613"/>
      <c r="U188" s="613"/>
      <c r="V188" s="613"/>
    </row>
    <row r="189" spans="1:22" ht="14.5" hidden="1" outlineLevel="1" x14ac:dyDescent="0.35">
      <c r="A189" s="209">
        <f t="shared" si="6"/>
        <v>0</v>
      </c>
      <c r="B189" s="209">
        <f t="shared" si="6"/>
        <v>2</v>
      </c>
      <c r="C189" s="600">
        <f t="shared" si="7"/>
        <v>74</v>
      </c>
      <c r="D189" s="610" t="s">
        <v>963</v>
      </c>
      <c r="E189" s="611">
        <v>973.28</v>
      </c>
      <c r="F189" s="733">
        <v>0</v>
      </c>
      <c r="G189" s="733">
        <v>0</v>
      </c>
      <c r="H189" s="733">
        <v>0</v>
      </c>
      <c r="I189" s="733">
        <v>0</v>
      </c>
      <c r="J189" s="733">
        <v>0</v>
      </c>
      <c r="K189" s="733">
        <v>763</v>
      </c>
      <c r="L189" s="706">
        <v>0</v>
      </c>
      <c r="M189" s="706">
        <v>0</v>
      </c>
      <c r="N189" s="706">
        <v>0</v>
      </c>
      <c r="O189" s="706">
        <v>0</v>
      </c>
      <c r="P189" s="613"/>
      <c r="Q189" s="613"/>
      <c r="R189" s="613"/>
      <c r="S189" s="613"/>
      <c r="T189" s="613"/>
      <c r="U189" s="613"/>
      <c r="V189" s="613"/>
    </row>
    <row r="190" spans="1:22" ht="14.5" hidden="1" outlineLevel="1" x14ac:dyDescent="0.35">
      <c r="A190" s="209">
        <v>2</v>
      </c>
      <c r="B190" s="209">
        <v>1</v>
      </c>
      <c r="C190" s="600">
        <f t="shared" si="7"/>
        <v>75</v>
      </c>
      <c r="D190" s="610" t="s">
        <v>1020</v>
      </c>
      <c r="E190" s="611">
        <v>453.34</v>
      </c>
      <c r="F190" s="733">
        <v>100</v>
      </c>
      <c r="G190" s="733">
        <v>2</v>
      </c>
      <c r="H190" s="733">
        <v>2</v>
      </c>
      <c r="I190" s="733">
        <v>1</v>
      </c>
      <c r="J190" s="733">
        <v>33</v>
      </c>
      <c r="K190" s="733">
        <v>119</v>
      </c>
      <c r="L190" s="706">
        <v>0</v>
      </c>
      <c r="M190" s="706">
        <v>0</v>
      </c>
      <c r="N190" s="706">
        <v>0</v>
      </c>
      <c r="O190" s="706">
        <v>127</v>
      </c>
      <c r="P190" s="613"/>
      <c r="Q190" s="613"/>
      <c r="R190" s="613"/>
      <c r="S190" s="613"/>
      <c r="T190" s="613"/>
      <c r="U190" s="613"/>
      <c r="V190" s="613"/>
    </row>
    <row r="191" spans="1:22" ht="14.5" hidden="1" outlineLevel="1" x14ac:dyDescent="0.35">
      <c r="A191" s="209">
        <f t="shared" si="6"/>
        <v>2</v>
      </c>
      <c r="B191" s="209">
        <v>0</v>
      </c>
      <c r="C191" s="600">
        <f t="shared" si="7"/>
        <v>76</v>
      </c>
      <c r="D191" s="610" t="s">
        <v>1021</v>
      </c>
      <c r="E191" s="611">
        <v>500.79</v>
      </c>
      <c r="F191" s="733">
        <v>143</v>
      </c>
      <c r="G191" s="733">
        <v>2</v>
      </c>
      <c r="H191" s="733">
        <v>3</v>
      </c>
      <c r="I191" s="733">
        <v>1</v>
      </c>
      <c r="J191" s="733">
        <v>36</v>
      </c>
      <c r="K191" s="733">
        <v>145</v>
      </c>
      <c r="L191" s="706">
        <v>0</v>
      </c>
      <c r="M191" s="706">
        <v>0</v>
      </c>
      <c r="N191" s="706">
        <v>0</v>
      </c>
      <c r="O191" s="706">
        <v>148</v>
      </c>
      <c r="P191" s="613"/>
      <c r="Q191" s="613"/>
      <c r="R191" s="613"/>
      <c r="S191" s="613"/>
      <c r="T191" s="613"/>
      <c r="U191" s="613"/>
      <c r="V191" s="613"/>
    </row>
    <row r="192" spans="1:22" ht="14.5" hidden="1" outlineLevel="1" x14ac:dyDescent="0.35">
      <c r="A192" s="209">
        <f t="shared" si="6"/>
        <v>2</v>
      </c>
      <c r="B192" s="209">
        <f t="shared" si="6"/>
        <v>0</v>
      </c>
      <c r="C192" s="600">
        <f t="shared" si="7"/>
        <v>77</v>
      </c>
      <c r="D192" s="610" t="s">
        <v>1022</v>
      </c>
      <c r="E192" s="611">
        <v>561.14</v>
      </c>
      <c r="F192" s="733">
        <v>161</v>
      </c>
      <c r="G192" s="733">
        <v>2</v>
      </c>
      <c r="H192" s="733">
        <v>3</v>
      </c>
      <c r="I192" s="733">
        <v>1</v>
      </c>
      <c r="J192" s="733">
        <v>33</v>
      </c>
      <c r="K192" s="733">
        <v>161</v>
      </c>
      <c r="L192" s="706">
        <v>0</v>
      </c>
      <c r="M192" s="706">
        <v>0</v>
      </c>
      <c r="N192" s="706">
        <v>0</v>
      </c>
      <c r="O192" s="706">
        <v>200</v>
      </c>
      <c r="P192" s="613"/>
      <c r="Q192" s="613"/>
      <c r="R192" s="613"/>
      <c r="S192" s="613"/>
      <c r="T192" s="613"/>
      <c r="U192" s="613"/>
      <c r="V192" s="613"/>
    </row>
    <row r="193" spans="1:22" ht="14.5" hidden="1" outlineLevel="1" x14ac:dyDescent="0.35">
      <c r="A193" s="209">
        <f t="shared" si="6"/>
        <v>2</v>
      </c>
      <c r="B193" s="209">
        <v>1</v>
      </c>
      <c r="C193" s="600">
        <f t="shared" si="7"/>
        <v>78</v>
      </c>
      <c r="D193" s="610" t="s">
        <v>1023</v>
      </c>
      <c r="E193" s="611">
        <v>534.55999999999995</v>
      </c>
      <c r="F193" s="733">
        <v>158</v>
      </c>
      <c r="G193" s="733">
        <v>2</v>
      </c>
      <c r="H193" s="733">
        <v>2</v>
      </c>
      <c r="I193" s="733">
        <v>1</v>
      </c>
      <c r="J193" s="733">
        <v>28</v>
      </c>
      <c r="K193" s="733">
        <v>179</v>
      </c>
      <c r="L193" s="706">
        <v>0</v>
      </c>
      <c r="M193" s="706">
        <v>0</v>
      </c>
      <c r="N193" s="706">
        <v>0</v>
      </c>
      <c r="O193" s="706">
        <v>155</v>
      </c>
      <c r="P193" s="613"/>
      <c r="Q193" s="613"/>
      <c r="R193" s="613"/>
      <c r="S193" s="613"/>
      <c r="T193" s="613"/>
      <c r="U193" s="613"/>
      <c r="V193" s="613"/>
    </row>
    <row r="194" spans="1:22" ht="14.5" hidden="1" outlineLevel="1" x14ac:dyDescent="0.35">
      <c r="A194" s="209">
        <f t="shared" si="6"/>
        <v>2</v>
      </c>
      <c r="B194" s="209">
        <v>0</v>
      </c>
      <c r="C194" s="600">
        <f t="shared" si="7"/>
        <v>79</v>
      </c>
      <c r="D194" s="610" t="s">
        <v>1024</v>
      </c>
      <c r="E194" s="611">
        <v>594.91</v>
      </c>
      <c r="F194" s="733">
        <v>166</v>
      </c>
      <c r="G194" s="733">
        <v>2</v>
      </c>
      <c r="H194" s="733">
        <v>3</v>
      </c>
      <c r="I194" s="733">
        <v>1</v>
      </c>
      <c r="J194" s="733">
        <v>30</v>
      </c>
      <c r="K194" s="733">
        <v>243</v>
      </c>
      <c r="L194" s="706">
        <v>0</v>
      </c>
      <c r="M194" s="706">
        <v>0</v>
      </c>
      <c r="N194" s="706">
        <v>0</v>
      </c>
      <c r="O194" s="706">
        <v>244</v>
      </c>
      <c r="P194" s="613"/>
      <c r="Q194" s="613"/>
      <c r="R194" s="613"/>
      <c r="S194" s="613"/>
      <c r="T194" s="613"/>
      <c r="U194" s="613"/>
      <c r="V194" s="613"/>
    </row>
    <row r="195" spans="1:22" ht="14.5" hidden="1" outlineLevel="1" x14ac:dyDescent="0.35">
      <c r="A195" s="209">
        <f t="shared" si="6"/>
        <v>2</v>
      </c>
      <c r="B195" s="209">
        <v>1</v>
      </c>
      <c r="C195" s="600">
        <f t="shared" si="7"/>
        <v>80</v>
      </c>
      <c r="D195" s="610" t="s">
        <v>1025</v>
      </c>
      <c r="E195" s="611">
        <v>607.17999999999995</v>
      </c>
      <c r="F195" s="733">
        <v>110</v>
      </c>
      <c r="G195" s="733">
        <v>2</v>
      </c>
      <c r="H195" s="733">
        <v>2</v>
      </c>
      <c r="I195" s="733">
        <v>1</v>
      </c>
      <c r="J195" s="733">
        <v>26</v>
      </c>
      <c r="K195" s="733">
        <v>296</v>
      </c>
      <c r="L195" s="706">
        <v>0</v>
      </c>
      <c r="M195" s="706">
        <v>0</v>
      </c>
      <c r="N195" s="706">
        <v>0</v>
      </c>
      <c r="O195" s="706">
        <v>165</v>
      </c>
      <c r="P195" s="613"/>
      <c r="Q195" s="613"/>
      <c r="R195" s="613"/>
      <c r="S195" s="613"/>
      <c r="T195" s="613"/>
      <c r="U195" s="613"/>
      <c r="V195" s="613"/>
    </row>
    <row r="196" spans="1:22" ht="14.5" hidden="1" outlineLevel="1" x14ac:dyDescent="0.35">
      <c r="A196" s="209">
        <f t="shared" si="6"/>
        <v>2</v>
      </c>
      <c r="B196" s="209">
        <v>0</v>
      </c>
      <c r="C196" s="600">
        <f t="shared" si="7"/>
        <v>81</v>
      </c>
      <c r="D196" s="610" t="s">
        <v>1026</v>
      </c>
      <c r="E196" s="611">
        <v>666.68</v>
      </c>
      <c r="F196" s="733">
        <v>119</v>
      </c>
      <c r="G196" s="733">
        <v>2</v>
      </c>
      <c r="H196" s="733">
        <v>3</v>
      </c>
      <c r="I196" s="733">
        <v>1</v>
      </c>
      <c r="J196" s="733">
        <v>29</v>
      </c>
      <c r="K196" s="733">
        <v>264</v>
      </c>
      <c r="L196" s="706">
        <v>0</v>
      </c>
      <c r="M196" s="706">
        <v>0</v>
      </c>
      <c r="N196" s="706">
        <v>0</v>
      </c>
      <c r="O196" s="706">
        <v>257</v>
      </c>
      <c r="P196" s="613"/>
      <c r="Q196" s="613"/>
      <c r="R196" s="613"/>
      <c r="S196" s="613"/>
      <c r="T196" s="613"/>
      <c r="U196" s="613"/>
      <c r="V196" s="613"/>
    </row>
    <row r="197" spans="1:22" ht="14.5" hidden="1" outlineLevel="1" x14ac:dyDescent="0.35">
      <c r="A197" s="209">
        <f t="shared" si="6"/>
        <v>2</v>
      </c>
      <c r="B197" s="209">
        <v>1</v>
      </c>
      <c r="C197" s="600">
        <f t="shared" si="7"/>
        <v>82</v>
      </c>
      <c r="D197" s="610" t="s">
        <v>1027</v>
      </c>
      <c r="E197" s="611">
        <v>789.11</v>
      </c>
      <c r="F197" s="733">
        <v>130</v>
      </c>
      <c r="G197" s="733">
        <v>18</v>
      </c>
      <c r="H197" s="733">
        <v>11</v>
      </c>
      <c r="I197" s="733">
        <v>6</v>
      </c>
      <c r="J197" s="733">
        <v>32</v>
      </c>
      <c r="K197" s="733">
        <v>458</v>
      </c>
      <c r="L197" s="706">
        <v>0</v>
      </c>
      <c r="M197" s="706">
        <v>0</v>
      </c>
      <c r="N197" s="706">
        <v>0</v>
      </c>
      <c r="O197" s="706">
        <v>197</v>
      </c>
      <c r="P197" s="613"/>
      <c r="Q197" s="613"/>
      <c r="R197" s="613"/>
      <c r="S197" s="613"/>
      <c r="T197" s="613"/>
      <c r="U197" s="613"/>
      <c r="V197" s="613"/>
    </row>
    <row r="198" spans="1:22" ht="14.5" hidden="1" outlineLevel="1" x14ac:dyDescent="0.35">
      <c r="A198" s="209">
        <f t="shared" ref="A198:A209" si="8">A197</f>
        <v>2</v>
      </c>
      <c r="B198" s="209">
        <v>0</v>
      </c>
      <c r="C198" s="600">
        <f t="shared" si="7"/>
        <v>83</v>
      </c>
      <c r="D198" s="610" t="s">
        <v>1028</v>
      </c>
      <c r="E198" s="611">
        <v>746.49</v>
      </c>
      <c r="F198" s="733">
        <v>116</v>
      </c>
      <c r="G198" s="733">
        <v>17</v>
      </c>
      <c r="H198" s="733">
        <v>12</v>
      </c>
      <c r="I198" s="733">
        <v>4</v>
      </c>
      <c r="J198" s="733">
        <v>35</v>
      </c>
      <c r="K198" s="733">
        <v>474</v>
      </c>
      <c r="L198" s="706">
        <v>0</v>
      </c>
      <c r="M198" s="706">
        <v>0</v>
      </c>
      <c r="N198" s="706">
        <v>0</v>
      </c>
      <c r="O198" s="706">
        <v>171</v>
      </c>
      <c r="P198" s="613"/>
      <c r="Q198" s="613"/>
      <c r="R198" s="613"/>
      <c r="S198" s="613"/>
      <c r="T198" s="613"/>
      <c r="U198" s="613"/>
      <c r="V198" s="613"/>
    </row>
    <row r="199" spans="1:22" ht="14.5" hidden="1" outlineLevel="1" x14ac:dyDescent="0.35">
      <c r="A199" s="209">
        <f t="shared" si="8"/>
        <v>2</v>
      </c>
      <c r="B199" s="209">
        <v>1</v>
      </c>
      <c r="C199" s="600">
        <f t="shared" si="7"/>
        <v>84</v>
      </c>
      <c r="D199" s="610" t="s">
        <v>1029</v>
      </c>
      <c r="E199" s="611">
        <v>1202.83</v>
      </c>
      <c r="F199" s="733">
        <v>73</v>
      </c>
      <c r="G199" s="733">
        <v>94</v>
      </c>
      <c r="H199" s="733">
        <v>54</v>
      </c>
      <c r="I199" s="733">
        <v>19</v>
      </c>
      <c r="J199" s="733">
        <v>81</v>
      </c>
      <c r="K199" s="733">
        <v>672</v>
      </c>
      <c r="L199" s="706">
        <v>0</v>
      </c>
      <c r="M199" s="706">
        <v>0</v>
      </c>
      <c r="N199" s="706">
        <v>0</v>
      </c>
      <c r="O199" s="706">
        <v>267</v>
      </c>
      <c r="P199" s="613"/>
      <c r="Q199" s="613"/>
      <c r="R199" s="613"/>
      <c r="S199" s="613"/>
      <c r="T199" s="613"/>
      <c r="U199" s="613"/>
      <c r="V199" s="613"/>
    </row>
    <row r="200" spans="1:22" ht="14.5" hidden="1" outlineLevel="1" x14ac:dyDescent="0.35">
      <c r="A200" s="209">
        <f t="shared" si="8"/>
        <v>2</v>
      </c>
      <c r="B200" s="209">
        <v>0</v>
      </c>
      <c r="C200" s="600">
        <f t="shared" si="7"/>
        <v>85</v>
      </c>
      <c r="D200" s="610" t="s">
        <v>1030</v>
      </c>
      <c r="E200" s="611">
        <v>1163.5999999999999</v>
      </c>
      <c r="F200" s="733">
        <v>147</v>
      </c>
      <c r="G200" s="733">
        <v>89</v>
      </c>
      <c r="H200" s="733">
        <v>67</v>
      </c>
      <c r="I200" s="733">
        <v>17</v>
      </c>
      <c r="J200" s="733">
        <v>96</v>
      </c>
      <c r="K200" s="733">
        <v>761</v>
      </c>
      <c r="L200" s="706">
        <v>0</v>
      </c>
      <c r="M200" s="706">
        <v>0</v>
      </c>
      <c r="N200" s="706">
        <v>0</v>
      </c>
      <c r="O200" s="706">
        <v>166</v>
      </c>
      <c r="P200" s="613"/>
      <c r="Q200" s="613"/>
      <c r="R200" s="613"/>
      <c r="S200" s="613"/>
      <c r="T200" s="613"/>
      <c r="U200" s="613"/>
      <c r="V200" s="613"/>
    </row>
    <row r="201" spans="1:22" ht="14.5" hidden="1" outlineLevel="1" x14ac:dyDescent="0.35">
      <c r="A201" s="209">
        <v>0</v>
      </c>
      <c r="B201" s="209">
        <v>2</v>
      </c>
      <c r="C201" s="600">
        <f t="shared" si="7"/>
        <v>86</v>
      </c>
      <c r="D201" s="610" t="s">
        <v>1031</v>
      </c>
      <c r="E201" s="611">
        <v>425.86</v>
      </c>
      <c r="F201" s="733">
        <v>0</v>
      </c>
      <c r="G201" s="733">
        <v>0</v>
      </c>
      <c r="H201" s="733">
        <v>0</v>
      </c>
      <c r="I201" s="733">
        <v>0</v>
      </c>
      <c r="J201" s="733">
        <v>0</v>
      </c>
      <c r="K201" s="733">
        <v>235</v>
      </c>
      <c r="L201" s="706">
        <v>0</v>
      </c>
      <c r="M201" s="706">
        <v>0</v>
      </c>
      <c r="N201" s="706">
        <v>0</v>
      </c>
      <c r="O201" s="706">
        <v>106</v>
      </c>
      <c r="P201" s="613"/>
      <c r="Q201" s="613"/>
      <c r="R201" s="613"/>
      <c r="S201" s="613"/>
      <c r="T201" s="613"/>
      <c r="U201" s="613"/>
      <c r="V201" s="613"/>
    </row>
    <row r="202" spans="1:22" ht="14.5" hidden="1" outlineLevel="1" x14ac:dyDescent="0.35">
      <c r="A202" s="209">
        <f t="shared" si="8"/>
        <v>0</v>
      </c>
      <c r="B202" s="209">
        <v>0</v>
      </c>
      <c r="C202" s="600">
        <f t="shared" si="7"/>
        <v>87</v>
      </c>
      <c r="D202" s="610" t="s">
        <v>1032</v>
      </c>
      <c r="E202" s="611">
        <v>473.28</v>
      </c>
      <c r="F202" s="733">
        <v>0</v>
      </c>
      <c r="G202" s="733">
        <v>0</v>
      </c>
      <c r="H202" s="733">
        <v>0</v>
      </c>
      <c r="I202" s="733">
        <v>0</v>
      </c>
      <c r="J202" s="733">
        <v>0</v>
      </c>
      <c r="K202" s="733">
        <v>247</v>
      </c>
      <c r="L202" s="706">
        <v>0</v>
      </c>
      <c r="M202" s="706">
        <v>0</v>
      </c>
      <c r="N202" s="706">
        <v>0</v>
      </c>
      <c r="O202" s="706">
        <v>121</v>
      </c>
      <c r="P202" s="613"/>
      <c r="Q202" s="613"/>
      <c r="R202" s="613"/>
      <c r="S202" s="613"/>
      <c r="T202" s="613"/>
      <c r="U202" s="613"/>
      <c r="V202" s="613"/>
    </row>
    <row r="203" spans="1:22" ht="14.5" hidden="1" outlineLevel="1" x14ac:dyDescent="0.35">
      <c r="A203" s="209">
        <f t="shared" si="8"/>
        <v>0</v>
      </c>
      <c r="B203" s="209">
        <v>0</v>
      </c>
      <c r="C203" s="600">
        <f t="shared" si="7"/>
        <v>88</v>
      </c>
      <c r="D203" s="610" t="s">
        <v>1033</v>
      </c>
      <c r="E203" s="611">
        <v>533.62</v>
      </c>
      <c r="F203" s="733">
        <v>0</v>
      </c>
      <c r="G203" s="733">
        <v>0</v>
      </c>
      <c r="H203" s="733">
        <v>0</v>
      </c>
      <c r="I203" s="733">
        <v>0</v>
      </c>
      <c r="J203" s="733">
        <v>0</v>
      </c>
      <c r="K203" s="733">
        <v>248</v>
      </c>
      <c r="L203" s="706">
        <v>0</v>
      </c>
      <c r="M203" s="706">
        <v>0</v>
      </c>
      <c r="N203" s="706">
        <v>0</v>
      </c>
      <c r="O203" s="706">
        <v>225</v>
      </c>
      <c r="P203" s="613"/>
      <c r="Q203" s="613"/>
      <c r="R203" s="613"/>
      <c r="S203" s="613"/>
      <c r="T203" s="613"/>
      <c r="U203" s="613"/>
      <c r="V203" s="613"/>
    </row>
    <row r="204" spans="1:22" ht="14.5" hidden="1" outlineLevel="1" x14ac:dyDescent="0.35">
      <c r="A204" s="209">
        <f t="shared" si="8"/>
        <v>0</v>
      </c>
      <c r="B204" s="209">
        <v>2</v>
      </c>
      <c r="C204" s="600">
        <f t="shared" si="7"/>
        <v>89</v>
      </c>
      <c r="D204" s="610" t="s">
        <v>1034</v>
      </c>
      <c r="E204" s="611">
        <v>512.07000000000005</v>
      </c>
      <c r="F204" s="733">
        <v>0</v>
      </c>
      <c r="G204" s="733">
        <v>0</v>
      </c>
      <c r="H204" s="733">
        <v>0</v>
      </c>
      <c r="I204" s="733">
        <v>0</v>
      </c>
      <c r="J204" s="733">
        <v>0</v>
      </c>
      <c r="K204" s="733">
        <v>347</v>
      </c>
      <c r="L204" s="706">
        <v>0</v>
      </c>
      <c r="M204" s="706">
        <v>0</v>
      </c>
      <c r="N204" s="706">
        <v>0</v>
      </c>
      <c r="O204" s="706">
        <v>198</v>
      </c>
      <c r="P204" s="613"/>
      <c r="Q204" s="613"/>
      <c r="R204" s="613"/>
      <c r="S204" s="613"/>
      <c r="T204" s="613"/>
      <c r="U204" s="613"/>
      <c r="V204" s="613"/>
    </row>
    <row r="205" spans="1:22" ht="14.5" hidden="1" outlineLevel="1" x14ac:dyDescent="0.35">
      <c r="A205" s="209">
        <f t="shared" si="8"/>
        <v>0</v>
      </c>
      <c r="B205" s="209">
        <v>0</v>
      </c>
      <c r="C205" s="600">
        <f t="shared" si="7"/>
        <v>90</v>
      </c>
      <c r="D205" s="610" t="s">
        <v>1035</v>
      </c>
      <c r="E205" s="611">
        <v>572.41</v>
      </c>
      <c r="F205" s="733">
        <v>0</v>
      </c>
      <c r="G205" s="733">
        <v>0</v>
      </c>
      <c r="H205" s="733">
        <v>0</v>
      </c>
      <c r="I205" s="733">
        <v>0</v>
      </c>
      <c r="J205" s="733">
        <v>0</v>
      </c>
      <c r="K205" s="733">
        <v>412</v>
      </c>
      <c r="L205" s="706">
        <v>0</v>
      </c>
      <c r="M205" s="706">
        <v>0</v>
      </c>
      <c r="N205" s="706">
        <v>0</v>
      </c>
      <c r="O205" s="706">
        <v>252</v>
      </c>
      <c r="P205" s="613"/>
      <c r="Q205" s="613"/>
      <c r="R205" s="613"/>
      <c r="S205" s="613"/>
      <c r="T205" s="613"/>
      <c r="U205" s="613"/>
      <c r="V205" s="613"/>
    </row>
    <row r="206" spans="1:22" ht="14.5" hidden="1" outlineLevel="1" x14ac:dyDescent="0.35">
      <c r="A206" s="209">
        <f t="shared" si="8"/>
        <v>0</v>
      </c>
      <c r="B206" s="209">
        <v>2</v>
      </c>
      <c r="C206" s="600">
        <f t="shared" si="7"/>
        <v>91</v>
      </c>
      <c r="D206" s="610" t="s">
        <v>1036</v>
      </c>
      <c r="E206" s="611">
        <v>715.52</v>
      </c>
      <c r="F206" s="735">
        <v>0</v>
      </c>
      <c r="G206" s="733">
        <v>0</v>
      </c>
      <c r="H206" s="733">
        <v>0</v>
      </c>
      <c r="I206" s="733">
        <v>0</v>
      </c>
      <c r="J206" s="733">
        <v>0</v>
      </c>
      <c r="K206" s="733">
        <v>692</v>
      </c>
      <c r="L206" s="706">
        <v>0</v>
      </c>
      <c r="M206" s="706">
        <v>0</v>
      </c>
      <c r="N206" s="706">
        <v>0</v>
      </c>
      <c r="O206" s="706">
        <v>150</v>
      </c>
      <c r="P206" s="613"/>
      <c r="Q206" s="613"/>
      <c r="R206" s="613"/>
      <c r="S206" s="613"/>
      <c r="T206" s="613"/>
      <c r="U206" s="613"/>
      <c r="V206" s="613"/>
    </row>
    <row r="207" spans="1:22" ht="14.5" hidden="1" outlineLevel="1" x14ac:dyDescent="0.35">
      <c r="A207" s="209">
        <f t="shared" si="8"/>
        <v>0</v>
      </c>
      <c r="B207" s="209">
        <v>0</v>
      </c>
      <c r="C207" s="600">
        <f t="shared" si="7"/>
        <v>92</v>
      </c>
      <c r="D207" s="610" t="s">
        <v>1037</v>
      </c>
      <c r="E207" s="611">
        <v>757.76</v>
      </c>
      <c r="F207" s="735">
        <v>0</v>
      </c>
      <c r="G207" s="733">
        <v>0</v>
      </c>
      <c r="H207" s="733">
        <v>0</v>
      </c>
      <c r="I207" s="733">
        <v>0</v>
      </c>
      <c r="J207" s="733">
        <v>0</v>
      </c>
      <c r="K207" s="733">
        <v>561</v>
      </c>
      <c r="L207" s="706">
        <v>0</v>
      </c>
      <c r="M207" s="706">
        <v>0</v>
      </c>
      <c r="N207" s="706">
        <v>0</v>
      </c>
      <c r="O207" s="706">
        <v>232</v>
      </c>
      <c r="P207" s="613"/>
      <c r="Q207" s="613"/>
      <c r="R207" s="613"/>
      <c r="S207" s="613"/>
      <c r="T207" s="613"/>
      <c r="U207" s="613"/>
      <c r="V207" s="613"/>
    </row>
    <row r="208" spans="1:22" ht="14.5" hidden="1" outlineLevel="1" x14ac:dyDescent="0.35">
      <c r="A208" s="209">
        <f t="shared" si="8"/>
        <v>0</v>
      </c>
      <c r="B208" s="209">
        <v>2</v>
      </c>
      <c r="C208" s="600">
        <f t="shared" si="7"/>
        <v>93</v>
      </c>
      <c r="D208" s="610" t="s">
        <v>1038</v>
      </c>
      <c r="E208" s="611">
        <v>1137.07</v>
      </c>
      <c r="F208" s="733">
        <v>0</v>
      </c>
      <c r="G208" s="733">
        <v>0</v>
      </c>
      <c r="H208" s="733">
        <v>0</v>
      </c>
      <c r="I208" s="733">
        <v>0</v>
      </c>
      <c r="J208" s="733">
        <v>0</v>
      </c>
      <c r="K208" s="733">
        <v>718</v>
      </c>
      <c r="L208" s="706">
        <v>0</v>
      </c>
      <c r="M208" s="706">
        <v>0</v>
      </c>
      <c r="N208" s="706">
        <v>0</v>
      </c>
      <c r="O208" s="706">
        <v>231</v>
      </c>
      <c r="P208" s="613"/>
      <c r="Q208" s="613"/>
      <c r="R208" s="613"/>
      <c r="S208" s="613"/>
      <c r="T208" s="613"/>
      <c r="U208" s="613"/>
      <c r="V208" s="613"/>
    </row>
    <row r="209" spans="1:22" ht="14.5" hidden="1" outlineLevel="1" x14ac:dyDescent="0.35">
      <c r="A209" s="209">
        <f t="shared" si="8"/>
        <v>0</v>
      </c>
      <c r="B209" s="209">
        <v>0</v>
      </c>
      <c r="C209" s="600">
        <f t="shared" si="7"/>
        <v>94</v>
      </c>
      <c r="D209" s="610" t="s">
        <v>1039</v>
      </c>
      <c r="E209" s="611">
        <v>1098.28</v>
      </c>
      <c r="F209" s="733">
        <v>0</v>
      </c>
      <c r="G209" s="733">
        <v>0</v>
      </c>
      <c r="H209" s="733">
        <v>0</v>
      </c>
      <c r="I209" s="733">
        <v>0</v>
      </c>
      <c r="J209" s="733">
        <v>0</v>
      </c>
      <c r="K209" s="733">
        <v>763</v>
      </c>
      <c r="L209" s="706">
        <v>0</v>
      </c>
      <c r="M209" s="706">
        <v>0</v>
      </c>
      <c r="N209" s="706">
        <v>0</v>
      </c>
      <c r="O209" s="706">
        <v>215</v>
      </c>
      <c r="P209" s="613"/>
      <c r="Q209" s="613"/>
      <c r="R209" s="613"/>
      <c r="S209" s="613"/>
      <c r="T209" s="613"/>
      <c r="U209" s="613"/>
      <c r="V209" s="613"/>
    </row>
    <row r="210" spans="1:22" ht="14.5" hidden="1" outlineLevel="1" x14ac:dyDescent="0.35">
      <c r="C210" s="600">
        <f t="shared" si="7"/>
        <v>95</v>
      </c>
      <c r="D210" s="610" t="s">
        <v>817</v>
      </c>
      <c r="E210" s="612">
        <v>86.21</v>
      </c>
      <c r="F210" s="733">
        <v>0</v>
      </c>
      <c r="G210" s="733">
        <v>0</v>
      </c>
      <c r="H210" s="733">
        <v>0</v>
      </c>
      <c r="I210" s="733">
        <v>0</v>
      </c>
      <c r="J210" s="733">
        <v>0</v>
      </c>
      <c r="K210" s="733">
        <v>99</v>
      </c>
      <c r="L210" s="706">
        <v>0</v>
      </c>
      <c r="M210" s="706">
        <v>0</v>
      </c>
      <c r="N210" s="706">
        <v>0</v>
      </c>
      <c r="O210" s="706">
        <v>0</v>
      </c>
      <c r="P210" s="613"/>
      <c r="Q210" s="613"/>
      <c r="R210" s="613"/>
      <c r="S210" s="614"/>
      <c r="T210" s="613"/>
      <c r="U210" s="613"/>
      <c r="V210" s="613"/>
    </row>
    <row r="211" spans="1:22" ht="14.5" hidden="1" outlineLevel="1" x14ac:dyDescent="0.35">
      <c r="C211" s="600">
        <f t="shared" si="7"/>
        <v>96</v>
      </c>
      <c r="D211" s="610" t="s">
        <v>818</v>
      </c>
      <c r="E211" s="612">
        <v>172.41</v>
      </c>
      <c r="F211" s="733">
        <v>0</v>
      </c>
      <c r="G211" s="733">
        <v>0</v>
      </c>
      <c r="H211" s="733">
        <v>0</v>
      </c>
      <c r="I211" s="733">
        <v>0</v>
      </c>
      <c r="J211" s="733">
        <v>0</v>
      </c>
      <c r="K211" s="733">
        <v>221</v>
      </c>
      <c r="L211" s="706">
        <v>0</v>
      </c>
      <c r="M211" s="706">
        <v>0</v>
      </c>
      <c r="N211" s="706">
        <v>0</v>
      </c>
      <c r="O211" s="706">
        <v>0</v>
      </c>
      <c r="P211" s="613"/>
      <c r="Q211" s="613"/>
      <c r="R211" s="613"/>
      <c r="S211" s="614"/>
      <c r="T211" s="613"/>
      <c r="U211" s="613"/>
      <c r="V211" s="613"/>
    </row>
    <row r="212" spans="1:22" ht="14.5" hidden="1" outlineLevel="1" x14ac:dyDescent="0.35">
      <c r="C212" s="600">
        <f t="shared" si="7"/>
        <v>97</v>
      </c>
      <c r="D212" s="610" t="s">
        <v>1043</v>
      </c>
      <c r="E212" s="612">
        <v>258.62</v>
      </c>
      <c r="F212" s="733">
        <v>0</v>
      </c>
      <c r="G212" s="733">
        <v>0</v>
      </c>
      <c r="H212" s="733">
        <v>0</v>
      </c>
      <c r="I212" s="733">
        <v>0</v>
      </c>
      <c r="J212" s="733">
        <v>0</v>
      </c>
      <c r="K212" s="733">
        <v>236</v>
      </c>
      <c r="L212" s="706">
        <v>0</v>
      </c>
      <c r="M212" s="706">
        <v>0</v>
      </c>
      <c r="N212" s="706">
        <v>0</v>
      </c>
      <c r="O212" s="706">
        <v>0</v>
      </c>
      <c r="P212" s="613"/>
      <c r="Q212" s="613"/>
      <c r="R212" s="613"/>
      <c r="S212" s="614"/>
      <c r="T212" s="613"/>
      <c r="U212" s="613"/>
      <c r="V212" s="613"/>
    </row>
    <row r="213" spans="1:22" ht="14.5" hidden="1" outlineLevel="1" x14ac:dyDescent="0.35">
      <c r="C213" s="600">
        <f t="shared" si="7"/>
        <v>98</v>
      </c>
      <c r="D213" s="610" t="s">
        <v>844</v>
      </c>
      <c r="E213" s="612">
        <v>344.83</v>
      </c>
      <c r="F213" s="733">
        <v>0</v>
      </c>
      <c r="G213" s="733">
        <v>0</v>
      </c>
      <c r="H213" s="733">
        <v>0</v>
      </c>
      <c r="I213" s="733">
        <v>0</v>
      </c>
      <c r="J213" s="733">
        <v>0</v>
      </c>
      <c r="K213" s="733">
        <v>262</v>
      </c>
      <c r="L213" s="706">
        <v>0</v>
      </c>
      <c r="M213" s="706">
        <v>0</v>
      </c>
      <c r="N213" s="706">
        <v>0</v>
      </c>
      <c r="O213" s="706">
        <v>0</v>
      </c>
      <c r="P213" s="613"/>
      <c r="Q213" s="613"/>
      <c r="R213" s="613"/>
      <c r="S213" s="614"/>
      <c r="T213" s="613"/>
      <c r="U213" s="613"/>
      <c r="V213" s="613"/>
    </row>
    <row r="214" spans="1:22" ht="14.5" hidden="1" outlineLevel="1" x14ac:dyDescent="0.35">
      <c r="C214" s="600">
        <f t="shared" si="7"/>
        <v>99</v>
      </c>
      <c r="D214" s="610" t="s">
        <v>845</v>
      </c>
      <c r="E214" s="612">
        <v>387.93</v>
      </c>
      <c r="F214" s="733">
        <v>0</v>
      </c>
      <c r="G214" s="733">
        <v>0</v>
      </c>
      <c r="H214" s="733">
        <v>0</v>
      </c>
      <c r="I214" s="733">
        <v>0</v>
      </c>
      <c r="J214" s="733">
        <v>0</v>
      </c>
      <c r="K214" s="733">
        <v>309</v>
      </c>
      <c r="L214" s="706">
        <v>0</v>
      </c>
      <c r="M214" s="706">
        <v>0</v>
      </c>
      <c r="N214" s="706">
        <v>0</v>
      </c>
      <c r="O214" s="706">
        <v>0</v>
      </c>
      <c r="P214" s="613"/>
      <c r="Q214" s="613"/>
      <c r="R214" s="613"/>
      <c r="S214" s="614"/>
      <c r="T214" s="613"/>
      <c r="U214" s="613"/>
      <c r="V214" s="613"/>
    </row>
    <row r="215" spans="1:22" ht="14.5" hidden="1" outlineLevel="1" x14ac:dyDescent="0.35">
      <c r="C215" s="600">
        <f t="shared" si="7"/>
        <v>100</v>
      </c>
      <c r="D215" s="610" t="s">
        <v>846</v>
      </c>
      <c r="E215" s="612">
        <v>431.03</v>
      </c>
      <c r="F215" s="733">
        <v>0</v>
      </c>
      <c r="G215" s="733">
        <v>0</v>
      </c>
      <c r="H215" s="733">
        <v>0</v>
      </c>
      <c r="I215" s="733">
        <v>0</v>
      </c>
      <c r="J215" s="733">
        <v>0</v>
      </c>
      <c r="K215" s="733">
        <v>324</v>
      </c>
      <c r="L215" s="706">
        <v>0</v>
      </c>
      <c r="M215" s="706">
        <v>0</v>
      </c>
      <c r="N215" s="706">
        <v>0</v>
      </c>
      <c r="O215" s="706">
        <v>0</v>
      </c>
      <c r="P215" s="613"/>
      <c r="Q215" s="613"/>
      <c r="R215" s="613"/>
      <c r="S215" s="614"/>
      <c r="T215" s="613"/>
      <c r="U215" s="613"/>
      <c r="V215" s="613"/>
    </row>
    <row r="216" spans="1:22" ht="14.5" hidden="1" outlineLevel="1" x14ac:dyDescent="0.35">
      <c r="C216" s="600">
        <f t="shared" si="7"/>
        <v>101</v>
      </c>
      <c r="D216" s="610" t="s">
        <v>1044</v>
      </c>
      <c r="E216" s="612">
        <v>86.21</v>
      </c>
      <c r="F216" s="733">
        <v>0</v>
      </c>
      <c r="G216" s="733">
        <v>0</v>
      </c>
      <c r="H216" s="733">
        <v>0</v>
      </c>
      <c r="I216" s="733">
        <v>0</v>
      </c>
      <c r="J216" s="733">
        <v>0</v>
      </c>
      <c r="K216" s="733">
        <v>95</v>
      </c>
      <c r="L216" s="706">
        <v>0</v>
      </c>
      <c r="M216" s="706">
        <v>0</v>
      </c>
      <c r="N216" s="706">
        <v>0</v>
      </c>
      <c r="O216" s="706">
        <v>0</v>
      </c>
      <c r="P216" s="613"/>
      <c r="Q216" s="613"/>
      <c r="R216" s="613"/>
      <c r="S216" s="614"/>
      <c r="T216" s="613"/>
      <c r="U216" s="613"/>
      <c r="V216" s="613"/>
    </row>
    <row r="217" spans="1:22" ht="14.5" hidden="1" outlineLevel="1" x14ac:dyDescent="0.35">
      <c r="C217" s="600">
        <f t="shared" si="7"/>
        <v>102</v>
      </c>
      <c r="D217" s="610" t="s">
        <v>1045</v>
      </c>
      <c r="E217" s="612">
        <v>86.21</v>
      </c>
      <c r="F217" s="733">
        <v>0</v>
      </c>
      <c r="G217" s="733">
        <v>0</v>
      </c>
      <c r="H217" s="733">
        <v>0</v>
      </c>
      <c r="I217" s="733">
        <v>0</v>
      </c>
      <c r="J217" s="733">
        <v>0</v>
      </c>
      <c r="K217" s="733">
        <v>90</v>
      </c>
      <c r="L217" s="706">
        <v>0</v>
      </c>
      <c r="M217" s="706">
        <v>0</v>
      </c>
      <c r="N217" s="706">
        <v>0</v>
      </c>
      <c r="O217" s="706">
        <v>0</v>
      </c>
      <c r="P217" s="613"/>
      <c r="Q217" s="613"/>
      <c r="R217" s="613"/>
      <c r="S217" s="614"/>
      <c r="T217" s="613"/>
      <c r="U217" s="613"/>
      <c r="V217" s="613"/>
    </row>
    <row r="218" spans="1:22" ht="14.5" hidden="1" outlineLevel="1" x14ac:dyDescent="0.35">
      <c r="C218" s="600">
        <f t="shared" si="7"/>
        <v>103</v>
      </c>
      <c r="D218" s="610" t="s">
        <v>1046</v>
      </c>
      <c r="E218" s="612">
        <v>86.21</v>
      </c>
      <c r="F218" s="733">
        <v>0</v>
      </c>
      <c r="G218" s="733">
        <v>0</v>
      </c>
      <c r="H218" s="733">
        <v>0</v>
      </c>
      <c r="I218" s="733">
        <v>0</v>
      </c>
      <c r="J218" s="733">
        <v>0</v>
      </c>
      <c r="K218" s="733">
        <v>73</v>
      </c>
      <c r="L218" s="706">
        <v>0</v>
      </c>
      <c r="M218" s="706">
        <v>0</v>
      </c>
      <c r="N218" s="706">
        <v>0</v>
      </c>
      <c r="O218" s="706">
        <v>0</v>
      </c>
      <c r="P218" s="613"/>
      <c r="Q218" s="613"/>
      <c r="R218" s="613"/>
      <c r="S218" s="614"/>
      <c r="T218" s="613"/>
      <c r="U218" s="613"/>
      <c r="V218" s="613"/>
    </row>
    <row r="219" spans="1:22" ht="14.5" hidden="1" outlineLevel="1" x14ac:dyDescent="0.35">
      <c r="C219" s="600">
        <f t="shared" si="7"/>
        <v>104</v>
      </c>
      <c r="D219" s="610" t="s">
        <v>1047</v>
      </c>
      <c r="E219" s="612">
        <v>172.41</v>
      </c>
      <c r="F219" s="733">
        <v>0</v>
      </c>
      <c r="G219" s="733">
        <v>0</v>
      </c>
      <c r="H219" s="733">
        <v>0</v>
      </c>
      <c r="I219" s="733">
        <v>0</v>
      </c>
      <c r="J219" s="733">
        <v>0</v>
      </c>
      <c r="K219" s="733">
        <v>224</v>
      </c>
      <c r="L219" s="706">
        <v>0</v>
      </c>
      <c r="M219" s="706">
        <v>0</v>
      </c>
      <c r="N219" s="706">
        <v>0</v>
      </c>
      <c r="O219" s="706">
        <v>0</v>
      </c>
      <c r="P219" s="613"/>
      <c r="Q219" s="613"/>
      <c r="R219" s="613"/>
      <c r="S219" s="614"/>
      <c r="T219" s="613"/>
      <c r="U219" s="613"/>
      <c r="V219" s="613"/>
    </row>
    <row r="220" spans="1:22" ht="14.5" hidden="1" outlineLevel="1" x14ac:dyDescent="0.35">
      <c r="C220" s="600">
        <f t="shared" si="7"/>
        <v>105</v>
      </c>
      <c r="D220" s="610" t="s">
        <v>1048</v>
      </c>
      <c r="E220" s="612">
        <v>172.41</v>
      </c>
      <c r="F220" s="733">
        <v>0</v>
      </c>
      <c r="G220" s="733">
        <v>0</v>
      </c>
      <c r="H220" s="733">
        <v>0</v>
      </c>
      <c r="I220" s="733">
        <v>0</v>
      </c>
      <c r="J220" s="733">
        <v>0</v>
      </c>
      <c r="K220" s="733">
        <v>221</v>
      </c>
      <c r="L220" s="706">
        <v>0</v>
      </c>
      <c r="M220" s="706">
        <v>0</v>
      </c>
      <c r="N220" s="706">
        <v>0</v>
      </c>
      <c r="O220" s="706">
        <v>0</v>
      </c>
      <c r="P220" s="613"/>
      <c r="Q220" s="613"/>
      <c r="R220" s="613"/>
      <c r="S220" s="614"/>
      <c r="T220" s="613"/>
      <c r="U220" s="613"/>
      <c r="V220" s="613"/>
    </row>
    <row r="221" spans="1:22" ht="14.5" hidden="1" outlineLevel="1" x14ac:dyDescent="0.35">
      <c r="C221" s="600">
        <f t="shared" si="7"/>
        <v>106</v>
      </c>
      <c r="D221" s="610" t="s">
        <v>1049</v>
      </c>
      <c r="E221" s="612">
        <v>258.62</v>
      </c>
      <c r="F221" s="733">
        <v>0</v>
      </c>
      <c r="G221" s="733">
        <v>0</v>
      </c>
      <c r="H221" s="733">
        <v>0</v>
      </c>
      <c r="I221" s="733">
        <v>0</v>
      </c>
      <c r="J221" s="733">
        <v>0</v>
      </c>
      <c r="K221" s="733">
        <v>272</v>
      </c>
      <c r="L221" s="706">
        <v>0</v>
      </c>
      <c r="M221" s="706">
        <v>0</v>
      </c>
      <c r="N221" s="706">
        <v>0</v>
      </c>
      <c r="O221" s="706">
        <v>0</v>
      </c>
      <c r="P221" s="613"/>
      <c r="Q221" s="613"/>
      <c r="R221" s="613"/>
      <c r="S221" s="614"/>
      <c r="T221" s="613"/>
      <c r="U221" s="613"/>
      <c r="V221" s="613"/>
    </row>
    <row r="222" spans="1:22" ht="14.5" hidden="1" outlineLevel="1" x14ac:dyDescent="0.35">
      <c r="C222" s="600">
        <f t="shared" si="7"/>
        <v>107</v>
      </c>
      <c r="D222" s="610" t="s">
        <v>1050</v>
      </c>
      <c r="E222" s="612">
        <v>258.62</v>
      </c>
      <c r="F222" s="733">
        <v>0</v>
      </c>
      <c r="G222" s="733">
        <v>0</v>
      </c>
      <c r="H222" s="733">
        <v>0</v>
      </c>
      <c r="I222" s="733">
        <v>0</v>
      </c>
      <c r="J222" s="733">
        <v>0</v>
      </c>
      <c r="K222" s="733">
        <v>319</v>
      </c>
      <c r="L222" s="706">
        <v>0</v>
      </c>
      <c r="M222" s="706">
        <v>0</v>
      </c>
      <c r="N222" s="706">
        <v>0</v>
      </c>
      <c r="O222" s="706">
        <v>0</v>
      </c>
      <c r="P222" s="613"/>
      <c r="Q222" s="613"/>
      <c r="R222" s="613"/>
      <c r="S222" s="614"/>
      <c r="T222" s="613"/>
      <c r="U222" s="613"/>
      <c r="V222" s="613"/>
    </row>
    <row r="223" spans="1:22" ht="14.5" collapsed="1" x14ac:dyDescent="0.35">
      <c r="A223" s="209">
        <f>COUNTIF($A$116:$A$209,0)</f>
        <v>45</v>
      </c>
      <c r="B223" s="209">
        <f>COUNTIF($B$116:$B$209,0)</f>
        <v>31</v>
      </c>
      <c r="C223" s="600">
        <f t="shared" si="7"/>
        <v>108</v>
      </c>
      <c r="D223" s="610" t="s">
        <v>252</v>
      </c>
      <c r="E223" s="612"/>
      <c r="F223" s="733">
        <v>0</v>
      </c>
      <c r="G223" s="706">
        <v>0</v>
      </c>
      <c r="H223" s="706">
        <v>0</v>
      </c>
      <c r="I223" s="706">
        <v>0</v>
      </c>
      <c r="J223" s="706">
        <v>0</v>
      </c>
      <c r="K223" s="706">
        <v>0</v>
      </c>
      <c r="L223" s="706">
        <v>0</v>
      </c>
      <c r="M223" s="706">
        <v>0</v>
      </c>
      <c r="N223" s="706">
        <v>0</v>
      </c>
      <c r="O223" s="706">
        <v>0</v>
      </c>
      <c r="P223" s="613"/>
      <c r="Q223" s="613"/>
      <c r="R223" s="613"/>
      <c r="S223" s="613"/>
      <c r="T223" s="613"/>
      <c r="U223" s="613"/>
      <c r="V223" s="613"/>
    </row>
    <row r="224" spans="1:22" x14ac:dyDescent="0.25">
      <c r="A224" s="209">
        <f>COUNTIF($A$116:$A$209,1)</f>
        <v>16</v>
      </c>
      <c r="B224" s="209">
        <f>COUNTIF($B$116:$B$209,1)</f>
        <v>33</v>
      </c>
    </row>
    <row r="225" spans="1:22" x14ac:dyDescent="0.25">
      <c r="A225" s="209">
        <f>COUNTIF($A$116:$A$209,2)</f>
        <v>33</v>
      </c>
      <c r="B225" s="209">
        <f>COUNTIF($B$116:$B$209,2)</f>
        <v>27</v>
      </c>
      <c r="D225" s="585" t="s">
        <v>365</v>
      </c>
    </row>
    <row r="226" spans="1:22" x14ac:dyDescent="0.25">
      <c r="A226" s="209">
        <f>COUNTIF($A$116:$A$209,3)</f>
        <v>0</v>
      </c>
      <c r="B226" s="209">
        <f>COUNTIF($B$116:$B$209,3)</f>
        <v>3</v>
      </c>
      <c r="D226" s="585"/>
    </row>
    <row r="227" spans="1:22" ht="15.5" x14ac:dyDescent="0.25">
      <c r="A227" s="209">
        <f>SUM(A223:A226)</f>
        <v>94</v>
      </c>
      <c r="B227" s="209">
        <f>SUM(B223:B226)</f>
        <v>94</v>
      </c>
      <c r="D227" s="607" t="s">
        <v>1147</v>
      </c>
      <c r="E227" s="605"/>
      <c r="F227" s="605"/>
      <c r="G227" s="605"/>
      <c r="H227" s="606"/>
    </row>
    <row r="228" spans="1:22" x14ac:dyDescent="0.25">
      <c r="D228" s="585"/>
    </row>
    <row r="229" spans="1:22" ht="23" x14ac:dyDescent="0.25">
      <c r="C229" s="585"/>
      <c r="D229" s="593" t="s">
        <v>405</v>
      </c>
      <c r="F229" s="615" t="s">
        <v>409</v>
      </c>
      <c r="G229" s="787" t="s">
        <v>406</v>
      </c>
      <c r="H229" s="788"/>
      <c r="I229" s="788"/>
      <c r="J229" s="789"/>
      <c r="K229" s="787" t="s">
        <v>407</v>
      </c>
      <c r="L229" s="789"/>
      <c r="M229" s="616" t="s">
        <v>1270</v>
      </c>
      <c r="N229" s="787" t="s">
        <v>1271</v>
      </c>
      <c r="O229" s="788"/>
      <c r="P229" s="788"/>
      <c r="Q229" s="788"/>
      <c r="R229" s="788"/>
      <c r="S229" s="788"/>
      <c r="T229" s="789"/>
      <c r="U229" s="615" t="s">
        <v>408</v>
      </c>
      <c r="V229" s="615"/>
    </row>
    <row r="230" spans="1:22" ht="57.5" x14ac:dyDescent="0.25">
      <c r="C230" s="585"/>
      <c r="D230" s="597" t="s">
        <v>252</v>
      </c>
      <c r="E230" s="598" t="s">
        <v>1280</v>
      </c>
      <c r="F230" s="598" t="s">
        <v>409</v>
      </c>
      <c r="G230" s="598" t="s">
        <v>410</v>
      </c>
      <c r="H230" s="598" t="s">
        <v>411</v>
      </c>
      <c r="I230" s="598" t="s">
        <v>412</v>
      </c>
      <c r="J230" s="599" t="s">
        <v>1272</v>
      </c>
      <c r="K230" s="599" t="s">
        <v>407</v>
      </c>
      <c r="L230" s="599" t="s">
        <v>1273</v>
      </c>
      <c r="M230" s="598" t="s">
        <v>416</v>
      </c>
      <c r="N230" s="598" t="s">
        <v>419</v>
      </c>
      <c r="O230" s="598" t="s">
        <v>908</v>
      </c>
      <c r="P230" s="598" t="s">
        <v>1274</v>
      </c>
      <c r="Q230" s="598" t="s">
        <v>1275</v>
      </c>
      <c r="R230" s="598" t="s">
        <v>978</v>
      </c>
      <c r="S230" s="598" t="s">
        <v>1276</v>
      </c>
      <c r="T230" s="598" t="s">
        <v>1277</v>
      </c>
      <c r="U230" s="598" t="s">
        <v>1278</v>
      </c>
      <c r="V230" s="598" t="s">
        <v>1279</v>
      </c>
    </row>
    <row r="231" spans="1:22" ht="14.5" x14ac:dyDescent="0.35">
      <c r="C231" s="600">
        <v>1</v>
      </c>
      <c r="D231" s="601" t="s">
        <v>955</v>
      </c>
      <c r="E231" s="617">
        <v>367.29</v>
      </c>
      <c r="F231" s="733">
        <v>146</v>
      </c>
      <c r="G231" s="733">
        <v>2</v>
      </c>
      <c r="H231" s="733">
        <v>2</v>
      </c>
      <c r="I231" s="733">
        <v>1</v>
      </c>
      <c r="J231" s="733">
        <v>36</v>
      </c>
      <c r="K231" s="733">
        <v>142</v>
      </c>
      <c r="L231" s="706">
        <v>0</v>
      </c>
      <c r="M231" s="706">
        <v>0</v>
      </c>
      <c r="N231" s="706">
        <v>0</v>
      </c>
      <c r="O231" s="706">
        <v>0</v>
      </c>
      <c r="P231" s="461"/>
      <c r="Q231" s="461"/>
      <c r="R231" s="461"/>
      <c r="S231" s="461"/>
      <c r="T231" s="461"/>
      <c r="U231" s="461"/>
      <c r="V231" s="461"/>
    </row>
    <row r="232" spans="1:22" ht="14.5" x14ac:dyDescent="0.35">
      <c r="C232" s="600">
        <f>1+C231</f>
        <v>2</v>
      </c>
      <c r="D232" s="601" t="s">
        <v>956</v>
      </c>
      <c r="E232" s="617">
        <v>388.4</v>
      </c>
      <c r="F232" s="733">
        <v>176</v>
      </c>
      <c r="G232" s="733">
        <v>2</v>
      </c>
      <c r="H232" s="733">
        <v>2</v>
      </c>
      <c r="I232" s="733">
        <v>1</v>
      </c>
      <c r="J232" s="733">
        <v>24</v>
      </c>
      <c r="K232" s="733">
        <v>234</v>
      </c>
      <c r="L232" s="706">
        <v>0</v>
      </c>
      <c r="M232" s="706">
        <v>0</v>
      </c>
      <c r="N232" s="706">
        <v>0</v>
      </c>
      <c r="O232" s="706">
        <v>0</v>
      </c>
      <c r="P232" s="461"/>
      <c r="Q232" s="461"/>
      <c r="R232" s="461"/>
      <c r="S232" s="461"/>
      <c r="T232" s="461"/>
      <c r="U232" s="461"/>
      <c r="V232" s="461"/>
    </row>
    <row r="233" spans="1:22" ht="14.5" x14ac:dyDescent="0.35">
      <c r="C233" s="600">
        <f t="shared" ref="C233:C260" si="9">1+C232</f>
        <v>3</v>
      </c>
      <c r="D233" s="601" t="s">
        <v>957</v>
      </c>
      <c r="E233" s="617">
        <v>463.54</v>
      </c>
      <c r="F233" s="733">
        <v>128</v>
      </c>
      <c r="G233" s="733">
        <v>2</v>
      </c>
      <c r="H233" s="733">
        <v>3</v>
      </c>
      <c r="I233" s="733">
        <v>1</v>
      </c>
      <c r="J233" s="733">
        <v>36</v>
      </c>
      <c r="K233" s="733">
        <v>205</v>
      </c>
      <c r="L233" s="706">
        <v>0</v>
      </c>
      <c r="M233" s="706">
        <v>0</v>
      </c>
      <c r="N233" s="706">
        <v>0</v>
      </c>
      <c r="O233" s="706">
        <v>0</v>
      </c>
      <c r="P233" s="461"/>
      <c r="Q233" s="461"/>
      <c r="R233" s="461"/>
      <c r="S233" s="461"/>
      <c r="T233" s="461"/>
      <c r="U233" s="461"/>
      <c r="V233" s="461"/>
    </row>
    <row r="234" spans="1:22" ht="14.5" x14ac:dyDescent="0.35">
      <c r="C234" s="600">
        <f t="shared" si="9"/>
        <v>4</v>
      </c>
      <c r="D234" s="601" t="s">
        <v>958</v>
      </c>
      <c r="E234" s="617">
        <v>607.08000000000004</v>
      </c>
      <c r="F234" s="733">
        <v>199</v>
      </c>
      <c r="G234" s="733">
        <v>19</v>
      </c>
      <c r="H234" s="733">
        <v>12</v>
      </c>
      <c r="I234" s="733">
        <v>6</v>
      </c>
      <c r="J234" s="733">
        <v>47</v>
      </c>
      <c r="K234" s="733">
        <v>465</v>
      </c>
      <c r="L234" s="706">
        <v>0</v>
      </c>
      <c r="M234" s="706">
        <v>0</v>
      </c>
      <c r="N234" s="706">
        <v>0</v>
      </c>
      <c r="O234" s="706">
        <v>0</v>
      </c>
      <c r="P234" s="461"/>
      <c r="Q234" s="461"/>
      <c r="R234" s="461"/>
      <c r="S234" s="461"/>
      <c r="T234" s="461"/>
      <c r="U234" s="461"/>
      <c r="V234" s="461"/>
    </row>
    <row r="235" spans="1:22" ht="14.5" x14ac:dyDescent="0.35">
      <c r="C235" s="600">
        <f t="shared" si="9"/>
        <v>5</v>
      </c>
      <c r="D235" s="601" t="s">
        <v>959</v>
      </c>
      <c r="E235" s="617">
        <v>1037.69</v>
      </c>
      <c r="F235" s="733">
        <v>111</v>
      </c>
      <c r="G235" s="733">
        <v>104</v>
      </c>
      <c r="H235" s="733">
        <v>74</v>
      </c>
      <c r="I235" s="733">
        <v>18</v>
      </c>
      <c r="J235" s="733">
        <v>61</v>
      </c>
      <c r="K235" s="733">
        <v>702</v>
      </c>
      <c r="L235" s="706">
        <v>0</v>
      </c>
      <c r="M235" s="706">
        <v>0</v>
      </c>
      <c r="N235" s="706">
        <v>0</v>
      </c>
      <c r="O235" s="706">
        <v>0</v>
      </c>
      <c r="P235" s="461"/>
      <c r="Q235" s="461"/>
      <c r="R235" s="461"/>
      <c r="S235" s="461"/>
      <c r="T235" s="461"/>
      <c r="U235" s="461"/>
      <c r="V235" s="461"/>
    </row>
    <row r="236" spans="1:22" ht="14.5" x14ac:dyDescent="0.35">
      <c r="C236" s="600">
        <f t="shared" si="9"/>
        <v>6</v>
      </c>
      <c r="D236" s="601" t="s">
        <v>960</v>
      </c>
      <c r="E236" s="617">
        <v>322.41000000000003</v>
      </c>
      <c r="F236" s="733">
        <v>0</v>
      </c>
      <c r="G236" s="733">
        <v>0</v>
      </c>
      <c r="H236" s="733">
        <v>0</v>
      </c>
      <c r="I236" s="733">
        <v>0</v>
      </c>
      <c r="J236" s="733">
        <v>0</v>
      </c>
      <c r="K236" s="733">
        <v>372</v>
      </c>
      <c r="L236" s="706">
        <v>0</v>
      </c>
      <c r="M236" s="706">
        <v>0</v>
      </c>
      <c r="N236" s="706">
        <v>0</v>
      </c>
      <c r="O236" s="706">
        <v>0</v>
      </c>
      <c r="P236" s="461"/>
      <c r="Q236" s="461"/>
      <c r="R236" s="461"/>
      <c r="S236" s="461"/>
      <c r="T236" s="461"/>
      <c r="U236" s="461"/>
      <c r="V236" s="461"/>
    </row>
    <row r="237" spans="1:22" ht="14.5" x14ac:dyDescent="0.35">
      <c r="C237" s="600">
        <f t="shared" si="9"/>
        <v>7</v>
      </c>
      <c r="D237" s="601" t="s">
        <v>961</v>
      </c>
      <c r="E237" s="617">
        <v>365.52</v>
      </c>
      <c r="F237" s="733">
        <v>0</v>
      </c>
      <c r="G237" s="733">
        <v>0</v>
      </c>
      <c r="H237" s="733">
        <v>0</v>
      </c>
      <c r="I237" s="733">
        <v>0</v>
      </c>
      <c r="J237" s="733">
        <v>0</v>
      </c>
      <c r="K237" s="733">
        <v>416</v>
      </c>
      <c r="L237" s="706">
        <v>0</v>
      </c>
      <c r="M237" s="706">
        <v>0</v>
      </c>
      <c r="N237" s="706">
        <v>0</v>
      </c>
      <c r="O237" s="706">
        <v>0</v>
      </c>
      <c r="P237" s="461"/>
      <c r="Q237" s="461"/>
      <c r="R237" s="461"/>
      <c r="S237" s="461"/>
      <c r="T237" s="461"/>
      <c r="U237" s="461"/>
      <c r="V237" s="461"/>
    </row>
    <row r="238" spans="1:22" ht="14.5" x14ac:dyDescent="0.35">
      <c r="C238" s="600">
        <f t="shared" si="9"/>
        <v>8</v>
      </c>
      <c r="D238" s="601" t="s">
        <v>962</v>
      </c>
      <c r="E238" s="617">
        <v>585.34</v>
      </c>
      <c r="F238" s="733">
        <v>0</v>
      </c>
      <c r="G238" s="733">
        <v>0</v>
      </c>
      <c r="H238" s="733">
        <v>0</v>
      </c>
      <c r="I238" s="733">
        <v>0</v>
      </c>
      <c r="J238" s="733">
        <v>0</v>
      </c>
      <c r="K238" s="733">
        <v>482</v>
      </c>
      <c r="L238" s="706">
        <v>0</v>
      </c>
      <c r="M238" s="706">
        <v>0</v>
      </c>
      <c r="N238" s="706">
        <v>0</v>
      </c>
      <c r="O238" s="706">
        <v>0</v>
      </c>
      <c r="P238" s="461"/>
      <c r="Q238" s="461"/>
      <c r="R238" s="461"/>
      <c r="S238" s="461"/>
      <c r="T238" s="461"/>
      <c r="U238" s="461"/>
      <c r="V238" s="461"/>
    </row>
    <row r="239" spans="1:22" ht="14.5" x14ac:dyDescent="0.35">
      <c r="C239" s="600">
        <f t="shared" si="9"/>
        <v>9</v>
      </c>
      <c r="D239" s="601" t="s">
        <v>963</v>
      </c>
      <c r="E239" s="617">
        <v>973.28</v>
      </c>
      <c r="F239" s="733">
        <v>0</v>
      </c>
      <c r="G239" s="733">
        <v>0</v>
      </c>
      <c r="H239" s="733">
        <v>0</v>
      </c>
      <c r="I239" s="733">
        <v>0</v>
      </c>
      <c r="J239" s="733">
        <v>0</v>
      </c>
      <c r="K239" s="733">
        <v>1111</v>
      </c>
      <c r="L239" s="706">
        <v>0</v>
      </c>
      <c r="M239" s="706">
        <v>0</v>
      </c>
      <c r="N239" s="706">
        <v>0</v>
      </c>
      <c r="O239" s="706">
        <v>0</v>
      </c>
      <c r="P239" s="461"/>
      <c r="Q239" s="461"/>
      <c r="R239" s="461"/>
      <c r="S239" s="461"/>
      <c r="T239" s="461"/>
      <c r="U239" s="461"/>
      <c r="V239" s="461"/>
    </row>
    <row r="240" spans="1:22" ht="14.5" hidden="1" outlineLevel="1" x14ac:dyDescent="0.35">
      <c r="C240" s="600">
        <f t="shared" si="9"/>
        <v>10</v>
      </c>
      <c r="D240" s="601" t="s">
        <v>1020</v>
      </c>
      <c r="E240" s="617">
        <v>453.34</v>
      </c>
      <c r="F240" s="733">
        <v>109</v>
      </c>
      <c r="G240" s="733">
        <v>2</v>
      </c>
      <c r="H240" s="733">
        <v>2</v>
      </c>
      <c r="I240" s="733">
        <v>1</v>
      </c>
      <c r="J240" s="733">
        <v>23</v>
      </c>
      <c r="K240" s="733">
        <v>197</v>
      </c>
      <c r="L240" s="706">
        <v>0</v>
      </c>
      <c r="M240" s="706">
        <v>0</v>
      </c>
      <c r="N240" s="706">
        <v>0</v>
      </c>
      <c r="O240" s="706">
        <v>129</v>
      </c>
      <c r="P240" s="461"/>
      <c r="Q240" s="461"/>
      <c r="R240" s="461"/>
      <c r="S240" s="461"/>
      <c r="T240" s="461"/>
      <c r="U240" s="461"/>
      <c r="V240" s="461"/>
    </row>
    <row r="241" spans="3:22" ht="14.5" hidden="1" outlineLevel="1" x14ac:dyDescent="0.35">
      <c r="C241" s="600">
        <f t="shared" si="9"/>
        <v>11</v>
      </c>
      <c r="D241" s="601" t="s">
        <v>1021</v>
      </c>
      <c r="E241" s="617">
        <v>500.79</v>
      </c>
      <c r="F241" s="733">
        <v>123</v>
      </c>
      <c r="G241" s="733">
        <v>2</v>
      </c>
      <c r="H241" s="733">
        <v>2</v>
      </c>
      <c r="I241" s="733">
        <v>1</v>
      </c>
      <c r="J241" s="733">
        <v>39</v>
      </c>
      <c r="K241" s="733">
        <v>188</v>
      </c>
      <c r="L241" s="706">
        <v>0</v>
      </c>
      <c r="M241" s="706">
        <v>0</v>
      </c>
      <c r="N241" s="706">
        <v>0</v>
      </c>
      <c r="O241" s="706">
        <v>171</v>
      </c>
      <c r="P241" s="461"/>
      <c r="Q241" s="461"/>
      <c r="R241" s="461"/>
      <c r="S241" s="461"/>
      <c r="T241" s="461"/>
      <c r="U241" s="461"/>
      <c r="V241" s="461"/>
    </row>
    <row r="242" spans="3:22" ht="14.5" hidden="1" outlineLevel="1" x14ac:dyDescent="0.35">
      <c r="C242" s="600">
        <f t="shared" si="9"/>
        <v>12</v>
      </c>
      <c r="D242" s="601" t="s">
        <v>1022</v>
      </c>
      <c r="E242" s="617">
        <v>561.14</v>
      </c>
      <c r="F242" s="733">
        <v>163</v>
      </c>
      <c r="G242" s="733">
        <v>2</v>
      </c>
      <c r="H242" s="733">
        <v>3</v>
      </c>
      <c r="I242" s="733">
        <v>1</v>
      </c>
      <c r="J242" s="733">
        <v>37</v>
      </c>
      <c r="K242" s="733">
        <v>152</v>
      </c>
      <c r="L242" s="706">
        <v>0</v>
      </c>
      <c r="M242" s="706">
        <v>0</v>
      </c>
      <c r="N242" s="706">
        <v>0</v>
      </c>
      <c r="O242" s="706">
        <v>224</v>
      </c>
      <c r="P242" s="461"/>
      <c r="Q242" s="461"/>
      <c r="R242" s="461"/>
      <c r="S242" s="461"/>
      <c r="T242" s="461"/>
      <c r="U242" s="461"/>
      <c r="V242" s="461"/>
    </row>
    <row r="243" spans="3:22" ht="14.5" hidden="1" outlineLevel="1" x14ac:dyDescent="0.35">
      <c r="C243" s="600">
        <f t="shared" si="9"/>
        <v>13</v>
      </c>
      <c r="D243" s="601" t="s">
        <v>1023</v>
      </c>
      <c r="E243" s="617">
        <v>534.55999999999995</v>
      </c>
      <c r="F243" s="733">
        <v>161</v>
      </c>
      <c r="G243" s="733">
        <v>2</v>
      </c>
      <c r="H243" s="733">
        <v>2</v>
      </c>
      <c r="I243" s="733">
        <v>1</v>
      </c>
      <c r="J243" s="733">
        <v>25</v>
      </c>
      <c r="K243" s="733">
        <v>175</v>
      </c>
      <c r="L243" s="706">
        <v>0</v>
      </c>
      <c r="M243" s="706">
        <v>0</v>
      </c>
      <c r="N243" s="706">
        <v>0</v>
      </c>
      <c r="O243" s="706">
        <v>169</v>
      </c>
      <c r="P243" s="461"/>
      <c r="Q243" s="461"/>
      <c r="R243" s="461"/>
      <c r="S243" s="461"/>
      <c r="T243" s="461"/>
      <c r="U243" s="461"/>
      <c r="V243" s="461"/>
    </row>
    <row r="244" spans="3:22" ht="14.5" hidden="1" outlineLevel="1" x14ac:dyDescent="0.35">
      <c r="C244" s="600">
        <f t="shared" si="9"/>
        <v>14</v>
      </c>
      <c r="D244" s="601" t="s">
        <v>1024</v>
      </c>
      <c r="E244" s="617">
        <v>594.91</v>
      </c>
      <c r="F244" s="733">
        <v>126</v>
      </c>
      <c r="G244" s="733">
        <v>2</v>
      </c>
      <c r="H244" s="733">
        <v>3</v>
      </c>
      <c r="I244" s="733">
        <v>1</v>
      </c>
      <c r="J244" s="733">
        <v>30</v>
      </c>
      <c r="K244" s="733">
        <v>168</v>
      </c>
      <c r="L244" s="706">
        <v>0</v>
      </c>
      <c r="M244" s="706">
        <v>0</v>
      </c>
      <c r="N244" s="706">
        <v>0</v>
      </c>
      <c r="O244" s="706">
        <v>258</v>
      </c>
      <c r="P244" s="461"/>
      <c r="Q244" s="461"/>
      <c r="R244" s="461"/>
      <c r="S244" s="461"/>
      <c r="T244" s="461"/>
      <c r="U244" s="461"/>
      <c r="V244" s="461"/>
    </row>
    <row r="245" spans="3:22" ht="14.5" hidden="1" outlineLevel="1" x14ac:dyDescent="0.35">
      <c r="C245" s="600">
        <f t="shared" si="9"/>
        <v>15</v>
      </c>
      <c r="D245" s="601" t="s">
        <v>1025</v>
      </c>
      <c r="E245" s="617">
        <v>607.17999999999995</v>
      </c>
      <c r="F245" s="733">
        <v>96</v>
      </c>
      <c r="G245" s="733">
        <v>2</v>
      </c>
      <c r="H245" s="733">
        <v>3</v>
      </c>
      <c r="I245" s="733">
        <v>1</v>
      </c>
      <c r="J245" s="733">
        <v>37</v>
      </c>
      <c r="K245" s="733">
        <v>274</v>
      </c>
      <c r="L245" s="706">
        <v>0</v>
      </c>
      <c r="M245" s="706">
        <v>0</v>
      </c>
      <c r="N245" s="706">
        <v>0</v>
      </c>
      <c r="O245" s="706">
        <v>133</v>
      </c>
      <c r="P245" s="461"/>
      <c r="Q245" s="461"/>
      <c r="R245" s="461"/>
      <c r="S245" s="461"/>
      <c r="T245" s="461"/>
      <c r="U245" s="461"/>
      <c r="V245" s="461"/>
    </row>
    <row r="246" spans="3:22" ht="14.5" hidden="1" outlineLevel="1" x14ac:dyDescent="0.35">
      <c r="C246" s="600">
        <f t="shared" si="9"/>
        <v>16</v>
      </c>
      <c r="D246" s="601" t="s">
        <v>1026</v>
      </c>
      <c r="E246" s="617">
        <v>666.68</v>
      </c>
      <c r="F246" s="733">
        <v>152</v>
      </c>
      <c r="G246" s="733">
        <v>2</v>
      </c>
      <c r="H246" s="733">
        <v>2</v>
      </c>
      <c r="I246" s="733">
        <v>1</v>
      </c>
      <c r="J246" s="733">
        <v>26</v>
      </c>
      <c r="K246" s="733">
        <v>257</v>
      </c>
      <c r="L246" s="706">
        <v>0</v>
      </c>
      <c r="M246" s="706">
        <v>0</v>
      </c>
      <c r="N246" s="706">
        <v>0</v>
      </c>
      <c r="O246" s="706">
        <v>277</v>
      </c>
      <c r="P246" s="461"/>
      <c r="Q246" s="461"/>
      <c r="R246" s="461"/>
      <c r="S246" s="461"/>
      <c r="T246" s="461"/>
      <c r="U246" s="461"/>
      <c r="V246" s="461"/>
    </row>
    <row r="247" spans="3:22" ht="14.5" hidden="1" outlineLevel="1" x14ac:dyDescent="0.35">
      <c r="C247" s="600">
        <f t="shared" si="9"/>
        <v>17</v>
      </c>
      <c r="D247" s="601" t="s">
        <v>1027</v>
      </c>
      <c r="E247" s="617">
        <v>789.11</v>
      </c>
      <c r="F247" s="733">
        <v>94</v>
      </c>
      <c r="G247" s="733">
        <v>12</v>
      </c>
      <c r="H247" s="733">
        <v>13</v>
      </c>
      <c r="I247" s="733">
        <v>4</v>
      </c>
      <c r="J247" s="733">
        <v>37</v>
      </c>
      <c r="K247" s="733">
        <v>447</v>
      </c>
      <c r="L247" s="706">
        <v>0</v>
      </c>
      <c r="M247" s="706">
        <v>0</v>
      </c>
      <c r="N247" s="706">
        <v>0</v>
      </c>
      <c r="O247" s="706">
        <v>254</v>
      </c>
      <c r="P247" s="461"/>
      <c r="Q247" s="461"/>
      <c r="R247" s="461"/>
      <c r="S247" s="461"/>
      <c r="T247" s="461"/>
      <c r="U247" s="461"/>
      <c r="V247" s="461"/>
    </row>
    <row r="248" spans="3:22" ht="14.5" hidden="1" outlineLevel="1" x14ac:dyDescent="0.35">
      <c r="C248" s="600">
        <f t="shared" si="9"/>
        <v>18</v>
      </c>
      <c r="D248" s="601" t="s">
        <v>1028</v>
      </c>
      <c r="E248" s="617">
        <v>746.49</v>
      </c>
      <c r="F248" s="733">
        <v>156</v>
      </c>
      <c r="G248" s="733">
        <v>18</v>
      </c>
      <c r="H248" s="733">
        <v>9</v>
      </c>
      <c r="I248" s="733">
        <v>4</v>
      </c>
      <c r="J248" s="733">
        <v>58</v>
      </c>
      <c r="K248" s="733">
        <v>455</v>
      </c>
      <c r="L248" s="706">
        <v>0</v>
      </c>
      <c r="M248" s="706">
        <v>0</v>
      </c>
      <c r="N248" s="706">
        <v>0</v>
      </c>
      <c r="O248" s="706">
        <v>141</v>
      </c>
      <c r="P248" s="461"/>
      <c r="Q248" s="461"/>
      <c r="R248" s="461"/>
      <c r="S248" s="461"/>
      <c r="T248" s="461"/>
      <c r="U248" s="461"/>
      <c r="V248" s="461"/>
    </row>
    <row r="249" spans="3:22" ht="14.5" hidden="1" outlineLevel="1" x14ac:dyDescent="0.35">
      <c r="C249" s="600">
        <f t="shared" si="9"/>
        <v>19</v>
      </c>
      <c r="D249" s="601" t="s">
        <v>1029</v>
      </c>
      <c r="E249" s="617">
        <v>1202.83</v>
      </c>
      <c r="F249" s="733">
        <v>65</v>
      </c>
      <c r="G249" s="733">
        <v>58</v>
      </c>
      <c r="H249" s="733">
        <v>84</v>
      </c>
      <c r="I249" s="733">
        <v>21</v>
      </c>
      <c r="J249" s="733">
        <v>98</v>
      </c>
      <c r="K249" s="733">
        <v>459</v>
      </c>
      <c r="L249" s="706">
        <v>0</v>
      </c>
      <c r="M249" s="706">
        <v>0</v>
      </c>
      <c r="N249" s="706">
        <v>0</v>
      </c>
      <c r="O249" s="706">
        <v>183</v>
      </c>
      <c r="P249" s="461"/>
      <c r="Q249" s="461"/>
      <c r="R249" s="461"/>
      <c r="S249" s="461"/>
      <c r="T249" s="461"/>
      <c r="U249" s="461"/>
      <c r="V249" s="461"/>
    </row>
    <row r="250" spans="3:22" ht="14.5" hidden="1" outlineLevel="1" x14ac:dyDescent="0.35">
      <c r="C250" s="600">
        <f t="shared" si="9"/>
        <v>20</v>
      </c>
      <c r="D250" s="601" t="s">
        <v>1030</v>
      </c>
      <c r="E250" s="617">
        <v>1163.5999999999999</v>
      </c>
      <c r="F250" s="733">
        <v>137</v>
      </c>
      <c r="G250" s="733">
        <v>102</v>
      </c>
      <c r="H250" s="733">
        <v>76</v>
      </c>
      <c r="I250" s="733">
        <v>16</v>
      </c>
      <c r="J250" s="733">
        <v>77</v>
      </c>
      <c r="K250" s="733">
        <v>630</v>
      </c>
      <c r="L250" s="706">
        <v>0</v>
      </c>
      <c r="M250" s="706">
        <v>0</v>
      </c>
      <c r="N250" s="706">
        <v>0</v>
      </c>
      <c r="O250" s="706">
        <v>130</v>
      </c>
      <c r="P250" s="461"/>
      <c r="Q250" s="461"/>
      <c r="R250" s="461"/>
      <c r="S250" s="461"/>
      <c r="T250" s="461"/>
      <c r="U250" s="461"/>
      <c r="V250" s="461"/>
    </row>
    <row r="251" spans="3:22" ht="14.5" hidden="1" outlineLevel="1" x14ac:dyDescent="0.35">
      <c r="C251" s="600">
        <f t="shared" si="9"/>
        <v>21</v>
      </c>
      <c r="D251" s="601" t="s">
        <v>1031</v>
      </c>
      <c r="E251" s="617">
        <v>425.86</v>
      </c>
      <c r="F251" s="733">
        <v>0</v>
      </c>
      <c r="G251" s="733">
        <v>0</v>
      </c>
      <c r="H251" s="733">
        <v>0</v>
      </c>
      <c r="I251" s="733">
        <v>0</v>
      </c>
      <c r="J251" s="733">
        <v>0</v>
      </c>
      <c r="K251" s="733">
        <v>260</v>
      </c>
      <c r="L251" s="706">
        <v>0</v>
      </c>
      <c r="M251" s="706">
        <v>0</v>
      </c>
      <c r="N251" s="706">
        <v>0</v>
      </c>
      <c r="O251" s="706">
        <v>108</v>
      </c>
      <c r="P251" s="461"/>
      <c r="Q251" s="461"/>
      <c r="R251" s="461"/>
      <c r="S251" s="461"/>
      <c r="T251" s="461"/>
      <c r="U251" s="461"/>
      <c r="V251" s="461"/>
    </row>
    <row r="252" spans="3:22" ht="14.5" hidden="1" outlineLevel="1" x14ac:dyDescent="0.35">
      <c r="C252" s="600">
        <f t="shared" si="9"/>
        <v>22</v>
      </c>
      <c r="D252" s="601" t="s">
        <v>1032</v>
      </c>
      <c r="E252" s="617">
        <v>473.28</v>
      </c>
      <c r="F252" s="733">
        <v>0</v>
      </c>
      <c r="G252" s="733">
        <v>0</v>
      </c>
      <c r="H252" s="733">
        <v>0</v>
      </c>
      <c r="I252" s="733">
        <v>0</v>
      </c>
      <c r="J252" s="733">
        <v>0</v>
      </c>
      <c r="K252" s="733">
        <v>324</v>
      </c>
      <c r="L252" s="706">
        <v>0</v>
      </c>
      <c r="M252" s="706">
        <v>0</v>
      </c>
      <c r="N252" s="706">
        <v>0</v>
      </c>
      <c r="O252" s="706">
        <v>191</v>
      </c>
      <c r="P252" s="461"/>
      <c r="Q252" s="461"/>
      <c r="R252" s="461"/>
      <c r="S252" s="461"/>
      <c r="T252" s="461"/>
      <c r="U252" s="461"/>
      <c r="V252" s="461"/>
    </row>
    <row r="253" spans="3:22" ht="14.5" hidden="1" outlineLevel="1" x14ac:dyDescent="0.35">
      <c r="C253" s="600">
        <f t="shared" si="9"/>
        <v>23</v>
      </c>
      <c r="D253" s="601" t="s">
        <v>1033</v>
      </c>
      <c r="E253" s="617">
        <v>533.62</v>
      </c>
      <c r="F253" s="733">
        <v>0</v>
      </c>
      <c r="G253" s="733">
        <v>0</v>
      </c>
      <c r="H253" s="733">
        <v>0</v>
      </c>
      <c r="I253" s="733">
        <v>0</v>
      </c>
      <c r="J253" s="733">
        <v>0</v>
      </c>
      <c r="K253" s="733">
        <v>292</v>
      </c>
      <c r="L253" s="706">
        <v>0</v>
      </c>
      <c r="M253" s="706">
        <v>0</v>
      </c>
      <c r="N253" s="706">
        <v>0</v>
      </c>
      <c r="O253" s="706">
        <v>278</v>
      </c>
      <c r="P253" s="461"/>
      <c r="Q253" s="461"/>
      <c r="R253" s="461"/>
      <c r="S253" s="461"/>
      <c r="T253" s="461"/>
      <c r="U253" s="461"/>
      <c r="V253" s="461"/>
    </row>
    <row r="254" spans="3:22" ht="14.5" hidden="1" outlineLevel="1" x14ac:dyDescent="0.35">
      <c r="C254" s="600">
        <f t="shared" si="9"/>
        <v>24</v>
      </c>
      <c r="D254" s="601" t="s">
        <v>1034</v>
      </c>
      <c r="E254" s="617">
        <v>512.07000000000005</v>
      </c>
      <c r="F254" s="733">
        <v>0</v>
      </c>
      <c r="G254" s="733">
        <v>0</v>
      </c>
      <c r="H254" s="733">
        <v>0</v>
      </c>
      <c r="I254" s="733">
        <v>0</v>
      </c>
      <c r="J254" s="733">
        <v>0</v>
      </c>
      <c r="K254" s="733">
        <v>437</v>
      </c>
      <c r="L254" s="706">
        <v>0</v>
      </c>
      <c r="M254" s="706">
        <v>0</v>
      </c>
      <c r="N254" s="706">
        <v>0</v>
      </c>
      <c r="O254" s="706">
        <v>214</v>
      </c>
      <c r="P254" s="461"/>
      <c r="Q254" s="461"/>
      <c r="R254" s="461"/>
      <c r="S254" s="461"/>
      <c r="T254" s="461"/>
      <c r="U254" s="461"/>
      <c r="V254" s="461"/>
    </row>
    <row r="255" spans="3:22" ht="14.5" hidden="1" outlineLevel="1" x14ac:dyDescent="0.35">
      <c r="C255" s="600">
        <f t="shared" si="9"/>
        <v>25</v>
      </c>
      <c r="D255" s="601" t="s">
        <v>1035</v>
      </c>
      <c r="E255" s="617">
        <v>572.41</v>
      </c>
      <c r="F255" s="733">
        <v>0</v>
      </c>
      <c r="G255" s="733">
        <v>0</v>
      </c>
      <c r="H255" s="733">
        <v>0</v>
      </c>
      <c r="I255" s="733">
        <v>0</v>
      </c>
      <c r="J255" s="733">
        <v>0</v>
      </c>
      <c r="K255" s="733">
        <v>293</v>
      </c>
      <c r="L255" s="706">
        <v>0</v>
      </c>
      <c r="M255" s="706">
        <v>0</v>
      </c>
      <c r="N255" s="706">
        <v>0</v>
      </c>
      <c r="O255" s="706">
        <v>243</v>
      </c>
      <c r="P255" s="461"/>
      <c r="Q255" s="461"/>
      <c r="R255" s="461"/>
      <c r="S255" s="461"/>
      <c r="T255" s="461"/>
      <c r="U255" s="461"/>
      <c r="V255" s="461"/>
    </row>
    <row r="256" spans="3:22" ht="14.5" hidden="1" outlineLevel="1" x14ac:dyDescent="0.35">
      <c r="C256" s="600">
        <f t="shared" si="9"/>
        <v>26</v>
      </c>
      <c r="D256" s="601" t="s">
        <v>1036</v>
      </c>
      <c r="E256" s="617">
        <v>757.76</v>
      </c>
      <c r="F256" s="733">
        <v>0</v>
      </c>
      <c r="G256" s="733">
        <v>0</v>
      </c>
      <c r="H256" s="733">
        <v>0</v>
      </c>
      <c r="I256" s="733">
        <v>0</v>
      </c>
      <c r="J256" s="733">
        <v>0</v>
      </c>
      <c r="K256" s="733">
        <v>432</v>
      </c>
      <c r="L256" s="706">
        <v>0</v>
      </c>
      <c r="M256" s="706">
        <v>0</v>
      </c>
      <c r="N256" s="706">
        <v>0</v>
      </c>
      <c r="O256" s="706">
        <v>121</v>
      </c>
      <c r="P256" s="461"/>
      <c r="Q256" s="461"/>
      <c r="R256" s="461"/>
      <c r="S256" s="461"/>
      <c r="T256" s="461"/>
      <c r="U256" s="461"/>
      <c r="V256" s="461"/>
    </row>
    <row r="257" spans="3:40" ht="14.5" hidden="1" outlineLevel="1" x14ac:dyDescent="0.35">
      <c r="C257" s="600">
        <f t="shared" si="9"/>
        <v>27</v>
      </c>
      <c r="D257" s="601" t="s">
        <v>1037</v>
      </c>
      <c r="E257" s="617">
        <v>715.52</v>
      </c>
      <c r="F257" s="733">
        <v>0</v>
      </c>
      <c r="G257" s="733">
        <v>0</v>
      </c>
      <c r="H257" s="733">
        <v>0</v>
      </c>
      <c r="I257" s="733">
        <v>0</v>
      </c>
      <c r="J257" s="733">
        <v>0</v>
      </c>
      <c r="K257" s="733">
        <v>603</v>
      </c>
      <c r="L257" s="706">
        <v>0</v>
      </c>
      <c r="M257" s="706">
        <v>0</v>
      </c>
      <c r="N257" s="706">
        <v>0</v>
      </c>
      <c r="O257" s="706">
        <v>263</v>
      </c>
      <c r="P257" s="461"/>
      <c r="Q257" s="461"/>
      <c r="R257" s="461"/>
      <c r="S257" s="461"/>
      <c r="T257" s="461"/>
      <c r="U257" s="461"/>
      <c r="V257" s="461"/>
    </row>
    <row r="258" spans="3:40" ht="14.5" hidden="1" outlineLevel="1" x14ac:dyDescent="0.35">
      <c r="C258" s="600">
        <f t="shared" si="9"/>
        <v>28</v>
      </c>
      <c r="D258" s="601" t="s">
        <v>1038</v>
      </c>
      <c r="E258" s="617">
        <v>1137.07</v>
      </c>
      <c r="F258" s="733">
        <v>0</v>
      </c>
      <c r="G258" s="733">
        <v>0</v>
      </c>
      <c r="H258" s="733">
        <v>0</v>
      </c>
      <c r="I258" s="733">
        <v>0</v>
      </c>
      <c r="J258" s="733">
        <v>0</v>
      </c>
      <c r="K258" s="733">
        <v>1115</v>
      </c>
      <c r="L258" s="706">
        <v>0</v>
      </c>
      <c r="M258" s="706">
        <v>0</v>
      </c>
      <c r="N258" s="706">
        <v>0</v>
      </c>
      <c r="O258" s="706">
        <v>232</v>
      </c>
      <c r="P258" s="461"/>
      <c r="Q258" s="461"/>
      <c r="R258" s="461"/>
      <c r="S258" s="461"/>
      <c r="T258" s="461"/>
      <c r="U258" s="461"/>
      <c r="V258" s="461"/>
    </row>
    <row r="259" spans="3:40" ht="14.5" hidden="1" outlineLevel="1" x14ac:dyDescent="0.35">
      <c r="C259" s="600">
        <f t="shared" si="9"/>
        <v>29</v>
      </c>
      <c r="D259" s="601" t="s">
        <v>1039</v>
      </c>
      <c r="E259" s="617">
        <v>1098.28</v>
      </c>
      <c r="F259" s="733">
        <v>0</v>
      </c>
      <c r="G259" s="733">
        <v>0</v>
      </c>
      <c r="H259" s="733">
        <v>0</v>
      </c>
      <c r="I259" s="733">
        <v>0</v>
      </c>
      <c r="J259" s="733">
        <v>0</v>
      </c>
      <c r="K259" s="733">
        <v>971</v>
      </c>
      <c r="L259" s="706">
        <v>0</v>
      </c>
      <c r="M259" s="706">
        <v>0</v>
      </c>
      <c r="N259" s="706">
        <v>0</v>
      </c>
      <c r="O259" s="706">
        <v>145</v>
      </c>
      <c r="P259" s="461"/>
      <c r="Q259" s="461"/>
      <c r="R259" s="461"/>
      <c r="S259" s="461"/>
      <c r="T259" s="461"/>
      <c r="U259" s="461"/>
      <c r="V259" s="461"/>
    </row>
    <row r="260" spans="3:40" ht="14.5" collapsed="1" x14ac:dyDescent="0.35">
      <c r="C260" s="600">
        <f t="shared" si="9"/>
        <v>30</v>
      </c>
      <c r="D260" s="601" t="s">
        <v>252</v>
      </c>
      <c r="E260" s="342"/>
      <c r="F260" s="733">
        <v>0</v>
      </c>
      <c r="G260" s="706">
        <v>0</v>
      </c>
      <c r="H260" s="706">
        <v>0</v>
      </c>
      <c r="I260" s="706">
        <v>0</v>
      </c>
      <c r="J260" s="706">
        <v>0</v>
      </c>
      <c r="K260" s="706">
        <v>0</v>
      </c>
      <c r="L260" s="706">
        <v>0</v>
      </c>
      <c r="M260" s="706">
        <v>0</v>
      </c>
      <c r="N260" s="706">
        <v>0</v>
      </c>
      <c r="O260" s="706">
        <v>0</v>
      </c>
      <c r="P260" s="461"/>
      <c r="Q260" s="461"/>
      <c r="R260" s="461"/>
      <c r="S260" s="461"/>
      <c r="T260" s="461"/>
      <c r="U260" s="461"/>
      <c r="V260" s="461"/>
    </row>
    <row r="261" spans="3:40" x14ac:dyDescent="0.25">
      <c r="C261" s="585"/>
      <c r="D261" s="587"/>
      <c r="F261" s="736">
        <v>0</v>
      </c>
      <c r="G261" s="736">
        <v>0</v>
      </c>
      <c r="H261" s="736">
        <v>0</v>
      </c>
      <c r="I261" s="736">
        <v>0</v>
      </c>
      <c r="J261" s="736">
        <v>0</v>
      </c>
      <c r="K261" s="736">
        <v>0</v>
      </c>
      <c r="L261" s="736">
        <v>0</v>
      </c>
      <c r="M261" s="736">
        <v>0</v>
      </c>
      <c r="N261" s="736">
        <v>0</v>
      </c>
      <c r="O261" s="736">
        <v>0</v>
      </c>
    </row>
    <row r="262" spans="3:40" x14ac:dyDescent="0.25">
      <c r="C262" s="585"/>
      <c r="D262" s="585" t="s">
        <v>365</v>
      </c>
    </row>
    <row r="263" spans="3:40" x14ac:dyDescent="0.25">
      <c r="C263" s="585"/>
      <c r="D263" s="587"/>
    </row>
    <row r="264" spans="3:40" ht="15.5" x14ac:dyDescent="0.25">
      <c r="D264" s="607" t="s">
        <v>1148</v>
      </c>
      <c r="E264" s="605"/>
      <c r="F264" s="605"/>
      <c r="G264" s="605"/>
      <c r="H264" s="606"/>
    </row>
    <row r="265" spans="3:40" x14ac:dyDescent="0.25">
      <c r="D265" s="585"/>
    </row>
    <row r="266" spans="3:40" ht="34.5" x14ac:dyDescent="0.25">
      <c r="C266" s="585"/>
      <c r="D266" s="593" t="s">
        <v>405</v>
      </c>
      <c r="E266" s="618" t="s">
        <v>1281</v>
      </c>
      <c r="F266" s="619" t="s">
        <v>409</v>
      </c>
      <c r="G266" s="781" t="s">
        <v>406</v>
      </c>
      <c r="H266" s="782"/>
      <c r="I266" s="782"/>
      <c r="J266" s="783"/>
      <c r="K266" s="781" t="s">
        <v>407</v>
      </c>
      <c r="L266" s="783"/>
      <c r="M266" s="618" t="s">
        <v>1270</v>
      </c>
      <c r="N266" s="781" t="s">
        <v>1271</v>
      </c>
      <c r="O266" s="782"/>
      <c r="P266" s="782"/>
      <c r="Q266" s="782"/>
      <c r="R266" s="782"/>
      <c r="S266" s="782"/>
      <c r="T266" s="783"/>
      <c r="U266" s="619" t="s">
        <v>408</v>
      </c>
      <c r="V266" s="619"/>
      <c r="W266" s="619" t="s">
        <v>1282</v>
      </c>
      <c r="X266" s="619" t="s">
        <v>409</v>
      </c>
      <c r="Y266" s="781" t="s">
        <v>406</v>
      </c>
      <c r="Z266" s="782"/>
      <c r="AA266" s="782"/>
      <c r="AB266" s="783"/>
      <c r="AC266" s="790" t="s">
        <v>407</v>
      </c>
      <c r="AD266" s="791"/>
      <c r="AE266" s="618" t="s">
        <v>1270</v>
      </c>
      <c r="AF266" s="781" t="s">
        <v>1271</v>
      </c>
      <c r="AG266" s="782"/>
      <c r="AH266" s="782"/>
      <c r="AI266" s="782"/>
      <c r="AJ266" s="782"/>
      <c r="AK266" s="782"/>
      <c r="AL266" s="783"/>
      <c r="AM266" s="619" t="s">
        <v>408</v>
      </c>
      <c r="AN266" s="619"/>
    </row>
    <row r="267" spans="3:40" ht="69" x14ac:dyDescent="0.25">
      <c r="C267" s="585"/>
      <c r="D267" s="597" t="s">
        <v>252</v>
      </c>
      <c r="E267" s="598" t="s">
        <v>1283</v>
      </c>
      <c r="F267" s="598" t="s">
        <v>409</v>
      </c>
      <c r="G267" s="598" t="s">
        <v>410</v>
      </c>
      <c r="H267" s="598" t="s">
        <v>411</v>
      </c>
      <c r="I267" s="598" t="s">
        <v>412</v>
      </c>
      <c r="J267" s="599" t="s">
        <v>1272</v>
      </c>
      <c r="K267" s="599" t="s">
        <v>407</v>
      </c>
      <c r="L267" s="599" t="s">
        <v>1273</v>
      </c>
      <c r="M267" s="598" t="s">
        <v>416</v>
      </c>
      <c r="N267" s="598" t="s">
        <v>419</v>
      </c>
      <c r="O267" s="598" t="s">
        <v>908</v>
      </c>
      <c r="P267" s="598" t="s">
        <v>1274</v>
      </c>
      <c r="Q267" s="598" t="s">
        <v>1275</v>
      </c>
      <c r="R267" s="598" t="s">
        <v>978</v>
      </c>
      <c r="S267" s="598" t="s">
        <v>1276</v>
      </c>
      <c r="T267" s="598" t="s">
        <v>1277</v>
      </c>
      <c r="U267" s="598" t="s">
        <v>1278</v>
      </c>
      <c r="V267" s="598" t="s">
        <v>1279</v>
      </c>
      <c r="W267" s="598" t="s">
        <v>1284</v>
      </c>
      <c r="X267" s="598" t="s">
        <v>409</v>
      </c>
      <c r="Y267" s="598" t="s">
        <v>410</v>
      </c>
      <c r="Z267" s="598" t="s">
        <v>411</v>
      </c>
      <c r="AA267" s="598" t="s">
        <v>412</v>
      </c>
      <c r="AB267" s="599" t="s">
        <v>1272</v>
      </c>
      <c r="AC267" s="599" t="s">
        <v>407</v>
      </c>
      <c r="AD267" s="599" t="s">
        <v>1273</v>
      </c>
      <c r="AE267" s="598" t="s">
        <v>416</v>
      </c>
      <c r="AF267" s="598" t="s">
        <v>419</v>
      </c>
      <c r="AG267" s="598" t="s">
        <v>908</v>
      </c>
      <c r="AH267" s="598" t="s">
        <v>1274</v>
      </c>
      <c r="AI267" s="598" t="s">
        <v>1275</v>
      </c>
      <c r="AJ267" s="598" t="s">
        <v>978</v>
      </c>
      <c r="AK267" s="598" t="s">
        <v>1276</v>
      </c>
      <c r="AL267" s="598" t="s">
        <v>1277</v>
      </c>
      <c r="AM267" s="598" t="s">
        <v>1278</v>
      </c>
      <c r="AN267" s="598" t="s">
        <v>1279</v>
      </c>
    </row>
    <row r="268" spans="3:40" ht="14.5" x14ac:dyDescent="0.35">
      <c r="C268" s="600">
        <v>1</v>
      </c>
      <c r="D268" s="601" t="s">
        <v>797</v>
      </c>
      <c r="E268" s="617">
        <v>328.44</v>
      </c>
      <c r="F268" s="733">
        <v>138</v>
      </c>
      <c r="G268" s="733">
        <v>2</v>
      </c>
      <c r="H268" s="733">
        <v>2</v>
      </c>
      <c r="I268" s="733">
        <v>1</v>
      </c>
      <c r="J268" s="733">
        <v>30</v>
      </c>
      <c r="K268" s="733">
        <v>118</v>
      </c>
      <c r="L268" s="461"/>
      <c r="M268" s="461"/>
      <c r="N268" s="461"/>
      <c r="O268" s="461"/>
      <c r="P268" s="461"/>
      <c r="Q268" s="461"/>
      <c r="R268" s="461"/>
      <c r="S268" s="461"/>
      <c r="T268" s="461"/>
      <c r="U268" s="461"/>
      <c r="V268" s="461"/>
      <c r="W268" s="342"/>
      <c r="X268" s="342"/>
      <c r="Y268" s="461"/>
      <c r="Z268" s="461"/>
      <c r="AA268" s="461"/>
      <c r="AB268" s="461"/>
      <c r="AC268" s="461"/>
      <c r="AD268" s="461"/>
      <c r="AE268" s="461"/>
      <c r="AF268" s="461"/>
      <c r="AG268" s="461"/>
      <c r="AH268" s="461"/>
      <c r="AI268" s="461"/>
      <c r="AJ268" s="461"/>
      <c r="AK268" s="461"/>
      <c r="AL268" s="461"/>
      <c r="AM268" s="461"/>
      <c r="AN268" s="461"/>
    </row>
    <row r="269" spans="3:40" ht="14.5" x14ac:dyDescent="0.35">
      <c r="C269" s="600">
        <f>1+C268</f>
        <v>2</v>
      </c>
      <c r="D269" s="601" t="s">
        <v>798</v>
      </c>
      <c r="E269" s="617">
        <v>367.29</v>
      </c>
      <c r="F269" s="733">
        <v>157</v>
      </c>
      <c r="G269" s="733">
        <v>2</v>
      </c>
      <c r="H269" s="733">
        <v>2</v>
      </c>
      <c r="I269" s="733">
        <v>1</v>
      </c>
      <c r="J269" s="733">
        <v>23</v>
      </c>
      <c r="K269" s="733">
        <v>174</v>
      </c>
      <c r="L269" s="461"/>
      <c r="M269" s="461"/>
      <c r="N269" s="461"/>
      <c r="O269" s="461"/>
      <c r="P269" s="461"/>
      <c r="Q269" s="461"/>
      <c r="R269" s="461"/>
      <c r="S269" s="461"/>
      <c r="T269" s="461"/>
      <c r="U269" s="461"/>
      <c r="V269" s="461"/>
      <c r="W269" s="342"/>
      <c r="X269" s="342"/>
      <c r="Y269" s="461"/>
      <c r="Z269" s="461"/>
      <c r="AA269" s="461"/>
      <c r="AB269" s="461"/>
      <c r="AC269" s="461"/>
      <c r="AD269" s="461"/>
      <c r="AE269" s="461"/>
      <c r="AF269" s="461"/>
      <c r="AG269" s="461"/>
      <c r="AH269" s="461"/>
      <c r="AI269" s="461"/>
      <c r="AJ269" s="461"/>
      <c r="AK269" s="461"/>
      <c r="AL269" s="461"/>
      <c r="AM269" s="461"/>
      <c r="AN269" s="461"/>
    </row>
    <row r="270" spans="3:40" ht="14.5" x14ac:dyDescent="0.35">
      <c r="C270" s="600">
        <f t="shared" ref="C270:C333" si="10">1+C269</f>
        <v>3</v>
      </c>
      <c r="D270" s="601" t="s">
        <v>205</v>
      </c>
      <c r="E270" s="617">
        <v>421.32</v>
      </c>
      <c r="F270" s="733">
        <v>134</v>
      </c>
      <c r="G270" s="733">
        <v>2</v>
      </c>
      <c r="H270" s="733">
        <v>3</v>
      </c>
      <c r="I270" s="733">
        <v>1</v>
      </c>
      <c r="J270" s="733">
        <v>37</v>
      </c>
      <c r="K270" s="733">
        <v>250</v>
      </c>
      <c r="L270" s="461"/>
      <c r="M270" s="461"/>
      <c r="N270" s="461"/>
      <c r="O270" s="461"/>
      <c r="P270" s="461"/>
      <c r="Q270" s="461"/>
      <c r="R270" s="461"/>
      <c r="S270" s="461"/>
      <c r="T270" s="461"/>
      <c r="U270" s="461"/>
      <c r="V270" s="461"/>
      <c r="W270" s="342"/>
      <c r="X270" s="342"/>
      <c r="Y270" s="461"/>
      <c r="Z270" s="461"/>
      <c r="AA270" s="461"/>
      <c r="AB270" s="461"/>
      <c r="AC270" s="461"/>
      <c r="AD270" s="461"/>
      <c r="AE270" s="461"/>
      <c r="AF270" s="461"/>
      <c r="AG270" s="461"/>
      <c r="AH270" s="461"/>
      <c r="AI270" s="461"/>
      <c r="AJ270" s="461"/>
      <c r="AK270" s="461"/>
      <c r="AL270" s="461"/>
      <c r="AM270" s="461"/>
      <c r="AN270" s="461"/>
    </row>
    <row r="271" spans="3:40" ht="14.5" hidden="1" x14ac:dyDescent="0.35">
      <c r="C271" s="600">
        <f t="shared" si="10"/>
        <v>4</v>
      </c>
      <c r="D271" s="601" t="s">
        <v>252</v>
      </c>
      <c r="E271" s="342"/>
      <c r="F271" s="342">
        <v>0</v>
      </c>
      <c r="G271" s="461">
        <v>0</v>
      </c>
      <c r="H271" s="461">
        <v>0</v>
      </c>
      <c r="I271" s="461">
        <v>0</v>
      </c>
      <c r="J271" s="461">
        <v>0</v>
      </c>
      <c r="K271" s="461">
        <v>0</v>
      </c>
      <c r="L271" s="461"/>
      <c r="M271" s="461"/>
      <c r="N271" s="461"/>
      <c r="O271" s="461"/>
      <c r="P271" s="461"/>
      <c r="Q271" s="461"/>
      <c r="R271" s="461"/>
      <c r="S271" s="461"/>
      <c r="T271" s="461"/>
      <c r="U271" s="461"/>
      <c r="V271" s="461"/>
      <c r="W271" s="342"/>
      <c r="X271" s="342"/>
      <c r="Y271" s="461"/>
      <c r="Z271" s="461"/>
      <c r="AA271" s="461"/>
      <c r="AB271" s="461"/>
      <c r="AC271" s="461"/>
      <c r="AD271" s="461"/>
      <c r="AE271" s="461"/>
      <c r="AF271" s="461"/>
      <c r="AG271" s="461"/>
      <c r="AH271" s="461"/>
      <c r="AI271" s="461"/>
      <c r="AJ271" s="461"/>
      <c r="AK271" s="461"/>
      <c r="AL271" s="461"/>
      <c r="AM271" s="461"/>
      <c r="AN271" s="461"/>
    </row>
    <row r="272" spans="3:40" ht="14.5" hidden="1" x14ac:dyDescent="0.35">
      <c r="C272" s="600">
        <f t="shared" si="10"/>
        <v>5</v>
      </c>
      <c r="D272" s="601" t="s">
        <v>252</v>
      </c>
      <c r="E272" s="342"/>
      <c r="F272" s="342">
        <v>0</v>
      </c>
      <c r="G272" s="461">
        <v>0</v>
      </c>
      <c r="H272" s="461">
        <v>0</v>
      </c>
      <c r="I272" s="461">
        <v>0</v>
      </c>
      <c r="J272" s="461">
        <v>0</v>
      </c>
      <c r="K272" s="461">
        <v>0</v>
      </c>
      <c r="L272" s="461"/>
      <c r="M272" s="461"/>
      <c r="N272" s="461"/>
      <c r="O272" s="461"/>
      <c r="P272" s="461"/>
      <c r="Q272" s="461"/>
      <c r="R272" s="461"/>
      <c r="S272" s="461"/>
      <c r="T272" s="461"/>
      <c r="U272" s="461"/>
      <c r="V272" s="461"/>
      <c r="W272" s="342"/>
      <c r="X272" s="342"/>
      <c r="Y272" s="461"/>
      <c r="Z272" s="461"/>
      <c r="AA272" s="461"/>
      <c r="AB272" s="461"/>
      <c r="AC272" s="461"/>
      <c r="AD272" s="461"/>
      <c r="AE272" s="461"/>
      <c r="AF272" s="461"/>
      <c r="AG272" s="461"/>
      <c r="AH272" s="461"/>
      <c r="AI272" s="461"/>
      <c r="AJ272" s="461"/>
      <c r="AK272" s="461"/>
      <c r="AL272" s="461"/>
      <c r="AM272" s="461"/>
      <c r="AN272" s="461"/>
    </row>
    <row r="273" spans="3:40" ht="14.5" hidden="1" x14ac:dyDescent="0.35">
      <c r="C273" s="600">
        <f t="shared" si="10"/>
        <v>6</v>
      </c>
      <c r="D273" s="601" t="s">
        <v>252</v>
      </c>
      <c r="E273" s="342"/>
      <c r="F273" s="342">
        <v>0</v>
      </c>
      <c r="G273" s="461">
        <v>0</v>
      </c>
      <c r="H273" s="461">
        <v>0</v>
      </c>
      <c r="I273" s="461">
        <v>0</v>
      </c>
      <c r="J273" s="461">
        <v>0</v>
      </c>
      <c r="K273" s="461">
        <v>0</v>
      </c>
      <c r="L273" s="461"/>
      <c r="M273" s="461"/>
      <c r="N273" s="461"/>
      <c r="O273" s="461"/>
      <c r="P273" s="461"/>
      <c r="Q273" s="461"/>
      <c r="R273" s="461"/>
      <c r="S273" s="461"/>
      <c r="T273" s="461"/>
      <c r="U273" s="461"/>
      <c r="V273" s="461"/>
      <c r="W273" s="342"/>
      <c r="X273" s="342"/>
      <c r="Y273" s="461"/>
      <c r="Z273" s="461"/>
      <c r="AA273" s="461"/>
      <c r="AB273" s="461"/>
      <c r="AC273" s="461"/>
      <c r="AD273" s="461"/>
      <c r="AE273" s="461"/>
      <c r="AF273" s="461"/>
      <c r="AG273" s="461"/>
      <c r="AH273" s="461"/>
      <c r="AI273" s="461"/>
      <c r="AJ273" s="461"/>
      <c r="AK273" s="461"/>
      <c r="AL273" s="461"/>
      <c r="AM273" s="461"/>
      <c r="AN273" s="461"/>
    </row>
    <row r="274" spans="3:40" ht="14.5" hidden="1" x14ac:dyDescent="0.35">
      <c r="C274" s="600">
        <f t="shared" si="10"/>
        <v>7</v>
      </c>
      <c r="D274" s="601" t="s">
        <v>252</v>
      </c>
      <c r="E274" s="342"/>
      <c r="F274" s="342">
        <v>0</v>
      </c>
      <c r="G274" s="461">
        <v>0</v>
      </c>
      <c r="H274" s="461">
        <v>0</v>
      </c>
      <c r="I274" s="461">
        <v>0</v>
      </c>
      <c r="J274" s="461">
        <v>0</v>
      </c>
      <c r="K274" s="461">
        <v>0</v>
      </c>
      <c r="L274" s="461"/>
      <c r="M274" s="461"/>
      <c r="N274" s="461"/>
      <c r="O274" s="461"/>
      <c r="P274" s="461"/>
      <c r="Q274" s="461"/>
      <c r="R274" s="461"/>
      <c r="S274" s="461"/>
      <c r="T274" s="461"/>
      <c r="U274" s="461"/>
      <c r="V274" s="461"/>
      <c r="W274" s="342"/>
      <c r="X274" s="342"/>
      <c r="Y274" s="461"/>
      <c r="Z274" s="461"/>
      <c r="AA274" s="461"/>
      <c r="AB274" s="461"/>
      <c r="AC274" s="461"/>
      <c r="AD274" s="461"/>
      <c r="AE274" s="461"/>
      <c r="AF274" s="461"/>
      <c r="AG274" s="461"/>
      <c r="AH274" s="461"/>
      <c r="AI274" s="461"/>
      <c r="AJ274" s="461"/>
      <c r="AK274" s="461"/>
      <c r="AL274" s="461"/>
      <c r="AM274" s="461"/>
      <c r="AN274" s="461"/>
    </row>
    <row r="275" spans="3:40" ht="14.5" hidden="1" x14ac:dyDescent="0.35">
      <c r="C275" s="600">
        <f t="shared" si="10"/>
        <v>8</v>
      </c>
      <c r="D275" s="601" t="s">
        <v>252</v>
      </c>
      <c r="E275" s="342"/>
      <c r="F275" s="342">
        <v>0</v>
      </c>
      <c r="G275" s="461">
        <v>0</v>
      </c>
      <c r="H275" s="461">
        <v>0</v>
      </c>
      <c r="I275" s="461">
        <v>0</v>
      </c>
      <c r="J275" s="461">
        <v>0</v>
      </c>
      <c r="K275" s="461">
        <v>0</v>
      </c>
      <c r="L275" s="461"/>
      <c r="M275" s="461"/>
      <c r="N275" s="461"/>
      <c r="O275" s="461"/>
      <c r="P275" s="461"/>
      <c r="Q275" s="461"/>
      <c r="R275" s="461"/>
      <c r="S275" s="461"/>
      <c r="T275" s="461"/>
      <c r="U275" s="461"/>
      <c r="V275" s="461"/>
      <c r="W275" s="342"/>
      <c r="X275" s="342"/>
      <c r="Y275" s="461"/>
      <c r="Z275" s="461"/>
      <c r="AA275" s="461"/>
      <c r="AB275" s="461"/>
      <c r="AC275" s="461"/>
      <c r="AD275" s="461"/>
      <c r="AE275" s="461"/>
      <c r="AF275" s="461"/>
      <c r="AG275" s="461"/>
      <c r="AH275" s="461"/>
      <c r="AI275" s="461"/>
      <c r="AJ275" s="461"/>
      <c r="AK275" s="461"/>
      <c r="AL275" s="461"/>
      <c r="AM275" s="461"/>
      <c r="AN275" s="461"/>
    </row>
    <row r="276" spans="3:40" ht="14.5" hidden="1" x14ac:dyDescent="0.35">
      <c r="C276" s="600">
        <f t="shared" si="10"/>
        <v>9</v>
      </c>
      <c r="D276" s="601" t="s">
        <v>252</v>
      </c>
      <c r="E276" s="342"/>
      <c r="F276" s="342">
        <v>0</v>
      </c>
      <c r="G276" s="461">
        <v>0</v>
      </c>
      <c r="H276" s="461">
        <v>0</v>
      </c>
      <c r="I276" s="461">
        <v>0</v>
      </c>
      <c r="J276" s="461">
        <v>0</v>
      </c>
      <c r="K276" s="461">
        <v>0</v>
      </c>
      <c r="L276" s="461"/>
      <c r="M276" s="461"/>
      <c r="N276" s="461"/>
      <c r="O276" s="461"/>
      <c r="P276" s="461"/>
      <c r="Q276" s="461"/>
      <c r="R276" s="461"/>
      <c r="S276" s="461"/>
      <c r="T276" s="461"/>
      <c r="U276" s="461"/>
      <c r="V276" s="461"/>
      <c r="W276" s="342"/>
      <c r="X276" s="342"/>
      <c r="Y276" s="461"/>
      <c r="Z276" s="461"/>
      <c r="AA276" s="461"/>
      <c r="AB276" s="461"/>
      <c r="AC276" s="461"/>
      <c r="AD276" s="461"/>
      <c r="AE276" s="461"/>
      <c r="AF276" s="461"/>
      <c r="AG276" s="461"/>
      <c r="AH276" s="461"/>
      <c r="AI276" s="461"/>
      <c r="AJ276" s="461"/>
      <c r="AK276" s="461"/>
      <c r="AL276" s="461"/>
      <c r="AM276" s="461"/>
      <c r="AN276" s="461"/>
    </row>
    <row r="277" spans="3:40" ht="14.5" hidden="1" customHeight="1" outlineLevel="1" x14ac:dyDescent="0.35">
      <c r="C277" s="600">
        <f t="shared" si="10"/>
        <v>10</v>
      </c>
      <c r="D277" s="601" t="s">
        <v>252</v>
      </c>
      <c r="E277" s="342"/>
      <c r="F277" s="342"/>
      <c r="G277" s="461"/>
      <c r="H277" s="461"/>
      <c r="I277" s="461"/>
      <c r="J277" s="461"/>
      <c r="K277" s="461"/>
      <c r="L277" s="461"/>
      <c r="M277" s="461"/>
      <c r="N277" s="461"/>
      <c r="O277" s="461"/>
      <c r="P277" s="461"/>
      <c r="Q277" s="461"/>
      <c r="R277" s="461"/>
      <c r="S277" s="461"/>
      <c r="T277" s="461"/>
      <c r="U277" s="461"/>
      <c r="V277" s="461"/>
      <c r="W277" s="342"/>
      <c r="X277" s="342"/>
      <c r="Y277" s="461"/>
      <c r="Z277" s="461"/>
      <c r="AA277" s="461"/>
      <c r="AB277" s="461"/>
      <c r="AC277" s="461"/>
      <c r="AD277" s="461"/>
      <c r="AE277" s="461"/>
      <c r="AF277" s="461"/>
      <c r="AG277" s="461"/>
      <c r="AH277" s="461"/>
      <c r="AI277" s="461"/>
      <c r="AJ277" s="461"/>
      <c r="AK277" s="461"/>
      <c r="AL277" s="461"/>
      <c r="AM277" s="461"/>
      <c r="AN277" s="461"/>
    </row>
    <row r="278" spans="3:40" ht="14.5" hidden="1" customHeight="1" outlineLevel="1" x14ac:dyDescent="0.35">
      <c r="C278" s="600">
        <f t="shared" si="10"/>
        <v>11</v>
      </c>
      <c r="D278" s="601" t="s">
        <v>252</v>
      </c>
      <c r="E278" s="342"/>
      <c r="F278" s="342"/>
      <c r="G278" s="461"/>
      <c r="H278" s="461"/>
      <c r="I278" s="461"/>
      <c r="J278" s="461"/>
      <c r="K278" s="461"/>
      <c r="L278" s="461"/>
      <c r="M278" s="461"/>
      <c r="N278" s="461"/>
      <c r="O278" s="461"/>
      <c r="P278" s="461"/>
      <c r="Q278" s="461"/>
      <c r="R278" s="461"/>
      <c r="S278" s="461"/>
      <c r="T278" s="461"/>
      <c r="U278" s="461"/>
      <c r="V278" s="461"/>
      <c r="W278" s="342"/>
      <c r="X278" s="342"/>
      <c r="Y278" s="461"/>
      <c r="Z278" s="461"/>
      <c r="AA278" s="461"/>
      <c r="AB278" s="461"/>
      <c r="AC278" s="461"/>
      <c r="AD278" s="461"/>
      <c r="AE278" s="461"/>
      <c r="AF278" s="461"/>
      <c r="AG278" s="461"/>
      <c r="AH278" s="461"/>
      <c r="AI278" s="461"/>
      <c r="AJ278" s="461"/>
      <c r="AK278" s="461"/>
      <c r="AL278" s="461"/>
      <c r="AM278" s="461"/>
      <c r="AN278" s="461"/>
    </row>
    <row r="279" spans="3:40" ht="14.5" hidden="1" customHeight="1" outlineLevel="1" x14ac:dyDescent="0.35">
      <c r="C279" s="600">
        <f t="shared" si="10"/>
        <v>12</v>
      </c>
      <c r="D279" s="601" t="s">
        <v>252</v>
      </c>
      <c r="E279" s="342"/>
      <c r="F279" s="342"/>
      <c r="G279" s="461"/>
      <c r="H279" s="461"/>
      <c r="I279" s="461"/>
      <c r="J279" s="461"/>
      <c r="K279" s="461"/>
      <c r="L279" s="461"/>
      <c r="M279" s="461"/>
      <c r="N279" s="461"/>
      <c r="O279" s="461"/>
      <c r="P279" s="461"/>
      <c r="Q279" s="461"/>
      <c r="R279" s="461"/>
      <c r="S279" s="461"/>
      <c r="T279" s="461"/>
      <c r="U279" s="461"/>
      <c r="V279" s="461"/>
      <c r="W279" s="342"/>
      <c r="X279" s="342"/>
      <c r="Y279" s="461"/>
      <c r="Z279" s="461"/>
      <c r="AA279" s="461"/>
      <c r="AB279" s="461"/>
      <c r="AC279" s="461"/>
      <c r="AD279" s="461"/>
      <c r="AE279" s="461"/>
      <c r="AF279" s="461"/>
      <c r="AG279" s="461"/>
      <c r="AH279" s="461"/>
      <c r="AI279" s="461"/>
      <c r="AJ279" s="461"/>
      <c r="AK279" s="461"/>
      <c r="AL279" s="461"/>
      <c r="AM279" s="461"/>
      <c r="AN279" s="461"/>
    </row>
    <row r="280" spans="3:40" ht="14.5" hidden="1" customHeight="1" outlineLevel="1" x14ac:dyDescent="0.35">
      <c r="C280" s="600">
        <f t="shared" si="10"/>
        <v>13</v>
      </c>
      <c r="D280" s="601" t="s">
        <v>252</v>
      </c>
      <c r="E280" s="342"/>
      <c r="F280" s="342"/>
      <c r="G280" s="461"/>
      <c r="H280" s="461"/>
      <c r="I280" s="461"/>
      <c r="J280" s="461"/>
      <c r="K280" s="461"/>
      <c r="L280" s="461"/>
      <c r="M280" s="461"/>
      <c r="N280" s="461"/>
      <c r="O280" s="461"/>
      <c r="P280" s="461"/>
      <c r="Q280" s="461"/>
      <c r="R280" s="461"/>
      <c r="S280" s="461"/>
      <c r="T280" s="461"/>
      <c r="U280" s="461"/>
      <c r="V280" s="461"/>
      <c r="W280" s="342"/>
      <c r="X280" s="342"/>
      <c r="Y280" s="461"/>
      <c r="Z280" s="461"/>
      <c r="AA280" s="461"/>
      <c r="AB280" s="461"/>
      <c r="AC280" s="461"/>
      <c r="AD280" s="461"/>
      <c r="AE280" s="461"/>
      <c r="AF280" s="461"/>
      <c r="AG280" s="461"/>
      <c r="AH280" s="461"/>
      <c r="AI280" s="461"/>
      <c r="AJ280" s="461"/>
      <c r="AK280" s="461"/>
      <c r="AL280" s="461"/>
      <c r="AM280" s="461"/>
      <c r="AN280" s="461"/>
    </row>
    <row r="281" spans="3:40" ht="14.5" hidden="1" customHeight="1" outlineLevel="1" x14ac:dyDescent="0.35">
      <c r="C281" s="600">
        <f t="shared" si="10"/>
        <v>14</v>
      </c>
      <c r="D281" s="601" t="s">
        <v>252</v>
      </c>
      <c r="E281" s="342"/>
      <c r="F281" s="342"/>
      <c r="G281" s="461"/>
      <c r="H281" s="461"/>
      <c r="I281" s="461"/>
      <c r="J281" s="461"/>
      <c r="K281" s="461"/>
      <c r="L281" s="461"/>
      <c r="M281" s="461"/>
      <c r="N281" s="461"/>
      <c r="O281" s="461"/>
      <c r="P281" s="461"/>
      <c r="Q281" s="461"/>
      <c r="R281" s="461"/>
      <c r="S281" s="461"/>
      <c r="T281" s="461"/>
      <c r="U281" s="461"/>
      <c r="V281" s="461"/>
      <c r="W281" s="342"/>
      <c r="X281" s="342"/>
      <c r="Y281" s="461"/>
      <c r="Z281" s="461"/>
      <c r="AA281" s="461"/>
      <c r="AB281" s="461"/>
      <c r="AC281" s="461"/>
      <c r="AD281" s="461"/>
      <c r="AE281" s="461"/>
      <c r="AF281" s="461"/>
      <c r="AG281" s="461"/>
      <c r="AH281" s="461"/>
      <c r="AI281" s="461"/>
      <c r="AJ281" s="461"/>
      <c r="AK281" s="461"/>
      <c r="AL281" s="461"/>
      <c r="AM281" s="461"/>
      <c r="AN281" s="461"/>
    </row>
    <row r="282" spans="3:40" ht="14.5" hidden="1" customHeight="1" outlineLevel="1" x14ac:dyDescent="0.35">
      <c r="C282" s="600">
        <f t="shared" si="10"/>
        <v>15</v>
      </c>
      <c r="D282" s="601" t="s">
        <v>252</v>
      </c>
      <c r="E282" s="342"/>
      <c r="F282" s="342"/>
      <c r="G282" s="461"/>
      <c r="H282" s="461"/>
      <c r="I282" s="461"/>
      <c r="J282" s="461"/>
      <c r="K282" s="461"/>
      <c r="L282" s="461"/>
      <c r="M282" s="461"/>
      <c r="N282" s="461"/>
      <c r="O282" s="461"/>
      <c r="P282" s="461"/>
      <c r="Q282" s="461"/>
      <c r="R282" s="461"/>
      <c r="S282" s="461"/>
      <c r="T282" s="461"/>
      <c r="U282" s="461"/>
      <c r="V282" s="461"/>
      <c r="W282" s="342"/>
      <c r="X282" s="342"/>
      <c r="Y282" s="461"/>
      <c r="Z282" s="461"/>
      <c r="AA282" s="461"/>
      <c r="AB282" s="461"/>
      <c r="AC282" s="461"/>
      <c r="AD282" s="461"/>
      <c r="AE282" s="461"/>
      <c r="AF282" s="461"/>
      <c r="AG282" s="461"/>
      <c r="AH282" s="461"/>
      <c r="AI282" s="461"/>
      <c r="AJ282" s="461"/>
      <c r="AK282" s="461"/>
      <c r="AL282" s="461"/>
      <c r="AM282" s="461"/>
      <c r="AN282" s="461"/>
    </row>
    <row r="283" spans="3:40" ht="14.5" hidden="1" customHeight="1" outlineLevel="1" x14ac:dyDescent="0.35">
      <c r="C283" s="600">
        <f t="shared" si="10"/>
        <v>16</v>
      </c>
      <c r="D283" s="601" t="s">
        <v>252</v>
      </c>
      <c r="E283" s="342"/>
      <c r="F283" s="342"/>
      <c r="G283" s="461"/>
      <c r="H283" s="461"/>
      <c r="I283" s="461"/>
      <c r="J283" s="461"/>
      <c r="K283" s="461"/>
      <c r="L283" s="461"/>
      <c r="M283" s="461"/>
      <c r="N283" s="461"/>
      <c r="O283" s="461"/>
      <c r="P283" s="461"/>
      <c r="Q283" s="461"/>
      <c r="R283" s="461"/>
      <c r="S283" s="461"/>
      <c r="T283" s="461"/>
      <c r="U283" s="461"/>
      <c r="V283" s="461"/>
      <c r="W283" s="342"/>
      <c r="X283" s="342"/>
      <c r="Y283" s="461"/>
      <c r="Z283" s="461"/>
      <c r="AA283" s="461"/>
      <c r="AB283" s="461"/>
      <c r="AC283" s="461"/>
      <c r="AD283" s="461"/>
      <c r="AE283" s="461"/>
      <c r="AF283" s="461"/>
      <c r="AG283" s="461"/>
      <c r="AH283" s="461"/>
      <c r="AI283" s="461"/>
      <c r="AJ283" s="461"/>
      <c r="AK283" s="461"/>
      <c r="AL283" s="461"/>
      <c r="AM283" s="461"/>
      <c r="AN283" s="461"/>
    </row>
    <row r="284" spans="3:40" ht="14.5" hidden="1" customHeight="1" outlineLevel="1" x14ac:dyDescent="0.35">
      <c r="C284" s="600">
        <f t="shared" si="10"/>
        <v>17</v>
      </c>
      <c r="D284" s="601" t="s">
        <v>252</v>
      </c>
      <c r="E284" s="342"/>
      <c r="F284" s="342"/>
      <c r="G284" s="461"/>
      <c r="H284" s="461"/>
      <c r="I284" s="461"/>
      <c r="J284" s="461"/>
      <c r="K284" s="461"/>
      <c r="L284" s="461"/>
      <c r="M284" s="461"/>
      <c r="N284" s="461"/>
      <c r="O284" s="461"/>
      <c r="P284" s="461"/>
      <c r="Q284" s="461"/>
      <c r="R284" s="461"/>
      <c r="S284" s="461"/>
      <c r="T284" s="461"/>
      <c r="U284" s="461"/>
      <c r="V284" s="461"/>
      <c r="W284" s="342"/>
      <c r="X284" s="342"/>
      <c r="Y284" s="461"/>
      <c r="Z284" s="461"/>
      <c r="AA284" s="461"/>
      <c r="AB284" s="461"/>
      <c r="AC284" s="461"/>
      <c r="AD284" s="461"/>
      <c r="AE284" s="461"/>
      <c r="AF284" s="461"/>
      <c r="AG284" s="461"/>
      <c r="AH284" s="461"/>
      <c r="AI284" s="461"/>
      <c r="AJ284" s="461"/>
      <c r="AK284" s="461"/>
      <c r="AL284" s="461"/>
      <c r="AM284" s="461"/>
      <c r="AN284" s="461"/>
    </row>
    <row r="285" spans="3:40" ht="14.5" hidden="1" customHeight="1" outlineLevel="1" x14ac:dyDescent="0.35">
      <c r="C285" s="600">
        <f t="shared" si="10"/>
        <v>18</v>
      </c>
      <c r="D285" s="601" t="s">
        <v>252</v>
      </c>
      <c r="E285" s="342"/>
      <c r="F285" s="342"/>
      <c r="G285" s="461"/>
      <c r="H285" s="461"/>
      <c r="I285" s="461"/>
      <c r="J285" s="461"/>
      <c r="K285" s="461"/>
      <c r="L285" s="461"/>
      <c r="M285" s="461"/>
      <c r="N285" s="461"/>
      <c r="O285" s="461"/>
      <c r="P285" s="461"/>
      <c r="Q285" s="461"/>
      <c r="R285" s="461"/>
      <c r="S285" s="461"/>
      <c r="T285" s="461"/>
      <c r="U285" s="461"/>
      <c r="V285" s="461"/>
      <c r="W285" s="342"/>
      <c r="X285" s="342"/>
      <c r="Y285" s="461"/>
      <c r="Z285" s="461"/>
      <c r="AA285" s="461"/>
      <c r="AB285" s="461"/>
      <c r="AC285" s="461"/>
      <c r="AD285" s="461"/>
      <c r="AE285" s="461"/>
      <c r="AF285" s="461"/>
      <c r="AG285" s="461"/>
      <c r="AH285" s="461"/>
      <c r="AI285" s="461"/>
      <c r="AJ285" s="461"/>
      <c r="AK285" s="461"/>
      <c r="AL285" s="461"/>
      <c r="AM285" s="461"/>
      <c r="AN285" s="461"/>
    </row>
    <row r="286" spans="3:40" ht="14.5" hidden="1" customHeight="1" outlineLevel="1" x14ac:dyDescent="0.35">
      <c r="C286" s="600">
        <f t="shared" si="10"/>
        <v>19</v>
      </c>
      <c r="D286" s="601" t="s">
        <v>252</v>
      </c>
      <c r="E286" s="342"/>
      <c r="F286" s="342"/>
      <c r="G286" s="461"/>
      <c r="H286" s="461"/>
      <c r="I286" s="461"/>
      <c r="J286" s="461"/>
      <c r="K286" s="461"/>
      <c r="L286" s="461"/>
      <c r="M286" s="461"/>
      <c r="N286" s="461"/>
      <c r="O286" s="461"/>
      <c r="P286" s="461"/>
      <c r="Q286" s="461"/>
      <c r="R286" s="461"/>
      <c r="S286" s="461"/>
      <c r="T286" s="461"/>
      <c r="U286" s="461"/>
      <c r="V286" s="461"/>
      <c r="W286" s="342"/>
      <c r="X286" s="342"/>
      <c r="Y286" s="461"/>
      <c r="Z286" s="461"/>
      <c r="AA286" s="461"/>
      <c r="AB286" s="461"/>
      <c r="AC286" s="461"/>
      <c r="AD286" s="461"/>
      <c r="AE286" s="461"/>
      <c r="AF286" s="461"/>
      <c r="AG286" s="461"/>
      <c r="AH286" s="461"/>
      <c r="AI286" s="461"/>
      <c r="AJ286" s="461"/>
      <c r="AK286" s="461"/>
      <c r="AL286" s="461"/>
      <c r="AM286" s="461"/>
      <c r="AN286" s="461"/>
    </row>
    <row r="287" spans="3:40" ht="14.5" hidden="1" customHeight="1" outlineLevel="1" x14ac:dyDescent="0.35">
      <c r="C287" s="600">
        <f t="shared" si="10"/>
        <v>20</v>
      </c>
      <c r="D287" s="601" t="s">
        <v>252</v>
      </c>
      <c r="E287" s="342"/>
      <c r="F287" s="342"/>
      <c r="G287" s="461"/>
      <c r="H287" s="461"/>
      <c r="I287" s="461"/>
      <c r="J287" s="461"/>
      <c r="K287" s="461"/>
      <c r="L287" s="461"/>
      <c r="M287" s="461"/>
      <c r="N287" s="461"/>
      <c r="O287" s="461"/>
      <c r="P287" s="461"/>
      <c r="Q287" s="461"/>
      <c r="R287" s="461"/>
      <c r="S287" s="461"/>
      <c r="T287" s="461"/>
      <c r="U287" s="461"/>
      <c r="V287" s="461"/>
      <c r="W287" s="342"/>
      <c r="X287" s="342"/>
      <c r="Y287" s="461"/>
      <c r="Z287" s="461"/>
      <c r="AA287" s="461"/>
      <c r="AB287" s="461"/>
      <c r="AC287" s="461"/>
      <c r="AD287" s="461"/>
      <c r="AE287" s="461"/>
      <c r="AF287" s="461"/>
      <c r="AG287" s="461"/>
      <c r="AH287" s="461"/>
      <c r="AI287" s="461"/>
      <c r="AJ287" s="461"/>
      <c r="AK287" s="461"/>
      <c r="AL287" s="461"/>
      <c r="AM287" s="461"/>
      <c r="AN287" s="461"/>
    </row>
    <row r="288" spans="3:40" ht="14.5" hidden="1" customHeight="1" outlineLevel="1" x14ac:dyDescent="0.35">
      <c r="C288" s="600">
        <f t="shared" si="10"/>
        <v>21</v>
      </c>
      <c r="D288" s="601" t="s">
        <v>252</v>
      </c>
      <c r="E288" s="342"/>
      <c r="F288" s="342"/>
      <c r="G288" s="461"/>
      <c r="H288" s="461"/>
      <c r="I288" s="461"/>
      <c r="J288" s="461"/>
      <c r="K288" s="461"/>
      <c r="L288" s="461"/>
      <c r="M288" s="461"/>
      <c r="N288" s="461"/>
      <c r="O288" s="461"/>
      <c r="P288" s="461"/>
      <c r="Q288" s="461"/>
      <c r="R288" s="461"/>
      <c r="S288" s="461"/>
      <c r="T288" s="461"/>
      <c r="U288" s="461"/>
      <c r="V288" s="461"/>
      <c r="W288" s="342"/>
      <c r="X288" s="342"/>
      <c r="Y288" s="461"/>
      <c r="Z288" s="461"/>
      <c r="AA288" s="461"/>
      <c r="AB288" s="461"/>
      <c r="AC288" s="461"/>
      <c r="AD288" s="461"/>
      <c r="AE288" s="461"/>
      <c r="AF288" s="461"/>
      <c r="AG288" s="461"/>
      <c r="AH288" s="461"/>
      <c r="AI288" s="461"/>
      <c r="AJ288" s="461"/>
      <c r="AK288" s="461"/>
      <c r="AL288" s="461"/>
      <c r="AM288" s="461"/>
      <c r="AN288" s="461"/>
    </row>
    <row r="289" spans="3:40" ht="14.5" hidden="1" customHeight="1" outlineLevel="1" x14ac:dyDescent="0.35">
      <c r="C289" s="600">
        <f t="shared" si="10"/>
        <v>22</v>
      </c>
      <c r="D289" s="601" t="s">
        <v>252</v>
      </c>
      <c r="E289" s="342"/>
      <c r="F289" s="342"/>
      <c r="G289" s="461"/>
      <c r="H289" s="461"/>
      <c r="I289" s="461"/>
      <c r="J289" s="461"/>
      <c r="K289" s="461"/>
      <c r="L289" s="461"/>
      <c r="M289" s="461"/>
      <c r="N289" s="461"/>
      <c r="O289" s="461"/>
      <c r="P289" s="461"/>
      <c r="Q289" s="461"/>
      <c r="R289" s="461"/>
      <c r="S289" s="461"/>
      <c r="T289" s="461"/>
      <c r="U289" s="461"/>
      <c r="V289" s="461"/>
      <c r="W289" s="342"/>
      <c r="X289" s="342"/>
      <c r="Y289" s="461"/>
      <c r="Z289" s="461"/>
      <c r="AA289" s="461"/>
      <c r="AB289" s="461"/>
      <c r="AC289" s="461"/>
      <c r="AD289" s="461"/>
      <c r="AE289" s="461"/>
      <c r="AF289" s="461"/>
      <c r="AG289" s="461"/>
      <c r="AH289" s="461"/>
      <c r="AI289" s="461"/>
      <c r="AJ289" s="461"/>
      <c r="AK289" s="461"/>
      <c r="AL289" s="461"/>
      <c r="AM289" s="461"/>
      <c r="AN289" s="461"/>
    </row>
    <row r="290" spans="3:40" ht="14.5" hidden="1" customHeight="1" outlineLevel="1" x14ac:dyDescent="0.35">
      <c r="C290" s="600">
        <f t="shared" si="10"/>
        <v>23</v>
      </c>
      <c r="D290" s="601" t="s">
        <v>252</v>
      </c>
      <c r="E290" s="342"/>
      <c r="F290" s="342"/>
      <c r="G290" s="461"/>
      <c r="H290" s="461"/>
      <c r="I290" s="461"/>
      <c r="J290" s="461"/>
      <c r="K290" s="461"/>
      <c r="L290" s="461"/>
      <c r="M290" s="461"/>
      <c r="N290" s="461"/>
      <c r="O290" s="461"/>
      <c r="P290" s="461"/>
      <c r="Q290" s="461"/>
      <c r="R290" s="461"/>
      <c r="S290" s="461"/>
      <c r="T290" s="461"/>
      <c r="U290" s="461"/>
      <c r="V290" s="461"/>
      <c r="W290" s="342"/>
      <c r="X290" s="342"/>
      <c r="Y290" s="461"/>
      <c r="Z290" s="461"/>
      <c r="AA290" s="461"/>
      <c r="AB290" s="461"/>
      <c r="AC290" s="461"/>
      <c r="AD290" s="461"/>
      <c r="AE290" s="461"/>
      <c r="AF290" s="461"/>
      <c r="AG290" s="461"/>
      <c r="AH290" s="461"/>
      <c r="AI290" s="461"/>
      <c r="AJ290" s="461"/>
      <c r="AK290" s="461"/>
      <c r="AL290" s="461"/>
      <c r="AM290" s="461"/>
      <c r="AN290" s="461"/>
    </row>
    <row r="291" spans="3:40" ht="14.5" hidden="1" customHeight="1" outlineLevel="1" x14ac:dyDescent="0.35">
      <c r="C291" s="600">
        <f t="shared" si="10"/>
        <v>24</v>
      </c>
      <c r="D291" s="601" t="s">
        <v>252</v>
      </c>
      <c r="E291" s="342"/>
      <c r="F291" s="342"/>
      <c r="G291" s="461"/>
      <c r="H291" s="461"/>
      <c r="I291" s="461"/>
      <c r="J291" s="461"/>
      <c r="K291" s="461"/>
      <c r="L291" s="461"/>
      <c r="M291" s="461"/>
      <c r="N291" s="461"/>
      <c r="O291" s="461"/>
      <c r="P291" s="461"/>
      <c r="Q291" s="461"/>
      <c r="R291" s="461"/>
      <c r="S291" s="461"/>
      <c r="T291" s="461"/>
      <c r="U291" s="461"/>
      <c r="V291" s="461"/>
      <c r="W291" s="342"/>
      <c r="X291" s="342"/>
      <c r="Y291" s="461"/>
      <c r="Z291" s="461"/>
      <c r="AA291" s="461"/>
      <c r="AB291" s="461"/>
      <c r="AC291" s="461"/>
      <c r="AD291" s="461"/>
      <c r="AE291" s="461"/>
      <c r="AF291" s="461"/>
      <c r="AG291" s="461"/>
      <c r="AH291" s="461"/>
      <c r="AI291" s="461"/>
      <c r="AJ291" s="461"/>
      <c r="AK291" s="461"/>
      <c r="AL291" s="461"/>
      <c r="AM291" s="461"/>
      <c r="AN291" s="461"/>
    </row>
    <row r="292" spans="3:40" ht="14.5" hidden="1" customHeight="1" outlineLevel="1" x14ac:dyDescent="0.35">
      <c r="C292" s="600">
        <f t="shared" si="10"/>
        <v>25</v>
      </c>
      <c r="D292" s="601" t="s">
        <v>252</v>
      </c>
      <c r="E292" s="342"/>
      <c r="F292" s="342"/>
      <c r="G292" s="461"/>
      <c r="H292" s="461"/>
      <c r="I292" s="461"/>
      <c r="J292" s="461"/>
      <c r="K292" s="461"/>
      <c r="L292" s="461"/>
      <c r="M292" s="461"/>
      <c r="N292" s="461"/>
      <c r="O292" s="461"/>
      <c r="P292" s="461"/>
      <c r="Q292" s="461"/>
      <c r="R292" s="461"/>
      <c r="S292" s="461"/>
      <c r="T292" s="461"/>
      <c r="U292" s="461"/>
      <c r="V292" s="461"/>
      <c r="W292" s="342"/>
      <c r="X292" s="342"/>
      <c r="Y292" s="461"/>
      <c r="Z292" s="461"/>
      <c r="AA292" s="461"/>
      <c r="AB292" s="461"/>
      <c r="AC292" s="461"/>
      <c r="AD292" s="461"/>
      <c r="AE292" s="461"/>
      <c r="AF292" s="461"/>
      <c r="AG292" s="461"/>
      <c r="AH292" s="461"/>
      <c r="AI292" s="461"/>
      <c r="AJ292" s="461"/>
      <c r="AK292" s="461"/>
      <c r="AL292" s="461"/>
      <c r="AM292" s="461"/>
      <c r="AN292" s="461"/>
    </row>
    <row r="293" spans="3:40" ht="14.5" hidden="1" customHeight="1" outlineLevel="1" x14ac:dyDescent="0.35">
      <c r="C293" s="600">
        <f t="shared" si="10"/>
        <v>26</v>
      </c>
      <c r="D293" s="601" t="s">
        <v>252</v>
      </c>
      <c r="E293" s="342"/>
      <c r="F293" s="342"/>
      <c r="G293" s="461"/>
      <c r="H293" s="461"/>
      <c r="I293" s="461"/>
      <c r="J293" s="461"/>
      <c r="K293" s="461"/>
      <c r="L293" s="461"/>
      <c r="M293" s="461"/>
      <c r="N293" s="461"/>
      <c r="O293" s="461"/>
      <c r="P293" s="461"/>
      <c r="Q293" s="461"/>
      <c r="R293" s="461"/>
      <c r="S293" s="461"/>
      <c r="T293" s="461"/>
      <c r="U293" s="461"/>
      <c r="V293" s="461"/>
      <c r="W293" s="342"/>
      <c r="X293" s="342"/>
      <c r="Y293" s="461"/>
      <c r="Z293" s="461"/>
      <c r="AA293" s="461"/>
      <c r="AB293" s="461"/>
      <c r="AC293" s="461"/>
      <c r="AD293" s="461"/>
      <c r="AE293" s="461"/>
      <c r="AF293" s="461"/>
      <c r="AG293" s="461"/>
      <c r="AH293" s="461"/>
      <c r="AI293" s="461"/>
      <c r="AJ293" s="461"/>
      <c r="AK293" s="461"/>
      <c r="AL293" s="461"/>
      <c r="AM293" s="461"/>
      <c r="AN293" s="461"/>
    </row>
    <row r="294" spans="3:40" ht="14.5" hidden="1" customHeight="1" outlineLevel="1" x14ac:dyDescent="0.35">
      <c r="C294" s="600">
        <f t="shared" si="10"/>
        <v>27</v>
      </c>
      <c r="D294" s="601" t="s">
        <v>252</v>
      </c>
      <c r="E294" s="342"/>
      <c r="F294" s="342"/>
      <c r="G294" s="461"/>
      <c r="H294" s="461"/>
      <c r="I294" s="461"/>
      <c r="J294" s="461"/>
      <c r="K294" s="461"/>
      <c r="L294" s="461"/>
      <c r="M294" s="461"/>
      <c r="N294" s="461"/>
      <c r="O294" s="461"/>
      <c r="P294" s="461"/>
      <c r="Q294" s="461"/>
      <c r="R294" s="461"/>
      <c r="S294" s="461"/>
      <c r="T294" s="461"/>
      <c r="U294" s="461"/>
      <c r="V294" s="461"/>
      <c r="W294" s="342"/>
      <c r="X294" s="342"/>
      <c r="Y294" s="461"/>
      <c r="Z294" s="461"/>
      <c r="AA294" s="461"/>
      <c r="AB294" s="461"/>
      <c r="AC294" s="461"/>
      <c r="AD294" s="461"/>
      <c r="AE294" s="461"/>
      <c r="AF294" s="461"/>
      <c r="AG294" s="461"/>
      <c r="AH294" s="461"/>
      <c r="AI294" s="461"/>
      <c r="AJ294" s="461"/>
      <c r="AK294" s="461"/>
      <c r="AL294" s="461"/>
      <c r="AM294" s="461"/>
      <c r="AN294" s="461"/>
    </row>
    <row r="295" spans="3:40" ht="14.5" hidden="1" customHeight="1" outlineLevel="1" x14ac:dyDescent="0.35">
      <c r="C295" s="600">
        <f t="shared" si="10"/>
        <v>28</v>
      </c>
      <c r="D295" s="601" t="s">
        <v>252</v>
      </c>
      <c r="E295" s="342"/>
      <c r="F295" s="342"/>
      <c r="G295" s="461"/>
      <c r="H295" s="461"/>
      <c r="I295" s="461"/>
      <c r="J295" s="461"/>
      <c r="K295" s="461"/>
      <c r="L295" s="461"/>
      <c r="M295" s="461"/>
      <c r="N295" s="461"/>
      <c r="O295" s="461"/>
      <c r="P295" s="461"/>
      <c r="Q295" s="461"/>
      <c r="R295" s="461"/>
      <c r="S295" s="461"/>
      <c r="T295" s="461"/>
      <c r="U295" s="461"/>
      <c r="V295" s="461"/>
      <c r="W295" s="342"/>
      <c r="X295" s="342"/>
      <c r="Y295" s="461"/>
      <c r="Z295" s="461"/>
      <c r="AA295" s="461"/>
      <c r="AB295" s="461"/>
      <c r="AC295" s="461"/>
      <c r="AD295" s="461"/>
      <c r="AE295" s="461"/>
      <c r="AF295" s="461"/>
      <c r="AG295" s="461"/>
      <c r="AH295" s="461"/>
      <c r="AI295" s="461"/>
      <c r="AJ295" s="461"/>
      <c r="AK295" s="461"/>
      <c r="AL295" s="461"/>
      <c r="AM295" s="461"/>
      <c r="AN295" s="461"/>
    </row>
    <row r="296" spans="3:40" ht="14.5" hidden="1" customHeight="1" outlineLevel="1" x14ac:dyDescent="0.35">
      <c r="C296" s="600">
        <f t="shared" si="10"/>
        <v>29</v>
      </c>
      <c r="D296" s="601" t="s">
        <v>252</v>
      </c>
      <c r="E296" s="342"/>
      <c r="F296" s="342"/>
      <c r="G296" s="461"/>
      <c r="H296" s="461"/>
      <c r="I296" s="461"/>
      <c r="J296" s="461"/>
      <c r="K296" s="461"/>
      <c r="L296" s="461"/>
      <c r="M296" s="461"/>
      <c r="N296" s="461"/>
      <c r="O296" s="461"/>
      <c r="P296" s="461"/>
      <c r="Q296" s="461"/>
      <c r="R296" s="461"/>
      <c r="S296" s="461"/>
      <c r="T296" s="461"/>
      <c r="U296" s="461"/>
      <c r="V296" s="461"/>
      <c r="W296" s="342"/>
      <c r="X296" s="342"/>
      <c r="Y296" s="461"/>
      <c r="Z296" s="461"/>
      <c r="AA296" s="461"/>
      <c r="AB296" s="461"/>
      <c r="AC296" s="461"/>
      <c r="AD296" s="461"/>
      <c r="AE296" s="461"/>
      <c r="AF296" s="461"/>
      <c r="AG296" s="461"/>
      <c r="AH296" s="461"/>
      <c r="AI296" s="461"/>
      <c r="AJ296" s="461"/>
      <c r="AK296" s="461"/>
      <c r="AL296" s="461"/>
      <c r="AM296" s="461"/>
      <c r="AN296" s="461"/>
    </row>
    <row r="297" spans="3:40" ht="14.5" hidden="1" customHeight="1" outlineLevel="1" x14ac:dyDescent="0.35">
      <c r="C297" s="600">
        <f t="shared" si="10"/>
        <v>30</v>
      </c>
      <c r="D297" s="601" t="s">
        <v>252</v>
      </c>
      <c r="E297" s="342"/>
      <c r="F297" s="342"/>
      <c r="G297" s="461"/>
      <c r="H297" s="461"/>
      <c r="I297" s="461"/>
      <c r="J297" s="461"/>
      <c r="K297" s="461"/>
      <c r="L297" s="461"/>
      <c r="M297" s="461"/>
      <c r="N297" s="461"/>
      <c r="O297" s="461"/>
      <c r="P297" s="461"/>
      <c r="Q297" s="461"/>
      <c r="R297" s="461"/>
      <c r="S297" s="461"/>
      <c r="T297" s="461"/>
      <c r="U297" s="461"/>
      <c r="V297" s="461"/>
      <c r="W297" s="342"/>
      <c r="X297" s="342"/>
      <c r="Y297" s="461"/>
      <c r="Z297" s="461"/>
      <c r="AA297" s="461"/>
      <c r="AB297" s="461"/>
      <c r="AC297" s="461"/>
      <c r="AD297" s="461"/>
      <c r="AE297" s="461"/>
      <c r="AF297" s="461"/>
      <c r="AG297" s="461"/>
      <c r="AH297" s="461"/>
      <c r="AI297" s="461"/>
      <c r="AJ297" s="461"/>
      <c r="AK297" s="461"/>
      <c r="AL297" s="461"/>
      <c r="AM297" s="461"/>
      <c r="AN297" s="461"/>
    </row>
    <row r="298" spans="3:40" ht="14.5" hidden="1" customHeight="1" outlineLevel="1" x14ac:dyDescent="0.35">
      <c r="C298" s="600">
        <f t="shared" si="10"/>
        <v>31</v>
      </c>
      <c r="D298" s="601" t="s">
        <v>252</v>
      </c>
      <c r="E298" s="342"/>
      <c r="F298" s="342"/>
      <c r="G298" s="461"/>
      <c r="H298" s="461"/>
      <c r="I298" s="461"/>
      <c r="J298" s="461"/>
      <c r="K298" s="461"/>
      <c r="L298" s="461"/>
      <c r="M298" s="461"/>
      <c r="N298" s="461"/>
      <c r="O298" s="461"/>
      <c r="P298" s="461"/>
      <c r="Q298" s="461"/>
      <c r="R298" s="461"/>
      <c r="S298" s="461"/>
      <c r="T298" s="461"/>
      <c r="U298" s="461"/>
      <c r="V298" s="461"/>
      <c r="W298" s="342"/>
      <c r="X298" s="342"/>
      <c r="Y298" s="461"/>
      <c r="Z298" s="461"/>
      <c r="AA298" s="461"/>
      <c r="AB298" s="461"/>
      <c r="AC298" s="461"/>
      <c r="AD298" s="461"/>
      <c r="AE298" s="461"/>
      <c r="AF298" s="461"/>
      <c r="AG298" s="461"/>
      <c r="AH298" s="461"/>
      <c r="AI298" s="461"/>
      <c r="AJ298" s="461"/>
      <c r="AK298" s="461"/>
      <c r="AL298" s="461"/>
      <c r="AM298" s="461"/>
      <c r="AN298" s="461"/>
    </row>
    <row r="299" spans="3:40" ht="14.5" hidden="1" customHeight="1" outlineLevel="1" x14ac:dyDescent="0.35">
      <c r="C299" s="600">
        <f t="shared" si="10"/>
        <v>32</v>
      </c>
      <c r="D299" s="601" t="s">
        <v>252</v>
      </c>
      <c r="E299" s="342"/>
      <c r="F299" s="342"/>
      <c r="G299" s="461"/>
      <c r="H299" s="461"/>
      <c r="I299" s="461"/>
      <c r="J299" s="461"/>
      <c r="K299" s="461"/>
      <c r="L299" s="461"/>
      <c r="M299" s="461"/>
      <c r="N299" s="461"/>
      <c r="O299" s="461"/>
      <c r="P299" s="461"/>
      <c r="Q299" s="461"/>
      <c r="R299" s="461"/>
      <c r="S299" s="461"/>
      <c r="T299" s="461"/>
      <c r="U299" s="461"/>
      <c r="V299" s="461"/>
      <c r="W299" s="342"/>
      <c r="X299" s="342"/>
      <c r="Y299" s="461"/>
      <c r="Z299" s="461"/>
      <c r="AA299" s="461"/>
      <c r="AB299" s="461"/>
      <c r="AC299" s="461"/>
      <c r="AD299" s="461"/>
      <c r="AE299" s="461"/>
      <c r="AF299" s="461"/>
      <c r="AG299" s="461"/>
      <c r="AH299" s="461"/>
      <c r="AI299" s="461"/>
      <c r="AJ299" s="461"/>
      <c r="AK299" s="461"/>
      <c r="AL299" s="461"/>
      <c r="AM299" s="461"/>
      <c r="AN299" s="461"/>
    </row>
    <row r="300" spans="3:40" ht="14.5" hidden="1" customHeight="1" outlineLevel="1" x14ac:dyDescent="0.35">
      <c r="C300" s="600">
        <f t="shared" si="10"/>
        <v>33</v>
      </c>
      <c r="D300" s="601" t="s">
        <v>252</v>
      </c>
      <c r="E300" s="342"/>
      <c r="F300" s="342"/>
      <c r="G300" s="461"/>
      <c r="H300" s="461"/>
      <c r="I300" s="461"/>
      <c r="J300" s="461"/>
      <c r="K300" s="461"/>
      <c r="L300" s="461"/>
      <c r="M300" s="461"/>
      <c r="N300" s="461"/>
      <c r="O300" s="461"/>
      <c r="P300" s="461"/>
      <c r="Q300" s="461"/>
      <c r="R300" s="461"/>
      <c r="S300" s="461"/>
      <c r="T300" s="461"/>
      <c r="U300" s="461"/>
      <c r="V300" s="461"/>
      <c r="W300" s="342"/>
      <c r="X300" s="342"/>
      <c r="Y300" s="461"/>
      <c r="Z300" s="461"/>
      <c r="AA300" s="461"/>
      <c r="AB300" s="461"/>
      <c r="AC300" s="461"/>
      <c r="AD300" s="461"/>
      <c r="AE300" s="461"/>
      <c r="AF300" s="461"/>
      <c r="AG300" s="461"/>
      <c r="AH300" s="461"/>
      <c r="AI300" s="461"/>
      <c r="AJ300" s="461"/>
      <c r="AK300" s="461"/>
      <c r="AL300" s="461"/>
      <c r="AM300" s="461"/>
      <c r="AN300" s="461"/>
    </row>
    <row r="301" spans="3:40" ht="14.5" hidden="1" customHeight="1" outlineLevel="1" x14ac:dyDescent="0.35">
      <c r="C301" s="600">
        <f t="shared" si="10"/>
        <v>34</v>
      </c>
      <c r="D301" s="601" t="s">
        <v>252</v>
      </c>
      <c r="E301" s="342"/>
      <c r="F301" s="342"/>
      <c r="G301" s="461"/>
      <c r="H301" s="461"/>
      <c r="I301" s="461"/>
      <c r="J301" s="461"/>
      <c r="K301" s="461"/>
      <c r="L301" s="461"/>
      <c r="M301" s="461"/>
      <c r="N301" s="461"/>
      <c r="O301" s="461"/>
      <c r="P301" s="461"/>
      <c r="Q301" s="461"/>
      <c r="R301" s="461"/>
      <c r="S301" s="461"/>
      <c r="T301" s="461"/>
      <c r="U301" s="461"/>
      <c r="V301" s="461"/>
      <c r="W301" s="342"/>
      <c r="X301" s="342"/>
      <c r="Y301" s="461"/>
      <c r="Z301" s="461"/>
      <c r="AA301" s="461"/>
      <c r="AB301" s="461"/>
      <c r="AC301" s="461"/>
      <c r="AD301" s="461"/>
      <c r="AE301" s="461"/>
      <c r="AF301" s="461"/>
      <c r="AG301" s="461"/>
      <c r="AH301" s="461"/>
      <c r="AI301" s="461"/>
      <c r="AJ301" s="461"/>
      <c r="AK301" s="461"/>
      <c r="AL301" s="461"/>
      <c r="AM301" s="461"/>
      <c r="AN301" s="461"/>
    </row>
    <row r="302" spans="3:40" ht="14.5" hidden="1" customHeight="1" outlineLevel="1" x14ac:dyDescent="0.35">
      <c r="C302" s="600">
        <f t="shared" si="10"/>
        <v>35</v>
      </c>
      <c r="D302" s="601" t="s">
        <v>252</v>
      </c>
      <c r="E302" s="342"/>
      <c r="F302" s="342"/>
      <c r="G302" s="461"/>
      <c r="H302" s="461"/>
      <c r="I302" s="461"/>
      <c r="J302" s="461"/>
      <c r="K302" s="461"/>
      <c r="L302" s="461"/>
      <c r="M302" s="461"/>
      <c r="N302" s="461"/>
      <c r="O302" s="461"/>
      <c r="P302" s="461"/>
      <c r="Q302" s="461"/>
      <c r="R302" s="461"/>
      <c r="S302" s="461"/>
      <c r="T302" s="461"/>
      <c r="U302" s="461"/>
      <c r="V302" s="461"/>
      <c r="W302" s="342"/>
      <c r="X302" s="342"/>
      <c r="Y302" s="461"/>
      <c r="Z302" s="461"/>
      <c r="AA302" s="461"/>
      <c r="AB302" s="461"/>
      <c r="AC302" s="461"/>
      <c r="AD302" s="461"/>
      <c r="AE302" s="461"/>
      <c r="AF302" s="461"/>
      <c r="AG302" s="461"/>
      <c r="AH302" s="461"/>
      <c r="AI302" s="461"/>
      <c r="AJ302" s="461"/>
      <c r="AK302" s="461"/>
      <c r="AL302" s="461"/>
      <c r="AM302" s="461"/>
      <c r="AN302" s="461"/>
    </row>
    <row r="303" spans="3:40" ht="14.5" hidden="1" customHeight="1" outlineLevel="1" x14ac:dyDescent="0.35">
      <c r="C303" s="600">
        <f t="shared" si="10"/>
        <v>36</v>
      </c>
      <c r="D303" s="601" t="s">
        <v>252</v>
      </c>
      <c r="E303" s="342"/>
      <c r="F303" s="342"/>
      <c r="G303" s="461"/>
      <c r="H303" s="461"/>
      <c r="I303" s="461"/>
      <c r="J303" s="461"/>
      <c r="K303" s="461"/>
      <c r="L303" s="461"/>
      <c r="M303" s="461"/>
      <c r="N303" s="461"/>
      <c r="O303" s="461"/>
      <c r="P303" s="461"/>
      <c r="Q303" s="461"/>
      <c r="R303" s="461"/>
      <c r="S303" s="461"/>
      <c r="T303" s="461"/>
      <c r="U303" s="461"/>
      <c r="V303" s="461"/>
      <c r="W303" s="342"/>
      <c r="X303" s="342"/>
      <c r="Y303" s="461"/>
      <c r="Z303" s="461"/>
      <c r="AA303" s="461"/>
      <c r="AB303" s="461"/>
      <c r="AC303" s="461"/>
      <c r="AD303" s="461"/>
      <c r="AE303" s="461"/>
      <c r="AF303" s="461"/>
      <c r="AG303" s="461"/>
      <c r="AH303" s="461"/>
      <c r="AI303" s="461"/>
      <c r="AJ303" s="461"/>
      <c r="AK303" s="461"/>
      <c r="AL303" s="461"/>
      <c r="AM303" s="461"/>
      <c r="AN303" s="461"/>
    </row>
    <row r="304" spans="3:40" ht="14.5" hidden="1" customHeight="1" outlineLevel="1" x14ac:dyDescent="0.35">
      <c r="C304" s="600">
        <f t="shared" si="10"/>
        <v>37</v>
      </c>
      <c r="D304" s="601" t="s">
        <v>252</v>
      </c>
      <c r="E304" s="342"/>
      <c r="F304" s="342"/>
      <c r="G304" s="461"/>
      <c r="H304" s="461"/>
      <c r="I304" s="461"/>
      <c r="J304" s="461"/>
      <c r="K304" s="461"/>
      <c r="L304" s="461"/>
      <c r="M304" s="461"/>
      <c r="N304" s="461"/>
      <c r="O304" s="461"/>
      <c r="P304" s="461"/>
      <c r="Q304" s="461"/>
      <c r="R304" s="461"/>
      <c r="S304" s="461"/>
      <c r="T304" s="461"/>
      <c r="U304" s="461"/>
      <c r="V304" s="461"/>
      <c r="W304" s="342"/>
      <c r="X304" s="342"/>
      <c r="Y304" s="461"/>
      <c r="Z304" s="461"/>
      <c r="AA304" s="461"/>
      <c r="AB304" s="461"/>
      <c r="AC304" s="461"/>
      <c r="AD304" s="461"/>
      <c r="AE304" s="461"/>
      <c r="AF304" s="461"/>
      <c r="AG304" s="461"/>
      <c r="AH304" s="461"/>
      <c r="AI304" s="461"/>
      <c r="AJ304" s="461"/>
      <c r="AK304" s="461"/>
      <c r="AL304" s="461"/>
      <c r="AM304" s="461"/>
      <c r="AN304" s="461"/>
    </row>
    <row r="305" spans="3:40" ht="14.5" hidden="1" customHeight="1" outlineLevel="1" x14ac:dyDescent="0.35">
      <c r="C305" s="600">
        <f t="shared" si="10"/>
        <v>38</v>
      </c>
      <c r="D305" s="601" t="s">
        <v>252</v>
      </c>
      <c r="E305" s="342"/>
      <c r="F305" s="342"/>
      <c r="G305" s="461"/>
      <c r="H305" s="461"/>
      <c r="I305" s="461"/>
      <c r="J305" s="461"/>
      <c r="K305" s="461"/>
      <c r="L305" s="461"/>
      <c r="M305" s="461"/>
      <c r="N305" s="461"/>
      <c r="O305" s="461"/>
      <c r="P305" s="461"/>
      <c r="Q305" s="461"/>
      <c r="R305" s="461"/>
      <c r="S305" s="461"/>
      <c r="T305" s="461"/>
      <c r="U305" s="461"/>
      <c r="V305" s="461"/>
      <c r="W305" s="342"/>
      <c r="X305" s="342"/>
      <c r="Y305" s="461"/>
      <c r="Z305" s="461"/>
      <c r="AA305" s="461"/>
      <c r="AB305" s="461"/>
      <c r="AC305" s="461"/>
      <c r="AD305" s="461"/>
      <c r="AE305" s="461"/>
      <c r="AF305" s="461"/>
      <c r="AG305" s="461"/>
      <c r="AH305" s="461"/>
      <c r="AI305" s="461"/>
      <c r="AJ305" s="461"/>
      <c r="AK305" s="461"/>
      <c r="AL305" s="461"/>
      <c r="AM305" s="461"/>
      <c r="AN305" s="461"/>
    </row>
    <row r="306" spans="3:40" ht="14.5" hidden="1" customHeight="1" outlineLevel="1" x14ac:dyDescent="0.35">
      <c r="C306" s="600">
        <f t="shared" si="10"/>
        <v>39</v>
      </c>
      <c r="D306" s="601" t="s">
        <v>252</v>
      </c>
      <c r="E306" s="342"/>
      <c r="F306" s="342"/>
      <c r="G306" s="461"/>
      <c r="H306" s="461"/>
      <c r="I306" s="461"/>
      <c r="J306" s="461"/>
      <c r="K306" s="461"/>
      <c r="L306" s="461"/>
      <c r="M306" s="461"/>
      <c r="N306" s="461"/>
      <c r="O306" s="461"/>
      <c r="P306" s="461"/>
      <c r="Q306" s="461"/>
      <c r="R306" s="461"/>
      <c r="S306" s="461"/>
      <c r="T306" s="461"/>
      <c r="U306" s="461"/>
      <c r="V306" s="461"/>
      <c r="W306" s="342"/>
      <c r="X306" s="342"/>
      <c r="Y306" s="461"/>
      <c r="Z306" s="461"/>
      <c r="AA306" s="461"/>
      <c r="AB306" s="461"/>
      <c r="AC306" s="461"/>
      <c r="AD306" s="461"/>
      <c r="AE306" s="461"/>
      <c r="AF306" s="461"/>
      <c r="AG306" s="461"/>
      <c r="AH306" s="461"/>
      <c r="AI306" s="461"/>
      <c r="AJ306" s="461"/>
      <c r="AK306" s="461"/>
      <c r="AL306" s="461"/>
      <c r="AM306" s="461"/>
      <c r="AN306" s="461"/>
    </row>
    <row r="307" spans="3:40" ht="14.5" hidden="1" customHeight="1" outlineLevel="1" x14ac:dyDescent="0.35">
      <c r="C307" s="600">
        <f t="shared" si="10"/>
        <v>40</v>
      </c>
      <c r="D307" s="601" t="s">
        <v>252</v>
      </c>
      <c r="E307" s="342"/>
      <c r="F307" s="342"/>
      <c r="G307" s="461"/>
      <c r="H307" s="461"/>
      <c r="I307" s="461"/>
      <c r="J307" s="461"/>
      <c r="K307" s="461"/>
      <c r="L307" s="461"/>
      <c r="M307" s="461"/>
      <c r="N307" s="461"/>
      <c r="O307" s="461"/>
      <c r="P307" s="461"/>
      <c r="Q307" s="461"/>
      <c r="R307" s="461"/>
      <c r="S307" s="461"/>
      <c r="T307" s="461"/>
      <c r="U307" s="461"/>
      <c r="V307" s="461"/>
      <c r="W307" s="342"/>
      <c r="X307" s="342"/>
      <c r="Y307" s="461"/>
      <c r="Z307" s="461"/>
      <c r="AA307" s="461"/>
      <c r="AB307" s="461"/>
      <c r="AC307" s="461"/>
      <c r="AD307" s="461"/>
      <c r="AE307" s="461"/>
      <c r="AF307" s="461"/>
      <c r="AG307" s="461"/>
      <c r="AH307" s="461"/>
      <c r="AI307" s="461"/>
      <c r="AJ307" s="461"/>
      <c r="AK307" s="461"/>
      <c r="AL307" s="461"/>
      <c r="AM307" s="461"/>
      <c r="AN307" s="461"/>
    </row>
    <row r="308" spans="3:40" ht="14.5" hidden="1" customHeight="1" outlineLevel="1" x14ac:dyDescent="0.35">
      <c r="C308" s="600">
        <f t="shared" si="10"/>
        <v>41</v>
      </c>
      <c r="D308" s="601" t="s">
        <v>252</v>
      </c>
      <c r="E308" s="342"/>
      <c r="F308" s="342"/>
      <c r="G308" s="461"/>
      <c r="H308" s="461"/>
      <c r="I308" s="461"/>
      <c r="J308" s="461"/>
      <c r="K308" s="461"/>
      <c r="L308" s="461"/>
      <c r="M308" s="461"/>
      <c r="N308" s="461"/>
      <c r="O308" s="461"/>
      <c r="P308" s="461"/>
      <c r="Q308" s="461"/>
      <c r="R308" s="461"/>
      <c r="S308" s="461"/>
      <c r="T308" s="461"/>
      <c r="U308" s="461"/>
      <c r="V308" s="461"/>
      <c r="W308" s="342"/>
      <c r="X308" s="342"/>
      <c r="Y308" s="461"/>
      <c r="Z308" s="461"/>
      <c r="AA308" s="461"/>
      <c r="AB308" s="461"/>
      <c r="AC308" s="461"/>
      <c r="AD308" s="461"/>
      <c r="AE308" s="461"/>
      <c r="AF308" s="461"/>
      <c r="AG308" s="461"/>
      <c r="AH308" s="461"/>
      <c r="AI308" s="461"/>
      <c r="AJ308" s="461"/>
      <c r="AK308" s="461"/>
      <c r="AL308" s="461"/>
      <c r="AM308" s="461"/>
      <c r="AN308" s="461"/>
    </row>
    <row r="309" spans="3:40" ht="14.5" hidden="1" customHeight="1" outlineLevel="1" x14ac:dyDescent="0.35">
      <c r="C309" s="600">
        <f t="shared" si="10"/>
        <v>42</v>
      </c>
      <c r="D309" s="601" t="s">
        <v>252</v>
      </c>
      <c r="E309" s="342"/>
      <c r="F309" s="342"/>
      <c r="G309" s="461"/>
      <c r="H309" s="461"/>
      <c r="I309" s="461"/>
      <c r="J309" s="461"/>
      <c r="K309" s="461"/>
      <c r="L309" s="461"/>
      <c r="M309" s="461"/>
      <c r="N309" s="461"/>
      <c r="O309" s="461"/>
      <c r="P309" s="461"/>
      <c r="Q309" s="461"/>
      <c r="R309" s="461"/>
      <c r="S309" s="461"/>
      <c r="T309" s="461"/>
      <c r="U309" s="461"/>
      <c r="V309" s="461"/>
      <c r="W309" s="342"/>
      <c r="X309" s="342"/>
      <c r="Y309" s="461"/>
      <c r="Z309" s="461"/>
      <c r="AA309" s="461"/>
      <c r="AB309" s="461"/>
      <c r="AC309" s="461"/>
      <c r="AD309" s="461"/>
      <c r="AE309" s="461"/>
      <c r="AF309" s="461"/>
      <c r="AG309" s="461"/>
      <c r="AH309" s="461"/>
      <c r="AI309" s="461"/>
      <c r="AJ309" s="461"/>
      <c r="AK309" s="461"/>
      <c r="AL309" s="461"/>
      <c r="AM309" s="461"/>
      <c r="AN309" s="461"/>
    </row>
    <row r="310" spans="3:40" ht="14.5" hidden="1" customHeight="1" outlineLevel="1" x14ac:dyDescent="0.35">
      <c r="C310" s="600">
        <f t="shared" si="10"/>
        <v>43</v>
      </c>
      <c r="D310" s="601" t="s">
        <v>252</v>
      </c>
      <c r="E310" s="342"/>
      <c r="F310" s="342"/>
      <c r="G310" s="461"/>
      <c r="H310" s="461"/>
      <c r="I310" s="461"/>
      <c r="J310" s="461"/>
      <c r="K310" s="461"/>
      <c r="L310" s="461"/>
      <c r="M310" s="461"/>
      <c r="N310" s="461"/>
      <c r="O310" s="461"/>
      <c r="P310" s="461"/>
      <c r="Q310" s="461"/>
      <c r="R310" s="461"/>
      <c r="S310" s="461"/>
      <c r="T310" s="461"/>
      <c r="U310" s="461"/>
      <c r="V310" s="461"/>
      <c r="W310" s="342"/>
      <c r="X310" s="342"/>
      <c r="Y310" s="461"/>
      <c r="Z310" s="461"/>
      <c r="AA310" s="461"/>
      <c r="AB310" s="461"/>
      <c r="AC310" s="461"/>
      <c r="AD310" s="461"/>
      <c r="AE310" s="461"/>
      <c r="AF310" s="461"/>
      <c r="AG310" s="461"/>
      <c r="AH310" s="461"/>
      <c r="AI310" s="461"/>
      <c r="AJ310" s="461"/>
      <c r="AK310" s="461"/>
      <c r="AL310" s="461"/>
      <c r="AM310" s="461"/>
      <c r="AN310" s="461"/>
    </row>
    <row r="311" spans="3:40" ht="14.5" hidden="1" customHeight="1" outlineLevel="1" x14ac:dyDescent="0.35">
      <c r="C311" s="600">
        <f t="shared" si="10"/>
        <v>44</v>
      </c>
      <c r="D311" s="601" t="s">
        <v>252</v>
      </c>
      <c r="E311" s="342"/>
      <c r="F311" s="342"/>
      <c r="G311" s="461"/>
      <c r="H311" s="461"/>
      <c r="I311" s="461"/>
      <c r="J311" s="461"/>
      <c r="K311" s="461"/>
      <c r="L311" s="461"/>
      <c r="M311" s="461"/>
      <c r="N311" s="461"/>
      <c r="O311" s="461"/>
      <c r="P311" s="461"/>
      <c r="Q311" s="461"/>
      <c r="R311" s="461"/>
      <c r="S311" s="461"/>
      <c r="T311" s="461"/>
      <c r="U311" s="461"/>
      <c r="V311" s="461"/>
      <c r="W311" s="342"/>
      <c r="X311" s="342"/>
      <c r="Y311" s="461"/>
      <c r="Z311" s="461"/>
      <c r="AA311" s="461"/>
      <c r="AB311" s="461"/>
      <c r="AC311" s="461"/>
      <c r="AD311" s="461"/>
      <c r="AE311" s="461"/>
      <c r="AF311" s="461"/>
      <c r="AG311" s="461"/>
      <c r="AH311" s="461"/>
      <c r="AI311" s="461"/>
      <c r="AJ311" s="461"/>
      <c r="AK311" s="461"/>
      <c r="AL311" s="461"/>
      <c r="AM311" s="461"/>
      <c r="AN311" s="461"/>
    </row>
    <row r="312" spans="3:40" ht="14.5" hidden="1" customHeight="1" outlineLevel="1" x14ac:dyDescent="0.35">
      <c r="C312" s="600">
        <f t="shared" si="10"/>
        <v>45</v>
      </c>
      <c r="D312" s="601" t="s">
        <v>252</v>
      </c>
      <c r="E312" s="342"/>
      <c r="F312" s="342"/>
      <c r="G312" s="461"/>
      <c r="H312" s="461"/>
      <c r="I312" s="461"/>
      <c r="J312" s="461"/>
      <c r="K312" s="461"/>
      <c r="L312" s="461"/>
      <c r="M312" s="461"/>
      <c r="N312" s="461"/>
      <c r="O312" s="461"/>
      <c r="P312" s="461"/>
      <c r="Q312" s="461"/>
      <c r="R312" s="461"/>
      <c r="S312" s="461"/>
      <c r="T312" s="461"/>
      <c r="U312" s="461"/>
      <c r="V312" s="461"/>
      <c r="W312" s="342"/>
      <c r="X312" s="342"/>
      <c r="Y312" s="461"/>
      <c r="Z312" s="461"/>
      <c r="AA312" s="461"/>
      <c r="AB312" s="461"/>
      <c r="AC312" s="461"/>
      <c r="AD312" s="461"/>
      <c r="AE312" s="461"/>
      <c r="AF312" s="461"/>
      <c r="AG312" s="461"/>
      <c r="AH312" s="461"/>
      <c r="AI312" s="461"/>
      <c r="AJ312" s="461"/>
      <c r="AK312" s="461"/>
      <c r="AL312" s="461"/>
      <c r="AM312" s="461"/>
      <c r="AN312" s="461"/>
    </row>
    <row r="313" spans="3:40" ht="14.5" hidden="1" customHeight="1" outlineLevel="1" x14ac:dyDescent="0.35">
      <c r="C313" s="600">
        <f t="shared" si="10"/>
        <v>46</v>
      </c>
      <c r="D313" s="601" t="s">
        <v>252</v>
      </c>
      <c r="E313" s="342"/>
      <c r="F313" s="342"/>
      <c r="G313" s="461"/>
      <c r="H313" s="461"/>
      <c r="I313" s="461"/>
      <c r="J313" s="461"/>
      <c r="K313" s="461"/>
      <c r="L313" s="461"/>
      <c r="M313" s="461"/>
      <c r="N313" s="461"/>
      <c r="O313" s="461"/>
      <c r="P313" s="461"/>
      <c r="Q313" s="461"/>
      <c r="R313" s="461"/>
      <c r="S313" s="461"/>
      <c r="T313" s="461"/>
      <c r="U313" s="461"/>
      <c r="V313" s="461"/>
      <c r="W313" s="342"/>
      <c r="X313" s="342"/>
      <c r="Y313" s="461"/>
      <c r="Z313" s="461"/>
      <c r="AA313" s="461"/>
      <c r="AB313" s="461"/>
      <c r="AC313" s="461"/>
      <c r="AD313" s="461"/>
      <c r="AE313" s="461"/>
      <c r="AF313" s="461"/>
      <c r="AG313" s="461"/>
      <c r="AH313" s="461"/>
      <c r="AI313" s="461"/>
      <c r="AJ313" s="461"/>
      <c r="AK313" s="461"/>
      <c r="AL313" s="461"/>
      <c r="AM313" s="461"/>
      <c r="AN313" s="461"/>
    </row>
    <row r="314" spans="3:40" ht="14.5" hidden="1" customHeight="1" outlineLevel="1" x14ac:dyDescent="0.35">
      <c r="C314" s="600">
        <f t="shared" si="10"/>
        <v>47</v>
      </c>
      <c r="D314" s="601" t="s">
        <v>252</v>
      </c>
      <c r="E314" s="342"/>
      <c r="F314" s="342"/>
      <c r="G314" s="461"/>
      <c r="H314" s="461"/>
      <c r="I314" s="461"/>
      <c r="J314" s="461"/>
      <c r="K314" s="461"/>
      <c r="L314" s="461"/>
      <c r="M314" s="461"/>
      <c r="N314" s="461"/>
      <c r="O314" s="461"/>
      <c r="P314" s="461"/>
      <c r="Q314" s="461"/>
      <c r="R314" s="461"/>
      <c r="S314" s="461"/>
      <c r="T314" s="461"/>
      <c r="U314" s="461"/>
      <c r="V314" s="461"/>
      <c r="W314" s="342"/>
      <c r="X314" s="342"/>
      <c r="Y314" s="461"/>
      <c r="Z314" s="461"/>
      <c r="AA314" s="461"/>
      <c r="AB314" s="461"/>
      <c r="AC314" s="461"/>
      <c r="AD314" s="461"/>
      <c r="AE314" s="461"/>
      <c r="AF314" s="461"/>
      <c r="AG314" s="461"/>
      <c r="AH314" s="461"/>
      <c r="AI314" s="461"/>
      <c r="AJ314" s="461"/>
      <c r="AK314" s="461"/>
      <c r="AL314" s="461"/>
      <c r="AM314" s="461"/>
      <c r="AN314" s="461"/>
    </row>
    <row r="315" spans="3:40" ht="14.5" hidden="1" customHeight="1" outlineLevel="1" x14ac:dyDescent="0.35">
      <c r="C315" s="600">
        <f t="shared" si="10"/>
        <v>48</v>
      </c>
      <c r="D315" s="601" t="s">
        <v>252</v>
      </c>
      <c r="E315" s="342"/>
      <c r="F315" s="342"/>
      <c r="G315" s="461"/>
      <c r="H315" s="461"/>
      <c r="I315" s="461"/>
      <c r="J315" s="461"/>
      <c r="K315" s="461"/>
      <c r="L315" s="461"/>
      <c r="M315" s="461"/>
      <c r="N315" s="461"/>
      <c r="O315" s="461"/>
      <c r="P315" s="461"/>
      <c r="Q315" s="461"/>
      <c r="R315" s="461"/>
      <c r="S315" s="461"/>
      <c r="T315" s="461"/>
      <c r="U315" s="461"/>
      <c r="V315" s="461"/>
      <c r="W315" s="342"/>
      <c r="X315" s="342"/>
      <c r="Y315" s="461"/>
      <c r="Z315" s="461"/>
      <c r="AA315" s="461"/>
      <c r="AB315" s="461"/>
      <c r="AC315" s="461"/>
      <c r="AD315" s="461"/>
      <c r="AE315" s="461"/>
      <c r="AF315" s="461"/>
      <c r="AG315" s="461"/>
      <c r="AH315" s="461"/>
      <c r="AI315" s="461"/>
      <c r="AJ315" s="461"/>
      <c r="AK315" s="461"/>
      <c r="AL315" s="461"/>
      <c r="AM315" s="461"/>
      <c r="AN315" s="461"/>
    </row>
    <row r="316" spans="3:40" ht="14.5" hidden="1" customHeight="1" outlineLevel="1" x14ac:dyDescent="0.35">
      <c r="C316" s="600">
        <f t="shared" si="10"/>
        <v>49</v>
      </c>
      <c r="D316" s="601" t="s">
        <v>252</v>
      </c>
      <c r="E316" s="342"/>
      <c r="F316" s="342"/>
      <c r="G316" s="461"/>
      <c r="H316" s="461"/>
      <c r="I316" s="461"/>
      <c r="J316" s="461"/>
      <c r="K316" s="461"/>
      <c r="L316" s="461"/>
      <c r="M316" s="461"/>
      <c r="N316" s="461"/>
      <c r="O316" s="461"/>
      <c r="P316" s="461"/>
      <c r="Q316" s="461"/>
      <c r="R316" s="461"/>
      <c r="S316" s="461"/>
      <c r="T316" s="461"/>
      <c r="U316" s="461"/>
      <c r="V316" s="461"/>
      <c r="W316" s="342"/>
      <c r="X316" s="342"/>
      <c r="Y316" s="461"/>
      <c r="Z316" s="461"/>
      <c r="AA316" s="461"/>
      <c r="AB316" s="461"/>
      <c r="AC316" s="461"/>
      <c r="AD316" s="461"/>
      <c r="AE316" s="461"/>
      <c r="AF316" s="461"/>
      <c r="AG316" s="461"/>
      <c r="AH316" s="461"/>
      <c r="AI316" s="461"/>
      <c r="AJ316" s="461"/>
      <c r="AK316" s="461"/>
      <c r="AL316" s="461"/>
      <c r="AM316" s="461"/>
      <c r="AN316" s="461"/>
    </row>
    <row r="317" spans="3:40" ht="14.5" hidden="1" customHeight="1" outlineLevel="1" x14ac:dyDescent="0.35">
      <c r="C317" s="600">
        <f t="shared" si="10"/>
        <v>50</v>
      </c>
      <c r="D317" s="601" t="s">
        <v>252</v>
      </c>
      <c r="E317" s="342"/>
      <c r="F317" s="342"/>
      <c r="G317" s="461"/>
      <c r="H317" s="461"/>
      <c r="I317" s="461"/>
      <c r="J317" s="461"/>
      <c r="K317" s="461"/>
      <c r="L317" s="461"/>
      <c r="M317" s="461"/>
      <c r="N317" s="461"/>
      <c r="O317" s="461"/>
      <c r="P317" s="461"/>
      <c r="Q317" s="461"/>
      <c r="R317" s="461"/>
      <c r="S317" s="461"/>
      <c r="T317" s="461"/>
      <c r="U317" s="461"/>
      <c r="V317" s="461"/>
      <c r="W317" s="342"/>
      <c r="X317" s="342"/>
      <c r="Y317" s="461"/>
      <c r="Z317" s="461"/>
      <c r="AA317" s="461"/>
      <c r="AB317" s="461"/>
      <c r="AC317" s="461"/>
      <c r="AD317" s="461"/>
      <c r="AE317" s="461"/>
      <c r="AF317" s="461"/>
      <c r="AG317" s="461"/>
      <c r="AH317" s="461"/>
      <c r="AI317" s="461"/>
      <c r="AJ317" s="461"/>
      <c r="AK317" s="461"/>
      <c r="AL317" s="461"/>
      <c r="AM317" s="461"/>
      <c r="AN317" s="461"/>
    </row>
    <row r="318" spans="3:40" ht="14.5" hidden="1" customHeight="1" outlineLevel="1" x14ac:dyDescent="0.35">
      <c r="C318" s="600">
        <f t="shared" si="10"/>
        <v>51</v>
      </c>
      <c r="D318" s="601" t="s">
        <v>252</v>
      </c>
      <c r="E318" s="342"/>
      <c r="F318" s="342"/>
      <c r="G318" s="461"/>
      <c r="H318" s="461"/>
      <c r="I318" s="461"/>
      <c r="J318" s="461"/>
      <c r="K318" s="461"/>
      <c r="L318" s="461"/>
      <c r="M318" s="461"/>
      <c r="N318" s="461"/>
      <c r="O318" s="461"/>
      <c r="P318" s="461"/>
      <c r="Q318" s="461"/>
      <c r="R318" s="461"/>
      <c r="S318" s="461"/>
      <c r="T318" s="461"/>
      <c r="U318" s="461"/>
      <c r="V318" s="461"/>
      <c r="W318" s="342"/>
      <c r="X318" s="342"/>
      <c r="Y318" s="461"/>
      <c r="Z318" s="461"/>
      <c r="AA318" s="461"/>
      <c r="AB318" s="461"/>
      <c r="AC318" s="461"/>
      <c r="AD318" s="461"/>
      <c r="AE318" s="461"/>
      <c r="AF318" s="461"/>
      <c r="AG318" s="461"/>
      <c r="AH318" s="461"/>
      <c r="AI318" s="461"/>
      <c r="AJ318" s="461"/>
      <c r="AK318" s="461"/>
      <c r="AL318" s="461"/>
      <c r="AM318" s="461"/>
      <c r="AN318" s="461"/>
    </row>
    <row r="319" spans="3:40" ht="14.5" hidden="1" customHeight="1" outlineLevel="1" x14ac:dyDescent="0.35">
      <c r="C319" s="600">
        <f t="shared" si="10"/>
        <v>52</v>
      </c>
      <c r="D319" s="601" t="s">
        <v>252</v>
      </c>
      <c r="E319" s="342"/>
      <c r="F319" s="342"/>
      <c r="G319" s="461"/>
      <c r="H319" s="461"/>
      <c r="I319" s="461"/>
      <c r="J319" s="461"/>
      <c r="K319" s="461"/>
      <c r="L319" s="461"/>
      <c r="M319" s="461"/>
      <c r="N319" s="461"/>
      <c r="O319" s="461"/>
      <c r="P319" s="461"/>
      <c r="Q319" s="461"/>
      <c r="R319" s="461"/>
      <c r="S319" s="461"/>
      <c r="T319" s="461"/>
      <c r="U319" s="461"/>
      <c r="V319" s="461"/>
      <c r="W319" s="342"/>
      <c r="X319" s="342"/>
      <c r="Y319" s="461"/>
      <c r="Z319" s="461"/>
      <c r="AA319" s="461"/>
      <c r="AB319" s="461"/>
      <c r="AC319" s="461"/>
      <c r="AD319" s="461"/>
      <c r="AE319" s="461"/>
      <c r="AF319" s="461"/>
      <c r="AG319" s="461"/>
      <c r="AH319" s="461"/>
      <c r="AI319" s="461"/>
      <c r="AJ319" s="461"/>
      <c r="AK319" s="461"/>
      <c r="AL319" s="461"/>
      <c r="AM319" s="461"/>
      <c r="AN319" s="461"/>
    </row>
    <row r="320" spans="3:40" ht="14.5" hidden="1" customHeight="1" outlineLevel="1" x14ac:dyDescent="0.35">
      <c r="C320" s="600">
        <f t="shared" si="10"/>
        <v>53</v>
      </c>
      <c r="D320" s="601" t="s">
        <v>252</v>
      </c>
      <c r="E320" s="342"/>
      <c r="F320" s="342"/>
      <c r="G320" s="461"/>
      <c r="H320" s="461"/>
      <c r="I320" s="461"/>
      <c r="J320" s="461"/>
      <c r="K320" s="461"/>
      <c r="L320" s="461"/>
      <c r="M320" s="461"/>
      <c r="N320" s="461"/>
      <c r="O320" s="461"/>
      <c r="P320" s="461"/>
      <c r="Q320" s="461"/>
      <c r="R320" s="461"/>
      <c r="S320" s="461"/>
      <c r="T320" s="461"/>
      <c r="U320" s="461"/>
      <c r="V320" s="461"/>
      <c r="W320" s="342"/>
      <c r="X320" s="342"/>
      <c r="Y320" s="461"/>
      <c r="Z320" s="461"/>
      <c r="AA320" s="461"/>
      <c r="AB320" s="461"/>
      <c r="AC320" s="461"/>
      <c r="AD320" s="461"/>
      <c r="AE320" s="461"/>
      <c r="AF320" s="461"/>
      <c r="AG320" s="461"/>
      <c r="AH320" s="461"/>
      <c r="AI320" s="461"/>
      <c r="AJ320" s="461"/>
      <c r="AK320" s="461"/>
      <c r="AL320" s="461"/>
      <c r="AM320" s="461"/>
      <c r="AN320" s="461"/>
    </row>
    <row r="321" spans="3:40" ht="14.5" hidden="1" customHeight="1" outlineLevel="1" x14ac:dyDescent="0.35">
      <c r="C321" s="600">
        <f t="shared" si="10"/>
        <v>54</v>
      </c>
      <c r="D321" s="601" t="s">
        <v>252</v>
      </c>
      <c r="E321" s="342"/>
      <c r="F321" s="342"/>
      <c r="G321" s="461"/>
      <c r="H321" s="461"/>
      <c r="I321" s="461"/>
      <c r="J321" s="461"/>
      <c r="K321" s="461"/>
      <c r="L321" s="461"/>
      <c r="M321" s="461"/>
      <c r="N321" s="461"/>
      <c r="O321" s="461"/>
      <c r="P321" s="461"/>
      <c r="Q321" s="461"/>
      <c r="R321" s="461"/>
      <c r="S321" s="461"/>
      <c r="T321" s="461"/>
      <c r="U321" s="461"/>
      <c r="V321" s="461"/>
      <c r="W321" s="342"/>
      <c r="X321" s="342"/>
      <c r="Y321" s="461"/>
      <c r="Z321" s="461"/>
      <c r="AA321" s="461"/>
      <c r="AB321" s="461"/>
      <c r="AC321" s="461"/>
      <c r="AD321" s="461"/>
      <c r="AE321" s="461"/>
      <c r="AF321" s="461"/>
      <c r="AG321" s="461"/>
      <c r="AH321" s="461"/>
      <c r="AI321" s="461"/>
      <c r="AJ321" s="461"/>
      <c r="AK321" s="461"/>
      <c r="AL321" s="461"/>
      <c r="AM321" s="461"/>
      <c r="AN321" s="461"/>
    </row>
    <row r="322" spans="3:40" ht="14.5" hidden="1" customHeight="1" outlineLevel="1" x14ac:dyDescent="0.35">
      <c r="C322" s="600">
        <f t="shared" si="10"/>
        <v>55</v>
      </c>
      <c r="D322" s="601" t="s">
        <v>252</v>
      </c>
      <c r="E322" s="342"/>
      <c r="F322" s="342"/>
      <c r="G322" s="461"/>
      <c r="H322" s="461"/>
      <c r="I322" s="461"/>
      <c r="J322" s="461"/>
      <c r="K322" s="461"/>
      <c r="L322" s="461"/>
      <c r="M322" s="461"/>
      <c r="N322" s="461"/>
      <c r="O322" s="461"/>
      <c r="P322" s="461"/>
      <c r="Q322" s="461"/>
      <c r="R322" s="461"/>
      <c r="S322" s="461"/>
      <c r="T322" s="461"/>
      <c r="U322" s="461"/>
      <c r="V322" s="461"/>
      <c r="W322" s="342"/>
      <c r="X322" s="342"/>
      <c r="Y322" s="461"/>
      <c r="Z322" s="461"/>
      <c r="AA322" s="461"/>
      <c r="AB322" s="461"/>
      <c r="AC322" s="461"/>
      <c r="AD322" s="461"/>
      <c r="AE322" s="461"/>
      <c r="AF322" s="461"/>
      <c r="AG322" s="461"/>
      <c r="AH322" s="461"/>
      <c r="AI322" s="461"/>
      <c r="AJ322" s="461"/>
      <c r="AK322" s="461"/>
      <c r="AL322" s="461"/>
      <c r="AM322" s="461"/>
      <c r="AN322" s="461"/>
    </row>
    <row r="323" spans="3:40" ht="14.5" hidden="1" customHeight="1" outlineLevel="1" x14ac:dyDescent="0.35">
      <c r="C323" s="600">
        <f t="shared" si="10"/>
        <v>56</v>
      </c>
      <c r="D323" s="601" t="s">
        <v>252</v>
      </c>
      <c r="E323" s="342"/>
      <c r="F323" s="342"/>
      <c r="G323" s="461"/>
      <c r="H323" s="461"/>
      <c r="I323" s="461"/>
      <c r="J323" s="461"/>
      <c r="K323" s="461"/>
      <c r="L323" s="461"/>
      <c r="M323" s="461"/>
      <c r="N323" s="461"/>
      <c r="O323" s="461"/>
      <c r="P323" s="461"/>
      <c r="Q323" s="461"/>
      <c r="R323" s="461"/>
      <c r="S323" s="461"/>
      <c r="T323" s="461"/>
      <c r="U323" s="461"/>
      <c r="V323" s="461"/>
      <c r="W323" s="342"/>
      <c r="X323" s="342"/>
      <c r="Y323" s="461"/>
      <c r="Z323" s="461"/>
      <c r="AA323" s="461"/>
      <c r="AB323" s="461"/>
      <c r="AC323" s="461"/>
      <c r="AD323" s="461"/>
      <c r="AE323" s="461"/>
      <c r="AF323" s="461"/>
      <c r="AG323" s="461"/>
      <c r="AH323" s="461"/>
      <c r="AI323" s="461"/>
      <c r="AJ323" s="461"/>
      <c r="AK323" s="461"/>
      <c r="AL323" s="461"/>
      <c r="AM323" s="461"/>
      <c r="AN323" s="461"/>
    </row>
    <row r="324" spans="3:40" ht="14.5" hidden="1" customHeight="1" outlineLevel="1" x14ac:dyDescent="0.35">
      <c r="C324" s="600">
        <f t="shared" si="10"/>
        <v>57</v>
      </c>
      <c r="D324" s="601" t="s">
        <v>252</v>
      </c>
      <c r="E324" s="342"/>
      <c r="F324" s="342"/>
      <c r="G324" s="461"/>
      <c r="H324" s="461"/>
      <c r="I324" s="461"/>
      <c r="J324" s="461"/>
      <c r="K324" s="461"/>
      <c r="L324" s="461"/>
      <c r="M324" s="461"/>
      <c r="N324" s="461"/>
      <c r="O324" s="461"/>
      <c r="P324" s="461"/>
      <c r="Q324" s="461"/>
      <c r="R324" s="461"/>
      <c r="S324" s="461"/>
      <c r="T324" s="461"/>
      <c r="U324" s="461"/>
      <c r="V324" s="461"/>
      <c r="W324" s="342"/>
      <c r="X324" s="342"/>
      <c r="Y324" s="461"/>
      <c r="Z324" s="461"/>
      <c r="AA324" s="461"/>
      <c r="AB324" s="461"/>
      <c r="AC324" s="461"/>
      <c r="AD324" s="461"/>
      <c r="AE324" s="461"/>
      <c r="AF324" s="461"/>
      <c r="AG324" s="461"/>
      <c r="AH324" s="461"/>
      <c r="AI324" s="461"/>
      <c r="AJ324" s="461"/>
      <c r="AK324" s="461"/>
      <c r="AL324" s="461"/>
      <c r="AM324" s="461"/>
      <c r="AN324" s="461"/>
    </row>
    <row r="325" spans="3:40" ht="14.5" hidden="1" customHeight="1" outlineLevel="1" x14ac:dyDescent="0.35">
      <c r="C325" s="600">
        <f t="shared" si="10"/>
        <v>58</v>
      </c>
      <c r="D325" s="601" t="s">
        <v>252</v>
      </c>
      <c r="E325" s="342"/>
      <c r="F325" s="342"/>
      <c r="G325" s="461"/>
      <c r="H325" s="461"/>
      <c r="I325" s="461"/>
      <c r="J325" s="461"/>
      <c r="K325" s="461"/>
      <c r="L325" s="461"/>
      <c r="M325" s="461"/>
      <c r="N325" s="461"/>
      <c r="O325" s="461"/>
      <c r="P325" s="461"/>
      <c r="Q325" s="461"/>
      <c r="R325" s="461"/>
      <c r="S325" s="461"/>
      <c r="T325" s="461"/>
      <c r="U325" s="461"/>
      <c r="V325" s="461"/>
      <c r="W325" s="342"/>
      <c r="X325" s="342"/>
      <c r="Y325" s="461"/>
      <c r="Z325" s="461"/>
      <c r="AA325" s="461"/>
      <c r="AB325" s="461"/>
      <c r="AC325" s="461"/>
      <c r="AD325" s="461"/>
      <c r="AE325" s="461"/>
      <c r="AF325" s="461"/>
      <c r="AG325" s="461"/>
      <c r="AH325" s="461"/>
      <c r="AI325" s="461"/>
      <c r="AJ325" s="461"/>
      <c r="AK325" s="461"/>
      <c r="AL325" s="461"/>
      <c r="AM325" s="461"/>
      <c r="AN325" s="461"/>
    </row>
    <row r="326" spans="3:40" ht="14.5" hidden="1" customHeight="1" outlineLevel="1" x14ac:dyDescent="0.35">
      <c r="C326" s="600">
        <f t="shared" si="10"/>
        <v>59</v>
      </c>
      <c r="D326" s="601" t="s">
        <v>252</v>
      </c>
      <c r="E326" s="342"/>
      <c r="F326" s="342"/>
      <c r="G326" s="461"/>
      <c r="H326" s="461"/>
      <c r="I326" s="461"/>
      <c r="J326" s="461"/>
      <c r="K326" s="461"/>
      <c r="L326" s="461"/>
      <c r="M326" s="461"/>
      <c r="N326" s="461"/>
      <c r="O326" s="461"/>
      <c r="P326" s="461"/>
      <c r="Q326" s="461"/>
      <c r="R326" s="461"/>
      <c r="S326" s="461"/>
      <c r="T326" s="461"/>
      <c r="U326" s="461"/>
      <c r="V326" s="461"/>
      <c r="W326" s="342"/>
      <c r="X326" s="342"/>
      <c r="Y326" s="461"/>
      <c r="Z326" s="461"/>
      <c r="AA326" s="461"/>
      <c r="AB326" s="461"/>
      <c r="AC326" s="461"/>
      <c r="AD326" s="461"/>
      <c r="AE326" s="461"/>
      <c r="AF326" s="461"/>
      <c r="AG326" s="461"/>
      <c r="AH326" s="461"/>
      <c r="AI326" s="461"/>
      <c r="AJ326" s="461"/>
      <c r="AK326" s="461"/>
      <c r="AL326" s="461"/>
      <c r="AM326" s="461"/>
      <c r="AN326" s="461"/>
    </row>
    <row r="327" spans="3:40" ht="14.5" hidden="1" customHeight="1" outlineLevel="1" x14ac:dyDescent="0.35">
      <c r="C327" s="600">
        <f t="shared" si="10"/>
        <v>60</v>
      </c>
      <c r="D327" s="601" t="s">
        <v>252</v>
      </c>
      <c r="E327" s="342"/>
      <c r="F327" s="342"/>
      <c r="G327" s="461"/>
      <c r="H327" s="461"/>
      <c r="I327" s="461"/>
      <c r="J327" s="461"/>
      <c r="K327" s="461"/>
      <c r="L327" s="461"/>
      <c r="M327" s="461"/>
      <c r="N327" s="461"/>
      <c r="O327" s="461"/>
      <c r="P327" s="461"/>
      <c r="Q327" s="461"/>
      <c r="R327" s="461"/>
      <c r="S327" s="461"/>
      <c r="T327" s="461"/>
      <c r="U327" s="461"/>
      <c r="V327" s="461"/>
      <c r="W327" s="342"/>
      <c r="X327" s="342"/>
      <c r="Y327" s="461"/>
      <c r="Z327" s="461"/>
      <c r="AA327" s="461"/>
      <c r="AB327" s="461"/>
      <c r="AC327" s="461"/>
      <c r="AD327" s="461"/>
      <c r="AE327" s="461"/>
      <c r="AF327" s="461"/>
      <c r="AG327" s="461"/>
      <c r="AH327" s="461"/>
      <c r="AI327" s="461"/>
      <c r="AJ327" s="461"/>
      <c r="AK327" s="461"/>
      <c r="AL327" s="461"/>
      <c r="AM327" s="461"/>
      <c r="AN327" s="461"/>
    </row>
    <row r="328" spans="3:40" ht="14.5" hidden="1" customHeight="1" outlineLevel="1" x14ac:dyDescent="0.35">
      <c r="C328" s="600">
        <f t="shared" si="10"/>
        <v>61</v>
      </c>
      <c r="D328" s="601" t="s">
        <v>252</v>
      </c>
      <c r="E328" s="342"/>
      <c r="F328" s="342"/>
      <c r="G328" s="461"/>
      <c r="H328" s="461"/>
      <c r="I328" s="461"/>
      <c r="J328" s="461"/>
      <c r="K328" s="461"/>
      <c r="L328" s="461"/>
      <c r="M328" s="461"/>
      <c r="N328" s="461"/>
      <c r="O328" s="461"/>
      <c r="P328" s="461"/>
      <c r="Q328" s="461"/>
      <c r="R328" s="461"/>
      <c r="S328" s="461"/>
      <c r="T328" s="461"/>
      <c r="U328" s="461"/>
      <c r="V328" s="461"/>
      <c r="W328" s="342"/>
      <c r="X328" s="342"/>
      <c r="Y328" s="461"/>
      <c r="Z328" s="461"/>
      <c r="AA328" s="461"/>
      <c r="AB328" s="461"/>
      <c r="AC328" s="461"/>
      <c r="AD328" s="461"/>
      <c r="AE328" s="461"/>
      <c r="AF328" s="461"/>
      <c r="AG328" s="461"/>
      <c r="AH328" s="461"/>
      <c r="AI328" s="461"/>
      <c r="AJ328" s="461"/>
      <c r="AK328" s="461"/>
      <c r="AL328" s="461"/>
      <c r="AM328" s="461"/>
      <c r="AN328" s="461"/>
    </row>
    <row r="329" spans="3:40" ht="14.5" hidden="1" customHeight="1" outlineLevel="1" x14ac:dyDescent="0.35">
      <c r="C329" s="600">
        <f t="shared" si="10"/>
        <v>62</v>
      </c>
      <c r="D329" s="601" t="s">
        <v>252</v>
      </c>
      <c r="E329" s="342"/>
      <c r="F329" s="342"/>
      <c r="G329" s="461"/>
      <c r="H329" s="461"/>
      <c r="I329" s="461"/>
      <c r="J329" s="461"/>
      <c r="K329" s="461"/>
      <c r="L329" s="461"/>
      <c r="M329" s="461"/>
      <c r="N329" s="461"/>
      <c r="O329" s="461"/>
      <c r="P329" s="461"/>
      <c r="Q329" s="461"/>
      <c r="R329" s="461"/>
      <c r="S329" s="461"/>
      <c r="T329" s="461"/>
      <c r="U329" s="461"/>
      <c r="V329" s="461"/>
      <c r="W329" s="342"/>
      <c r="X329" s="342"/>
      <c r="Y329" s="461"/>
      <c r="Z329" s="461"/>
      <c r="AA329" s="461"/>
      <c r="AB329" s="461"/>
      <c r="AC329" s="461"/>
      <c r="AD329" s="461"/>
      <c r="AE329" s="461"/>
      <c r="AF329" s="461"/>
      <c r="AG329" s="461"/>
      <c r="AH329" s="461"/>
      <c r="AI329" s="461"/>
      <c r="AJ329" s="461"/>
      <c r="AK329" s="461"/>
      <c r="AL329" s="461"/>
      <c r="AM329" s="461"/>
      <c r="AN329" s="461"/>
    </row>
    <row r="330" spans="3:40" ht="14.5" hidden="1" customHeight="1" outlineLevel="1" x14ac:dyDescent="0.35">
      <c r="C330" s="600">
        <f t="shared" si="10"/>
        <v>63</v>
      </c>
      <c r="D330" s="601" t="s">
        <v>252</v>
      </c>
      <c r="E330" s="342"/>
      <c r="F330" s="342"/>
      <c r="G330" s="461"/>
      <c r="H330" s="461"/>
      <c r="I330" s="461"/>
      <c r="J330" s="461"/>
      <c r="K330" s="461"/>
      <c r="L330" s="461"/>
      <c r="M330" s="461"/>
      <c r="N330" s="461"/>
      <c r="O330" s="461"/>
      <c r="P330" s="461"/>
      <c r="Q330" s="461"/>
      <c r="R330" s="461"/>
      <c r="S330" s="461"/>
      <c r="T330" s="461"/>
      <c r="U330" s="461"/>
      <c r="V330" s="461"/>
      <c r="W330" s="342"/>
      <c r="X330" s="342"/>
      <c r="Y330" s="461"/>
      <c r="Z330" s="461"/>
      <c r="AA330" s="461"/>
      <c r="AB330" s="461"/>
      <c r="AC330" s="461"/>
      <c r="AD330" s="461"/>
      <c r="AE330" s="461"/>
      <c r="AF330" s="461"/>
      <c r="AG330" s="461"/>
      <c r="AH330" s="461"/>
      <c r="AI330" s="461"/>
      <c r="AJ330" s="461"/>
      <c r="AK330" s="461"/>
      <c r="AL330" s="461"/>
      <c r="AM330" s="461"/>
      <c r="AN330" s="461"/>
    </row>
    <row r="331" spans="3:40" ht="14.5" hidden="1" customHeight="1" outlineLevel="1" x14ac:dyDescent="0.35">
      <c r="C331" s="600">
        <f t="shared" si="10"/>
        <v>64</v>
      </c>
      <c r="D331" s="601" t="s">
        <v>252</v>
      </c>
      <c r="E331" s="342"/>
      <c r="F331" s="342"/>
      <c r="G331" s="461"/>
      <c r="H331" s="461"/>
      <c r="I331" s="461"/>
      <c r="J331" s="461"/>
      <c r="K331" s="461"/>
      <c r="L331" s="461"/>
      <c r="M331" s="461"/>
      <c r="N331" s="461"/>
      <c r="O331" s="461"/>
      <c r="P331" s="461"/>
      <c r="Q331" s="461"/>
      <c r="R331" s="461"/>
      <c r="S331" s="461"/>
      <c r="T331" s="461"/>
      <c r="U331" s="461"/>
      <c r="V331" s="461"/>
      <c r="W331" s="342"/>
      <c r="X331" s="342"/>
      <c r="Y331" s="461"/>
      <c r="Z331" s="461"/>
      <c r="AA331" s="461"/>
      <c r="AB331" s="461"/>
      <c r="AC331" s="461"/>
      <c r="AD331" s="461"/>
      <c r="AE331" s="461"/>
      <c r="AF331" s="461"/>
      <c r="AG331" s="461"/>
      <c r="AH331" s="461"/>
      <c r="AI331" s="461"/>
      <c r="AJ331" s="461"/>
      <c r="AK331" s="461"/>
      <c r="AL331" s="461"/>
      <c r="AM331" s="461"/>
      <c r="AN331" s="461"/>
    </row>
    <row r="332" spans="3:40" ht="14.5" hidden="1" customHeight="1" outlineLevel="1" x14ac:dyDescent="0.35">
      <c r="C332" s="600">
        <f t="shared" si="10"/>
        <v>65</v>
      </c>
      <c r="D332" s="601" t="s">
        <v>252</v>
      </c>
      <c r="E332" s="342"/>
      <c r="F332" s="342"/>
      <c r="G332" s="461"/>
      <c r="H332" s="461"/>
      <c r="I332" s="461"/>
      <c r="J332" s="461"/>
      <c r="K332" s="461"/>
      <c r="L332" s="461"/>
      <c r="M332" s="461"/>
      <c r="N332" s="461"/>
      <c r="O332" s="461"/>
      <c r="P332" s="461"/>
      <c r="Q332" s="461"/>
      <c r="R332" s="461"/>
      <c r="S332" s="461"/>
      <c r="T332" s="461"/>
      <c r="U332" s="461"/>
      <c r="V332" s="461"/>
      <c r="W332" s="342"/>
      <c r="X332" s="342"/>
      <c r="Y332" s="461"/>
      <c r="Z332" s="461"/>
      <c r="AA332" s="461"/>
      <c r="AB332" s="461"/>
      <c r="AC332" s="461"/>
      <c r="AD332" s="461"/>
      <c r="AE332" s="461"/>
      <c r="AF332" s="461"/>
      <c r="AG332" s="461"/>
      <c r="AH332" s="461"/>
      <c r="AI332" s="461"/>
      <c r="AJ332" s="461"/>
      <c r="AK332" s="461"/>
      <c r="AL332" s="461"/>
      <c r="AM332" s="461"/>
      <c r="AN332" s="461"/>
    </row>
    <row r="333" spans="3:40" ht="14.5" hidden="1" customHeight="1" outlineLevel="1" x14ac:dyDescent="0.35">
      <c r="C333" s="600">
        <f t="shared" si="10"/>
        <v>66</v>
      </c>
      <c r="D333" s="601" t="s">
        <v>252</v>
      </c>
      <c r="E333" s="342"/>
      <c r="F333" s="342"/>
      <c r="G333" s="461"/>
      <c r="H333" s="461"/>
      <c r="I333" s="461"/>
      <c r="J333" s="461"/>
      <c r="K333" s="461"/>
      <c r="L333" s="461"/>
      <c r="M333" s="461"/>
      <c r="N333" s="461"/>
      <c r="O333" s="461"/>
      <c r="P333" s="461"/>
      <c r="Q333" s="461"/>
      <c r="R333" s="461"/>
      <c r="S333" s="461"/>
      <c r="T333" s="461"/>
      <c r="U333" s="461"/>
      <c r="V333" s="461"/>
      <c r="W333" s="342"/>
      <c r="X333" s="342"/>
      <c r="Y333" s="461"/>
      <c r="Z333" s="461"/>
      <c r="AA333" s="461"/>
      <c r="AB333" s="461"/>
      <c r="AC333" s="461"/>
      <c r="AD333" s="461"/>
      <c r="AE333" s="461"/>
      <c r="AF333" s="461"/>
      <c r="AG333" s="461"/>
      <c r="AH333" s="461"/>
      <c r="AI333" s="461"/>
      <c r="AJ333" s="461"/>
      <c r="AK333" s="461"/>
      <c r="AL333" s="461"/>
      <c r="AM333" s="461"/>
      <c r="AN333" s="461"/>
    </row>
    <row r="334" spans="3:40" ht="14.5" hidden="1" customHeight="1" outlineLevel="1" x14ac:dyDescent="0.35">
      <c r="C334" s="600">
        <f t="shared" ref="C334:C347" si="11">1+C333</f>
        <v>67</v>
      </c>
      <c r="D334" s="601" t="s">
        <v>252</v>
      </c>
      <c r="E334" s="342"/>
      <c r="F334" s="342"/>
      <c r="G334" s="461"/>
      <c r="H334" s="461"/>
      <c r="I334" s="461"/>
      <c r="J334" s="461"/>
      <c r="K334" s="461"/>
      <c r="L334" s="461"/>
      <c r="M334" s="461"/>
      <c r="N334" s="461"/>
      <c r="O334" s="461"/>
      <c r="P334" s="461"/>
      <c r="Q334" s="461"/>
      <c r="R334" s="461"/>
      <c r="S334" s="461"/>
      <c r="T334" s="461"/>
      <c r="U334" s="461"/>
      <c r="V334" s="461"/>
      <c r="W334" s="342"/>
      <c r="X334" s="342"/>
      <c r="Y334" s="461"/>
      <c r="Z334" s="461"/>
      <c r="AA334" s="461"/>
      <c r="AB334" s="461"/>
      <c r="AC334" s="461"/>
      <c r="AD334" s="461"/>
      <c r="AE334" s="461"/>
      <c r="AF334" s="461"/>
      <c r="AG334" s="461"/>
      <c r="AH334" s="461"/>
      <c r="AI334" s="461"/>
      <c r="AJ334" s="461"/>
      <c r="AK334" s="461"/>
      <c r="AL334" s="461"/>
      <c r="AM334" s="461"/>
      <c r="AN334" s="461"/>
    </row>
    <row r="335" spans="3:40" ht="14.5" hidden="1" customHeight="1" outlineLevel="1" x14ac:dyDescent="0.35">
      <c r="C335" s="600">
        <f t="shared" si="11"/>
        <v>68</v>
      </c>
      <c r="D335" s="601" t="s">
        <v>252</v>
      </c>
      <c r="E335" s="342"/>
      <c r="F335" s="342"/>
      <c r="G335" s="461"/>
      <c r="H335" s="461"/>
      <c r="I335" s="461"/>
      <c r="J335" s="461"/>
      <c r="K335" s="461"/>
      <c r="L335" s="461"/>
      <c r="M335" s="461"/>
      <c r="N335" s="461"/>
      <c r="O335" s="461"/>
      <c r="P335" s="461"/>
      <c r="Q335" s="461"/>
      <c r="R335" s="461"/>
      <c r="S335" s="461"/>
      <c r="T335" s="461"/>
      <c r="U335" s="461"/>
      <c r="V335" s="461"/>
      <c r="W335" s="342"/>
      <c r="X335" s="342"/>
      <c r="Y335" s="461"/>
      <c r="Z335" s="461"/>
      <c r="AA335" s="461"/>
      <c r="AB335" s="461"/>
      <c r="AC335" s="461"/>
      <c r="AD335" s="461"/>
      <c r="AE335" s="461"/>
      <c r="AF335" s="461"/>
      <c r="AG335" s="461"/>
      <c r="AH335" s="461"/>
      <c r="AI335" s="461"/>
      <c r="AJ335" s="461"/>
      <c r="AK335" s="461"/>
      <c r="AL335" s="461"/>
      <c r="AM335" s="461"/>
      <c r="AN335" s="461"/>
    </row>
    <row r="336" spans="3:40" ht="14.5" hidden="1" customHeight="1" outlineLevel="1" x14ac:dyDescent="0.35">
      <c r="C336" s="600">
        <f t="shared" si="11"/>
        <v>69</v>
      </c>
      <c r="D336" s="601" t="s">
        <v>252</v>
      </c>
      <c r="E336" s="342"/>
      <c r="F336" s="342"/>
      <c r="G336" s="461"/>
      <c r="H336" s="461"/>
      <c r="I336" s="461"/>
      <c r="J336" s="461"/>
      <c r="K336" s="461"/>
      <c r="L336" s="461"/>
      <c r="M336" s="461"/>
      <c r="N336" s="461"/>
      <c r="O336" s="461"/>
      <c r="P336" s="461"/>
      <c r="Q336" s="461"/>
      <c r="R336" s="461"/>
      <c r="S336" s="461"/>
      <c r="T336" s="461"/>
      <c r="U336" s="461"/>
      <c r="V336" s="461"/>
      <c r="W336" s="342"/>
      <c r="X336" s="342"/>
      <c r="Y336" s="461"/>
      <c r="Z336" s="461"/>
      <c r="AA336" s="461"/>
      <c r="AB336" s="461"/>
      <c r="AC336" s="461"/>
      <c r="AD336" s="461"/>
      <c r="AE336" s="461"/>
      <c r="AF336" s="461"/>
      <c r="AG336" s="461"/>
      <c r="AH336" s="461"/>
      <c r="AI336" s="461"/>
      <c r="AJ336" s="461"/>
      <c r="AK336" s="461"/>
      <c r="AL336" s="461"/>
      <c r="AM336" s="461"/>
      <c r="AN336" s="461"/>
    </row>
    <row r="337" spans="3:40" ht="14.5" hidden="1" customHeight="1" outlineLevel="1" x14ac:dyDescent="0.35">
      <c r="C337" s="600">
        <f t="shared" si="11"/>
        <v>70</v>
      </c>
      <c r="D337" s="601" t="s">
        <v>252</v>
      </c>
      <c r="E337" s="342"/>
      <c r="F337" s="342"/>
      <c r="G337" s="461"/>
      <c r="H337" s="461"/>
      <c r="I337" s="461"/>
      <c r="J337" s="461"/>
      <c r="K337" s="461"/>
      <c r="L337" s="461"/>
      <c r="M337" s="461"/>
      <c r="N337" s="461"/>
      <c r="O337" s="461"/>
      <c r="P337" s="461"/>
      <c r="Q337" s="461"/>
      <c r="R337" s="461"/>
      <c r="S337" s="461"/>
      <c r="T337" s="461"/>
      <c r="U337" s="461"/>
      <c r="V337" s="461"/>
      <c r="W337" s="342"/>
      <c r="X337" s="342"/>
      <c r="Y337" s="461"/>
      <c r="Z337" s="461"/>
      <c r="AA337" s="461"/>
      <c r="AB337" s="461"/>
      <c r="AC337" s="461"/>
      <c r="AD337" s="461"/>
      <c r="AE337" s="461"/>
      <c r="AF337" s="461"/>
      <c r="AG337" s="461"/>
      <c r="AH337" s="461"/>
      <c r="AI337" s="461"/>
      <c r="AJ337" s="461"/>
      <c r="AK337" s="461"/>
      <c r="AL337" s="461"/>
      <c r="AM337" s="461"/>
      <c r="AN337" s="461"/>
    </row>
    <row r="338" spans="3:40" ht="14.5" hidden="1" customHeight="1" outlineLevel="1" x14ac:dyDescent="0.35">
      <c r="C338" s="600">
        <f t="shared" si="11"/>
        <v>71</v>
      </c>
      <c r="D338" s="601" t="s">
        <v>252</v>
      </c>
      <c r="E338" s="342"/>
      <c r="F338" s="342"/>
      <c r="G338" s="461"/>
      <c r="H338" s="461"/>
      <c r="I338" s="461"/>
      <c r="J338" s="461"/>
      <c r="K338" s="461"/>
      <c r="L338" s="461"/>
      <c r="M338" s="461"/>
      <c r="N338" s="461"/>
      <c r="O338" s="461"/>
      <c r="P338" s="461"/>
      <c r="Q338" s="461"/>
      <c r="R338" s="461"/>
      <c r="S338" s="461"/>
      <c r="T338" s="461"/>
      <c r="U338" s="461"/>
      <c r="V338" s="461"/>
      <c r="W338" s="342"/>
      <c r="X338" s="342"/>
      <c r="Y338" s="461"/>
      <c r="Z338" s="461"/>
      <c r="AA338" s="461"/>
      <c r="AB338" s="461"/>
      <c r="AC338" s="461"/>
      <c r="AD338" s="461"/>
      <c r="AE338" s="461"/>
      <c r="AF338" s="461"/>
      <c r="AG338" s="461"/>
      <c r="AH338" s="461"/>
      <c r="AI338" s="461"/>
      <c r="AJ338" s="461"/>
      <c r="AK338" s="461"/>
      <c r="AL338" s="461"/>
      <c r="AM338" s="461"/>
      <c r="AN338" s="461"/>
    </row>
    <row r="339" spans="3:40" ht="14.5" hidden="1" customHeight="1" outlineLevel="1" x14ac:dyDescent="0.35">
      <c r="C339" s="600">
        <f t="shared" si="11"/>
        <v>72</v>
      </c>
      <c r="D339" s="601" t="s">
        <v>252</v>
      </c>
      <c r="E339" s="342"/>
      <c r="F339" s="342"/>
      <c r="G339" s="461"/>
      <c r="H339" s="461"/>
      <c r="I339" s="461"/>
      <c r="J339" s="461"/>
      <c r="K339" s="461"/>
      <c r="L339" s="461"/>
      <c r="M339" s="461"/>
      <c r="N339" s="461"/>
      <c r="O339" s="461"/>
      <c r="P339" s="461"/>
      <c r="Q339" s="461"/>
      <c r="R339" s="461"/>
      <c r="S339" s="461"/>
      <c r="T339" s="461"/>
      <c r="U339" s="461"/>
      <c r="V339" s="461"/>
      <c r="W339" s="342"/>
      <c r="X339" s="342"/>
      <c r="Y339" s="461"/>
      <c r="Z339" s="461"/>
      <c r="AA339" s="461"/>
      <c r="AB339" s="461"/>
      <c r="AC339" s="461"/>
      <c r="AD339" s="461"/>
      <c r="AE339" s="461"/>
      <c r="AF339" s="461"/>
      <c r="AG339" s="461"/>
      <c r="AH339" s="461"/>
      <c r="AI339" s="461"/>
      <c r="AJ339" s="461"/>
      <c r="AK339" s="461"/>
      <c r="AL339" s="461"/>
      <c r="AM339" s="461"/>
      <c r="AN339" s="461"/>
    </row>
    <row r="340" spans="3:40" ht="14.5" hidden="1" customHeight="1" outlineLevel="1" x14ac:dyDescent="0.35">
      <c r="C340" s="600">
        <f t="shared" si="11"/>
        <v>73</v>
      </c>
      <c r="D340" s="601" t="s">
        <v>252</v>
      </c>
      <c r="E340" s="342"/>
      <c r="F340" s="342"/>
      <c r="G340" s="461"/>
      <c r="H340" s="461"/>
      <c r="I340" s="461"/>
      <c r="J340" s="461"/>
      <c r="K340" s="461"/>
      <c r="L340" s="461"/>
      <c r="M340" s="461"/>
      <c r="N340" s="461"/>
      <c r="O340" s="461"/>
      <c r="P340" s="461"/>
      <c r="Q340" s="461"/>
      <c r="R340" s="461"/>
      <c r="S340" s="461"/>
      <c r="T340" s="461"/>
      <c r="U340" s="461"/>
      <c r="V340" s="461"/>
      <c r="W340" s="342"/>
      <c r="X340" s="342"/>
      <c r="Y340" s="461"/>
      <c r="Z340" s="461"/>
      <c r="AA340" s="461"/>
      <c r="AB340" s="461"/>
      <c r="AC340" s="461"/>
      <c r="AD340" s="461"/>
      <c r="AE340" s="461"/>
      <c r="AF340" s="461"/>
      <c r="AG340" s="461"/>
      <c r="AH340" s="461"/>
      <c r="AI340" s="461"/>
      <c r="AJ340" s="461"/>
      <c r="AK340" s="461"/>
      <c r="AL340" s="461"/>
      <c r="AM340" s="461"/>
      <c r="AN340" s="461"/>
    </row>
    <row r="341" spans="3:40" ht="14.5" hidden="1" customHeight="1" outlineLevel="1" x14ac:dyDescent="0.35">
      <c r="C341" s="600">
        <f t="shared" si="11"/>
        <v>74</v>
      </c>
      <c r="D341" s="601" t="s">
        <v>252</v>
      </c>
      <c r="E341" s="342"/>
      <c r="F341" s="342"/>
      <c r="G341" s="461"/>
      <c r="H341" s="461"/>
      <c r="I341" s="461"/>
      <c r="J341" s="461"/>
      <c r="K341" s="461"/>
      <c r="L341" s="461"/>
      <c r="M341" s="461"/>
      <c r="N341" s="461"/>
      <c r="O341" s="461"/>
      <c r="P341" s="461"/>
      <c r="Q341" s="461"/>
      <c r="R341" s="461"/>
      <c r="S341" s="461"/>
      <c r="T341" s="461"/>
      <c r="U341" s="461"/>
      <c r="V341" s="461"/>
      <c r="W341" s="342"/>
      <c r="X341" s="342"/>
      <c r="Y341" s="461"/>
      <c r="Z341" s="461"/>
      <c r="AA341" s="461"/>
      <c r="AB341" s="461"/>
      <c r="AC341" s="461"/>
      <c r="AD341" s="461"/>
      <c r="AE341" s="461"/>
      <c r="AF341" s="461"/>
      <c r="AG341" s="461"/>
      <c r="AH341" s="461"/>
      <c r="AI341" s="461"/>
      <c r="AJ341" s="461"/>
      <c r="AK341" s="461"/>
      <c r="AL341" s="461"/>
      <c r="AM341" s="461"/>
      <c r="AN341" s="461"/>
    </row>
    <row r="342" spans="3:40" ht="14.5" hidden="1" customHeight="1" outlineLevel="1" x14ac:dyDescent="0.35">
      <c r="C342" s="600">
        <f t="shared" si="11"/>
        <v>75</v>
      </c>
      <c r="D342" s="601" t="s">
        <v>252</v>
      </c>
      <c r="E342" s="342"/>
      <c r="F342" s="342"/>
      <c r="G342" s="461"/>
      <c r="H342" s="461"/>
      <c r="I342" s="461"/>
      <c r="J342" s="461"/>
      <c r="K342" s="461"/>
      <c r="L342" s="461"/>
      <c r="M342" s="461"/>
      <c r="N342" s="461"/>
      <c r="O342" s="461"/>
      <c r="P342" s="461"/>
      <c r="Q342" s="461"/>
      <c r="R342" s="461"/>
      <c r="S342" s="461"/>
      <c r="T342" s="461"/>
      <c r="U342" s="461"/>
      <c r="V342" s="461"/>
      <c r="W342" s="342"/>
      <c r="X342" s="342"/>
      <c r="Y342" s="461"/>
      <c r="Z342" s="461"/>
      <c r="AA342" s="461"/>
      <c r="AB342" s="461"/>
      <c r="AC342" s="461"/>
      <c r="AD342" s="461"/>
      <c r="AE342" s="461"/>
      <c r="AF342" s="461"/>
      <c r="AG342" s="461"/>
      <c r="AH342" s="461"/>
      <c r="AI342" s="461"/>
      <c r="AJ342" s="461"/>
      <c r="AK342" s="461"/>
      <c r="AL342" s="461"/>
      <c r="AM342" s="461"/>
      <c r="AN342" s="461"/>
    </row>
    <row r="343" spans="3:40" ht="14.5" hidden="1" customHeight="1" outlineLevel="1" x14ac:dyDescent="0.35">
      <c r="C343" s="600">
        <f t="shared" si="11"/>
        <v>76</v>
      </c>
      <c r="D343" s="601" t="s">
        <v>252</v>
      </c>
      <c r="E343" s="342"/>
      <c r="F343" s="342"/>
      <c r="G343" s="461"/>
      <c r="H343" s="461"/>
      <c r="I343" s="461"/>
      <c r="J343" s="461"/>
      <c r="K343" s="461"/>
      <c r="L343" s="461"/>
      <c r="M343" s="461"/>
      <c r="N343" s="461"/>
      <c r="O343" s="461"/>
      <c r="P343" s="461"/>
      <c r="Q343" s="461"/>
      <c r="R343" s="461"/>
      <c r="S343" s="461"/>
      <c r="T343" s="461"/>
      <c r="U343" s="461"/>
      <c r="V343" s="461"/>
      <c r="W343" s="342"/>
      <c r="X343" s="342"/>
      <c r="Y343" s="461"/>
      <c r="Z343" s="461"/>
      <c r="AA343" s="461"/>
      <c r="AB343" s="461"/>
      <c r="AC343" s="461"/>
      <c r="AD343" s="461"/>
      <c r="AE343" s="461"/>
      <c r="AF343" s="461"/>
      <c r="AG343" s="461"/>
      <c r="AH343" s="461"/>
      <c r="AI343" s="461"/>
      <c r="AJ343" s="461"/>
      <c r="AK343" s="461"/>
      <c r="AL343" s="461"/>
      <c r="AM343" s="461"/>
      <c r="AN343" s="461"/>
    </row>
    <row r="344" spans="3:40" ht="14.5" hidden="1" customHeight="1" outlineLevel="1" x14ac:dyDescent="0.35">
      <c r="C344" s="600">
        <f t="shared" si="11"/>
        <v>77</v>
      </c>
      <c r="D344" s="601" t="s">
        <v>252</v>
      </c>
      <c r="E344" s="342"/>
      <c r="F344" s="342"/>
      <c r="G344" s="461"/>
      <c r="H344" s="461"/>
      <c r="I344" s="461"/>
      <c r="J344" s="461"/>
      <c r="K344" s="461"/>
      <c r="L344" s="461"/>
      <c r="M344" s="461"/>
      <c r="N344" s="461"/>
      <c r="O344" s="461"/>
      <c r="P344" s="461"/>
      <c r="Q344" s="461"/>
      <c r="R344" s="461"/>
      <c r="S344" s="461"/>
      <c r="T344" s="461"/>
      <c r="U344" s="461"/>
      <c r="V344" s="461"/>
      <c r="W344" s="342"/>
      <c r="X344" s="342"/>
      <c r="Y344" s="461"/>
      <c r="Z344" s="461"/>
      <c r="AA344" s="461"/>
      <c r="AB344" s="461"/>
      <c r="AC344" s="461"/>
      <c r="AD344" s="461"/>
      <c r="AE344" s="461"/>
      <c r="AF344" s="461"/>
      <c r="AG344" s="461"/>
      <c r="AH344" s="461"/>
      <c r="AI344" s="461"/>
      <c r="AJ344" s="461"/>
      <c r="AK344" s="461"/>
      <c r="AL344" s="461"/>
      <c r="AM344" s="461"/>
      <c r="AN344" s="461"/>
    </row>
    <row r="345" spans="3:40" ht="14.5" hidden="1" customHeight="1" outlineLevel="1" x14ac:dyDescent="0.35">
      <c r="C345" s="600">
        <f t="shared" si="11"/>
        <v>78</v>
      </c>
      <c r="D345" s="601" t="s">
        <v>252</v>
      </c>
      <c r="E345" s="342"/>
      <c r="F345" s="342"/>
      <c r="G345" s="461"/>
      <c r="H345" s="461"/>
      <c r="I345" s="461"/>
      <c r="J345" s="461"/>
      <c r="K345" s="461"/>
      <c r="L345" s="461"/>
      <c r="M345" s="461"/>
      <c r="N345" s="461"/>
      <c r="O345" s="461"/>
      <c r="P345" s="461"/>
      <c r="Q345" s="461"/>
      <c r="R345" s="461"/>
      <c r="S345" s="461"/>
      <c r="T345" s="461"/>
      <c r="U345" s="461"/>
      <c r="V345" s="461"/>
      <c r="W345" s="342"/>
      <c r="X345" s="342"/>
      <c r="Y345" s="461"/>
      <c r="Z345" s="461"/>
      <c r="AA345" s="461"/>
      <c r="AB345" s="461"/>
      <c r="AC345" s="461"/>
      <c r="AD345" s="461"/>
      <c r="AE345" s="461"/>
      <c r="AF345" s="461"/>
      <c r="AG345" s="461"/>
      <c r="AH345" s="461"/>
      <c r="AI345" s="461"/>
      <c r="AJ345" s="461"/>
      <c r="AK345" s="461"/>
      <c r="AL345" s="461"/>
      <c r="AM345" s="461"/>
      <c r="AN345" s="461"/>
    </row>
    <row r="346" spans="3:40" ht="14.5" hidden="1" customHeight="1" outlineLevel="1" x14ac:dyDescent="0.35">
      <c r="C346" s="600">
        <f t="shared" si="11"/>
        <v>79</v>
      </c>
      <c r="D346" s="601" t="s">
        <v>252</v>
      </c>
      <c r="E346" s="342"/>
      <c r="F346" s="342"/>
      <c r="G346" s="461"/>
      <c r="H346" s="461"/>
      <c r="I346" s="461"/>
      <c r="J346" s="461"/>
      <c r="K346" s="461"/>
      <c r="L346" s="461"/>
      <c r="M346" s="461"/>
      <c r="N346" s="461"/>
      <c r="O346" s="461"/>
      <c r="P346" s="461"/>
      <c r="Q346" s="461"/>
      <c r="R346" s="461"/>
      <c r="S346" s="461"/>
      <c r="T346" s="461"/>
      <c r="U346" s="461"/>
      <c r="V346" s="461"/>
      <c r="W346" s="342"/>
      <c r="X346" s="342"/>
      <c r="Y346" s="461"/>
      <c r="Z346" s="461"/>
      <c r="AA346" s="461"/>
      <c r="AB346" s="461"/>
      <c r="AC346" s="461"/>
      <c r="AD346" s="461"/>
      <c r="AE346" s="461"/>
      <c r="AF346" s="461"/>
      <c r="AG346" s="461"/>
      <c r="AH346" s="461"/>
      <c r="AI346" s="461"/>
      <c r="AJ346" s="461"/>
      <c r="AK346" s="461"/>
      <c r="AL346" s="461"/>
      <c r="AM346" s="461"/>
      <c r="AN346" s="461"/>
    </row>
    <row r="347" spans="3:40" ht="12.65" customHeight="1" collapsed="1" x14ac:dyDescent="0.35">
      <c r="C347" s="600">
        <f t="shared" si="11"/>
        <v>80</v>
      </c>
      <c r="D347" s="601" t="s">
        <v>252</v>
      </c>
      <c r="E347" s="342"/>
      <c r="F347" s="342"/>
      <c r="G347" s="461"/>
      <c r="H347" s="461"/>
      <c r="I347" s="461"/>
      <c r="J347" s="461"/>
      <c r="K347" s="461"/>
      <c r="L347" s="461"/>
      <c r="M347" s="461"/>
      <c r="N347" s="461"/>
      <c r="O347" s="461"/>
      <c r="P347" s="461"/>
      <c r="Q347" s="461"/>
      <c r="R347" s="461"/>
      <c r="S347" s="461"/>
      <c r="T347" s="461"/>
      <c r="U347" s="461"/>
      <c r="V347" s="461"/>
      <c r="W347" s="342"/>
      <c r="X347" s="342"/>
      <c r="Y347" s="461"/>
      <c r="Z347" s="461"/>
      <c r="AA347" s="461"/>
      <c r="AB347" s="461"/>
      <c r="AC347" s="461"/>
      <c r="AD347" s="461"/>
      <c r="AE347" s="461"/>
      <c r="AF347" s="461"/>
      <c r="AG347" s="461"/>
      <c r="AH347" s="461"/>
      <c r="AI347" s="461"/>
      <c r="AJ347" s="461"/>
      <c r="AK347" s="461"/>
      <c r="AL347" s="461"/>
      <c r="AM347" s="461"/>
      <c r="AN347" s="461"/>
    </row>
    <row r="348" spans="3:40" x14ac:dyDescent="0.25">
      <c r="C348" s="585"/>
      <c r="D348" s="620" t="s">
        <v>1285</v>
      </c>
    </row>
    <row r="349" spans="3:40" x14ac:dyDescent="0.25">
      <c r="C349" s="585"/>
      <c r="D349" s="585" t="s">
        <v>365</v>
      </c>
    </row>
    <row r="350" spans="3:40" x14ac:dyDescent="0.25">
      <c r="C350" s="585"/>
      <c r="D350" s="587"/>
    </row>
    <row r="351" spans="3:40" x14ac:dyDescent="0.25">
      <c r="C351" s="585"/>
      <c r="D351" s="587"/>
    </row>
    <row r="352" spans="3:40" x14ac:dyDescent="0.25">
      <c r="C352" s="585"/>
      <c r="D352" s="673">
        <v>1</v>
      </c>
      <c r="E352" s="673">
        <v>2</v>
      </c>
      <c r="F352" s="673">
        <v>3</v>
      </c>
      <c r="G352" s="673">
        <v>4</v>
      </c>
      <c r="H352" s="673">
        <v>5</v>
      </c>
      <c r="I352" s="673">
        <v>6</v>
      </c>
      <c r="J352" s="673">
        <v>7</v>
      </c>
      <c r="K352" s="673">
        <v>8</v>
      </c>
      <c r="L352" s="673">
        <v>9</v>
      </c>
      <c r="M352" s="673">
        <v>10</v>
      </c>
      <c r="N352" s="673">
        <v>11</v>
      </c>
      <c r="O352" s="673">
        <v>12</v>
      </c>
      <c r="P352" s="673">
        <v>13</v>
      </c>
      <c r="Q352" s="673">
        <v>14</v>
      </c>
      <c r="R352" s="673">
        <v>15</v>
      </c>
      <c r="S352" s="673">
        <v>16</v>
      </c>
      <c r="T352" s="673">
        <v>17</v>
      </c>
      <c r="U352" s="673">
        <v>18</v>
      </c>
      <c r="V352" s="673">
        <v>19</v>
      </c>
      <c r="W352" s="673">
        <v>20</v>
      </c>
      <c r="X352" s="673">
        <v>21</v>
      </c>
      <c r="Y352" s="673">
        <v>22</v>
      </c>
    </row>
    <row r="353" spans="3:25" x14ac:dyDescent="0.25">
      <c r="C353" s="585"/>
      <c r="D353" s="588" t="s">
        <v>331</v>
      </c>
    </row>
    <row r="354" spans="3:25" x14ac:dyDescent="0.25">
      <c r="C354" s="585"/>
      <c r="D354" s="672">
        <v>2022</v>
      </c>
      <c r="E354" s="588" t="s">
        <v>1286</v>
      </c>
    </row>
    <row r="355" spans="3:25" x14ac:dyDescent="0.25">
      <c r="C355" s="585"/>
      <c r="D355" s="587"/>
    </row>
    <row r="356" spans="3:25" ht="15.5" x14ac:dyDescent="0.25">
      <c r="C356" s="585"/>
      <c r="D356" s="607" t="s">
        <v>1146</v>
      </c>
      <c r="E356" s="605"/>
      <c r="F356" s="605"/>
      <c r="G356" s="605"/>
      <c r="H356" s="606"/>
    </row>
    <row r="357" spans="3:25" x14ac:dyDescent="0.25">
      <c r="C357" s="585"/>
    </row>
    <row r="358" spans="3:25" ht="23" x14ac:dyDescent="0.25">
      <c r="C358" s="585"/>
      <c r="D358" s="593" t="s">
        <v>405</v>
      </c>
      <c r="F358" s="608" t="s">
        <v>409</v>
      </c>
      <c r="G358" s="784" t="s">
        <v>406</v>
      </c>
      <c r="H358" s="785"/>
      <c r="I358" s="785"/>
      <c r="J358" s="786"/>
      <c r="K358" s="784" t="s">
        <v>407</v>
      </c>
      <c r="L358" s="786"/>
      <c r="M358" s="609" t="s">
        <v>1270</v>
      </c>
      <c r="N358" s="784" t="s">
        <v>1271</v>
      </c>
      <c r="O358" s="785"/>
      <c r="P358" s="785"/>
      <c r="Q358" s="785"/>
      <c r="R358" s="785"/>
      <c r="S358" s="785"/>
      <c r="T358" s="786"/>
      <c r="U358" s="608" t="s">
        <v>408</v>
      </c>
      <c r="V358" s="608"/>
    </row>
    <row r="359" spans="3:25" ht="57.5" x14ac:dyDescent="0.25">
      <c r="C359" s="585"/>
      <c r="D359" s="597" t="s">
        <v>252</v>
      </c>
      <c r="E359" s="598" t="s">
        <v>334</v>
      </c>
      <c r="F359" s="598" t="s">
        <v>409</v>
      </c>
      <c r="G359" s="598" t="s">
        <v>410</v>
      </c>
      <c r="H359" s="598" t="s">
        <v>411</v>
      </c>
      <c r="I359" s="598" t="s">
        <v>412</v>
      </c>
      <c r="J359" s="599" t="s">
        <v>1272</v>
      </c>
      <c r="K359" s="598" t="s">
        <v>407</v>
      </c>
      <c r="L359" s="599" t="s">
        <v>1273</v>
      </c>
      <c r="M359" s="598" t="s">
        <v>416</v>
      </c>
      <c r="N359" s="598" t="s">
        <v>419</v>
      </c>
      <c r="O359" s="598" t="s">
        <v>908</v>
      </c>
      <c r="P359" s="598" t="s">
        <v>1274</v>
      </c>
      <c r="Q359" s="598" t="s">
        <v>1275</v>
      </c>
      <c r="R359" s="598" t="s">
        <v>978</v>
      </c>
      <c r="S359" s="598" t="s">
        <v>1276</v>
      </c>
      <c r="T359" s="598" t="s">
        <v>1277</v>
      </c>
      <c r="U359" s="598" t="s">
        <v>1278</v>
      </c>
      <c r="V359" s="598" t="s">
        <v>1279</v>
      </c>
      <c r="W359" s="626" t="s">
        <v>1298</v>
      </c>
      <c r="X359" s="626" t="s">
        <v>1299</v>
      </c>
      <c r="Y359" s="626" t="s">
        <v>1300</v>
      </c>
    </row>
    <row r="360" spans="3:25" ht="14.5" x14ac:dyDescent="0.35">
      <c r="C360" s="600" t="str">
        <f>D360&amp;E360</f>
        <v>Infinitum 50300.86</v>
      </c>
      <c r="D360" s="621" t="s">
        <v>1054</v>
      </c>
      <c r="E360" s="617">
        <v>300.86</v>
      </c>
      <c r="F360" s="733">
        <v>0</v>
      </c>
      <c r="G360" s="733">
        <v>0</v>
      </c>
      <c r="H360" s="733">
        <v>0</v>
      </c>
      <c r="I360" s="733">
        <v>0</v>
      </c>
      <c r="J360" s="733">
        <v>0</v>
      </c>
      <c r="K360" s="733">
        <v>378</v>
      </c>
      <c r="L360" s="706">
        <v>0</v>
      </c>
      <c r="M360" s="706">
        <v>0</v>
      </c>
      <c r="N360" s="706">
        <v>0</v>
      </c>
      <c r="O360" s="706">
        <v>0</v>
      </c>
      <c r="P360" s="706">
        <v>0</v>
      </c>
      <c r="Q360" s="461"/>
      <c r="R360" s="461"/>
      <c r="S360" s="461"/>
      <c r="T360" s="461"/>
      <c r="U360" s="461"/>
      <c r="V360" s="461"/>
      <c r="W360" s="213">
        <f>F360</f>
        <v>0</v>
      </c>
      <c r="X360" s="213">
        <f>SUM(G360:J360)</f>
        <v>0</v>
      </c>
      <c r="Y360" s="213">
        <f>K360</f>
        <v>378</v>
      </c>
    </row>
    <row r="361" spans="3:25" ht="14.5" x14ac:dyDescent="0.35">
      <c r="C361" s="600" t="str">
        <f t="shared" ref="C361:C424" si="12">D361&amp;E361</f>
        <v>Infinitum 500775</v>
      </c>
      <c r="D361" s="621" t="s">
        <v>1055</v>
      </c>
      <c r="E361" s="617">
        <v>775</v>
      </c>
      <c r="F361" s="733">
        <v>0</v>
      </c>
      <c r="G361" s="733">
        <v>0</v>
      </c>
      <c r="H361" s="733">
        <v>0</v>
      </c>
      <c r="I361" s="733">
        <v>0</v>
      </c>
      <c r="J361" s="733">
        <v>0</v>
      </c>
      <c r="K361" s="733">
        <v>757</v>
      </c>
      <c r="L361" s="706">
        <v>0</v>
      </c>
      <c r="M361" s="706">
        <v>0</v>
      </c>
      <c r="N361" s="706">
        <v>0</v>
      </c>
      <c r="O361" s="706">
        <v>0</v>
      </c>
      <c r="P361" s="706">
        <v>0</v>
      </c>
      <c r="Q361" s="461"/>
      <c r="R361" s="461"/>
      <c r="S361" s="461"/>
      <c r="T361" s="461"/>
      <c r="U361" s="461"/>
      <c r="V361" s="461"/>
      <c r="W361" s="213">
        <f t="shared" ref="W361:W424" si="13">F361</f>
        <v>0</v>
      </c>
      <c r="X361" s="213">
        <f t="shared" ref="X361:X424" si="14">SUM(G361:J361)</f>
        <v>0</v>
      </c>
      <c r="Y361" s="213">
        <f t="shared" ref="Y361:Y424" si="15">K361</f>
        <v>757</v>
      </c>
    </row>
    <row r="362" spans="3:25" ht="14.5" x14ac:dyDescent="0.35">
      <c r="C362" s="600" t="str">
        <f t="shared" si="12"/>
        <v>Infinitum 60343.97</v>
      </c>
      <c r="D362" s="621" t="s">
        <v>1056</v>
      </c>
      <c r="E362" s="617">
        <v>343.97</v>
      </c>
      <c r="F362" s="733">
        <v>0</v>
      </c>
      <c r="G362" s="733">
        <v>0</v>
      </c>
      <c r="H362" s="733">
        <v>0</v>
      </c>
      <c r="I362" s="733">
        <v>0</v>
      </c>
      <c r="J362" s="733">
        <v>0</v>
      </c>
      <c r="K362" s="733">
        <v>397</v>
      </c>
      <c r="L362" s="706">
        <v>0</v>
      </c>
      <c r="M362" s="706">
        <v>0</v>
      </c>
      <c r="N362" s="706">
        <v>0</v>
      </c>
      <c r="O362" s="706">
        <v>0</v>
      </c>
      <c r="P362" s="706">
        <v>0</v>
      </c>
      <c r="Q362" s="461"/>
      <c r="R362" s="461"/>
      <c r="S362" s="461"/>
      <c r="T362" s="461"/>
      <c r="U362" s="461"/>
      <c r="V362" s="461"/>
      <c r="W362" s="213">
        <f t="shared" si="13"/>
        <v>0</v>
      </c>
      <c r="X362" s="213">
        <f t="shared" si="14"/>
        <v>0</v>
      </c>
      <c r="Y362" s="213">
        <f t="shared" si="15"/>
        <v>397</v>
      </c>
    </row>
    <row r="363" spans="3:25" ht="14.5" x14ac:dyDescent="0.35">
      <c r="C363" s="600" t="str">
        <f t="shared" si="12"/>
        <v>Infinitum 100387.07</v>
      </c>
      <c r="D363" s="621" t="s">
        <v>1057</v>
      </c>
      <c r="E363" s="617">
        <v>387.07</v>
      </c>
      <c r="F363" s="733">
        <v>0</v>
      </c>
      <c r="G363" s="733">
        <v>0</v>
      </c>
      <c r="H363" s="733">
        <v>0</v>
      </c>
      <c r="I363" s="733">
        <v>0</v>
      </c>
      <c r="J363" s="733">
        <v>0</v>
      </c>
      <c r="K363" s="735">
        <v>318</v>
      </c>
      <c r="L363" s="706">
        <v>0</v>
      </c>
      <c r="M363" s="706">
        <v>0</v>
      </c>
      <c r="N363" s="706">
        <v>0</v>
      </c>
      <c r="O363" s="706">
        <v>0</v>
      </c>
      <c r="P363" s="706">
        <v>0</v>
      </c>
      <c r="Q363" s="461"/>
      <c r="R363" s="461"/>
      <c r="S363" s="461"/>
      <c r="T363" s="461"/>
      <c r="U363" s="461"/>
      <c r="V363" s="461"/>
      <c r="W363" s="213">
        <f t="shared" si="13"/>
        <v>0</v>
      </c>
      <c r="X363" s="213">
        <f t="shared" si="14"/>
        <v>0</v>
      </c>
      <c r="Y363" s="213">
        <f t="shared" si="15"/>
        <v>318</v>
      </c>
    </row>
    <row r="364" spans="3:25" ht="14.5" x14ac:dyDescent="0.35">
      <c r="C364" s="600" t="str">
        <f t="shared" si="12"/>
        <v>Infinitum 200473.28</v>
      </c>
      <c r="D364" s="621" t="s">
        <v>1058</v>
      </c>
      <c r="E364" s="617">
        <v>473.28</v>
      </c>
      <c r="F364" s="733">
        <v>0</v>
      </c>
      <c r="G364" s="733">
        <v>0</v>
      </c>
      <c r="H364" s="733">
        <v>0</v>
      </c>
      <c r="I364" s="733">
        <v>0</v>
      </c>
      <c r="J364" s="733">
        <v>0</v>
      </c>
      <c r="K364" s="733">
        <v>460</v>
      </c>
      <c r="L364" s="706">
        <v>0</v>
      </c>
      <c r="M364" s="706">
        <v>0</v>
      </c>
      <c r="N364" s="706">
        <v>0</v>
      </c>
      <c r="O364" s="706">
        <v>0</v>
      </c>
      <c r="P364" s="706">
        <v>0</v>
      </c>
      <c r="Q364" s="461"/>
      <c r="R364" s="461"/>
      <c r="S364" s="461"/>
      <c r="T364" s="461"/>
      <c r="U364" s="461"/>
      <c r="V364" s="461"/>
      <c r="W364" s="213">
        <f t="shared" si="13"/>
        <v>0</v>
      </c>
      <c r="X364" s="213">
        <f t="shared" si="14"/>
        <v>0</v>
      </c>
      <c r="Y364" s="213">
        <f t="shared" si="15"/>
        <v>460</v>
      </c>
    </row>
    <row r="365" spans="3:25" ht="14.5" x14ac:dyDescent="0.35">
      <c r="C365" s="600" t="str">
        <f t="shared" si="12"/>
        <v>Infinitum 279240.52</v>
      </c>
      <c r="D365" s="621" t="s">
        <v>948</v>
      </c>
      <c r="E365" s="617">
        <v>240.52</v>
      </c>
      <c r="F365" s="733">
        <v>0</v>
      </c>
      <c r="G365" s="733">
        <v>0</v>
      </c>
      <c r="H365" s="733">
        <v>0</v>
      </c>
      <c r="I365" s="733">
        <v>0</v>
      </c>
      <c r="J365" s="733">
        <v>0</v>
      </c>
      <c r="K365" s="733">
        <v>177</v>
      </c>
      <c r="L365" s="706">
        <v>0</v>
      </c>
      <c r="M365" s="706">
        <v>0</v>
      </c>
      <c r="N365" s="706">
        <v>0</v>
      </c>
      <c r="O365" s="706">
        <v>0</v>
      </c>
      <c r="P365" s="706">
        <v>0</v>
      </c>
      <c r="Q365" s="461"/>
      <c r="R365" s="461"/>
      <c r="S365" s="461"/>
      <c r="T365" s="461"/>
      <c r="U365" s="461"/>
      <c r="V365" s="461"/>
      <c r="W365" s="213">
        <f t="shared" si="13"/>
        <v>0</v>
      </c>
      <c r="X365" s="213">
        <f t="shared" si="14"/>
        <v>0</v>
      </c>
      <c r="Y365" s="213">
        <f t="shared" si="15"/>
        <v>177</v>
      </c>
    </row>
    <row r="366" spans="3:25" ht="14.5" x14ac:dyDescent="0.35">
      <c r="C366" s="600" t="str">
        <f t="shared" si="12"/>
        <v>Infinitum 299257.76</v>
      </c>
      <c r="D366" s="621" t="s">
        <v>949</v>
      </c>
      <c r="E366" s="617">
        <v>257.76</v>
      </c>
      <c r="F366" s="733">
        <v>0</v>
      </c>
      <c r="G366" s="733">
        <v>0</v>
      </c>
      <c r="H366" s="733">
        <v>0</v>
      </c>
      <c r="I366" s="733">
        <v>0</v>
      </c>
      <c r="J366" s="733">
        <v>0</v>
      </c>
      <c r="K366" s="733">
        <v>243</v>
      </c>
      <c r="L366" s="706">
        <v>0</v>
      </c>
      <c r="M366" s="706">
        <v>0</v>
      </c>
      <c r="N366" s="706">
        <v>0</v>
      </c>
      <c r="O366" s="706">
        <v>0</v>
      </c>
      <c r="P366" s="706">
        <v>0</v>
      </c>
      <c r="Q366" s="461"/>
      <c r="R366" s="461"/>
      <c r="S366" s="461"/>
      <c r="T366" s="461"/>
      <c r="U366" s="461"/>
      <c r="V366" s="461"/>
      <c r="W366" s="213">
        <f t="shared" si="13"/>
        <v>0</v>
      </c>
      <c r="X366" s="213">
        <f t="shared" si="14"/>
        <v>0</v>
      </c>
      <c r="Y366" s="213">
        <f t="shared" si="15"/>
        <v>243</v>
      </c>
    </row>
    <row r="367" spans="3:25" ht="14.5" x14ac:dyDescent="0.35">
      <c r="C367" s="600" t="str">
        <f t="shared" si="12"/>
        <v>Infinitum 299257.76</v>
      </c>
      <c r="D367" s="621" t="s">
        <v>949</v>
      </c>
      <c r="E367" s="617">
        <v>257.76</v>
      </c>
      <c r="F367" s="733">
        <v>0</v>
      </c>
      <c r="G367" s="733">
        <v>0</v>
      </c>
      <c r="H367" s="733">
        <v>0</v>
      </c>
      <c r="I367" s="733">
        <v>0</v>
      </c>
      <c r="J367" s="733">
        <v>0</v>
      </c>
      <c r="K367" s="733">
        <v>298</v>
      </c>
      <c r="L367" s="706">
        <v>0</v>
      </c>
      <c r="M367" s="706">
        <v>0</v>
      </c>
      <c r="N367" s="706">
        <v>0</v>
      </c>
      <c r="O367" s="706">
        <v>0</v>
      </c>
      <c r="P367" s="706">
        <v>0</v>
      </c>
      <c r="Q367" s="461"/>
      <c r="R367" s="461"/>
      <c r="S367" s="461"/>
      <c r="T367" s="461"/>
      <c r="U367" s="461"/>
      <c r="V367" s="461"/>
      <c r="W367" s="213">
        <f t="shared" si="13"/>
        <v>0</v>
      </c>
      <c r="X367" s="213">
        <f t="shared" si="14"/>
        <v>0</v>
      </c>
      <c r="Y367" s="213">
        <f t="shared" si="15"/>
        <v>298</v>
      </c>
    </row>
    <row r="368" spans="3:25" ht="14.5" x14ac:dyDescent="0.35">
      <c r="C368" s="600" t="str">
        <f t="shared" si="12"/>
        <v>Infinitum Negocio 20 Mb300.86</v>
      </c>
      <c r="D368" s="621" t="s">
        <v>200</v>
      </c>
      <c r="E368" s="617">
        <v>300.86</v>
      </c>
      <c r="F368" s="733">
        <v>0</v>
      </c>
      <c r="G368" s="733">
        <v>0</v>
      </c>
      <c r="H368" s="733">
        <v>0</v>
      </c>
      <c r="I368" s="733">
        <v>0</v>
      </c>
      <c r="J368" s="733">
        <v>0</v>
      </c>
      <c r="K368" s="733">
        <v>310</v>
      </c>
      <c r="L368" s="706">
        <v>0</v>
      </c>
      <c r="M368" s="706">
        <v>0</v>
      </c>
      <c r="N368" s="706">
        <v>0</v>
      </c>
      <c r="O368" s="706">
        <v>0</v>
      </c>
      <c r="P368" s="706">
        <v>0</v>
      </c>
      <c r="Q368" s="461"/>
      <c r="R368" s="461"/>
      <c r="S368" s="461"/>
      <c r="T368" s="461"/>
      <c r="U368" s="461"/>
      <c r="V368" s="461"/>
      <c r="W368" s="213">
        <f t="shared" si="13"/>
        <v>0</v>
      </c>
      <c r="X368" s="213">
        <f t="shared" si="14"/>
        <v>0</v>
      </c>
      <c r="Y368" s="213">
        <f t="shared" si="15"/>
        <v>310</v>
      </c>
    </row>
    <row r="369" spans="3:62" ht="14.5" hidden="1" outlineLevel="1" x14ac:dyDescent="0.35">
      <c r="C369" s="600" t="str">
        <f t="shared" si="12"/>
        <v>Infinitum Negocio 60343.97</v>
      </c>
      <c r="D369" s="621" t="s">
        <v>1059</v>
      </c>
      <c r="E369" s="617">
        <v>343.97</v>
      </c>
      <c r="F369" s="733">
        <v>0</v>
      </c>
      <c r="G369" s="733">
        <v>0</v>
      </c>
      <c r="H369" s="733">
        <v>0</v>
      </c>
      <c r="I369" s="733">
        <v>0</v>
      </c>
      <c r="J369" s="733">
        <v>0</v>
      </c>
      <c r="K369" s="733">
        <v>302</v>
      </c>
      <c r="L369" s="706">
        <v>0</v>
      </c>
      <c r="M369" s="706">
        <v>0</v>
      </c>
      <c r="N369" s="706">
        <v>0</v>
      </c>
      <c r="O369" s="706">
        <v>0</v>
      </c>
      <c r="P369" s="706">
        <v>0</v>
      </c>
      <c r="Q369" s="461"/>
      <c r="R369" s="461"/>
      <c r="S369" s="461"/>
      <c r="T369" s="461"/>
      <c r="U369" s="461"/>
      <c r="V369" s="461"/>
      <c r="W369" s="213">
        <f t="shared" si="13"/>
        <v>0</v>
      </c>
      <c r="X369" s="213">
        <f t="shared" si="14"/>
        <v>0</v>
      </c>
      <c r="Y369" s="213">
        <f t="shared" si="15"/>
        <v>302</v>
      </c>
    </row>
    <row r="370" spans="3:62" ht="14.5" hidden="1" outlineLevel="1" x14ac:dyDescent="0.35">
      <c r="C370" s="600" t="str">
        <f t="shared" si="12"/>
        <v>Infinitum  Negocio100387.07</v>
      </c>
      <c r="D370" s="621" t="s">
        <v>1287</v>
      </c>
      <c r="E370" s="622">
        <v>387.07</v>
      </c>
      <c r="F370" s="733">
        <v>0</v>
      </c>
      <c r="G370" s="733">
        <v>0</v>
      </c>
      <c r="H370" s="733">
        <v>0</v>
      </c>
      <c r="I370" s="733">
        <v>0</v>
      </c>
      <c r="J370" s="733">
        <v>0</v>
      </c>
      <c r="K370" s="733">
        <v>319</v>
      </c>
      <c r="L370" s="706">
        <v>0</v>
      </c>
      <c r="M370" s="706">
        <v>0</v>
      </c>
      <c r="N370" s="706">
        <v>0</v>
      </c>
      <c r="O370" s="706">
        <v>0</v>
      </c>
      <c r="P370" s="706">
        <v>0</v>
      </c>
      <c r="Q370" s="461"/>
      <c r="R370" s="461"/>
      <c r="S370" s="461"/>
      <c r="T370" s="461"/>
      <c r="U370" s="461"/>
      <c r="V370" s="461"/>
      <c r="W370" s="213">
        <f t="shared" si="13"/>
        <v>0</v>
      </c>
      <c r="X370" s="213">
        <f t="shared" si="14"/>
        <v>0</v>
      </c>
      <c r="Y370" s="213">
        <f t="shared" si="15"/>
        <v>319</v>
      </c>
    </row>
    <row r="371" spans="3:62" ht="14.5" hidden="1" outlineLevel="1" x14ac:dyDescent="0.35">
      <c r="C371" s="600" t="str">
        <f t="shared" si="12"/>
        <v>Infinitum Negocio 200473.28</v>
      </c>
      <c r="D371" s="621" t="s">
        <v>1060</v>
      </c>
      <c r="E371" s="622">
        <v>473.28</v>
      </c>
      <c r="F371" s="733">
        <v>0</v>
      </c>
      <c r="G371" s="733">
        <v>0</v>
      </c>
      <c r="H371" s="733">
        <v>0</v>
      </c>
      <c r="I371" s="733">
        <v>0</v>
      </c>
      <c r="J371" s="733">
        <v>0</v>
      </c>
      <c r="K371" s="733">
        <v>559</v>
      </c>
      <c r="L371" s="706">
        <v>0</v>
      </c>
      <c r="M371" s="706">
        <v>0</v>
      </c>
      <c r="N371" s="706">
        <v>0</v>
      </c>
      <c r="O371" s="706">
        <v>0</v>
      </c>
      <c r="P371" s="706">
        <v>0</v>
      </c>
      <c r="Q371" s="461"/>
      <c r="R371" s="461"/>
      <c r="S371" s="461"/>
      <c r="T371" s="461"/>
      <c r="U371" s="461"/>
      <c r="V371" s="461"/>
      <c r="W371" s="213">
        <f t="shared" si="13"/>
        <v>0</v>
      </c>
      <c r="X371" s="213">
        <f t="shared" si="14"/>
        <v>0</v>
      </c>
      <c r="Y371" s="213">
        <f t="shared" si="15"/>
        <v>559</v>
      </c>
    </row>
    <row r="372" spans="3:62" s="624" customFormat="1" ht="14.5" hidden="1" outlineLevel="1" x14ac:dyDescent="0.35">
      <c r="C372" s="600" t="str">
        <f t="shared" si="12"/>
        <v>Infinitum Negocio 500775</v>
      </c>
      <c r="D372" s="623" t="s">
        <v>1061</v>
      </c>
      <c r="E372" s="611">
        <v>775</v>
      </c>
      <c r="F372" s="733">
        <v>0</v>
      </c>
      <c r="G372" s="733">
        <v>0</v>
      </c>
      <c r="H372" s="733">
        <v>0</v>
      </c>
      <c r="I372" s="733">
        <v>0</v>
      </c>
      <c r="J372" s="733">
        <v>0</v>
      </c>
      <c r="K372" s="733">
        <v>738</v>
      </c>
      <c r="L372" s="706">
        <v>0</v>
      </c>
      <c r="M372" s="706">
        <v>0</v>
      </c>
      <c r="N372" s="706">
        <v>0</v>
      </c>
      <c r="O372" s="706">
        <v>0</v>
      </c>
      <c r="P372" s="706">
        <v>0</v>
      </c>
      <c r="Q372" s="613"/>
      <c r="R372" s="613"/>
      <c r="S372" s="613"/>
      <c r="T372" s="613"/>
      <c r="U372" s="613"/>
      <c r="V372" s="613"/>
      <c r="W372" s="213">
        <f t="shared" si="13"/>
        <v>0</v>
      </c>
      <c r="X372" s="213">
        <f t="shared" si="14"/>
        <v>0</v>
      </c>
      <c r="Y372" s="213">
        <f t="shared" si="15"/>
        <v>738</v>
      </c>
      <c r="AB372" s="209"/>
      <c r="AC372" s="209"/>
      <c r="AD372" s="209"/>
      <c r="AE372" s="209"/>
      <c r="AF372" s="209"/>
      <c r="AG372" s="209"/>
      <c r="AH372" s="209"/>
      <c r="AI372" s="209"/>
      <c r="AJ372" s="209"/>
      <c r="AK372" s="209"/>
      <c r="AL372" s="209"/>
      <c r="AM372" s="209"/>
      <c r="AN372" s="209"/>
      <c r="AO372" s="209"/>
      <c r="AP372" s="209"/>
      <c r="AQ372" s="209"/>
      <c r="AR372" s="209"/>
      <c r="AS372" s="209"/>
      <c r="AT372" s="209"/>
      <c r="AU372" s="209"/>
      <c r="AV372" s="209"/>
      <c r="AW372" s="209"/>
      <c r="AX372" s="209"/>
      <c r="AY372" s="209"/>
      <c r="AZ372" s="209"/>
      <c r="BA372" s="209"/>
      <c r="BB372" s="209"/>
      <c r="BC372" s="209"/>
      <c r="BD372" s="209"/>
      <c r="BE372" s="209"/>
      <c r="BF372" s="209"/>
      <c r="BG372" s="209"/>
      <c r="BH372" s="209"/>
      <c r="BI372" s="209"/>
      <c r="BJ372" s="209"/>
    </row>
    <row r="373" spans="3:62" s="624" customFormat="1" ht="14.5" hidden="1" outlineLevel="1" x14ac:dyDescent="0.35">
      <c r="C373" s="600" t="str">
        <f t="shared" si="12"/>
        <v>Paquete 249210.24</v>
      </c>
      <c r="D373" s="623" t="s">
        <v>852</v>
      </c>
      <c r="E373" s="611">
        <v>210.24</v>
      </c>
      <c r="F373" s="733">
        <v>126</v>
      </c>
      <c r="G373" s="733">
        <v>0</v>
      </c>
      <c r="H373" s="733">
        <v>0</v>
      </c>
      <c r="I373" s="733">
        <v>0</v>
      </c>
      <c r="J373" s="733">
        <v>0</v>
      </c>
      <c r="K373" s="733">
        <v>46</v>
      </c>
      <c r="L373" s="706">
        <v>0</v>
      </c>
      <c r="M373" s="706">
        <v>0</v>
      </c>
      <c r="N373" s="706">
        <v>0</v>
      </c>
      <c r="O373" s="706">
        <v>0</v>
      </c>
      <c r="P373" s="706">
        <v>0</v>
      </c>
      <c r="Q373" s="613"/>
      <c r="R373" s="613"/>
      <c r="S373" s="613"/>
      <c r="T373" s="613"/>
      <c r="U373" s="613"/>
      <c r="V373" s="613"/>
      <c r="W373" s="213">
        <f t="shared" si="13"/>
        <v>126</v>
      </c>
      <c r="X373" s="213">
        <f t="shared" si="14"/>
        <v>0</v>
      </c>
      <c r="Y373" s="213">
        <f t="shared" si="15"/>
        <v>46</v>
      </c>
      <c r="AB373" s="209"/>
      <c r="AC373" s="209"/>
      <c r="AD373" s="209"/>
      <c r="AE373" s="209"/>
      <c r="AF373" s="209"/>
      <c r="AG373" s="209"/>
      <c r="AH373" s="209"/>
      <c r="AI373" s="209"/>
      <c r="AJ373" s="209"/>
      <c r="AK373" s="209"/>
      <c r="AL373" s="209"/>
      <c r="AM373" s="209"/>
      <c r="AN373" s="209"/>
      <c r="AO373" s="209"/>
      <c r="AP373" s="209"/>
      <c r="AQ373" s="209"/>
      <c r="AR373" s="209"/>
      <c r="AS373" s="209"/>
      <c r="AT373" s="209"/>
      <c r="AU373" s="209"/>
      <c r="AV373" s="209"/>
      <c r="AW373" s="209"/>
      <c r="AX373" s="209"/>
      <c r="AY373" s="209"/>
      <c r="AZ373" s="209"/>
      <c r="BA373" s="209"/>
      <c r="BB373" s="209"/>
      <c r="BC373" s="209"/>
      <c r="BD373" s="209"/>
      <c r="BE373" s="209"/>
      <c r="BF373" s="209"/>
      <c r="BG373" s="209"/>
      <c r="BH373" s="209"/>
      <c r="BI373" s="209"/>
      <c r="BJ373" s="209"/>
    </row>
    <row r="374" spans="3:62" s="624" customFormat="1" ht="14.5" hidden="1" outlineLevel="1" x14ac:dyDescent="0.35">
      <c r="C374" s="600" t="str">
        <f t="shared" si="12"/>
        <v>Paquete 289244.01</v>
      </c>
      <c r="D374" s="623" t="s">
        <v>204</v>
      </c>
      <c r="E374" s="611">
        <v>244.01</v>
      </c>
      <c r="F374" s="733">
        <v>198</v>
      </c>
      <c r="G374" s="733">
        <v>4</v>
      </c>
      <c r="H374" s="733">
        <v>0</v>
      </c>
      <c r="I374" s="733">
        <v>0</v>
      </c>
      <c r="J374" s="733">
        <v>0</v>
      </c>
      <c r="K374" s="733">
        <v>81</v>
      </c>
      <c r="L374" s="706">
        <v>0</v>
      </c>
      <c r="M374" s="706">
        <v>0</v>
      </c>
      <c r="N374" s="706">
        <v>0</v>
      </c>
      <c r="O374" s="706">
        <v>0</v>
      </c>
      <c r="P374" s="706">
        <v>0</v>
      </c>
      <c r="Q374" s="613"/>
      <c r="R374" s="613"/>
      <c r="S374" s="613"/>
      <c r="T374" s="613"/>
      <c r="U374" s="613"/>
      <c r="V374" s="613"/>
      <c r="W374" s="213">
        <f t="shared" si="13"/>
        <v>198</v>
      </c>
      <c r="X374" s="213">
        <f t="shared" si="14"/>
        <v>4</v>
      </c>
      <c r="Y374" s="213">
        <f t="shared" si="15"/>
        <v>81</v>
      </c>
      <c r="AB374" s="209"/>
      <c r="AC374" s="209"/>
      <c r="AD374" s="209"/>
      <c r="AE374" s="209"/>
      <c r="AF374" s="209"/>
      <c r="AG374" s="209"/>
      <c r="AH374" s="209"/>
      <c r="AI374" s="209"/>
      <c r="AJ374" s="209"/>
      <c r="AK374" s="209"/>
      <c r="AL374" s="209"/>
      <c r="AM374" s="209"/>
      <c r="AN374" s="209"/>
      <c r="AO374" s="209"/>
      <c r="AP374" s="209"/>
      <c r="AQ374" s="209"/>
      <c r="AR374" s="209"/>
      <c r="AS374" s="209"/>
      <c r="AT374" s="209"/>
      <c r="AU374" s="209"/>
      <c r="AV374" s="209"/>
      <c r="AW374" s="209"/>
      <c r="AX374" s="209"/>
      <c r="AY374" s="209"/>
      <c r="AZ374" s="209"/>
      <c r="BA374" s="209"/>
      <c r="BB374" s="209"/>
      <c r="BC374" s="209"/>
      <c r="BD374" s="209"/>
      <c r="BE374" s="209"/>
      <c r="BF374" s="209"/>
      <c r="BG374" s="209"/>
      <c r="BH374" s="209"/>
      <c r="BI374" s="209"/>
      <c r="BJ374" s="209"/>
    </row>
    <row r="375" spans="3:62" s="624" customFormat="1" ht="14.5" hidden="1" outlineLevel="1" x14ac:dyDescent="0.35">
      <c r="C375" s="600" t="str">
        <f t="shared" si="12"/>
        <v>Paquete 435367.29</v>
      </c>
      <c r="D375" s="623" t="s">
        <v>797</v>
      </c>
      <c r="E375" s="611">
        <v>367.29</v>
      </c>
      <c r="F375" s="733">
        <v>122</v>
      </c>
      <c r="G375" s="733">
        <v>15</v>
      </c>
      <c r="H375" s="733">
        <v>3</v>
      </c>
      <c r="I375" s="733">
        <v>1</v>
      </c>
      <c r="J375" s="733">
        <v>17</v>
      </c>
      <c r="K375" s="733">
        <v>199</v>
      </c>
      <c r="L375" s="706">
        <v>0</v>
      </c>
      <c r="M375" s="706">
        <v>0</v>
      </c>
      <c r="N375" s="706">
        <v>0</v>
      </c>
      <c r="O375" s="706">
        <v>0</v>
      </c>
      <c r="P375" s="706">
        <v>0</v>
      </c>
      <c r="Q375" s="613"/>
      <c r="R375" s="613"/>
      <c r="S375" s="613"/>
      <c r="T375" s="613"/>
      <c r="U375" s="613"/>
      <c r="V375" s="613"/>
      <c r="W375" s="213">
        <f t="shared" si="13"/>
        <v>122</v>
      </c>
      <c r="X375" s="213">
        <f t="shared" si="14"/>
        <v>36</v>
      </c>
      <c r="Y375" s="213">
        <f t="shared" si="15"/>
        <v>199</v>
      </c>
      <c r="AB375" s="209"/>
      <c r="AC375" s="209"/>
      <c r="AD375" s="209"/>
      <c r="AE375" s="209"/>
      <c r="AF375" s="209"/>
      <c r="AG375" s="209"/>
      <c r="AH375" s="209"/>
      <c r="AI375" s="209"/>
      <c r="AJ375" s="209"/>
      <c r="AK375" s="209"/>
      <c r="AL375" s="209"/>
      <c r="AM375" s="209"/>
      <c r="AN375" s="209"/>
      <c r="AO375" s="209"/>
      <c r="AP375" s="209"/>
      <c r="AQ375" s="209"/>
      <c r="AR375" s="209"/>
      <c r="AS375" s="209"/>
      <c r="AT375" s="209"/>
      <c r="AU375" s="209"/>
      <c r="AV375" s="209"/>
      <c r="AW375" s="209"/>
      <c r="AX375" s="209"/>
      <c r="AY375" s="209"/>
      <c r="AZ375" s="209"/>
      <c r="BA375" s="209"/>
      <c r="BB375" s="209"/>
      <c r="BC375" s="209"/>
      <c r="BD375" s="209"/>
      <c r="BE375" s="209"/>
      <c r="BF375" s="209"/>
      <c r="BG375" s="209"/>
      <c r="BH375" s="209"/>
      <c r="BI375" s="209"/>
      <c r="BJ375" s="209"/>
    </row>
    <row r="376" spans="3:62" s="624" customFormat="1" ht="14.5" hidden="1" outlineLevel="1" x14ac:dyDescent="0.35">
      <c r="C376" s="600" t="str">
        <f t="shared" si="12"/>
        <v>Paquete 499421.32</v>
      </c>
      <c r="D376" s="623" t="s">
        <v>798</v>
      </c>
      <c r="E376" s="611">
        <v>421.32</v>
      </c>
      <c r="F376" s="733">
        <v>192</v>
      </c>
      <c r="G376" s="733">
        <v>12</v>
      </c>
      <c r="H376" s="733">
        <v>3</v>
      </c>
      <c r="I376" s="733">
        <v>1</v>
      </c>
      <c r="J376" s="733">
        <v>19</v>
      </c>
      <c r="K376" s="733">
        <v>210</v>
      </c>
      <c r="L376" s="706">
        <v>0</v>
      </c>
      <c r="M376" s="706">
        <v>0</v>
      </c>
      <c r="N376" s="706">
        <v>0</v>
      </c>
      <c r="O376" s="706">
        <v>0</v>
      </c>
      <c r="P376" s="706">
        <v>0</v>
      </c>
      <c r="Q376" s="613"/>
      <c r="R376" s="613"/>
      <c r="S376" s="613"/>
      <c r="T376" s="613"/>
      <c r="U376" s="613"/>
      <c r="V376" s="613"/>
      <c r="W376" s="213">
        <f t="shared" si="13"/>
        <v>192</v>
      </c>
      <c r="X376" s="213">
        <f t="shared" si="14"/>
        <v>35</v>
      </c>
      <c r="Y376" s="213">
        <f t="shared" si="15"/>
        <v>210</v>
      </c>
      <c r="AB376" s="209"/>
      <c r="AC376" s="209"/>
      <c r="AD376" s="209"/>
      <c r="AE376" s="209"/>
      <c r="AF376" s="209"/>
      <c r="AG376" s="209"/>
      <c r="AH376" s="209"/>
      <c r="AI376" s="209"/>
      <c r="AJ376" s="209"/>
      <c r="AK376" s="209"/>
      <c r="AL376" s="209"/>
      <c r="AM376" s="209"/>
      <c r="AN376" s="209"/>
      <c r="AO376" s="209"/>
      <c r="AP376" s="209"/>
      <c r="AQ376" s="209"/>
      <c r="AR376" s="209"/>
      <c r="AS376" s="209"/>
      <c r="AT376" s="209"/>
      <c r="AU376" s="209"/>
      <c r="AV376" s="209"/>
      <c r="AW376" s="209"/>
      <c r="AX376" s="209"/>
      <c r="AY376" s="209"/>
      <c r="AZ376" s="209"/>
      <c r="BA376" s="209"/>
      <c r="BB376" s="209"/>
      <c r="BC376" s="209"/>
      <c r="BD376" s="209"/>
      <c r="BE376" s="209"/>
      <c r="BF376" s="209"/>
      <c r="BG376" s="209"/>
      <c r="BH376" s="209"/>
      <c r="BI376" s="209"/>
      <c r="BJ376" s="209"/>
    </row>
    <row r="377" spans="3:62" s="624" customFormat="1" ht="14.5" hidden="1" outlineLevel="1" x14ac:dyDescent="0.35">
      <c r="C377" s="600" t="str">
        <f t="shared" si="12"/>
        <v>Paquete 599505.76</v>
      </c>
      <c r="D377" s="623" t="s">
        <v>205</v>
      </c>
      <c r="E377" s="611">
        <v>505.76</v>
      </c>
      <c r="F377" s="733">
        <v>131</v>
      </c>
      <c r="G377" s="733">
        <v>14</v>
      </c>
      <c r="H377" s="733">
        <v>7</v>
      </c>
      <c r="I377" s="733">
        <v>3</v>
      </c>
      <c r="J377" s="733">
        <v>15</v>
      </c>
      <c r="K377" s="733">
        <v>280</v>
      </c>
      <c r="L377" s="706">
        <v>0</v>
      </c>
      <c r="M377" s="706">
        <v>0</v>
      </c>
      <c r="N377" s="706">
        <v>0</v>
      </c>
      <c r="O377" s="706">
        <v>0</v>
      </c>
      <c r="P377" s="706">
        <v>0</v>
      </c>
      <c r="Q377" s="613"/>
      <c r="R377" s="613"/>
      <c r="S377" s="613"/>
      <c r="T377" s="613"/>
      <c r="U377" s="613"/>
      <c r="V377" s="613"/>
      <c r="W377" s="213">
        <f t="shared" si="13"/>
        <v>131</v>
      </c>
      <c r="X377" s="213">
        <f t="shared" si="14"/>
        <v>39</v>
      </c>
      <c r="Y377" s="213">
        <f t="shared" si="15"/>
        <v>280</v>
      </c>
      <c r="AB377" s="209"/>
      <c r="AC377" s="209"/>
      <c r="AD377" s="209"/>
      <c r="AE377" s="209"/>
      <c r="AF377" s="209"/>
      <c r="AG377" s="209"/>
      <c r="AH377" s="209"/>
      <c r="AI377" s="209"/>
      <c r="AJ377" s="209"/>
      <c r="AK377" s="209"/>
      <c r="AL377" s="209"/>
      <c r="AM377" s="209"/>
      <c r="AN377" s="209"/>
      <c r="AO377" s="209"/>
      <c r="AP377" s="209"/>
      <c r="AQ377" s="209"/>
      <c r="AR377" s="209"/>
      <c r="AS377" s="209"/>
      <c r="AT377" s="209"/>
      <c r="AU377" s="209"/>
      <c r="AV377" s="209"/>
      <c r="AW377" s="209"/>
      <c r="AX377" s="209"/>
      <c r="AY377" s="209"/>
      <c r="AZ377" s="209"/>
      <c r="BA377" s="209"/>
      <c r="BB377" s="209"/>
      <c r="BC377" s="209"/>
      <c r="BD377" s="209"/>
      <c r="BE377" s="209"/>
      <c r="BF377" s="209"/>
      <c r="BG377" s="209"/>
      <c r="BH377" s="209"/>
      <c r="BI377" s="209"/>
      <c r="BJ377" s="209"/>
    </row>
    <row r="378" spans="3:62" s="624" customFormat="1" ht="14.5" hidden="1" outlineLevel="1" x14ac:dyDescent="0.35">
      <c r="C378" s="600" t="str">
        <f t="shared" si="12"/>
        <v>Paquete 389328.44</v>
      </c>
      <c r="D378" s="623" t="s">
        <v>708</v>
      </c>
      <c r="E378" s="611">
        <v>328.44</v>
      </c>
      <c r="F378" s="733">
        <v>183</v>
      </c>
      <c r="G378" s="733">
        <v>12</v>
      </c>
      <c r="H378" s="733">
        <v>4</v>
      </c>
      <c r="I378" s="733">
        <v>1</v>
      </c>
      <c r="J378" s="733">
        <v>12</v>
      </c>
      <c r="K378" s="733">
        <v>135</v>
      </c>
      <c r="L378" s="706">
        <v>0</v>
      </c>
      <c r="M378" s="706">
        <v>0</v>
      </c>
      <c r="N378" s="706">
        <v>0</v>
      </c>
      <c r="O378" s="706">
        <v>0</v>
      </c>
      <c r="P378" s="706">
        <v>0</v>
      </c>
      <c r="Q378" s="613"/>
      <c r="R378" s="613"/>
      <c r="S378" s="613"/>
      <c r="T378" s="613"/>
      <c r="U378" s="613"/>
      <c r="V378" s="613"/>
      <c r="W378" s="213">
        <f t="shared" si="13"/>
        <v>183</v>
      </c>
      <c r="X378" s="213">
        <f t="shared" si="14"/>
        <v>29</v>
      </c>
      <c r="Y378" s="213">
        <f t="shared" si="15"/>
        <v>135</v>
      </c>
      <c r="AB378" s="209"/>
      <c r="AC378" s="209"/>
      <c r="AD378" s="209"/>
      <c r="AE378" s="209"/>
      <c r="AF378" s="209"/>
      <c r="AG378" s="209"/>
      <c r="AH378" s="209"/>
      <c r="AI378" s="209"/>
      <c r="AJ378" s="209"/>
      <c r="AK378" s="209"/>
      <c r="AL378" s="209"/>
      <c r="AM378" s="209"/>
      <c r="AN378" s="209"/>
      <c r="AO378" s="209"/>
      <c r="AP378" s="209"/>
      <c r="AQ378" s="209"/>
      <c r="AR378" s="209"/>
      <c r="AS378" s="209"/>
      <c r="AT378" s="209"/>
      <c r="AU378" s="209"/>
      <c r="AV378" s="209"/>
      <c r="AW378" s="209"/>
      <c r="AX378" s="209"/>
      <c r="AY378" s="209"/>
      <c r="AZ378" s="209"/>
      <c r="BA378" s="209"/>
      <c r="BB378" s="209"/>
      <c r="BC378" s="209"/>
      <c r="BD378" s="209"/>
      <c r="BE378" s="209"/>
      <c r="BF378" s="209"/>
      <c r="BG378" s="209"/>
      <c r="BH378" s="209"/>
      <c r="BI378" s="209"/>
      <c r="BJ378" s="209"/>
    </row>
    <row r="379" spans="3:62" s="624" customFormat="1" ht="14.5" hidden="1" outlineLevel="1" x14ac:dyDescent="0.35">
      <c r="C379" s="600" t="str">
        <f t="shared" si="12"/>
        <v>Paquete Conectes Negocio336.9</v>
      </c>
      <c r="D379" s="623" t="s">
        <v>206</v>
      </c>
      <c r="E379" s="611">
        <v>336.9</v>
      </c>
      <c r="F379" s="733">
        <v>219</v>
      </c>
      <c r="G379" s="733">
        <v>18</v>
      </c>
      <c r="H379" s="733">
        <v>1</v>
      </c>
      <c r="I379" s="733">
        <v>1</v>
      </c>
      <c r="J379" s="733">
        <v>9</v>
      </c>
      <c r="K379" s="733">
        <v>91</v>
      </c>
      <c r="L379" s="706">
        <v>0</v>
      </c>
      <c r="M379" s="706">
        <v>0</v>
      </c>
      <c r="N379" s="706">
        <v>0</v>
      </c>
      <c r="O379" s="706">
        <v>0</v>
      </c>
      <c r="P379" s="706">
        <v>0</v>
      </c>
      <c r="Q379" s="613"/>
      <c r="R379" s="613"/>
      <c r="S379" s="613"/>
      <c r="T379" s="613"/>
      <c r="U379" s="613"/>
      <c r="V379" s="613"/>
      <c r="W379" s="213">
        <f t="shared" si="13"/>
        <v>219</v>
      </c>
      <c r="X379" s="213">
        <f t="shared" si="14"/>
        <v>29</v>
      </c>
      <c r="Y379" s="213">
        <f t="shared" si="15"/>
        <v>91</v>
      </c>
      <c r="AB379" s="209"/>
      <c r="AC379" s="209"/>
      <c r="AD379" s="209"/>
      <c r="AE379" s="209"/>
      <c r="AF379" s="209"/>
      <c r="AG379" s="209"/>
      <c r="AH379" s="209"/>
      <c r="AI379" s="209"/>
      <c r="AJ379" s="209"/>
      <c r="AK379" s="209"/>
      <c r="AL379" s="209"/>
      <c r="AM379" s="209"/>
      <c r="AN379" s="209"/>
      <c r="AO379" s="209"/>
      <c r="AP379" s="209"/>
      <c r="AQ379" s="209"/>
      <c r="AR379" s="209"/>
      <c r="AS379" s="209"/>
      <c r="AT379" s="209"/>
      <c r="AU379" s="209"/>
      <c r="AV379" s="209"/>
      <c r="AW379" s="209"/>
      <c r="AX379" s="209"/>
      <c r="AY379" s="209"/>
      <c r="AZ379" s="209"/>
      <c r="BA379" s="209"/>
      <c r="BB379" s="209"/>
      <c r="BC379" s="209"/>
      <c r="BD379" s="209"/>
      <c r="BE379" s="209"/>
      <c r="BF379" s="209"/>
      <c r="BG379" s="209"/>
      <c r="BH379" s="209"/>
      <c r="BI379" s="209"/>
      <c r="BJ379" s="209"/>
    </row>
    <row r="380" spans="3:62" s="624" customFormat="1" ht="14.5" hidden="1" outlineLevel="1" x14ac:dyDescent="0.35">
      <c r="C380" s="600" t="str">
        <f t="shared" si="12"/>
        <v>Paquete 14991270.97</v>
      </c>
      <c r="D380" s="623" t="s">
        <v>799</v>
      </c>
      <c r="E380" s="611">
        <v>1270.97</v>
      </c>
      <c r="F380" s="733">
        <v>110</v>
      </c>
      <c r="G380" s="733">
        <v>5</v>
      </c>
      <c r="H380" s="733">
        <v>3</v>
      </c>
      <c r="I380" s="733">
        <v>2</v>
      </c>
      <c r="J380" s="733">
        <v>6</v>
      </c>
      <c r="K380" s="733">
        <v>1053</v>
      </c>
      <c r="L380" s="706">
        <v>0</v>
      </c>
      <c r="M380" s="706">
        <v>0</v>
      </c>
      <c r="N380" s="706">
        <v>0</v>
      </c>
      <c r="O380" s="706">
        <v>282</v>
      </c>
      <c r="P380" s="706">
        <v>0</v>
      </c>
      <c r="Q380" s="613"/>
      <c r="R380" s="613"/>
      <c r="S380" s="613"/>
      <c r="T380" s="613"/>
      <c r="U380" s="613"/>
      <c r="V380" s="613"/>
      <c r="W380" s="213">
        <f t="shared" si="13"/>
        <v>110</v>
      </c>
      <c r="X380" s="213">
        <f t="shared" si="14"/>
        <v>16</v>
      </c>
      <c r="Y380" s="213">
        <f t="shared" si="15"/>
        <v>1053</v>
      </c>
      <c r="AB380" s="209"/>
      <c r="AC380" s="209"/>
      <c r="AD380" s="209"/>
      <c r="AE380" s="209"/>
      <c r="AF380" s="209"/>
      <c r="AG380" s="209"/>
      <c r="AH380" s="209"/>
      <c r="AI380" s="209"/>
      <c r="AJ380" s="209"/>
      <c r="AK380" s="209"/>
      <c r="AL380" s="209"/>
      <c r="AM380" s="209"/>
      <c r="AN380" s="209"/>
      <c r="AO380" s="209"/>
      <c r="AP380" s="209"/>
      <c r="AQ380" s="209"/>
      <c r="AR380" s="209"/>
      <c r="AS380" s="209"/>
      <c r="AT380" s="209"/>
      <c r="AU380" s="209"/>
      <c r="AV380" s="209"/>
      <c r="AW380" s="209"/>
      <c r="AX380" s="209"/>
      <c r="AY380" s="209"/>
      <c r="AZ380" s="209"/>
      <c r="BA380" s="209"/>
      <c r="BB380" s="209"/>
      <c r="BC380" s="209"/>
      <c r="BD380" s="209"/>
      <c r="BE380" s="209"/>
      <c r="BF380" s="209"/>
      <c r="BG380" s="209"/>
      <c r="BH380" s="209"/>
      <c r="BI380" s="209"/>
      <c r="BJ380" s="209"/>
    </row>
    <row r="381" spans="3:62" s="624" customFormat="1" ht="14.5" hidden="1" outlineLevel="1" x14ac:dyDescent="0.35">
      <c r="C381" s="600" t="str">
        <f t="shared" si="12"/>
        <v>Paquete 333281.16</v>
      </c>
      <c r="D381" s="623" t="s">
        <v>853</v>
      </c>
      <c r="E381" s="611">
        <v>281.16000000000003</v>
      </c>
      <c r="F381" s="733">
        <v>178</v>
      </c>
      <c r="G381" s="733">
        <v>7</v>
      </c>
      <c r="H381" s="733">
        <v>0</v>
      </c>
      <c r="I381" s="733">
        <v>0</v>
      </c>
      <c r="J381" s="733">
        <v>0</v>
      </c>
      <c r="K381" s="733">
        <v>137</v>
      </c>
      <c r="L381" s="706">
        <v>0</v>
      </c>
      <c r="M381" s="706">
        <v>0</v>
      </c>
      <c r="N381" s="706">
        <v>0</v>
      </c>
      <c r="O381" s="706">
        <v>0</v>
      </c>
      <c r="P381" s="706">
        <v>0</v>
      </c>
      <c r="Q381" s="613"/>
      <c r="R381" s="613"/>
      <c r="S381" s="613"/>
      <c r="T381" s="613"/>
      <c r="U381" s="613"/>
      <c r="V381" s="613"/>
      <c r="W381" s="213">
        <f t="shared" si="13"/>
        <v>178</v>
      </c>
      <c r="X381" s="213">
        <f t="shared" si="14"/>
        <v>7</v>
      </c>
      <c r="Y381" s="213">
        <f t="shared" si="15"/>
        <v>137</v>
      </c>
      <c r="AB381" s="209"/>
      <c r="AC381" s="209"/>
      <c r="AD381" s="209"/>
      <c r="AE381" s="209"/>
      <c r="AF381" s="209"/>
      <c r="AG381" s="209"/>
      <c r="AH381" s="209"/>
      <c r="AI381" s="209"/>
      <c r="AJ381" s="209"/>
      <c r="AK381" s="209"/>
      <c r="AL381" s="209"/>
      <c r="AM381" s="209"/>
      <c r="AN381" s="209"/>
      <c r="AO381" s="209"/>
      <c r="AP381" s="209"/>
      <c r="AQ381" s="209"/>
      <c r="AR381" s="209"/>
      <c r="AS381" s="209"/>
      <c r="AT381" s="209"/>
      <c r="AU381" s="209"/>
      <c r="AV381" s="209"/>
      <c r="AW381" s="209"/>
      <c r="AX381" s="209"/>
      <c r="AY381" s="209"/>
      <c r="AZ381" s="209"/>
      <c r="BA381" s="209"/>
      <c r="BB381" s="209"/>
      <c r="BC381" s="209"/>
      <c r="BD381" s="209"/>
      <c r="BE381" s="209"/>
      <c r="BF381" s="209"/>
      <c r="BG381" s="209"/>
      <c r="BH381" s="209"/>
      <c r="BI381" s="209"/>
      <c r="BJ381" s="209"/>
    </row>
    <row r="382" spans="3:62" s="624" customFormat="1" ht="14.5" hidden="1" outlineLevel="1" x14ac:dyDescent="0.35">
      <c r="C382" s="600" t="str">
        <f t="shared" si="12"/>
        <v>Paquete Mi Negocio463.55</v>
      </c>
      <c r="D382" s="623" t="s">
        <v>207</v>
      </c>
      <c r="E382" s="611">
        <v>463.55</v>
      </c>
      <c r="F382" s="733">
        <v>247</v>
      </c>
      <c r="G382" s="733">
        <v>24</v>
      </c>
      <c r="H382" s="733">
        <v>1</v>
      </c>
      <c r="I382" s="733">
        <v>1</v>
      </c>
      <c r="J382" s="733">
        <v>8</v>
      </c>
      <c r="K382" s="733">
        <v>183</v>
      </c>
      <c r="L382" s="706">
        <v>0</v>
      </c>
      <c r="M382" s="706">
        <v>0</v>
      </c>
      <c r="N382" s="706">
        <v>0</v>
      </c>
      <c r="O382" s="706">
        <v>0</v>
      </c>
      <c r="P382" s="706">
        <v>0</v>
      </c>
      <c r="Q382" s="613"/>
      <c r="R382" s="613"/>
      <c r="S382" s="613"/>
      <c r="T382" s="613"/>
      <c r="U382" s="613"/>
      <c r="V382" s="613"/>
      <c r="W382" s="213">
        <f t="shared" si="13"/>
        <v>247</v>
      </c>
      <c r="X382" s="213">
        <f t="shared" si="14"/>
        <v>34</v>
      </c>
      <c r="Y382" s="213">
        <f t="shared" si="15"/>
        <v>183</v>
      </c>
      <c r="AB382" s="209"/>
      <c r="AC382" s="209"/>
      <c r="AD382" s="209"/>
      <c r="AE382" s="209"/>
      <c r="AF382" s="209"/>
      <c r="AG382" s="209"/>
      <c r="AH382" s="209"/>
      <c r="AI382" s="209"/>
      <c r="AJ382" s="209"/>
      <c r="AK382" s="209"/>
      <c r="AL382" s="209"/>
      <c r="AM382" s="209"/>
      <c r="AN382" s="209"/>
      <c r="AO382" s="209"/>
      <c r="AP382" s="209"/>
      <c r="AQ382" s="209"/>
      <c r="AR382" s="209"/>
      <c r="AS382" s="209"/>
      <c r="AT382" s="209"/>
      <c r="AU382" s="209"/>
      <c r="AV382" s="209"/>
      <c r="AW382" s="209"/>
      <c r="AX382" s="209"/>
      <c r="AY382" s="209"/>
      <c r="AZ382" s="209"/>
      <c r="BA382" s="209"/>
      <c r="BB382" s="209"/>
      <c r="BC382" s="209"/>
      <c r="BD382" s="209"/>
      <c r="BE382" s="209"/>
      <c r="BF382" s="209"/>
      <c r="BG382" s="209"/>
      <c r="BH382" s="209"/>
      <c r="BI382" s="209"/>
      <c r="BJ382" s="209"/>
    </row>
    <row r="383" spans="3:62" s="624" customFormat="1" ht="14.5" hidden="1" outlineLevel="1" x14ac:dyDescent="0.35">
      <c r="C383" s="600" t="str">
        <f t="shared" si="12"/>
        <v>Paquete SuperNegocio674.64</v>
      </c>
      <c r="D383" s="623" t="s">
        <v>367</v>
      </c>
      <c r="E383" s="611">
        <v>674.64</v>
      </c>
      <c r="F383" s="733">
        <v>185</v>
      </c>
      <c r="G383" s="733">
        <v>42</v>
      </c>
      <c r="H383" s="733">
        <v>1</v>
      </c>
      <c r="I383" s="733">
        <v>1</v>
      </c>
      <c r="J383" s="733">
        <v>12</v>
      </c>
      <c r="K383" s="733">
        <v>435</v>
      </c>
      <c r="L383" s="706">
        <v>0</v>
      </c>
      <c r="M383" s="706">
        <v>0</v>
      </c>
      <c r="N383" s="706">
        <v>0</v>
      </c>
      <c r="O383" s="706">
        <v>0</v>
      </c>
      <c r="P383" s="706">
        <v>0</v>
      </c>
      <c r="Q383" s="613"/>
      <c r="R383" s="613"/>
      <c r="S383" s="613"/>
      <c r="T383" s="613"/>
      <c r="U383" s="613"/>
      <c r="V383" s="613"/>
      <c r="W383" s="213">
        <f t="shared" si="13"/>
        <v>185</v>
      </c>
      <c r="X383" s="213">
        <f t="shared" si="14"/>
        <v>56</v>
      </c>
      <c r="Y383" s="213">
        <f t="shared" si="15"/>
        <v>435</v>
      </c>
      <c r="AB383" s="209"/>
      <c r="AC383" s="209"/>
      <c r="AD383" s="209"/>
      <c r="AE383" s="209"/>
      <c r="AF383" s="209"/>
      <c r="AG383" s="209"/>
      <c r="AH383" s="209"/>
      <c r="AI383" s="209"/>
      <c r="AJ383" s="209"/>
      <c r="AK383" s="209"/>
      <c r="AL383" s="209"/>
      <c r="AM383" s="209"/>
      <c r="AN383" s="209"/>
      <c r="AO383" s="209"/>
      <c r="AP383" s="209"/>
      <c r="AQ383" s="209"/>
      <c r="AR383" s="209"/>
      <c r="AS383" s="209"/>
      <c r="AT383" s="209"/>
      <c r="AU383" s="209"/>
      <c r="AV383" s="209"/>
      <c r="AW383" s="209"/>
      <c r="AX383" s="209"/>
      <c r="AY383" s="209"/>
      <c r="AZ383" s="209"/>
      <c r="BA383" s="209"/>
      <c r="BB383" s="209"/>
      <c r="BC383" s="209"/>
      <c r="BD383" s="209"/>
      <c r="BE383" s="209"/>
      <c r="BF383" s="209"/>
      <c r="BG383" s="209"/>
      <c r="BH383" s="209"/>
      <c r="BI383" s="209"/>
      <c r="BJ383" s="209"/>
    </row>
    <row r="384" spans="3:62" ht="14.5" hidden="1" outlineLevel="1" x14ac:dyDescent="0.35">
      <c r="C384" s="600" t="str">
        <f t="shared" si="12"/>
        <v>Paquete Infinitum 500843.5</v>
      </c>
      <c r="D384" s="621" t="s">
        <v>1067</v>
      </c>
      <c r="E384" s="622">
        <v>843.5</v>
      </c>
      <c r="F384" s="733">
        <v>178</v>
      </c>
      <c r="G384" s="733">
        <v>16</v>
      </c>
      <c r="H384" s="733">
        <v>5</v>
      </c>
      <c r="I384" s="733">
        <v>2</v>
      </c>
      <c r="J384" s="733">
        <v>12</v>
      </c>
      <c r="K384" s="733">
        <v>787</v>
      </c>
      <c r="L384" s="706">
        <v>0</v>
      </c>
      <c r="M384" s="706">
        <v>0</v>
      </c>
      <c r="N384" s="706">
        <v>0</v>
      </c>
      <c r="O384" s="706">
        <v>0</v>
      </c>
      <c r="P384" s="706">
        <v>0</v>
      </c>
      <c r="Q384" s="461"/>
      <c r="R384" s="461"/>
      <c r="S384" s="461"/>
      <c r="T384" s="461"/>
      <c r="U384" s="461"/>
      <c r="V384" s="461"/>
      <c r="W384" s="213">
        <f t="shared" si="13"/>
        <v>178</v>
      </c>
      <c r="X384" s="213">
        <f t="shared" si="14"/>
        <v>35</v>
      </c>
      <c r="Y384" s="213">
        <f t="shared" si="15"/>
        <v>787</v>
      </c>
    </row>
    <row r="385" spans="3:25" ht="14.5" hidden="1" outlineLevel="1" x14ac:dyDescent="0.35">
      <c r="C385" s="600" t="str">
        <f t="shared" si="12"/>
        <v>Paquete Telmex Negocio Sin Límites 11302.21</v>
      </c>
      <c r="D385" s="621" t="s">
        <v>800</v>
      </c>
      <c r="E385" s="622">
        <v>1302.21</v>
      </c>
      <c r="F385" s="733">
        <v>245</v>
      </c>
      <c r="G385" s="733">
        <v>31</v>
      </c>
      <c r="H385" s="733">
        <v>1</v>
      </c>
      <c r="I385" s="733">
        <v>1</v>
      </c>
      <c r="J385" s="733">
        <v>17</v>
      </c>
      <c r="K385" s="733">
        <v>943</v>
      </c>
      <c r="L385" s="706">
        <v>0</v>
      </c>
      <c r="M385" s="706">
        <v>0</v>
      </c>
      <c r="N385" s="706">
        <v>0</v>
      </c>
      <c r="O385" s="706">
        <v>231</v>
      </c>
      <c r="P385" s="706">
        <v>0</v>
      </c>
      <c r="Q385" s="461"/>
      <c r="R385" s="461"/>
      <c r="S385" s="461"/>
      <c r="T385" s="461"/>
      <c r="U385" s="461"/>
      <c r="V385" s="461"/>
      <c r="W385" s="213">
        <f t="shared" si="13"/>
        <v>245</v>
      </c>
      <c r="X385" s="213">
        <f t="shared" si="14"/>
        <v>50</v>
      </c>
      <c r="Y385" s="213">
        <f t="shared" si="15"/>
        <v>943</v>
      </c>
    </row>
    <row r="386" spans="3:25" ht="14.5" hidden="1" outlineLevel="1" x14ac:dyDescent="0.35">
      <c r="C386" s="600" t="str">
        <f t="shared" si="12"/>
        <v>Paquete Telmex Negocio Sin Límites 21547.07</v>
      </c>
      <c r="D386" s="621" t="s">
        <v>801</v>
      </c>
      <c r="E386" s="622">
        <v>1547.07</v>
      </c>
      <c r="F386" s="733">
        <v>230</v>
      </c>
      <c r="G386" s="733">
        <v>44</v>
      </c>
      <c r="H386" s="733">
        <v>1</v>
      </c>
      <c r="I386" s="733">
        <v>1</v>
      </c>
      <c r="J386" s="733">
        <v>12</v>
      </c>
      <c r="K386" s="733">
        <v>791</v>
      </c>
      <c r="L386" s="706">
        <v>0</v>
      </c>
      <c r="M386" s="706">
        <v>0</v>
      </c>
      <c r="N386" s="706">
        <v>0</v>
      </c>
      <c r="O386" s="706">
        <v>288</v>
      </c>
      <c r="P386" s="706">
        <v>0</v>
      </c>
      <c r="Q386" s="461"/>
      <c r="R386" s="461"/>
      <c r="S386" s="461"/>
      <c r="T386" s="461"/>
      <c r="U386" s="461"/>
      <c r="V386" s="461"/>
      <c r="W386" s="213">
        <f t="shared" si="13"/>
        <v>230</v>
      </c>
      <c r="X386" s="213">
        <f t="shared" si="14"/>
        <v>58</v>
      </c>
      <c r="Y386" s="213">
        <f t="shared" si="15"/>
        <v>791</v>
      </c>
    </row>
    <row r="387" spans="3:25" ht="14.5" hidden="1" outlineLevel="1" x14ac:dyDescent="0.35">
      <c r="C387" s="600" t="str">
        <f t="shared" si="12"/>
        <v>Paquete Telmex Negocio Sin Límites 31969.23</v>
      </c>
      <c r="D387" s="621" t="s">
        <v>830</v>
      </c>
      <c r="E387" s="622">
        <v>1969.23</v>
      </c>
      <c r="F387" s="733">
        <v>142</v>
      </c>
      <c r="G387" s="733">
        <v>36</v>
      </c>
      <c r="H387" s="733">
        <v>3</v>
      </c>
      <c r="I387" s="733">
        <v>2</v>
      </c>
      <c r="J387" s="733">
        <v>15</v>
      </c>
      <c r="K387" s="733">
        <v>1247</v>
      </c>
      <c r="L387" s="706">
        <v>0</v>
      </c>
      <c r="M387" s="706">
        <v>0</v>
      </c>
      <c r="N387" s="706">
        <v>0</v>
      </c>
      <c r="O387" s="706">
        <v>286</v>
      </c>
      <c r="P387" s="706">
        <v>0</v>
      </c>
      <c r="Q387" s="461"/>
      <c r="R387" s="461"/>
      <c r="S387" s="461"/>
      <c r="T387" s="461"/>
      <c r="U387" s="461"/>
      <c r="V387" s="461"/>
      <c r="W387" s="213">
        <f t="shared" si="13"/>
        <v>142</v>
      </c>
      <c r="X387" s="213">
        <f t="shared" si="14"/>
        <v>56</v>
      </c>
      <c r="Y387" s="213">
        <f t="shared" si="15"/>
        <v>1247</v>
      </c>
    </row>
    <row r="388" spans="3:25" ht="14.5" hidden="1" outlineLevel="1" x14ac:dyDescent="0.35">
      <c r="C388" s="600" t="str">
        <f t="shared" si="12"/>
        <v>Infinitum Negocio349</v>
      </c>
      <c r="D388" s="621" t="s">
        <v>201</v>
      </c>
      <c r="E388" s="622">
        <v>349</v>
      </c>
      <c r="F388" s="733">
        <v>0</v>
      </c>
      <c r="G388" s="733">
        <v>0</v>
      </c>
      <c r="H388" s="733">
        <v>0</v>
      </c>
      <c r="I388" s="733">
        <v>0</v>
      </c>
      <c r="J388" s="733">
        <v>0</v>
      </c>
      <c r="K388" s="733">
        <v>274</v>
      </c>
      <c r="L388" s="706">
        <v>0</v>
      </c>
      <c r="M388" s="706">
        <v>0</v>
      </c>
      <c r="N388" s="706">
        <v>0</v>
      </c>
      <c r="O388" s="706">
        <v>0</v>
      </c>
      <c r="P388" s="706">
        <v>0</v>
      </c>
      <c r="Q388" s="461"/>
      <c r="R388" s="461"/>
      <c r="S388" s="461"/>
      <c r="T388" s="461"/>
      <c r="U388" s="461"/>
      <c r="V388" s="461"/>
      <c r="W388" s="213">
        <f t="shared" si="13"/>
        <v>0</v>
      </c>
      <c r="X388" s="213">
        <f t="shared" si="14"/>
        <v>0</v>
      </c>
      <c r="Y388" s="213">
        <f t="shared" si="15"/>
        <v>274</v>
      </c>
    </row>
    <row r="389" spans="3:25" ht="14.5" hidden="1" outlineLevel="1" x14ac:dyDescent="0.35">
      <c r="C389" s="600" t="str">
        <f t="shared" si="12"/>
        <v>Infinitum Negocio Red608.69</v>
      </c>
      <c r="D389" s="621" t="s">
        <v>202</v>
      </c>
      <c r="E389" s="622">
        <v>608.69000000000005</v>
      </c>
      <c r="F389" s="733">
        <v>0</v>
      </c>
      <c r="G389" s="733">
        <v>0</v>
      </c>
      <c r="H389" s="733">
        <v>0</v>
      </c>
      <c r="I389" s="733">
        <v>0</v>
      </c>
      <c r="J389" s="733">
        <v>0</v>
      </c>
      <c r="K389" s="733">
        <v>743</v>
      </c>
      <c r="L389" s="706">
        <v>0</v>
      </c>
      <c r="M389" s="706">
        <v>0</v>
      </c>
      <c r="N389" s="706">
        <v>0</v>
      </c>
      <c r="O389" s="706">
        <v>0</v>
      </c>
      <c r="P389" s="706">
        <v>0</v>
      </c>
      <c r="Q389" s="461"/>
      <c r="R389" s="461"/>
      <c r="S389" s="461"/>
      <c r="T389" s="461"/>
      <c r="U389" s="461"/>
      <c r="V389" s="461"/>
      <c r="W389" s="213">
        <f t="shared" si="13"/>
        <v>0</v>
      </c>
      <c r="X389" s="213">
        <f t="shared" si="14"/>
        <v>0</v>
      </c>
      <c r="Y389" s="213">
        <f t="shared" si="15"/>
        <v>743</v>
      </c>
    </row>
    <row r="390" spans="3:25" ht="14.5" hidden="1" outlineLevel="1" x14ac:dyDescent="0.35">
      <c r="C390" s="600" t="str">
        <f t="shared" si="12"/>
        <v>Infinitum Negocio Premium1042.6</v>
      </c>
      <c r="D390" s="621" t="s">
        <v>203</v>
      </c>
      <c r="E390" s="622">
        <v>1042.5999999999999</v>
      </c>
      <c r="F390" s="733">
        <v>0</v>
      </c>
      <c r="G390" s="733">
        <v>0</v>
      </c>
      <c r="H390" s="733">
        <v>0</v>
      </c>
      <c r="I390" s="733">
        <v>0</v>
      </c>
      <c r="J390" s="733">
        <v>0</v>
      </c>
      <c r="K390" s="733">
        <v>1273</v>
      </c>
      <c r="L390" s="706">
        <v>0</v>
      </c>
      <c r="M390" s="706">
        <v>0</v>
      </c>
      <c r="N390" s="706">
        <v>0</v>
      </c>
      <c r="O390" s="706">
        <v>0</v>
      </c>
      <c r="P390" s="706">
        <v>0</v>
      </c>
      <c r="Q390" s="461"/>
      <c r="R390" s="461"/>
      <c r="S390" s="461"/>
      <c r="T390" s="461"/>
      <c r="U390" s="461"/>
      <c r="V390" s="461"/>
      <c r="W390" s="213">
        <f t="shared" si="13"/>
        <v>0</v>
      </c>
      <c r="X390" s="213">
        <f t="shared" si="14"/>
        <v>0</v>
      </c>
      <c r="Y390" s="213">
        <f t="shared" si="15"/>
        <v>1273</v>
      </c>
    </row>
    <row r="391" spans="3:25" ht="14.5" hidden="1" outlineLevel="1" x14ac:dyDescent="0.35">
      <c r="C391" s="600" t="str">
        <f t="shared" si="12"/>
        <v>Paquete Infinitum Play 20 (Netflix 1 dispositivo)432.24</v>
      </c>
      <c r="D391" s="621" t="s">
        <v>854</v>
      </c>
      <c r="E391" s="622">
        <v>432.24</v>
      </c>
      <c r="F391" s="733">
        <v>187</v>
      </c>
      <c r="G391" s="733">
        <v>16</v>
      </c>
      <c r="H391" s="733">
        <v>4</v>
      </c>
      <c r="I391" s="733">
        <v>1</v>
      </c>
      <c r="J391" s="733">
        <v>18</v>
      </c>
      <c r="K391" s="733">
        <v>106</v>
      </c>
      <c r="L391" s="706">
        <v>0</v>
      </c>
      <c r="M391" s="706">
        <v>0</v>
      </c>
      <c r="N391" s="706">
        <v>0</v>
      </c>
      <c r="O391" s="706">
        <v>119</v>
      </c>
      <c r="P391" s="706">
        <v>0</v>
      </c>
      <c r="Q391" s="461"/>
      <c r="R391" s="461"/>
      <c r="S391" s="461"/>
      <c r="T391" s="461"/>
      <c r="U391" s="461"/>
      <c r="V391" s="461"/>
      <c r="W391" s="213">
        <f t="shared" si="13"/>
        <v>187</v>
      </c>
      <c r="X391" s="213">
        <f t="shared" si="14"/>
        <v>39</v>
      </c>
      <c r="Y391" s="213">
        <f t="shared" si="15"/>
        <v>106</v>
      </c>
    </row>
    <row r="392" spans="3:25" ht="14.5" hidden="1" outlineLevel="1" x14ac:dyDescent="0.35">
      <c r="C392" s="600" t="str">
        <f t="shared" si="12"/>
        <v>Paquete Infinitum Play 20 (Netflix 2 dispositivos)501.2</v>
      </c>
      <c r="D392" s="621" t="s">
        <v>855</v>
      </c>
      <c r="E392" s="622">
        <v>501.2</v>
      </c>
      <c r="F392" s="733">
        <v>172</v>
      </c>
      <c r="G392" s="733">
        <v>14</v>
      </c>
      <c r="H392" s="733">
        <v>4</v>
      </c>
      <c r="I392" s="733">
        <v>1</v>
      </c>
      <c r="J392" s="733">
        <v>17</v>
      </c>
      <c r="K392" s="733">
        <v>104</v>
      </c>
      <c r="L392" s="706">
        <v>0</v>
      </c>
      <c r="M392" s="706">
        <v>0</v>
      </c>
      <c r="N392" s="706">
        <v>0</v>
      </c>
      <c r="O392" s="706">
        <v>230</v>
      </c>
      <c r="P392" s="706">
        <v>0</v>
      </c>
      <c r="Q392" s="461"/>
      <c r="R392" s="461"/>
      <c r="S392" s="461"/>
      <c r="T392" s="461"/>
      <c r="U392" s="461"/>
      <c r="V392" s="461"/>
      <c r="W392" s="213">
        <f t="shared" si="13"/>
        <v>172</v>
      </c>
      <c r="X392" s="213">
        <f t="shared" si="14"/>
        <v>36</v>
      </c>
      <c r="Y392" s="213">
        <f t="shared" si="15"/>
        <v>104</v>
      </c>
    </row>
    <row r="393" spans="3:25" ht="14.5" hidden="1" outlineLevel="1" x14ac:dyDescent="0.35">
      <c r="C393" s="600" t="str">
        <f t="shared" si="12"/>
        <v>Paquete Infinitum Play 20 (Netflix 4 dispositivos)570.17</v>
      </c>
      <c r="D393" s="621" t="s">
        <v>856</v>
      </c>
      <c r="E393" s="622">
        <v>570.16999999999996</v>
      </c>
      <c r="F393" s="733">
        <v>131</v>
      </c>
      <c r="G393" s="733">
        <v>16</v>
      </c>
      <c r="H393" s="733">
        <v>5</v>
      </c>
      <c r="I393" s="733">
        <v>1</v>
      </c>
      <c r="J393" s="733">
        <v>20</v>
      </c>
      <c r="K393" s="733">
        <v>117</v>
      </c>
      <c r="L393" s="706">
        <v>0</v>
      </c>
      <c r="M393" s="706">
        <v>0</v>
      </c>
      <c r="N393" s="706">
        <v>0</v>
      </c>
      <c r="O393" s="706">
        <v>191</v>
      </c>
      <c r="P393" s="706">
        <v>0</v>
      </c>
      <c r="Q393" s="461"/>
      <c r="R393" s="461"/>
      <c r="S393" s="461"/>
      <c r="T393" s="461"/>
      <c r="U393" s="461"/>
      <c r="V393" s="461"/>
      <c r="W393" s="213">
        <f t="shared" si="13"/>
        <v>131</v>
      </c>
      <c r="X393" s="213">
        <f t="shared" si="14"/>
        <v>42</v>
      </c>
      <c r="Y393" s="213">
        <f t="shared" si="15"/>
        <v>117</v>
      </c>
    </row>
    <row r="394" spans="3:25" ht="14.5" hidden="1" outlineLevel="1" x14ac:dyDescent="0.35">
      <c r="C394" s="600" t="str">
        <f t="shared" si="12"/>
        <v>Paquete Infinitum Play 30 (Netflix 2 dispositivos)534.97</v>
      </c>
      <c r="D394" s="621" t="s">
        <v>857</v>
      </c>
      <c r="E394" s="622">
        <v>534.97</v>
      </c>
      <c r="F394" s="733">
        <v>122</v>
      </c>
      <c r="G394" s="733">
        <v>12</v>
      </c>
      <c r="H394" s="733">
        <v>5</v>
      </c>
      <c r="I394" s="733">
        <v>1</v>
      </c>
      <c r="J394" s="733">
        <v>20</v>
      </c>
      <c r="K394" s="733">
        <v>172</v>
      </c>
      <c r="L394" s="706">
        <v>0</v>
      </c>
      <c r="M394" s="706">
        <v>0</v>
      </c>
      <c r="N394" s="706">
        <v>0</v>
      </c>
      <c r="O394" s="706">
        <v>187</v>
      </c>
      <c r="P394" s="706">
        <v>0</v>
      </c>
      <c r="Q394" s="461"/>
      <c r="R394" s="461"/>
      <c r="S394" s="461"/>
      <c r="T394" s="461"/>
      <c r="U394" s="461"/>
      <c r="V394" s="461"/>
      <c r="W394" s="213">
        <f t="shared" si="13"/>
        <v>122</v>
      </c>
      <c r="X394" s="213">
        <f t="shared" si="14"/>
        <v>38</v>
      </c>
      <c r="Y394" s="213">
        <f t="shared" si="15"/>
        <v>172</v>
      </c>
    </row>
    <row r="395" spans="3:25" ht="14.5" hidden="1" outlineLevel="1" x14ac:dyDescent="0.35">
      <c r="C395" s="600" t="str">
        <f t="shared" si="12"/>
        <v>Paquete Infinitum Play 30 (Netflix 4 dispositivos)603.94</v>
      </c>
      <c r="D395" s="621" t="s">
        <v>858</v>
      </c>
      <c r="E395" s="622">
        <v>603.94000000000005</v>
      </c>
      <c r="F395" s="733">
        <v>179</v>
      </c>
      <c r="G395" s="733">
        <v>11</v>
      </c>
      <c r="H395" s="733">
        <v>3</v>
      </c>
      <c r="I395" s="733">
        <v>1</v>
      </c>
      <c r="J395" s="733">
        <v>19</v>
      </c>
      <c r="K395" s="733">
        <v>129</v>
      </c>
      <c r="L395" s="706">
        <v>0</v>
      </c>
      <c r="M395" s="706">
        <v>0</v>
      </c>
      <c r="N395" s="706">
        <v>0</v>
      </c>
      <c r="O395" s="706">
        <v>327</v>
      </c>
      <c r="P395" s="706">
        <v>0</v>
      </c>
      <c r="Q395" s="461"/>
      <c r="R395" s="461"/>
      <c r="S395" s="461"/>
      <c r="T395" s="461"/>
      <c r="U395" s="461"/>
      <c r="V395" s="461"/>
      <c r="W395" s="213">
        <f t="shared" si="13"/>
        <v>179</v>
      </c>
      <c r="X395" s="213">
        <f t="shared" si="14"/>
        <v>34</v>
      </c>
      <c r="Y395" s="213">
        <f t="shared" si="15"/>
        <v>129</v>
      </c>
    </row>
    <row r="396" spans="3:25" ht="14.5" hidden="1" outlineLevel="1" x14ac:dyDescent="0.35">
      <c r="C396" s="600" t="str">
        <f t="shared" si="12"/>
        <v>Paquete Infinitum Play 40 (Netflix 2 dispositivos)585.63</v>
      </c>
      <c r="D396" s="621" t="s">
        <v>859</v>
      </c>
      <c r="E396" s="622">
        <v>585.63</v>
      </c>
      <c r="F396" s="733">
        <v>191</v>
      </c>
      <c r="G396" s="733">
        <v>19</v>
      </c>
      <c r="H396" s="733">
        <v>4</v>
      </c>
      <c r="I396" s="733">
        <v>1</v>
      </c>
      <c r="J396" s="733">
        <v>21</v>
      </c>
      <c r="K396" s="733">
        <v>204</v>
      </c>
      <c r="L396" s="706">
        <v>0</v>
      </c>
      <c r="M396" s="706">
        <v>0</v>
      </c>
      <c r="N396" s="706">
        <v>0</v>
      </c>
      <c r="O396" s="706">
        <v>206</v>
      </c>
      <c r="P396" s="706">
        <v>0</v>
      </c>
      <c r="Q396" s="461"/>
      <c r="R396" s="461"/>
      <c r="S396" s="461"/>
      <c r="T396" s="461"/>
      <c r="U396" s="461"/>
      <c r="V396" s="461"/>
      <c r="W396" s="213">
        <f t="shared" si="13"/>
        <v>191</v>
      </c>
      <c r="X396" s="213">
        <f t="shared" si="14"/>
        <v>45</v>
      </c>
      <c r="Y396" s="213">
        <f t="shared" si="15"/>
        <v>204</v>
      </c>
    </row>
    <row r="397" spans="3:25" ht="14.5" hidden="1" outlineLevel="1" x14ac:dyDescent="0.35">
      <c r="C397" s="600" t="str">
        <f t="shared" si="12"/>
        <v>Paquete Infinitum Play 40 (Netflix 4 dispositivos)654.6</v>
      </c>
      <c r="D397" s="621" t="s">
        <v>860</v>
      </c>
      <c r="E397" s="622">
        <v>654.59999999999991</v>
      </c>
      <c r="F397" s="733">
        <v>143</v>
      </c>
      <c r="G397" s="733">
        <v>16</v>
      </c>
      <c r="H397" s="733">
        <v>5</v>
      </c>
      <c r="I397" s="733">
        <v>1</v>
      </c>
      <c r="J397" s="733">
        <v>14</v>
      </c>
      <c r="K397" s="733">
        <v>247</v>
      </c>
      <c r="L397" s="706">
        <v>0</v>
      </c>
      <c r="M397" s="706">
        <v>0</v>
      </c>
      <c r="N397" s="706">
        <v>0</v>
      </c>
      <c r="O397" s="706">
        <v>254</v>
      </c>
      <c r="P397" s="706">
        <v>0</v>
      </c>
      <c r="Q397" s="461"/>
      <c r="R397" s="461"/>
      <c r="S397" s="461"/>
      <c r="T397" s="461"/>
      <c r="U397" s="461"/>
      <c r="V397" s="461"/>
      <c r="W397" s="213">
        <f t="shared" si="13"/>
        <v>143</v>
      </c>
      <c r="X397" s="213">
        <f t="shared" si="14"/>
        <v>36</v>
      </c>
      <c r="Y397" s="213">
        <f t="shared" si="15"/>
        <v>247</v>
      </c>
    </row>
    <row r="398" spans="3:25" ht="14.5" hidden="1" outlineLevel="1" x14ac:dyDescent="0.35">
      <c r="C398" s="600" t="str">
        <f t="shared" si="12"/>
        <v>Paquete Infinitum Play 150 (Netflix 4 dispositivos)720.46</v>
      </c>
      <c r="D398" s="621" t="s">
        <v>861</v>
      </c>
      <c r="E398" s="617">
        <v>720.46</v>
      </c>
      <c r="F398" s="733">
        <v>119</v>
      </c>
      <c r="G398" s="733">
        <v>19</v>
      </c>
      <c r="H398" s="733">
        <v>6</v>
      </c>
      <c r="I398" s="733">
        <v>3</v>
      </c>
      <c r="J398" s="733">
        <v>17</v>
      </c>
      <c r="K398" s="733">
        <v>208</v>
      </c>
      <c r="L398" s="706">
        <v>0</v>
      </c>
      <c r="M398" s="706">
        <v>0</v>
      </c>
      <c r="N398" s="706">
        <v>0</v>
      </c>
      <c r="O398" s="706">
        <v>294</v>
      </c>
      <c r="P398" s="706">
        <v>0</v>
      </c>
      <c r="Q398" s="461"/>
      <c r="R398" s="461"/>
      <c r="S398" s="461"/>
      <c r="T398" s="461"/>
      <c r="U398" s="461"/>
      <c r="V398" s="461"/>
      <c r="W398" s="213">
        <f t="shared" si="13"/>
        <v>119</v>
      </c>
      <c r="X398" s="213">
        <f t="shared" si="14"/>
        <v>45</v>
      </c>
      <c r="Y398" s="213">
        <f t="shared" si="15"/>
        <v>208</v>
      </c>
    </row>
    <row r="399" spans="3:25" ht="14.5" hidden="1" outlineLevel="1" x14ac:dyDescent="0.35">
      <c r="C399" s="600" t="str">
        <f t="shared" si="12"/>
        <v>Paquete Infinitum Play 150 (Netflix 2 dispositivos)670.06</v>
      </c>
      <c r="D399" s="621" t="s">
        <v>862</v>
      </c>
      <c r="E399" s="617">
        <v>670.06</v>
      </c>
      <c r="F399" s="733">
        <v>185</v>
      </c>
      <c r="G399" s="733">
        <v>15</v>
      </c>
      <c r="H399" s="733">
        <v>8</v>
      </c>
      <c r="I399" s="733">
        <v>3</v>
      </c>
      <c r="J399" s="733">
        <v>15</v>
      </c>
      <c r="K399" s="733">
        <v>327</v>
      </c>
      <c r="L399" s="706">
        <v>0</v>
      </c>
      <c r="M399" s="706">
        <v>0</v>
      </c>
      <c r="N399" s="706">
        <v>0</v>
      </c>
      <c r="O399" s="706">
        <v>232</v>
      </c>
      <c r="P399" s="706">
        <v>0</v>
      </c>
      <c r="Q399" s="461"/>
      <c r="R399" s="461"/>
      <c r="S399" s="461"/>
      <c r="T399" s="461"/>
      <c r="U399" s="461"/>
      <c r="V399" s="461"/>
      <c r="W399" s="213">
        <f t="shared" si="13"/>
        <v>185</v>
      </c>
      <c r="X399" s="213">
        <f t="shared" si="14"/>
        <v>41</v>
      </c>
      <c r="Y399" s="213">
        <f t="shared" si="15"/>
        <v>327</v>
      </c>
    </row>
    <row r="400" spans="3:25" ht="14.5" hidden="1" outlineLevel="1" x14ac:dyDescent="0.35">
      <c r="C400" s="600" t="str">
        <f t="shared" si="12"/>
        <v>Paquete Infinitum Netflix 500 (Netflix 4 dispositivos)1034.55</v>
      </c>
      <c r="D400" s="621" t="s">
        <v>1068</v>
      </c>
      <c r="E400" s="617">
        <v>1034.55</v>
      </c>
      <c r="F400" s="733">
        <v>127</v>
      </c>
      <c r="G400" s="733">
        <v>15</v>
      </c>
      <c r="H400" s="733">
        <v>6</v>
      </c>
      <c r="I400" s="733">
        <v>3</v>
      </c>
      <c r="J400" s="733">
        <v>9</v>
      </c>
      <c r="K400" s="733">
        <v>556</v>
      </c>
      <c r="L400" s="706">
        <v>0</v>
      </c>
      <c r="M400" s="706">
        <v>0</v>
      </c>
      <c r="N400" s="706">
        <v>0</v>
      </c>
      <c r="O400" s="706">
        <v>313</v>
      </c>
      <c r="P400" s="706">
        <v>0</v>
      </c>
      <c r="Q400" s="461"/>
      <c r="R400" s="461"/>
      <c r="S400" s="461"/>
      <c r="T400" s="461"/>
      <c r="U400" s="461"/>
      <c r="V400" s="461"/>
      <c r="W400" s="213">
        <f t="shared" si="13"/>
        <v>127</v>
      </c>
      <c r="X400" s="213">
        <f t="shared" si="14"/>
        <v>33</v>
      </c>
      <c r="Y400" s="213">
        <f t="shared" si="15"/>
        <v>556</v>
      </c>
    </row>
    <row r="401" spans="3:25" ht="14.5" hidden="1" outlineLevel="1" x14ac:dyDescent="0.35">
      <c r="C401" s="600" t="str">
        <f t="shared" si="12"/>
        <v>Paquete Infinitum Netflix 500 (Netflix 2 dispositivos)989.22</v>
      </c>
      <c r="D401" s="621" t="s">
        <v>1069</v>
      </c>
      <c r="E401" s="617">
        <v>989.22</v>
      </c>
      <c r="F401" s="733">
        <v>130</v>
      </c>
      <c r="G401" s="733">
        <v>14</v>
      </c>
      <c r="H401" s="733">
        <v>7</v>
      </c>
      <c r="I401" s="733">
        <v>2</v>
      </c>
      <c r="J401" s="733">
        <v>14</v>
      </c>
      <c r="K401" s="733">
        <v>719</v>
      </c>
      <c r="L401" s="706">
        <v>0</v>
      </c>
      <c r="M401" s="706">
        <v>0</v>
      </c>
      <c r="N401" s="706">
        <v>0</v>
      </c>
      <c r="O401" s="706">
        <v>174</v>
      </c>
      <c r="P401" s="706">
        <v>0</v>
      </c>
      <c r="Q401" s="461"/>
      <c r="R401" s="461"/>
      <c r="S401" s="461"/>
      <c r="T401" s="461"/>
      <c r="U401" s="461"/>
      <c r="V401" s="461"/>
      <c r="W401" s="213">
        <f t="shared" si="13"/>
        <v>130</v>
      </c>
      <c r="X401" s="213">
        <f t="shared" si="14"/>
        <v>37</v>
      </c>
      <c r="Y401" s="213">
        <f t="shared" si="15"/>
        <v>719</v>
      </c>
    </row>
    <row r="402" spans="3:25" ht="14.5" hidden="1" outlineLevel="1" x14ac:dyDescent="0.35">
      <c r="C402" s="600" t="str">
        <f t="shared" si="12"/>
        <v>Infinitum Netflix 50 (Netflix 1 dispositivo)404.31</v>
      </c>
      <c r="D402" s="621" t="s">
        <v>1070</v>
      </c>
      <c r="E402" s="617">
        <v>404.31</v>
      </c>
      <c r="F402" s="733">
        <v>0</v>
      </c>
      <c r="G402" s="733">
        <v>0</v>
      </c>
      <c r="H402" s="733">
        <v>0</v>
      </c>
      <c r="I402" s="733">
        <v>0</v>
      </c>
      <c r="J402" s="733">
        <v>0</v>
      </c>
      <c r="K402" s="733">
        <v>232</v>
      </c>
      <c r="L402" s="706">
        <v>0</v>
      </c>
      <c r="M402" s="706">
        <v>0</v>
      </c>
      <c r="N402" s="706">
        <v>0</v>
      </c>
      <c r="O402" s="706">
        <v>124</v>
      </c>
      <c r="P402" s="706">
        <v>0</v>
      </c>
      <c r="Q402" s="461"/>
      <c r="R402" s="461"/>
      <c r="S402" s="461"/>
      <c r="T402" s="461"/>
      <c r="U402" s="461"/>
      <c r="V402" s="461"/>
      <c r="W402" s="213">
        <f t="shared" si="13"/>
        <v>0</v>
      </c>
      <c r="X402" s="213">
        <f t="shared" si="14"/>
        <v>0</v>
      </c>
      <c r="Y402" s="213">
        <f t="shared" si="15"/>
        <v>232</v>
      </c>
    </row>
    <row r="403" spans="3:25" ht="14.5" hidden="1" outlineLevel="1" x14ac:dyDescent="0.35">
      <c r="C403" s="600" t="str">
        <f t="shared" si="12"/>
        <v>Infinitum Netflix 50 (Netflix 2 dispositivos)473.27</v>
      </c>
      <c r="D403" s="621" t="s">
        <v>1071</v>
      </c>
      <c r="E403" s="617">
        <v>473.27</v>
      </c>
      <c r="F403" s="733">
        <v>0</v>
      </c>
      <c r="G403" s="733">
        <v>0</v>
      </c>
      <c r="H403" s="733">
        <v>0</v>
      </c>
      <c r="I403" s="733">
        <v>0</v>
      </c>
      <c r="J403" s="733">
        <v>0</v>
      </c>
      <c r="K403" s="733">
        <v>328</v>
      </c>
      <c r="L403" s="706">
        <v>0</v>
      </c>
      <c r="M403" s="706">
        <v>0</v>
      </c>
      <c r="N403" s="706">
        <v>0</v>
      </c>
      <c r="O403" s="706">
        <v>197</v>
      </c>
      <c r="P403" s="706">
        <v>0</v>
      </c>
      <c r="Q403" s="461"/>
      <c r="R403" s="461"/>
      <c r="S403" s="461"/>
      <c r="T403" s="461"/>
      <c r="U403" s="461"/>
      <c r="V403" s="461"/>
      <c r="W403" s="213">
        <f t="shared" si="13"/>
        <v>0</v>
      </c>
      <c r="X403" s="213">
        <f t="shared" si="14"/>
        <v>0</v>
      </c>
      <c r="Y403" s="213">
        <f t="shared" si="15"/>
        <v>328</v>
      </c>
    </row>
    <row r="404" spans="3:25" ht="14.5" hidden="1" outlineLevel="1" x14ac:dyDescent="0.35">
      <c r="C404" s="600" t="str">
        <f t="shared" si="12"/>
        <v>Infinitum Netflix 50 (Netflix 4 dispositivos)542.24</v>
      </c>
      <c r="D404" s="621" t="s">
        <v>1072</v>
      </c>
      <c r="E404" s="617">
        <v>542.24</v>
      </c>
      <c r="F404" s="733">
        <v>0</v>
      </c>
      <c r="G404" s="733">
        <v>0</v>
      </c>
      <c r="H404" s="733">
        <v>0</v>
      </c>
      <c r="I404" s="733">
        <v>0</v>
      </c>
      <c r="J404" s="733">
        <v>0</v>
      </c>
      <c r="K404" s="733">
        <v>237</v>
      </c>
      <c r="L404" s="706">
        <v>0</v>
      </c>
      <c r="M404" s="706">
        <v>0</v>
      </c>
      <c r="N404" s="706">
        <v>0</v>
      </c>
      <c r="O404" s="706">
        <v>313</v>
      </c>
      <c r="P404" s="706">
        <v>0</v>
      </c>
      <c r="Q404" s="461"/>
      <c r="R404" s="461"/>
      <c r="S404" s="461"/>
      <c r="T404" s="461"/>
      <c r="U404" s="461"/>
      <c r="V404" s="461"/>
      <c r="W404" s="213">
        <f t="shared" si="13"/>
        <v>0</v>
      </c>
      <c r="X404" s="213">
        <f t="shared" si="14"/>
        <v>0</v>
      </c>
      <c r="Y404" s="213">
        <f t="shared" si="15"/>
        <v>237</v>
      </c>
    </row>
    <row r="405" spans="3:25" ht="14.5" hidden="1" outlineLevel="1" x14ac:dyDescent="0.35">
      <c r="C405" s="600" t="str">
        <f t="shared" si="12"/>
        <v>Infinitum Netflix 60 (Netflix 2 dispositivos)511.2</v>
      </c>
      <c r="D405" s="621" t="s">
        <v>1073</v>
      </c>
      <c r="E405" s="617">
        <v>511.20000000000005</v>
      </c>
      <c r="F405" s="733">
        <v>0</v>
      </c>
      <c r="G405" s="733">
        <v>0</v>
      </c>
      <c r="H405" s="733">
        <v>0</v>
      </c>
      <c r="I405" s="733">
        <v>0</v>
      </c>
      <c r="J405" s="733">
        <v>0</v>
      </c>
      <c r="K405" s="733">
        <v>375</v>
      </c>
      <c r="L405" s="706">
        <v>0</v>
      </c>
      <c r="M405" s="706">
        <v>0</v>
      </c>
      <c r="N405" s="706">
        <v>0</v>
      </c>
      <c r="O405" s="706">
        <v>207</v>
      </c>
      <c r="P405" s="706">
        <v>0</v>
      </c>
      <c r="Q405" s="461"/>
      <c r="R405" s="461"/>
      <c r="S405" s="461"/>
      <c r="T405" s="461"/>
      <c r="U405" s="461"/>
      <c r="V405" s="461"/>
      <c r="W405" s="213">
        <f t="shared" si="13"/>
        <v>0</v>
      </c>
      <c r="X405" s="213">
        <f t="shared" si="14"/>
        <v>0</v>
      </c>
      <c r="Y405" s="213">
        <f t="shared" si="15"/>
        <v>375</v>
      </c>
    </row>
    <row r="406" spans="3:25" ht="14.5" hidden="1" outlineLevel="1" x14ac:dyDescent="0.35">
      <c r="C406" s="600" t="str">
        <f t="shared" si="12"/>
        <v>Infinitum Netflix 60 (Netflix 4 dispositivos)580.17</v>
      </c>
      <c r="D406" s="621" t="s">
        <v>1074</v>
      </c>
      <c r="E406" s="617">
        <v>580.17000000000007</v>
      </c>
      <c r="F406" s="733">
        <v>0</v>
      </c>
      <c r="G406" s="733">
        <v>0</v>
      </c>
      <c r="H406" s="733">
        <v>0</v>
      </c>
      <c r="I406" s="733">
        <v>0</v>
      </c>
      <c r="J406" s="733">
        <v>0</v>
      </c>
      <c r="K406" s="733">
        <v>352</v>
      </c>
      <c r="L406" s="706">
        <v>0</v>
      </c>
      <c r="M406" s="706">
        <v>0</v>
      </c>
      <c r="N406" s="706">
        <v>0</v>
      </c>
      <c r="O406" s="706">
        <v>219</v>
      </c>
      <c r="P406" s="706">
        <v>0</v>
      </c>
      <c r="Q406" s="461"/>
      <c r="R406" s="461"/>
      <c r="S406" s="461"/>
      <c r="T406" s="461"/>
      <c r="U406" s="461"/>
      <c r="V406" s="461"/>
      <c r="W406" s="213">
        <f t="shared" si="13"/>
        <v>0</v>
      </c>
      <c r="X406" s="213">
        <f t="shared" si="14"/>
        <v>0</v>
      </c>
      <c r="Y406" s="213">
        <f t="shared" si="15"/>
        <v>352</v>
      </c>
    </row>
    <row r="407" spans="3:25" ht="14.5" hidden="1" outlineLevel="1" x14ac:dyDescent="0.35">
      <c r="C407" s="600" t="str">
        <f t="shared" si="12"/>
        <v>Infinitum Netflix 100 (Netflix 2 dispositivos)550.86</v>
      </c>
      <c r="D407" s="621" t="s">
        <v>1288</v>
      </c>
      <c r="E407" s="617">
        <v>550.86</v>
      </c>
      <c r="F407" s="733">
        <v>0</v>
      </c>
      <c r="G407" s="733">
        <v>0</v>
      </c>
      <c r="H407" s="733">
        <v>0</v>
      </c>
      <c r="I407" s="733">
        <v>0</v>
      </c>
      <c r="J407" s="733">
        <v>0</v>
      </c>
      <c r="K407" s="733">
        <v>402</v>
      </c>
      <c r="L407" s="706">
        <v>0</v>
      </c>
      <c r="M407" s="706">
        <v>0</v>
      </c>
      <c r="N407" s="706">
        <v>0</v>
      </c>
      <c r="O407" s="706">
        <v>169</v>
      </c>
      <c r="P407" s="706">
        <v>0</v>
      </c>
      <c r="Q407" s="461"/>
      <c r="R407" s="461"/>
      <c r="S407" s="461"/>
      <c r="T407" s="461"/>
      <c r="U407" s="461"/>
      <c r="V407" s="461"/>
      <c r="W407" s="213">
        <f t="shared" si="13"/>
        <v>0</v>
      </c>
      <c r="X407" s="213">
        <f t="shared" si="14"/>
        <v>0</v>
      </c>
      <c r="Y407" s="213">
        <f t="shared" si="15"/>
        <v>402</v>
      </c>
    </row>
    <row r="408" spans="3:25" ht="14.5" hidden="1" outlineLevel="1" x14ac:dyDescent="0.35">
      <c r="C408" s="600" t="str">
        <f t="shared" si="12"/>
        <v>Infinitum Netflix 100 (Netflix 4 dispositivos)619.83</v>
      </c>
      <c r="D408" s="621" t="s">
        <v>1289</v>
      </c>
      <c r="E408" s="617">
        <v>619.83000000000004</v>
      </c>
      <c r="F408" s="733">
        <v>0</v>
      </c>
      <c r="G408" s="733">
        <v>0</v>
      </c>
      <c r="H408" s="733">
        <v>0</v>
      </c>
      <c r="I408" s="733">
        <v>0</v>
      </c>
      <c r="J408" s="733">
        <v>0</v>
      </c>
      <c r="K408" s="733">
        <v>336</v>
      </c>
      <c r="L408" s="706">
        <v>0</v>
      </c>
      <c r="M408" s="706">
        <v>0</v>
      </c>
      <c r="N408" s="706">
        <v>0</v>
      </c>
      <c r="O408" s="706">
        <v>265</v>
      </c>
      <c r="P408" s="706">
        <v>0</v>
      </c>
      <c r="Q408" s="461"/>
      <c r="R408" s="461"/>
      <c r="S408" s="461"/>
      <c r="T408" s="461"/>
      <c r="U408" s="461"/>
      <c r="V408" s="461"/>
      <c r="W408" s="213">
        <f t="shared" si="13"/>
        <v>0</v>
      </c>
      <c r="X408" s="213">
        <f t="shared" si="14"/>
        <v>0</v>
      </c>
      <c r="Y408" s="213">
        <f t="shared" si="15"/>
        <v>336</v>
      </c>
    </row>
    <row r="409" spans="3:25" ht="14.5" hidden="1" outlineLevel="1" x14ac:dyDescent="0.35">
      <c r="C409" s="600" t="str">
        <f t="shared" si="12"/>
        <v>Infinitum Netflix 200 (Netflix 4 dispositivos)687.07</v>
      </c>
      <c r="D409" s="621" t="s">
        <v>1075</v>
      </c>
      <c r="E409" s="617">
        <v>687.07</v>
      </c>
      <c r="F409" s="733">
        <v>0</v>
      </c>
      <c r="G409" s="733">
        <v>0</v>
      </c>
      <c r="H409" s="733">
        <v>0</v>
      </c>
      <c r="I409" s="733">
        <v>0</v>
      </c>
      <c r="J409" s="733">
        <v>0</v>
      </c>
      <c r="K409" s="733">
        <v>467</v>
      </c>
      <c r="L409" s="706">
        <v>0</v>
      </c>
      <c r="M409" s="706">
        <v>0</v>
      </c>
      <c r="N409" s="706">
        <v>0</v>
      </c>
      <c r="O409" s="706">
        <v>256</v>
      </c>
      <c r="P409" s="706">
        <v>0</v>
      </c>
      <c r="Q409" s="461"/>
      <c r="R409" s="461"/>
      <c r="S409" s="461"/>
      <c r="T409" s="461"/>
      <c r="U409" s="461"/>
      <c r="V409" s="461"/>
      <c r="W409" s="213">
        <f t="shared" si="13"/>
        <v>0</v>
      </c>
      <c r="X409" s="213">
        <f t="shared" si="14"/>
        <v>0</v>
      </c>
      <c r="Y409" s="213">
        <f t="shared" si="15"/>
        <v>467</v>
      </c>
    </row>
    <row r="410" spans="3:25" ht="14.5" hidden="1" outlineLevel="1" x14ac:dyDescent="0.35">
      <c r="C410" s="600" t="str">
        <f t="shared" si="12"/>
        <v>Infinitum Netflix 200 (Netflix 2 dispositivos)637.07</v>
      </c>
      <c r="D410" s="621" t="s">
        <v>1076</v>
      </c>
      <c r="E410" s="617">
        <v>637.06999999999994</v>
      </c>
      <c r="F410" s="733">
        <v>0</v>
      </c>
      <c r="G410" s="733">
        <v>0</v>
      </c>
      <c r="H410" s="733">
        <v>0</v>
      </c>
      <c r="I410" s="733">
        <v>0</v>
      </c>
      <c r="J410" s="733">
        <v>0</v>
      </c>
      <c r="K410" s="733">
        <v>467</v>
      </c>
      <c r="L410" s="706">
        <v>0</v>
      </c>
      <c r="M410" s="706">
        <v>0</v>
      </c>
      <c r="N410" s="706">
        <v>0</v>
      </c>
      <c r="O410" s="706">
        <v>200</v>
      </c>
      <c r="P410" s="706">
        <v>0</v>
      </c>
      <c r="Q410" s="461"/>
      <c r="R410" s="461"/>
      <c r="S410" s="461"/>
      <c r="T410" s="461"/>
      <c r="U410" s="461"/>
      <c r="V410" s="461"/>
      <c r="W410" s="213">
        <f t="shared" si="13"/>
        <v>0</v>
      </c>
      <c r="X410" s="213">
        <f t="shared" si="14"/>
        <v>0</v>
      </c>
      <c r="Y410" s="213">
        <f t="shared" si="15"/>
        <v>467</v>
      </c>
    </row>
    <row r="411" spans="3:25" ht="14.5" hidden="1" outlineLevel="1" x14ac:dyDescent="0.35">
      <c r="C411" s="600" t="str">
        <f t="shared" si="12"/>
        <v>Infinitum Netflix 500 (Netflix 4 dispositivos)964.66</v>
      </c>
      <c r="D411" s="621" t="s">
        <v>1077</v>
      </c>
      <c r="E411" s="617">
        <v>964.66</v>
      </c>
      <c r="F411" s="733">
        <v>0</v>
      </c>
      <c r="G411" s="733">
        <v>0</v>
      </c>
      <c r="H411" s="733">
        <v>0</v>
      </c>
      <c r="I411" s="733">
        <v>0</v>
      </c>
      <c r="J411" s="733">
        <v>0</v>
      </c>
      <c r="K411" s="733">
        <v>840</v>
      </c>
      <c r="L411" s="706">
        <v>0</v>
      </c>
      <c r="M411" s="706">
        <v>0</v>
      </c>
      <c r="N411" s="706">
        <v>0</v>
      </c>
      <c r="O411" s="706">
        <v>259</v>
      </c>
      <c r="P411" s="706">
        <v>0</v>
      </c>
      <c r="Q411" s="461"/>
      <c r="R411" s="461"/>
      <c r="S411" s="461"/>
      <c r="T411" s="461"/>
      <c r="U411" s="461"/>
      <c r="V411" s="461"/>
      <c r="W411" s="213">
        <f t="shared" si="13"/>
        <v>0</v>
      </c>
      <c r="X411" s="213">
        <f t="shared" si="14"/>
        <v>0</v>
      </c>
      <c r="Y411" s="213">
        <f t="shared" si="15"/>
        <v>840</v>
      </c>
    </row>
    <row r="412" spans="3:25" ht="14.5" hidden="1" outlineLevel="1" x14ac:dyDescent="0.35">
      <c r="C412" s="600" t="str">
        <f t="shared" si="12"/>
        <v>Infinitum Netflix 500 (Netflix 2 dispositivos)919.82</v>
      </c>
      <c r="D412" s="621" t="s">
        <v>1078</v>
      </c>
      <c r="E412" s="617">
        <v>919.81999999999994</v>
      </c>
      <c r="F412" s="733">
        <v>0</v>
      </c>
      <c r="G412" s="733">
        <v>0</v>
      </c>
      <c r="H412" s="733">
        <v>0</v>
      </c>
      <c r="I412" s="733">
        <v>0</v>
      </c>
      <c r="J412" s="733">
        <v>0</v>
      </c>
      <c r="K412" s="733">
        <v>684</v>
      </c>
      <c r="L412" s="706">
        <v>0</v>
      </c>
      <c r="M412" s="706">
        <v>0</v>
      </c>
      <c r="N412" s="706">
        <v>0</v>
      </c>
      <c r="O412" s="706">
        <v>171</v>
      </c>
      <c r="P412" s="706">
        <v>0</v>
      </c>
      <c r="Q412" s="461"/>
      <c r="R412" s="461"/>
      <c r="S412" s="461"/>
      <c r="T412" s="461"/>
      <c r="U412" s="461"/>
      <c r="V412" s="461"/>
      <c r="W412" s="213">
        <f t="shared" si="13"/>
        <v>0</v>
      </c>
      <c r="X412" s="213">
        <f t="shared" si="14"/>
        <v>0</v>
      </c>
      <c r="Y412" s="213">
        <f t="shared" si="15"/>
        <v>684</v>
      </c>
    </row>
    <row r="413" spans="3:25" ht="14.5" hidden="1" outlineLevel="1" x14ac:dyDescent="0.35">
      <c r="C413" s="600" t="str">
        <f t="shared" si="12"/>
        <v>Paquete Conectes Negocio Netflix (Netflix 1 dispositivo)440.68</v>
      </c>
      <c r="D413" s="621" t="s">
        <v>1079</v>
      </c>
      <c r="E413" s="622">
        <v>440.68</v>
      </c>
      <c r="F413" s="733">
        <v>255</v>
      </c>
      <c r="G413" s="733">
        <v>15</v>
      </c>
      <c r="H413" s="733">
        <v>1</v>
      </c>
      <c r="I413" s="733">
        <v>1</v>
      </c>
      <c r="J413" s="733">
        <v>10</v>
      </c>
      <c r="K413" s="733">
        <v>81</v>
      </c>
      <c r="L413" s="706">
        <v>0</v>
      </c>
      <c r="M413" s="706">
        <v>0</v>
      </c>
      <c r="N413" s="706">
        <v>0</v>
      </c>
      <c r="O413" s="706">
        <v>146</v>
      </c>
      <c r="P413" s="706">
        <v>0</v>
      </c>
      <c r="Q413" s="461"/>
      <c r="R413" s="461"/>
      <c r="S413" s="461"/>
      <c r="T413" s="461"/>
      <c r="U413" s="461"/>
      <c r="V413" s="461"/>
      <c r="W413" s="213">
        <f t="shared" si="13"/>
        <v>255</v>
      </c>
      <c r="X413" s="213">
        <f t="shared" si="14"/>
        <v>27</v>
      </c>
      <c r="Y413" s="213">
        <f t="shared" si="15"/>
        <v>81</v>
      </c>
    </row>
    <row r="414" spans="3:25" ht="14.5" hidden="1" outlineLevel="1" x14ac:dyDescent="0.35">
      <c r="C414" s="600" t="str">
        <f t="shared" si="12"/>
        <v>Paquete Conectes Negocio Netflix (Netflix 2 dispositivos)509.64</v>
      </c>
      <c r="D414" s="621" t="s">
        <v>1080</v>
      </c>
      <c r="E414" s="622">
        <v>509.64</v>
      </c>
      <c r="F414" s="733">
        <v>226</v>
      </c>
      <c r="G414" s="733">
        <v>17</v>
      </c>
      <c r="H414" s="733">
        <v>1</v>
      </c>
      <c r="I414" s="733">
        <v>1</v>
      </c>
      <c r="J414" s="733">
        <v>10</v>
      </c>
      <c r="K414" s="733">
        <v>109</v>
      </c>
      <c r="L414" s="706">
        <v>0</v>
      </c>
      <c r="M414" s="706">
        <v>0</v>
      </c>
      <c r="N414" s="706">
        <v>0</v>
      </c>
      <c r="O414" s="706">
        <v>154</v>
      </c>
      <c r="P414" s="706">
        <v>0</v>
      </c>
      <c r="Q414" s="461"/>
      <c r="R414" s="461"/>
      <c r="S414" s="461"/>
      <c r="T414" s="461"/>
      <c r="U414" s="461"/>
      <c r="V414" s="461"/>
      <c r="W414" s="213">
        <f t="shared" si="13"/>
        <v>226</v>
      </c>
      <c r="X414" s="213">
        <f t="shared" si="14"/>
        <v>29</v>
      </c>
      <c r="Y414" s="213">
        <f t="shared" si="15"/>
        <v>109</v>
      </c>
    </row>
    <row r="415" spans="3:25" ht="14.5" hidden="1" outlineLevel="1" x14ac:dyDescent="0.35">
      <c r="C415" s="600" t="str">
        <f t="shared" si="12"/>
        <v>Paquete Conectes Negocio Netflix (Netflix 4 dispositivos)578.61</v>
      </c>
      <c r="D415" s="621" t="s">
        <v>1081</v>
      </c>
      <c r="E415" s="622">
        <v>578.61</v>
      </c>
      <c r="F415" s="733">
        <v>203</v>
      </c>
      <c r="G415" s="733">
        <v>15</v>
      </c>
      <c r="H415" s="733">
        <v>1</v>
      </c>
      <c r="I415" s="733">
        <v>1</v>
      </c>
      <c r="J415" s="733">
        <v>13</v>
      </c>
      <c r="K415" s="733">
        <v>96</v>
      </c>
      <c r="L415" s="706">
        <v>0</v>
      </c>
      <c r="M415" s="706">
        <v>0</v>
      </c>
      <c r="N415" s="706">
        <v>0</v>
      </c>
      <c r="O415" s="706">
        <v>233</v>
      </c>
      <c r="P415" s="706">
        <v>0</v>
      </c>
      <c r="Q415" s="461"/>
      <c r="R415" s="461"/>
      <c r="S415" s="461"/>
      <c r="T415" s="461"/>
      <c r="U415" s="461"/>
      <c r="V415" s="461"/>
      <c r="W415" s="213">
        <f t="shared" si="13"/>
        <v>203</v>
      </c>
      <c r="X415" s="213">
        <f t="shared" si="14"/>
        <v>30</v>
      </c>
      <c r="Y415" s="213">
        <f t="shared" si="15"/>
        <v>96</v>
      </c>
    </row>
    <row r="416" spans="3:25" ht="14.5" hidden="1" outlineLevel="1" x14ac:dyDescent="0.35">
      <c r="C416" s="600" t="str">
        <f t="shared" si="12"/>
        <v>Paquete Mi Negocio Netflix (Netflix 2 dispositivos)627.85</v>
      </c>
      <c r="D416" s="621" t="s">
        <v>1082</v>
      </c>
      <c r="E416" s="622">
        <v>627.85</v>
      </c>
      <c r="F416" s="733">
        <v>184</v>
      </c>
      <c r="G416" s="733">
        <v>24</v>
      </c>
      <c r="H416" s="733">
        <v>1</v>
      </c>
      <c r="I416" s="733">
        <v>1</v>
      </c>
      <c r="J416" s="733">
        <v>12</v>
      </c>
      <c r="K416" s="733">
        <v>191</v>
      </c>
      <c r="L416" s="706">
        <v>0</v>
      </c>
      <c r="M416" s="706">
        <v>0</v>
      </c>
      <c r="N416" s="706">
        <v>0</v>
      </c>
      <c r="O416" s="706">
        <v>137</v>
      </c>
      <c r="P416" s="706">
        <v>0</v>
      </c>
      <c r="Q416" s="461"/>
      <c r="R416" s="461"/>
      <c r="S416" s="461"/>
      <c r="T416" s="461"/>
      <c r="U416" s="461"/>
      <c r="V416" s="461"/>
      <c r="W416" s="213">
        <f t="shared" si="13"/>
        <v>184</v>
      </c>
      <c r="X416" s="213">
        <f t="shared" si="14"/>
        <v>38</v>
      </c>
      <c r="Y416" s="213">
        <f t="shared" si="15"/>
        <v>191</v>
      </c>
    </row>
    <row r="417" spans="3:25" ht="14.5" hidden="1" outlineLevel="1" x14ac:dyDescent="0.35">
      <c r="C417" s="600" t="str">
        <f t="shared" si="12"/>
        <v>Paquete Mi Negocio Netflix (Netflix 4 dispositivos)696.81</v>
      </c>
      <c r="D417" s="621" t="s">
        <v>1083</v>
      </c>
      <c r="E417" s="622">
        <v>696.81</v>
      </c>
      <c r="F417" s="733">
        <v>211</v>
      </c>
      <c r="G417" s="733">
        <v>30</v>
      </c>
      <c r="H417" s="733">
        <v>1</v>
      </c>
      <c r="I417" s="733">
        <v>1</v>
      </c>
      <c r="J417" s="733">
        <v>13</v>
      </c>
      <c r="K417" s="733">
        <v>187</v>
      </c>
      <c r="L417" s="706">
        <v>0</v>
      </c>
      <c r="M417" s="706">
        <v>0</v>
      </c>
      <c r="N417" s="706">
        <v>0</v>
      </c>
      <c r="O417" s="706">
        <v>250</v>
      </c>
      <c r="P417" s="706">
        <v>0</v>
      </c>
      <c r="Q417" s="461"/>
      <c r="R417" s="461"/>
      <c r="S417" s="461"/>
      <c r="T417" s="461"/>
      <c r="U417" s="461"/>
      <c r="V417" s="461"/>
      <c r="W417" s="213">
        <f t="shared" si="13"/>
        <v>211</v>
      </c>
      <c r="X417" s="213">
        <f t="shared" si="14"/>
        <v>45</v>
      </c>
      <c r="Y417" s="213">
        <f t="shared" si="15"/>
        <v>187</v>
      </c>
    </row>
    <row r="418" spans="3:25" ht="14.5" hidden="1" outlineLevel="1" x14ac:dyDescent="0.35">
      <c r="C418" s="600" t="str">
        <f t="shared" si="12"/>
        <v>Paquete Supernegocio Netflix (Netflix 2 dispositivos)838.93</v>
      </c>
      <c r="D418" s="621" t="s">
        <v>1084</v>
      </c>
      <c r="E418" s="622">
        <v>838.93</v>
      </c>
      <c r="F418" s="733">
        <v>197</v>
      </c>
      <c r="G418" s="733">
        <v>43</v>
      </c>
      <c r="H418" s="733">
        <v>1</v>
      </c>
      <c r="I418" s="733">
        <v>1</v>
      </c>
      <c r="J418" s="733">
        <v>14</v>
      </c>
      <c r="K418" s="733">
        <v>456</v>
      </c>
      <c r="L418" s="706">
        <v>0</v>
      </c>
      <c r="M418" s="706">
        <v>0</v>
      </c>
      <c r="N418" s="706">
        <v>0</v>
      </c>
      <c r="O418" s="706">
        <v>173</v>
      </c>
      <c r="P418" s="706">
        <v>0</v>
      </c>
      <c r="Q418" s="461"/>
      <c r="R418" s="461"/>
      <c r="S418" s="461"/>
      <c r="T418" s="461"/>
      <c r="U418" s="461"/>
      <c r="V418" s="461"/>
      <c r="W418" s="213">
        <f t="shared" si="13"/>
        <v>197</v>
      </c>
      <c r="X418" s="213">
        <f t="shared" si="14"/>
        <v>59</v>
      </c>
      <c r="Y418" s="213">
        <f t="shared" si="15"/>
        <v>456</v>
      </c>
    </row>
    <row r="419" spans="3:25" ht="14.5" hidden="1" outlineLevel="1" x14ac:dyDescent="0.35">
      <c r="C419" s="600" t="str">
        <f t="shared" si="12"/>
        <v>Paquete Supernegocio Netflix (Netflix 4 dispositivos)889.32</v>
      </c>
      <c r="D419" s="621" t="s">
        <v>1085</v>
      </c>
      <c r="E419" s="622">
        <v>889.31999999999994</v>
      </c>
      <c r="F419" s="733">
        <v>170</v>
      </c>
      <c r="G419" s="733">
        <v>32</v>
      </c>
      <c r="H419" s="733">
        <v>1</v>
      </c>
      <c r="I419" s="733">
        <v>1</v>
      </c>
      <c r="J419" s="733">
        <v>13</v>
      </c>
      <c r="K419" s="733">
        <v>428</v>
      </c>
      <c r="L419" s="706">
        <v>0</v>
      </c>
      <c r="M419" s="706">
        <v>0</v>
      </c>
      <c r="N419" s="706">
        <v>0</v>
      </c>
      <c r="O419" s="706">
        <v>195</v>
      </c>
      <c r="P419" s="706">
        <v>0</v>
      </c>
      <c r="Q419" s="461"/>
      <c r="R419" s="461"/>
      <c r="S419" s="461"/>
      <c r="T419" s="461"/>
      <c r="U419" s="461"/>
      <c r="V419" s="461"/>
      <c r="W419" s="213">
        <f t="shared" si="13"/>
        <v>170</v>
      </c>
      <c r="X419" s="213">
        <f t="shared" si="14"/>
        <v>47</v>
      </c>
      <c r="Y419" s="213">
        <f t="shared" si="15"/>
        <v>428</v>
      </c>
    </row>
    <row r="420" spans="3:25" ht="14.5" hidden="1" outlineLevel="1" x14ac:dyDescent="0.35">
      <c r="C420" s="600" t="str">
        <f t="shared" si="12"/>
        <v>Infinitum Netflix Negocio 50 (Netflix 1 dispositivo)404.31</v>
      </c>
      <c r="D420" s="621" t="s">
        <v>1086</v>
      </c>
      <c r="E420" s="622">
        <v>404.31</v>
      </c>
      <c r="F420" s="733">
        <v>0</v>
      </c>
      <c r="G420" s="733">
        <v>0</v>
      </c>
      <c r="H420" s="733">
        <v>0</v>
      </c>
      <c r="I420" s="733">
        <v>0</v>
      </c>
      <c r="J420" s="733">
        <v>0</v>
      </c>
      <c r="K420" s="733">
        <v>329</v>
      </c>
      <c r="L420" s="706">
        <v>0</v>
      </c>
      <c r="M420" s="706">
        <v>0</v>
      </c>
      <c r="N420" s="706">
        <v>0</v>
      </c>
      <c r="O420" s="706">
        <v>138</v>
      </c>
      <c r="P420" s="706">
        <v>0</v>
      </c>
      <c r="Q420" s="461"/>
      <c r="R420" s="461"/>
      <c r="S420" s="461"/>
      <c r="T420" s="461"/>
      <c r="U420" s="461"/>
      <c r="V420" s="461"/>
      <c r="W420" s="213">
        <f t="shared" si="13"/>
        <v>0</v>
      </c>
      <c r="X420" s="213">
        <f t="shared" si="14"/>
        <v>0</v>
      </c>
      <c r="Y420" s="213">
        <f t="shared" si="15"/>
        <v>329</v>
      </c>
    </row>
    <row r="421" spans="3:25" ht="14.5" hidden="1" outlineLevel="1" x14ac:dyDescent="0.35">
      <c r="C421" s="600" t="str">
        <f t="shared" si="12"/>
        <v>Infinitum Netflix Negocio 50 (Netflix 2 dispositivos)473.27</v>
      </c>
      <c r="D421" s="621" t="s">
        <v>1087</v>
      </c>
      <c r="E421" s="622">
        <v>473.27</v>
      </c>
      <c r="F421" s="733">
        <v>0</v>
      </c>
      <c r="G421" s="733">
        <v>0</v>
      </c>
      <c r="H421" s="733">
        <v>0</v>
      </c>
      <c r="I421" s="733">
        <v>0</v>
      </c>
      <c r="J421" s="733">
        <v>0</v>
      </c>
      <c r="K421" s="733">
        <v>312</v>
      </c>
      <c r="L421" s="706">
        <v>0</v>
      </c>
      <c r="M421" s="706">
        <v>0</v>
      </c>
      <c r="N421" s="706">
        <v>0</v>
      </c>
      <c r="O421" s="706">
        <v>158</v>
      </c>
      <c r="P421" s="706">
        <v>0</v>
      </c>
      <c r="Q421" s="461"/>
      <c r="R421" s="461"/>
      <c r="S421" s="461"/>
      <c r="T421" s="461"/>
      <c r="U421" s="461"/>
      <c r="V421" s="461"/>
      <c r="W421" s="213">
        <f t="shared" si="13"/>
        <v>0</v>
      </c>
      <c r="X421" s="213">
        <f t="shared" si="14"/>
        <v>0</v>
      </c>
      <c r="Y421" s="213">
        <f t="shared" si="15"/>
        <v>312</v>
      </c>
    </row>
    <row r="422" spans="3:25" ht="14.5" hidden="1" outlineLevel="1" x14ac:dyDescent="0.35">
      <c r="C422" s="600" t="str">
        <f t="shared" si="12"/>
        <v>Infinitum Netflix Negocio 50 (Netflix 4 dispositivos)542.24</v>
      </c>
      <c r="D422" s="621" t="s">
        <v>1088</v>
      </c>
      <c r="E422" s="622">
        <v>542.24</v>
      </c>
      <c r="F422" s="733">
        <v>0</v>
      </c>
      <c r="G422" s="733">
        <v>0</v>
      </c>
      <c r="H422" s="733">
        <v>0</v>
      </c>
      <c r="I422" s="733">
        <v>0</v>
      </c>
      <c r="J422" s="733">
        <v>0</v>
      </c>
      <c r="K422" s="733">
        <v>295</v>
      </c>
      <c r="L422" s="706">
        <v>0</v>
      </c>
      <c r="M422" s="706">
        <v>0</v>
      </c>
      <c r="N422" s="706">
        <v>0</v>
      </c>
      <c r="O422" s="706">
        <v>275</v>
      </c>
      <c r="P422" s="706">
        <v>0</v>
      </c>
      <c r="Q422" s="461"/>
      <c r="R422" s="461"/>
      <c r="S422" s="461"/>
      <c r="T422" s="461"/>
      <c r="U422" s="461"/>
      <c r="V422" s="461"/>
      <c r="W422" s="213">
        <f t="shared" si="13"/>
        <v>0</v>
      </c>
      <c r="X422" s="213">
        <f t="shared" si="14"/>
        <v>0</v>
      </c>
      <c r="Y422" s="213">
        <f t="shared" si="15"/>
        <v>295</v>
      </c>
    </row>
    <row r="423" spans="3:25" ht="14.5" hidden="1" outlineLevel="1" x14ac:dyDescent="0.35">
      <c r="C423" s="600" t="str">
        <f t="shared" si="12"/>
        <v>Infinitum Netflix Negocio 60 (Netflix 2 dispositivos)511.2</v>
      </c>
      <c r="D423" s="621" t="s">
        <v>1089</v>
      </c>
      <c r="E423" s="622">
        <v>511.2</v>
      </c>
      <c r="F423" s="733">
        <v>0</v>
      </c>
      <c r="G423" s="733">
        <v>0</v>
      </c>
      <c r="H423" s="733">
        <v>0</v>
      </c>
      <c r="I423" s="733">
        <v>0</v>
      </c>
      <c r="J423" s="733">
        <v>0</v>
      </c>
      <c r="K423" s="733">
        <v>390</v>
      </c>
      <c r="L423" s="706">
        <v>0</v>
      </c>
      <c r="M423" s="706">
        <v>0</v>
      </c>
      <c r="N423" s="706">
        <v>0</v>
      </c>
      <c r="O423" s="706">
        <v>202</v>
      </c>
      <c r="P423" s="706">
        <v>0</v>
      </c>
      <c r="Q423" s="461"/>
      <c r="R423" s="461"/>
      <c r="S423" s="461"/>
      <c r="T423" s="461"/>
      <c r="U423" s="461"/>
      <c r="V423" s="461"/>
      <c r="W423" s="213">
        <f t="shared" si="13"/>
        <v>0</v>
      </c>
      <c r="X423" s="213">
        <f t="shared" si="14"/>
        <v>0</v>
      </c>
      <c r="Y423" s="213">
        <f t="shared" si="15"/>
        <v>390</v>
      </c>
    </row>
    <row r="424" spans="3:25" ht="14.5" hidden="1" outlineLevel="1" x14ac:dyDescent="0.35">
      <c r="C424" s="600" t="str">
        <f t="shared" si="12"/>
        <v>Infinitum Netflix Negocio 60 (Netflix 4 dispositivos)580.17</v>
      </c>
      <c r="D424" s="621" t="s">
        <v>1090</v>
      </c>
      <c r="E424" s="622">
        <v>580.17000000000007</v>
      </c>
      <c r="F424" s="733">
        <v>0</v>
      </c>
      <c r="G424" s="733">
        <v>0</v>
      </c>
      <c r="H424" s="733">
        <v>0</v>
      </c>
      <c r="I424" s="733">
        <v>0</v>
      </c>
      <c r="J424" s="733">
        <v>0</v>
      </c>
      <c r="K424" s="733">
        <v>247</v>
      </c>
      <c r="L424" s="706">
        <v>0</v>
      </c>
      <c r="M424" s="706">
        <v>0</v>
      </c>
      <c r="N424" s="706">
        <v>0</v>
      </c>
      <c r="O424" s="706">
        <v>240</v>
      </c>
      <c r="P424" s="706">
        <v>0</v>
      </c>
      <c r="Q424" s="461"/>
      <c r="R424" s="461"/>
      <c r="S424" s="461"/>
      <c r="T424" s="461"/>
      <c r="U424" s="461"/>
      <c r="V424" s="461"/>
      <c r="W424" s="213">
        <f t="shared" si="13"/>
        <v>0</v>
      </c>
      <c r="X424" s="213">
        <f t="shared" si="14"/>
        <v>0</v>
      </c>
      <c r="Y424" s="213">
        <f t="shared" si="15"/>
        <v>247</v>
      </c>
    </row>
    <row r="425" spans="3:25" ht="14.5" hidden="1" outlineLevel="1" x14ac:dyDescent="0.35">
      <c r="C425" s="600" t="str">
        <f t="shared" ref="C425:C479" si="16">D425&amp;E425</f>
        <v>Infinitum Netflix Negocio 100 (Netflix 2 dispositivos)550.86</v>
      </c>
      <c r="D425" s="621" t="s">
        <v>1290</v>
      </c>
      <c r="E425" s="622">
        <v>550.86</v>
      </c>
      <c r="F425" s="733">
        <v>0</v>
      </c>
      <c r="G425" s="733">
        <v>0</v>
      </c>
      <c r="H425" s="733">
        <v>0</v>
      </c>
      <c r="I425" s="733">
        <v>0</v>
      </c>
      <c r="J425" s="733">
        <v>0</v>
      </c>
      <c r="K425" s="733">
        <v>354</v>
      </c>
      <c r="L425" s="706">
        <v>0</v>
      </c>
      <c r="M425" s="706">
        <v>0</v>
      </c>
      <c r="N425" s="706">
        <v>0</v>
      </c>
      <c r="O425" s="706">
        <v>172</v>
      </c>
      <c r="P425" s="706">
        <v>0</v>
      </c>
      <c r="Q425" s="461"/>
      <c r="R425" s="461"/>
      <c r="S425" s="461"/>
      <c r="T425" s="461"/>
      <c r="U425" s="461"/>
      <c r="V425" s="461"/>
      <c r="W425" s="213">
        <f t="shared" ref="W425:W480" si="17">F425</f>
        <v>0</v>
      </c>
      <c r="X425" s="213">
        <f t="shared" ref="X425:X480" si="18">SUM(G425:J425)</f>
        <v>0</v>
      </c>
      <c r="Y425" s="213">
        <f t="shared" ref="Y425:Y480" si="19">K425</f>
        <v>354</v>
      </c>
    </row>
    <row r="426" spans="3:25" ht="14.5" hidden="1" outlineLevel="1" x14ac:dyDescent="0.35">
      <c r="C426" s="600" t="str">
        <f t="shared" si="16"/>
        <v>Infinitum Netflix Negocio 100 (Netflix 4 dispositivos)619.83</v>
      </c>
      <c r="D426" s="621" t="s">
        <v>1291</v>
      </c>
      <c r="E426" s="622">
        <v>619.83000000000004</v>
      </c>
      <c r="F426" s="733">
        <v>0</v>
      </c>
      <c r="G426" s="733">
        <v>0</v>
      </c>
      <c r="H426" s="733">
        <v>0</v>
      </c>
      <c r="I426" s="733">
        <v>0</v>
      </c>
      <c r="J426" s="733">
        <v>0</v>
      </c>
      <c r="K426" s="733">
        <v>388</v>
      </c>
      <c r="L426" s="706">
        <v>0</v>
      </c>
      <c r="M426" s="706">
        <v>0</v>
      </c>
      <c r="N426" s="706">
        <v>0</v>
      </c>
      <c r="O426" s="706">
        <v>303</v>
      </c>
      <c r="P426" s="706">
        <v>0</v>
      </c>
      <c r="Q426" s="461"/>
      <c r="R426" s="461"/>
      <c r="S426" s="461"/>
      <c r="T426" s="461"/>
      <c r="U426" s="461"/>
      <c r="V426" s="461"/>
      <c r="W426" s="213">
        <f t="shared" si="17"/>
        <v>0</v>
      </c>
      <c r="X426" s="213">
        <f t="shared" si="18"/>
        <v>0</v>
      </c>
      <c r="Y426" s="213">
        <f t="shared" si="19"/>
        <v>388</v>
      </c>
    </row>
    <row r="427" spans="3:25" ht="14.5" hidden="1" outlineLevel="1" x14ac:dyDescent="0.35">
      <c r="C427" s="600" t="str">
        <f t="shared" si="16"/>
        <v>Infinitum Netflix Negocio 200 (Netflix 4 dispositivos)687.07</v>
      </c>
      <c r="D427" s="621" t="s">
        <v>1091</v>
      </c>
      <c r="E427" s="622">
        <v>687.07</v>
      </c>
      <c r="F427" s="733">
        <v>0</v>
      </c>
      <c r="G427" s="733">
        <v>0</v>
      </c>
      <c r="H427" s="733">
        <v>0</v>
      </c>
      <c r="I427" s="733">
        <v>0</v>
      </c>
      <c r="J427" s="733">
        <v>0</v>
      </c>
      <c r="K427" s="733">
        <v>395</v>
      </c>
      <c r="L427" s="706">
        <v>0</v>
      </c>
      <c r="M427" s="706">
        <v>0</v>
      </c>
      <c r="N427" s="706">
        <v>0</v>
      </c>
      <c r="O427" s="706">
        <v>196</v>
      </c>
      <c r="P427" s="706">
        <v>0</v>
      </c>
      <c r="Q427" s="461"/>
      <c r="R427" s="461"/>
      <c r="S427" s="461"/>
      <c r="T427" s="461"/>
      <c r="U427" s="461"/>
      <c r="V427" s="461"/>
      <c r="W427" s="213">
        <f t="shared" si="17"/>
        <v>0</v>
      </c>
      <c r="X427" s="213">
        <f t="shared" si="18"/>
        <v>0</v>
      </c>
      <c r="Y427" s="213">
        <f t="shared" si="19"/>
        <v>395</v>
      </c>
    </row>
    <row r="428" spans="3:25" ht="14.5" hidden="1" outlineLevel="1" x14ac:dyDescent="0.35">
      <c r="C428" s="600" t="str">
        <f t="shared" si="16"/>
        <v>Infinitum Netflix Negocio 200 (Netflix 2 dispositivos)637.07</v>
      </c>
      <c r="D428" s="621" t="s">
        <v>1092</v>
      </c>
      <c r="E428" s="622">
        <v>637.06999999999994</v>
      </c>
      <c r="F428" s="733">
        <v>0</v>
      </c>
      <c r="G428" s="733">
        <v>0</v>
      </c>
      <c r="H428" s="733">
        <v>0</v>
      </c>
      <c r="I428" s="733">
        <v>0</v>
      </c>
      <c r="J428" s="733">
        <v>0</v>
      </c>
      <c r="K428" s="733">
        <v>455</v>
      </c>
      <c r="L428" s="706">
        <v>0</v>
      </c>
      <c r="M428" s="706">
        <v>0</v>
      </c>
      <c r="N428" s="706">
        <v>0</v>
      </c>
      <c r="O428" s="706">
        <v>173</v>
      </c>
      <c r="P428" s="706">
        <v>0</v>
      </c>
      <c r="Q428" s="461"/>
      <c r="R428" s="461"/>
      <c r="S428" s="461"/>
      <c r="T428" s="461"/>
      <c r="U428" s="461"/>
      <c r="V428" s="461"/>
      <c r="W428" s="213">
        <f t="shared" si="17"/>
        <v>0</v>
      </c>
      <c r="X428" s="213">
        <f t="shared" si="18"/>
        <v>0</v>
      </c>
      <c r="Y428" s="213">
        <f t="shared" si="19"/>
        <v>455</v>
      </c>
    </row>
    <row r="429" spans="3:25" ht="14.5" hidden="1" outlineLevel="1" x14ac:dyDescent="0.35">
      <c r="C429" s="600" t="str">
        <f t="shared" si="16"/>
        <v>Infinitum Netflix Negocio 500 (Netflix 4 dispositivos)964.66</v>
      </c>
      <c r="D429" s="621" t="s">
        <v>1093</v>
      </c>
      <c r="E429" s="622">
        <v>964.66</v>
      </c>
      <c r="F429" s="733">
        <v>0</v>
      </c>
      <c r="G429" s="733">
        <v>0</v>
      </c>
      <c r="H429" s="733">
        <v>0</v>
      </c>
      <c r="I429" s="733">
        <v>0</v>
      </c>
      <c r="J429" s="733">
        <v>0</v>
      </c>
      <c r="K429" s="733">
        <v>609</v>
      </c>
      <c r="L429" s="706">
        <v>0</v>
      </c>
      <c r="M429" s="706">
        <v>0</v>
      </c>
      <c r="N429" s="706">
        <v>0</v>
      </c>
      <c r="O429" s="706">
        <v>284</v>
      </c>
      <c r="P429" s="706">
        <v>0</v>
      </c>
      <c r="Q429" s="461"/>
      <c r="R429" s="461"/>
      <c r="S429" s="461"/>
      <c r="T429" s="461"/>
      <c r="U429" s="461"/>
      <c r="V429" s="461"/>
      <c r="W429" s="213">
        <f t="shared" si="17"/>
        <v>0</v>
      </c>
      <c r="X429" s="213">
        <f t="shared" si="18"/>
        <v>0</v>
      </c>
      <c r="Y429" s="213">
        <f t="shared" si="19"/>
        <v>609</v>
      </c>
    </row>
    <row r="430" spans="3:25" ht="14.5" hidden="1" outlineLevel="1" x14ac:dyDescent="0.35">
      <c r="C430" s="600" t="str">
        <f t="shared" si="16"/>
        <v>Infinitum Netflix Negocio 500 (Netflix 2 dispositivos)919.82</v>
      </c>
      <c r="D430" s="621" t="s">
        <v>1094</v>
      </c>
      <c r="E430" s="622">
        <v>919.81999999999994</v>
      </c>
      <c r="F430" s="733">
        <v>0</v>
      </c>
      <c r="G430" s="733">
        <v>0</v>
      </c>
      <c r="H430" s="733">
        <v>0</v>
      </c>
      <c r="I430" s="733">
        <v>0</v>
      </c>
      <c r="J430" s="733">
        <v>0</v>
      </c>
      <c r="K430" s="733">
        <v>887</v>
      </c>
      <c r="L430" s="706">
        <v>0</v>
      </c>
      <c r="M430" s="706">
        <v>0</v>
      </c>
      <c r="N430" s="706">
        <v>0</v>
      </c>
      <c r="O430" s="706">
        <v>234</v>
      </c>
      <c r="P430" s="706">
        <v>0</v>
      </c>
      <c r="Q430" s="461"/>
      <c r="R430" s="461"/>
      <c r="S430" s="461"/>
      <c r="T430" s="461"/>
      <c r="U430" s="461"/>
      <c r="V430" s="461"/>
      <c r="W430" s="213">
        <f t="shared" si="17"/>
        <v>0</v>
      </c>
      <c r="X430" s="213">
        <f t="shared" si="18"/>
        <v>0</v>
      </c>
      <c r="Y430" s="213">
        <f t="shared" si="19"/>
        <v>887</v>
      </c>
    </row>
    <row r="431" spans="3:25" ht="14.5" hidden="1" outlineLevel="1" x14ac:dyDescent="0.35">
      <c r="C431" s="600" t="str">
        <f t="shared" si="16"/>
        <v>Paquete Infinitum Entretenimiento 30367.29</v>
      </c>
      <c r="D431" s="621" t="s">
        <v>1095</v>
      </c>
      <c r="E431" s="622">
        <v>367.29</v>
      </c>
      <c r="F431" s="733">
        <v>203</v>
      </c>
      <c r="G431" s="733">
        <v>14</v>
      </c>
      <c r="H431" s="733">
        <v>4</v>
      </c>
      <c r="I431" s="733">
        <v>1</v>
      </c>
      <c r="J431" s="733">
        <v>15</v>
      </c>
      <c r="K431" s="733">
        <v>196</v>
      </c>
      <c r="L431" s="706">
        <v>0</v>
      </c>
      <c r="M431" s="706">
        <v>0</v>
      </c>
      <c r="N431" s="706">
        <v>0</v>
      </c>
      <c r="O431" s="706">
        <v>0</v>
      </c>
      <c r="P431" s="706">
        <v>0</v>
      </c>
      <c r="Q431" s="461"/>
      <c r="R431" s="461"/>
      <c r="S431" s="461"/>
      <c r="T431" s="461"/>
      <c r="U431" s="461"/>
      <c r="V431" s="461"/>
      <c r="W431" s="213">
        <f t="shared" si="17"/>
        <v>203</v>
      </c>
      <c r="X431" s="213">
        <f t="shared" si="18"/>
        <v>34</v>
      </c>
      <c r="Y431" s="213">
        <f t="shared" si="19"/>
        <v>196</v>
      </c>
    </row>
    <row r="432" spans="3:25" ht="14.5" hidden="1" outlineLevel="1" x14ac:dyDescent="0.35">
      <c r="C432" s="600" t="str">
        <f t="shared" si="16"/>
        <v>Paquete Infinitum  Entretenimiento 40388.4</v>
      </c>
      <c r="D432" s="621" t="s">
        <v>1096</v>
      </c>
      <c r="E432" s="622">
        <v>388.4</v>
      </c>
      <c r="F432" s="733">
        <v>166</v>
      </c>
      <c r="G432" s="733">
        <v>12</v>
      </c>
      <c r="H432" s="733">
        <v>4</v>
      </c>
      <c r="I432" s="733">
        <v>1</v>
      </c>
      <c r="J432" s="733">
        <v>13</v>
      </c>
      <c r="K432" s="733">
        <v>167</v>
      </c>
      <c r="L432" s="706">
        <v>0</v>
      </c>
      <c r="M432" s="706">
        <v>0</v>
      </c>
      <c r="N432" s="706">
        <v>0</v>
      </c>
      <c r="O432" s="706">
        <v>0</v>
      </c>
      <c r="P432" s="706">
        <v>0</v>
      </c>
      <c r="Q432" s="461"/>
      <c r="R432" s="461"/>
      <c r="S432" s="461"/>
      <c r="T432" s="461"/>
      <c r="U432" s="461"/>
      <c r="V432" s="461"/>
      <c r="W432" s="213">
        <f t="shared" si="17"/>
        <v>166</v>
      </c>
      <c r="X432" s="213">
        <f t="shared" si="18"/>
        <v>30</v>
      </c>
      <c r="Y432" s="213">
        <f t="shared" si="19"/>
        <v>167</v>
      </c>
    </row>
    <row r="433" spans="3:25" ht="14.5" hidden="1" outlineLevel="1" x14ac:dyDescent="0.35">
      <c r="C433" s="600" t="str">
        <f t="shared" si="16"/>
        <v>Paquete Infinitum Entretenimiento 50463.54</v>
      </c>
      <c r="D433" s="621" t="s">
        <v>1097</v>
      </c>
      <c r="E433" s="622">
        <v>463.54</v>
      </c>
      <c r="F433" s="733">
        <v>123</v>
      </c>
      <c r="G433" s="733">
        <v>19</v>
      </c>
      <c r="H433" s="733">
        <v>5</v>
      </c>
      <c r="I433" s="733">
        <v>1</v>
      </c>
      <c r="J433" s="733">
        <v>16</v>
      </c>
      <c r="K433" s="733">
        <v>339</v>
      </c>
      <c r="L433" s="706">
        <v>0</v>
      </c>
      <c r="M433" s="706">
        <v>0</v>
      </c>
      <c r="N433" s="706">
        <v>0</v>
      </c>
      <c r="O433" s="706">
        <v>0</v>
      </c>
      <c r="P433" s="706">
        <v>0</v>
      </c>
      <c r="Q433" s="461"/>
      <c r="R433" s="461"/>
      <c r="S433" s="461"/>
      <c r="T433" s="461"/>
      <c r="U433" s="461"/>
      <c r="V433" s="461"/>
      <c r="W433" s="213">
        <f t="shared" si="17"/>
        <v>123</v>
      </c>
      <c r="X433" s="213">
        <f t="shared" si="18"/>
        <v>41</v>
      </c>
      <c r="Y433" s="213">
        <f t="shared" si="19"/>
        <v>339</v>
      </c>
    </row>
    <row r="434" spans="3:25" ht="14.5" hidden="1" outlineLevel="1" x14ac:dyDescent="0.35">
      <c r="C434" s="600" t="str">
        <f t="shared" si="16"/>
        <v>Paquete Infinitum Entretenimiento 250607.08</v>
      </c>
      <c r="D434" s="621" t="s">
        <v>1098</v>
      </c>
      <c r="E434" s="622">
        <v>607.08000000000004</v>
      </c>
      <c r="F434" s="733">
        <v>203</v>
      </c>
      <c r="G434" s="733">
        <v>21</v>
      </c>
      <c r="H434" s="733">
        <v>7</v>
      </c>
      <c r="I434" s="733">
        <v>3</v>
      </c>
      <c r="J434" s="733">
        <v>17</v>
      </c>
      <c r="K434" s="733">
        <v>445</v>
      </c>
      <c r="L434" s="706">
        <v>0</v>
      </c>
      <c r="M434" s="706">
        <v>0</v>
      </c>
      <c r="N434" s="706">
        <v>0</v>
      </c>
      <c r="O434" s="706">
        <v>0</v>
      </c>
      <c r="P434" s="706">
        <v>0</v>
      </c>
      <c r="Q434" s="461"/>
      <c r="R434" s="461"/>
      <c r="S434" s="461"/>
      <c r="T434" s="461"/>
      <c r="U434" s="461"/>
      <c r="V434" s="461"/>
      <c r="W434" s="213">
        <f t="shared" si="17"/>
        <v>203</v>
      </c>
      <c r="X434" s="213">
        <f t="shared" si="18"/>
        <v>48</v>
      </c>
      <c r="Y434" s="213">
        <f t="shared" si="19"/>
        <v>445</v>
      </c>
    </row>
    <row r="435" spans="3:25" ht="14.5" hidden="1" outlineLevel="1" x14ac:dyDescent="0.35">
      <c r="C435" s="600" t="str">
        <f t="shared" si="16"/>
        <v>Paquete Infinitum Entretenimiento 5001037.69</v>
      </c>
      <c r="D435" s="621" t="s">
        <v>1099</v>
      </c>
      <c r="E435" s="622">
        <v>1037.69</v>
      </c>
      <c r="F435" s="733">
        <v>131</v>
      </c>
      <c r="G435" s="733">
        <v>17</v>
      </c>
      <c r="H435" s="733">
        <v>7</v>
      </c>
      <c r="I435" s="733">
        <v>2</v>
      </c>
      <c r="J435" s="733">
        <v>13</v>
      </c>
      <c r="K435" s="733">
        <v>793</v>
      </c>
      <c r="L435" s="706">
        <v>0</v>
      </c>
      <c r="M435" s="706">
        <v>0</v>
      </c>
      <c r="N435" s="706">
        <v>0</v>
      </c>
      <c r="O435" s="706">
        <v>0</v>
      </c>
      <c r="P435" s="706">
        <v>0</v>
      </c>
      <c r="Q435" s="461"/>
      <c r="R435" s="461"/>
      <c r="S435" s="461"/>
      <c r="T435" s="461"/>
      <c r="U435" s="461"/>
      <c r="V435" s="461"/>
      <c r="W435" s="213">
        <f t="shared" si="17"/>
        <v>131</v>
      </c>
      <c r="X435" s="213">
        <f t="shared" si="18"/>
        <v>39</v>
      </c>
      <c r="Y435" s="213">
        <f t="shared" si="19"/>
        <v>793</v>
      </c>
    </row>
    <row r="436" spans="3:25" ht="14.5" hidden="1" outlineLevel="1" x14ac:dyDescent="0.35">
      <c r="C436" s="600" t="str">
        <f t="shared" si="16"/>
        <v>Infinitum Entretenimiento 30322.41</v>
      </c>
      <c r="D436" s="621" t="s">
        <v>1100</v>
      </c>
      <c r="E436" s="622">
        <v>322.41000000000003</v>
      </c>
      <c r="F436" s="733">
        <v>0</v>
      </c>
      <c r="G436" s="733">
        <v>0</v>
      </c>
      <c r="H436" s="733">
        <v>0</v>
      </c>
      <c r="I436" s="733">
        <v>0</v>
      </c>
      <c r="J436" s="733">
        <v>0</v>
      </c>
      <c r="K436" s="733">
        <v>322</v>
      </c>
      <c r="L436" s="706">
        <v>0</v>
      </c>
      <c r="M436" s="706">
        <v>0</v>
      </c>
      <c r="N436" s="706">
        <v>0</v>
      </c>
      <c r="O436" s="706">
        <v>0</v>
      </c>
      <c r="P436" s="706">
        <v>0</v>
      </c>
      <c r="Q436" s="461"/>
      <c r="R436" s="461"/>
      <c r="S436" s="461"/>
      <c r="T436" s="461"/>
      <c r="U436" s="461"/>
      <c r="V436" s="461"/>
      <c r="W436" s="213">
        <f t="shared" si="17"/>
        <v>0</v>
      </c>
      <c r="X436" s="213">
        <f t="shared" si="18"/>
        <v>0</v>
      </c>
      <c r="Y436" s="213">
        <f t="shared" si="19"/>
        <v>322</v>
      </c>
    </row>
    <row r="437" spans="3:25" ht="14.5" hidden="1" outlineLevel="1" x14ac:dyDescent="0.35">
      <c r="C437" s="600" t="str">
        <f t="shared" si="16"/>
        <v>Infinitum Entretenimiento 40365.52</v>
      </c>
      <c r="D437" s="621" t="s">
        <v>1101</v>
      </c>
      <c r="E437" s="622">
        <v>365.52</v>
      </c>
      <c r="F437" s="733">
        <v>0</v>
      </c>
      <c r="G437" s="733">
        <v>0</v>
      </c>
      <c r="H437" s="733">
        <v>0</v>
      </c>
      <c r="I437" s="733">
        <v>0</v>
      </c>
      <c r="J437" s="733">
        <v>0</v>
      </c>
      <c r="K437" s="733">
        <v>351</v>
      </c>
      <c r="L437" s="736">
        <v>0</v>
      </c>
      <c r="M437" s="706">
        <v>0</v>
      </c>
      <c r="N437" s="706">
        <v>0</v>
      </c>
      <c r="O437" s="706">
        <v>0</v>
      </c>
      <c r="P437" s="706">
        <v>0</v>
      </c>
      <c r="Q437" s="461"/>
      <c r="R437" s="461"/>
      <c r="S437" s="461"/>
      <c r="T437" s="461"/>
      <c r="U437" s="461"/>
      <c r="V437" s="461"/>
      <c r="W437" s="213">
        <f t="shared" si="17"/>
        <v>0</v>
      </c>
      <c r="X437" s="213">
        <f t="shared" si="18"/>
        <v>0</v>
      </c>
      <c r="Y437" s="213">
        <f t="shared" si="19"/>
        <v>351</v>
      </c>
    </row>
    <row r="438" spans="3:25" ht="14.5" hidden="1" outlineLevel="1" x14ac:dyDescent="0.35">
      <c r="C438" s="600" t="str">
        <f t="shared" si="16"/>
        <v>Infinitum Entretenimiento 120421.551724137931</v>
      </c>
      <c r="D438" s="621" t="s">
        <v>1243</v>
      </c>
      <c r="E438" s="622">
        <v>421.55172413793105</v>
      </c>
      <c r="F438" s="733">
        <v>0</v>
      </c>
      <c r="G438" s="733">
        <v>0</v>
      </c>
      <c r="H438" s="733">
        <v>0</v>
      </c>
      <c r="I438" s="733">
        <v>0</v>
      </c>
      <c r="J438" s="733">
        <v>0</v>
      </c>
      <c r="K438" s="737">
        <v>368</v>
      </c>
      <c r="L438" s="706">
        <v>0</v>
      </c>
      <c r="M438" s="706">
        <v>0</v>
      </c>
      <c r="N438" s="706">
        <v>0</v>
      </c>
      <c r="O438" s="706">
        <v>0</v>
      </c>
      <c r="P438" s="706">
        <v>0</v>
      </c>
      <c r="Q438" s="461"/>
      <c r="R438" s="461"/>
      <c r="S438" s="461"/>
      <c r="T438" s="461"/>
      <c r="U438" s="461"/>
      <c r="V438" s="461"/>
      <c r="W438" s="213">
        <f t="shared" si="17"/>
        <v>0</v>
      </c>
      <c r="X438" s="213">
        <f t="shared" si="18"/>
        <v>0</v>
      </c>
      <c r="Y438" s="213">
        <f t="shared" si="19"/>
        <v>368</v>
      </c>
    </row>
    <row r="439" spans="3:25" ht="14.5" hidden="1" outlineLevel="1" x14ac:dyDescent="0.35">
      <c r="C439" s="600" t="str">
        <f t="shared" si="16"/>
        <v>Infinitum Entretenimiento 200585.34</v>
      </c>
      <c r="D439" s="621" t="s">
        <v>1102</v>
      </c>
      <c r="E439" s="622">
        <v>585.34</v>
      </c>
      <c r="F439" s="733">
        <v>0</v>
      </c>
      <c r="G439" s="733">
        <v>0</v>
      </c>
      <c r="H439" s="733">
        <v>0</v>
      </c>
      <c r="I439" s="733">
        <v>0</v>
      </c>
      <c r="J439" s="733">
        <v>0</v>
      </c>
      <c r="K439" s="733">
        <v>581</v>
      </c>
      <c r="L439" s="706">
        <v>0</v>
      </c>
      <c r="M439" s="706">
        <v>0</v>
      </c>
      <c r="N439" s="706">
        <v>0</v>
      </c>
      <c r="O439" s="706">
        <v>0</v>
      </c>
      <c r="P439" s="706">
        <v>0</v>
      </c>
      <c r="Q439" s="461"/>
      <c r="R439" s="461"/>
      <c r="S439" s="461"/>
      <c r="T439" s="461"/>
      <c r="U439" s="461"/>
      <c r="V439" s="461"/>
      <c r="W439" s="213">
        <f t="shared" si="17"/>
        <v>0</v>
      </c>
      <c r="X439" s="213">
        <f t="shared" si="18"/>
        <v>0</v>
      </c>
      <c r="Y439" s="213">
        <f t="shared" si="19"/>
        <v>581</v>
      </c>
    </row>
    <row r="440" spans="3:25" ht="14.5" hidden="1" outlineLevel="1" x14ac:dyDescent="0.35">
      <c r="C440" s="600" t="str">
        <f t="shared" si="16"/>
        <v>Infinitum Entretenimiento 500973.28</v>
      </c>
      <c r="D440" s="621" t="s">
        <v>1103</v>
      </c>
      <c r="E440" s="622">
        <v>973.28</v>
      </c>
      <c r="F440" s="733">
        <v>0</v>
      </c>
      <c r="G440" s="733">
        <v>0</v>
      </c>
      <c r="H440" s="733">
        <v>0</v>
      </c>
      <c r="I440" s="733">
        <v>0</v>
      </c>
      <c r="J440" s="733">
        <v>0</v>
      </c>
      <c r="K440" s="733">
        <v>787</v>
      </c>
      <c r="L440" s="706">
        <v>0</v>
      </c>
      <c r="M440" s="706">
        <v>0</v>
      </c>
      <c r="N440" s="706">
        <v>0</v>
      </c>
      <c r="O440" s="706">
        <v>0</v>
      </c>
      <c r="P440" s="706">
        <v>0</v>
      </c>
      <c r="Q440" s="461"/>
      <c r="R440" s="461"/>
      <c r="S440" s="461"/>
      <c r="T440" s="461"/>
      <c r="U440" s="461"/>
      <c r="V440" s="461"/>
      <c r="W440" s="213">
        <f t="shared" si="17"/>
        <v>0</v>
      </c>
      <c r="X440" s="213">
        <f t="shared" si="18"/>
        <v>0</v>
      </c>
      <c r="Y440" s="213">
        <f t="shared" si="19"/>
        <v>787</v>
      </c>
    </row>
    <row r="441" spans="3:25" ht="14.5" hidden="1" outlineLevel="1" x14ac:dyDescent="0.35">
      <c r="C441" s="600" t="str">
        <f t="shared" si="16"/>
        <v>Paquete infinitum Entretenimiento+ 30  (Netflix 1 dispositivo)453.34</v>
      </c>
      <c r="D441" s="621" t="s">
        <v>1104</v>
      </c>
      <c r="E441" s="622">
        <v>453.34</v>
      </c>
      <c r="F441" s="733">
        <v>119</v>
      </c>
      <c r="G441" s="733">
        <v>15</v>
      </c>
      <c r="H441" s="733">
        <v>3</v>
      </c>
      <c r="I441" s="733">
        <v>1</v>
      </c>
      <c r="J441" s="733">
        <v>12</v>
      </c>
      <c r="K441" s="733">
        <v>154</v>
      </c>
      <c r="L441" s="706">
        <v>0</v>
      </c>
      <c r="M441" s="706">
        <v>0</v>
      </c>
      <c r="N441" s="706">
        <v>0</v>
      </c>
      <c r="O441" s="706">
        <v>120</v>
      </c>
      <c r="P441" s="706">
        <v>0</v>
      </c>
      <c r="Q441" s="461"/>
      <c r="R441" s="461"/>
      <c r="S441" s="461"/>
      <c r="T441" s="461"/>
      <c r="U441" s="461"/>
      <c r="V441" s="461"/>
      <c r="W441" s="213">
        <f t="shared" si="17"/>
        <v>119</v>
      </c>
      <c r="X441" s="213">
        <f t="shared" si="18"/>
        <v>31</v>
      </c>
      <c r="Y441" s="213">
        <f t="shared" si="19"/>
        <v>154</v>
      </c>
    </row>
    <row r="442" spans="3:25" ht="14.5" hidden="1" outlineLevel="1" x14ac:dyDescent="0.35">
      <c r="C442" s="600" t="str">
        <f t="shared" si="16"/>
        <v>Paquete infinitum Entretenimiento+ 30  (Netflix 2 dispositivos)520.61</v>
      </c>
      <c r="D442" s="621" t="s">
        <v>1105</v>
      </c>
      <c r="E442" s="622">
        <v>520.61</v>
      </c>
      <c r="F442" s="733">
        <v>194</v>
      </c>
      <c r="G442" s="733">
        <v>16</v>
      </c>
      <c r="H442" s="733">
        <v>5</v>
      </c>
      <c r="I442" s="733">
        <v>1</v>
      </c>
      <c r="J442" s="733">
        <v>13</v>
      </c>
      <c r="K442" s="733">
        <v>147</v>
      </c>
      <c r="L442" s="706">
        <v>0</v>
      </c>
      <c r="M442" s="706">
        <v>0</v>
      </c>
      <c r="N442" s="706">
        <v>0</v>
      </c>
      <c r="O442" s="706">
        <v>215</v>
      </c>
      <c r="P442" s="706">
        <v>0</v>
      </c>
      <c r="Q442" s="461"/>
      <c r="R442" s="461"/>
      <c r="S442" s="461"/>
      <c r="T442" s="461"/>
      <c r="U442" s="461"/>
      <c r="V442" s="461"/>
      <c r="W442" s="213">
        <f t="shared" si="17"/>
        <v>194</v>
      </c>
      <c r="X442" s="213">
        <f t="shared" si="18"/>
        <v>35</v>
      </c>
      <c r="Y442" s="213">
        <f t="shared" si="19"/>
        <v>147</v>
      </c>
    </row>
    <row r="443" spans="3:25" ht="14.5" hidden="1" outlineLevel="1" x14ac:dyDescent="0.35">
      <c r="C443" s="600" t="str">
        <f t="shared" si="16"/>
        <v>Paquete infinitum Entretenimiento+ 30  (Netflix 4 dispositivos)589.58</v>
      </c>
      <c r="D443" s="621" t="s">
        <v>1106</v>
      </c>
      <c r="E443" s="622">
        <v>589.58000000000004</v>
      </c>
      <c r="F443" s="733">
        <v>168</v>
      </c>
      <c r="G443" s="733">
        <v>19</v>
      </c>
      <c r="H443" s="733">
        <v>4</v>
      </c>
      <c r="I443" s="733">
        <v>1</v>
      </c>
      <c r="J443" s="733">
        <v>17</v>
      </c>
      <c r="K443" s="733">
        <v>138</v>
      </c>
      <c r="L443" s="706">
        <v>0</v>
      </c>
      <c r="M443" s="706">
        <v>0</v>
      </c>
      <c r="N443" s="706">
        <v>0</v>
      </c>
      <c r="O443" s="706">
        <v>322</v>
      </c>
      <c r="P443" s="706">
        <v>0</v>
      </c>
      <c r="Q443" s="461"/>
      <c r="R443" s="461"/>
      <c r="S443" s="461"/>
      <c r="T443" s="461"/>
      <c r="U443" s="461"/>
      <c r="V443" s="461"/>
      <c r="W443" s="213">
        <f t="shared" si="17"/>
        <v>168</v>
      </c>
      <c r="X443" s="213">
        <f t="shared" si="18"/>
        <v>41</v>
      </c>
      <c r="Y443" s="213">
        <f t="shared" si="19"/>
        <v>138</v>
      </c>
    </row>
    <row r="444" spans="3:25" ht="14.5" hidden="1" outlineLevel="1" x14ac:dyDescent="0.35">
      <c r="C444" s="600" t="str">
        <f t="shared" si="16"/>
        <v>Paquete Infinitum Entretenimiento+ 70   (Netflix 2 dispositivos)554.39</v>
      </c>
      <c r="D444" s="621" t="s">
        <v>1107</v>
      </c>
      <c r="E444" s="622">
        <v>554.39</v>
      </c>
      <c r="F444" s="733">
        <v>145</v>
      </c>
      <c r="G444" s="733">
        <v>14</v>
      </c>
      <c r="H444" s="733">
        <v>4</v>
      </c>
      <c r="I444" s="733">
        <v>1</v>
      </c>
      <c r="J444" s="733">
        <v>19</v>
      </c>
      <c r="K444" s="733">
        <v>155</v>
      </c>
      <c r="L444" s="706">
        <v>0</v>
      </c>
      <c r="M444" s="706">
        <v>0</v>
      </c>
      <c r="N444" s="706">
        <v>0</v>
      </c>
      <c r="O444" s="706">
        <v>235</v>
      </c>
      <c r="P444" s="706">
        <v>0</v>
      </c>
      <c r="Q444" s="461"/>
      <c r="R444" s="461"/>
      <c r="S444" s="461"/>
      <c r="T444" s="461"/>
      <c r="U444" s="461"/>
      <c r="V444" s="461"/>
      <c r="W444" s="213">
        <f t="shared" si="17"/>
        <v>145</v>
      </c>
      <c r="X444" s="213">
        <f t="shared" si="18"/>
        <v>38</v>
      </c>
      <c r="Y444" s="213">
        <f t="shared" si="19"/>
        <v>155</v>
      </c>
    </row>
    <row r="445" spans="3:25" ht="14.5" hidden="1" outlineLevel="1" x14ac:dyDescent="0.35">
      <c r="C445" s="600" t="str">
        <f t="shared" si="16"/>
        <v>Paquete Infinitum Entretenimiento+ 70   (Netflix 4 dispositivos)623.36</v>
      </c>
      <c r="D445" s="621" t="s">
        <v>1108</v>
      </c>
      <c r="E445" s="622">
        <v>623.36</v>
      </c>
      <c r="F445" s="733">
        <v>189</v>
      </c>
      <c r="G445" s="733">
        <v>18</v>
      </c>
      <c r="H445" s="733">
        <v>5</v>
      </c>
      <c r="I445" s="733">
        <v>1</v>
      </c>
      <c r="J445" s="733">
        <v>14</v>
      </c>
      <c r="K445" s="733">
        <v>188</v>
      </c>
      <c r="L445" s="706">
        <v>0</v>
      </c>
      <c r="M445" s="706">
        <v>0</v>
      </c>
      <c r="N445" s="706">
        <v>0</v>
      </c>
      <c r="O445" s="706">
        <v>289</v>
      </c>
      <c r="P445" s="706">
        <v>0</v>
      </c>
      <c r="Q445" s="461"/>
      <c r="R445" s="461"/>
      <c r="S445" s="461"/>
      <c r="T445" s="461"/>
      <c r="U445" s="461"/>
      <c r="V445" s="461"/>
      <c r="W445" s="213">
        <f t="shared" si="17"/>
        <v>189</v>
      </c>
      <c r="X445" s="213">
        <f t="shared" si="18"/>
        <v>38</v>
      </c>
      <c r="Y445" s="213">
        <f t="shared" si="19"/>
        <v>188</v>
      </c>
    </row>
    <row r="446" spans="3:25" ht="14.5" hidden="1" outlineLevel="1" x14ac:dyDescent="0.35">
      <c r="C446" s="600" t="str">
        <f t="shared" si="16"/>
        <v>Paquete Infinitum Entretenimiento+ 120    (Netflix 2 dispositivos)627</v>
      </c>
      <c r="D446" s="621" t="s">
        <v>1109</v>
      </c>
      <c r="E446" s="622">
        <v>627</v>
      </c>
      <c r="F446" s="733">
        <v>113</v>
      </c>
      <c r="G446" s="733">
        <v>19</v>
      </c>
      <c r="H446" s="733">
        <v>3</v>
      </c>
      <c r="I446" s="733">
        <v>1</v>
      </c>
      <c r="J446" s="733">
        <v>21</v>
      </c>
      <c r="K446" s="733">
        <v>295</v>
      </c>
      <c r="L446" s="706">
        <v>0</v>
      </c>
      <c r="M446" s="706">
        <v>0</v>
      </c>
      <c r="N446" s="706">
        <v>0</v>
      </c>
      <c r="O446" s="706">
        <v>157</v>
      </c>
      <c r="P446" s="706">
        <v>0</v>
      </c>
      <c r="Q446" s="461"/>
      <c r="R446" s="461"/>
      <c r="S446" s="461"/>
      <c r="T446" s="461"/>
      <c r="U446" s="461"/>
      <c r="V446" s="461"/>
      <c r="W446" s="213">
        <f t="shared" si="17"/>
        <v>113</v>
      </c>
      <c r="X446" s="213">
        <f t="shared" si="18"/>
        <v>44</v>
      </c>
      <c r="Y446" s="213">
        <f t="shared" si="19"/>
        <v>295</v>
      </c>
    </row>
    <row r="447" spans="3:25" ht="14.5" hidden="1" outlineLevel="1" x14ac:dyDescent="0.35">
      <c r="C447" s="600" t="str">
        <f t="shared" si="16"/>
        <v>Paquete Infinitum Entretenimiento+ 120    (Netflix 4 dispositivos)695.13</v>
      </c>
      <c r="D447" s="621" t="s">
        <v>1110</v>
      </c>
      <c r="E447" s="622">
        <v>695.13</v>
      </c>
      <c r="F447" s="733">
        <v>172</v>
      </c>
      <c r="G447" s="733">
        <v>19</v>
      </c>
      <c r="H447" s="733">
        <v>5</v>
      </c>
      <c r="I447" s="733">
        <v>1</v>
      </c>
      <c r="J447" s="733">
        <v>13</v>
      </c>
      <c r="K447" s="733">
        <v>175</v>
      </c>
      <c r="L447" s="706">
        <v>0</v>
      </c>
      <c r="M447" s="706">
        <v>0</v>
      </c>
      <c r="N447" s="706">
        <v>0</v>
      </c>
      <c r="O447" s="706">
        <v>181</v>
      </c>
      <c r="P447" s="706">
        <v>0</v>
      </c>
      <c r="Q447" s="461"/>
      <c r="R447" s="461"/>
      <c r="S447" s="461"/>
      <c r="T447" s="461"/>
      <c r="U447" s="461"/>
      <c r="V447" s="461"/>
      <c r="W447" s="213">
        <f t="shared" si="17"/>
        <v>172</v>
      </c>
      <c r="X447" s="213">
        <f t="shared" si="18"/>
        <v>38</v>
      </c>
      <c r="Y447" s="213">
        <f t="shared" si="19"/>
        <v>175</v>
      </c>
    </row>
    <row r="448" spans="3:25" ht="14.5" hidden="1" outlineLevel="1" x14ac:dyDescent="0.35">
      <c r="C448" s="600" t="str">
        <f t="shared" si="16"/>
        <v>Paquete infinitum Entretenimiento+ 200  (Netflix 4 dispositivos)817.56</v>
      </c>
      <c r="D448" s="621" t="s">
        <v>1111</v>
      </c>
      <c r="E448" s="622">
        <v>817.56</v>
      </c>
      <c r="F448" s="733">
        <v>147</v>
      </c>
      <c r="G448" s="733">
        <v>23</v>
      </c>
      <c r="H448" s="733">
        <v>8</v>
      </c>
      <c r="I448" s="733">
        <v>2</v>
      </c>
      <c r="J448" s="733">
        <v>19</v>
      </c>
      <c r="K448" s="733">
        <v>327</v>
      </c>
      <c r="L448" s="706">
        <v>0</v>
      </c>
      <c r="M448" s="706">
        <v>0</v>
      </c>
      <c r="N448" s="706">
        <v>0</v>
      </c>
      <c r="O448" s="706">
        <v>299</v>
      </c>
      <c r="P448" s="706">
        <v>0</v>
      </c>
      <c r="Q448" s="461"/>
      <c r="R448" s="461"/>
      <c r="S448" s="461"/>
      <c r="T448" s="461"/>
      <c r="U448" s="461"/>
      <c r="V448" s="461"/>
      <c r="W448" s="213">
        <f t="shared" si="17"/>
        <v>147</v>
      </c>
      <c r="X448" s="213">
        <f t="shared" si="18"/>
        <v>52</v>
      </c>
      <c r="Y448" s="213">
        <f t="shared" si="19"/>
        <v>327</v>
      </c>
    </row>
    <row r="449" spans="3:25" ht="14.5" hidden="1" outlineLevel="1" x14ac:dyDescent="0.35">
      <c r="C449" s="600" t="str">
        <f t="shared" si="16"/>
        <v>Paquete infinitum Entretenimiento+ 200  (Netflix 2 dispositivos)766.31</v>
      </c>
      <c r="D449" s="621" t="s">
        <v>1112</v>
      </c>
      <c r="E449" s="622">
        <v>766.31</v>
      </c>
      <c r="F449" s="733">
        <v>133</v>
      </c>
      <c r="G449" s="733">
        <v>14</v>
      </c>
      <c r="H449" s="733">
        <v>8</v>
      </c>
      <c r="I449" s="733">
        <v>2</v>
      </c>
      <c r="J449" s="733">
        <v>15</v>
      </c>
      <c r="K449" s="733">
        <v>378</v>
      </c>
      <c r="L449" s="706">
        <v>0</v>
      </c>
      <c r="M449" s="706">
        <v>0</v>
      </c>
      <c r="N449" s="706">
        <v>0</v>
      </c>
      <c r="O449" s="706">
        <v>219</v>
      </c>
      <c r="P449" s="706">
        <v>0</v>
      </c>
      <c r="Q449" s="461"/>
      <c r="R449" s="461"/>
      <c r="S449" s="461"/>
      <c r="T449" s="461"/>
      <c r="U449" s="461"/>
      <c r="V449" s="461"/>
      <c r="W449" s="213">
        <f t="shared" si="17"/>
        <v>133</v>
      </c>
      <c r="X449" s="213">
        <f t="shared" si="18"/>
        <v>39</v>
      </c>
      <c r="Y449" s="213">
        <f t="shared" si="19"/>
        <v>378</v>
      </c>
    </row>
    <row r="450" spans="3:25" ht="14.5" hidden="1" outlineLevel="1" x14ac:dyDescent="0.35">
      <c r="C450" s="600" t="str">
        <f t="shared" si="16"/>
        <v>Paquete infinitum Entretenimiento+ 500 (Netflix 4 dispositivos)1231.28</v>
      </c>
      <c r="D450" s="621" t="s">
        <v>1113</v>
      </c>
      <c r="E450" s="622">
        <v>1231.28</v>
      </c>
      <c r="F450" s="733">
        <v>169</v>
      </c>
      <c r="G450" s="733">
        <v>13</v>
      </c>
      <c r="H450" s="733">
        <v>5</v>
      </c>
      <c r="I450" s="733">
        <v>3</v>
      </c>
      <c r="J450" s="733">
        <v>15</v>
      </c>
      <c r="K450" s="733">
        <v>641</v>
      </c>
      <c r="L450" s="706">
        <v>0</v>
      </c>
      <c r="M450" s="706">
        <v>0</v>
      </c>
      <c r="N450" s="706">
        <v>0</v>
      </c>
      <c r="O450" s="706">
        <v>219</v>
      </c>
      <c r="P450" s="706">
        <v>0</v>
      </c>
      <c r="Q450" s="461"/>
      <c r="R450" s="461"/>
      <c r="S450" s="461"/>
      <c r="T450" s="461"/>
      <c r="U450" s="461"/>
      <c r="V450" s="461"/>
      <c r="W450" s="213">
        <f t="shared" si="17"/>
        <v>169</v>
      </c>
      <c r="X450" s="213">
        <f t="shared" si="18"/>
        <v>36</v>
      </c>
      <c r="Y450" s="213">
        <f t="shared" si="19"/>
        <v>641</v>
      </c>
    </row>
    <row r="451" spans="3:25" ht="14.5" hidden="1" outlineLevel="1" x14ac:dyDescent="0.35">
      <c r="C451" s="600" t="str">
        <f t="shared" si="16"/>
        <v>Paquete infinitum Entretenimiento+ 500  (Netflix 2 dispositivos)1183.42</v>
      </c>
      <c r="D451" s="621" t="s">
        <v>1114</v>
      </c>
      <c r="E451" s="622">
        <v>1183.42</v>
      </c>
      <c r="F451" s="733">
        <v>191</v>
      </c>
      <c r="G451" s="733">
        <v>14</v>
      </c>
      <c r="H451" s="733">
        <v>5</v>
      </c>
      <c r="I451" s="733">
        <v>3</v>
      </c>
      <c r="J451" s="733">
        <v>13</v>
      </c>
      <c r="K451" s="733">
        <v>979</v>
      </c>
      <c r="L451" s="706">
        <v>0</v>
      </c>
      <c r="M451" s="706">
        <v>0</v>
      </c>
      <c r="N451" s="706">
        <v>0</v>
      </c>
      <c r="O451" s="706">
        <v>133</v>
      </c>
      <c r="P451" s="706">
        <v>0</v>
      </c>
      <c r="Q451" s="461"/>
      <c r="R451" s="461"/>
      <c r="S451" s="461"/>
      <c r="T451" s="461"/>
      <c r="U451" s="461"/>
      <c r="V451" s="461"/>
      <c r="W451" s="213">
        <f t="shared" si="17"/>
        <v>191</v>
      </c>
      <c r="X451" s="213">
        <f t="shared" si="18"/>
        <v>35</v>
      </c>
      <c r="Y451" s="213">
        <f t="shared" si="19"/>
        <v>979</v>
      </c>
    </row>
    <row r="452" spans="3:25" ht="14.5" hidden="1" outlineLevel="1" x14ac:dyDescent="0.35">
      <c r="C452" s="600" t="str">
        <f t="shared" si="16"/>
        <v>Infinitum Entretenimiento +30   (Netflix 1 dispositivo)425.86</v>
      </c>
      <c r="D452" s="621" t="s">
        <v>1115</v>
      </c>
      <c r="E452" s="622">
        <v>425.86</v>
      </c>
      <c r="F452" s="733">
        <v>0</v>
      </c>
      <c r="G452" s="733">
        <v>0</v>
      </c>
      <c r="H452" s="733">
        <v>0</v>
      </c>
      <c r="I452" s="733">
        <v>0</v>
      </c>
      <c r="J452" s="733">
        <v>0</v>
      </c>
      <c r="K452" s="733">
        <v>390</v>
      </c>
      <c r="L452" s="706">
        <v>0</v>
      </c>
      <c r="M452" s="706">
        <v>0</v>
      </c>
      <c r="N452" s="706">
        <v>0</v>
      </c>
      <c r="O452" s="706">
        <v>153</v>
      </c>
      <c r="P452" s="706">
        <v>0</v>
      </c>
      <c r="Q452" s="461"/>
      <c r="R452" s="461"/>
      <c r="S452" s="461"/>
      <c r="T452" s="461"/>
      <c r="U452" s="461"/>
      <c r="V452" s="461"/>
      <c r="W452" s="213">
        <f t="shared" si="17"/>
        <v>0</v>
      </c>
      <c r="X452" s="213">
        <f t="shared" si="18"/>
        <v>0</v>
      </c>
      <c r="Y452" s="213">
        <f t="shared" si="19"/>
        <v>390</v>
      </c>
    </row>
    <row r="453" spans="3:25" ht="14.5" hidden="1" outlineLevel="1" x14ac:dyDescent="0.35">
      <c r="C453" s="600" t="str">
        <f t="shared" si="16"/>
        <v>Infinitum Entretenimiento +30   (Netflix 2 dispositivos)493.1</v>
      </c>
      <c r="D453" s="621" t="s">
        <v>1116</v>
      </c>
      <c r="E453" s="617">
        <v>493.1</v>
      </c>
      <c r="F453" s="733">
        <v>0</v>
      </c>
      <c r="G453" s="733">
        <v>0</v>
      </c>
      <c r="H453" s="733">
        <v>0</v>
      </c>
      <c r="I453" s="733">
        <v>0</v>
      </c>
      <c r="J453" s="733">
        <v>0</v>
      </c>
      <c r="K453" s="733">
        <v>342</v>
      </c>
      <c r="L453" s="706">
        <v>0</v>
      </c>
      <c r="M453" s="706">
        <v>0</v>
      </c>
      <c r="N453" s="706">
        <v>0</v>
      </c>
      <c r="O453" s="706">
        <v>191</v>
      </c>
      <c r="P453" s="706">
        <v>0</v>
      </c>
      <c r="Q453" s="461"/>
      <c r="R453" s="461"/>
      <c r="S453" s="461"/>
      <c r="T453" s="461"/>
      <c r="U453" s="461"/>
      <c r="V453" s="461"/>
      <c r="W453" s="213">
        <f t="shared" si="17"/>
        <v>0</v>
      </c>
      <c r="X453" s="213">
        <f t="shared" si="18"/>
        <v>0</v>
      </c>
      <c r="Y453" s="213">
        <f t="shared" si="19"/>
        <v>342</v>
      </c>
    </row>
    <row r="454" spans="3:25" ht="14.5" hidden="1" outlineLevel="1" x14ac:dyDescent="0.35">
      <c r="C454" s="600" t="str">
        <f t="shared" si="16"/>
        <v>Infinitum Entretenimiento +30   (Netflix 4 dispositivos)562.07</v>
      </c>
      <c r="D454" s="621" t="s">
        <v>1117</v>
      </c>
      <c r="E454" s="617">
        <v>562.07000000000005</v>
      </c>
      <c r="F454" s="733">
        <v>0</v>
      </c>
      <c r="G454" s="733">
        <v>0</v>
      </c>
      <c r="H454" s="733">
        <v>0</v>
      </c>
      <c r="I454" s="733">
        <v>0</v>
      </c>
      <c r="J454" s="733">
        <v>0</v>
      </c>
      <c r="K454" s="733">
        <v>338</v>
      </c>
      <c r="L454" s="706">
        <v>0</v>
      </c>
      <c r="M454" s="706">
        <v>0</v>
      </c>
      <c r="N454" s="706">
        <v>0</v>
      </c>
      <c r="O454" s="706">
        <v>331</v>
      </c>
      <c r="P454" s="706">
        <v>0</v>
      </c>
      <c r="Q454" s="461"/>
      <c r="R454" s="461"/>
      <c r="S454" s="461"/>
      <c r="T454" s="461"/>
      <c r="U454" s="461"/>
      <c r="V454" s="461"/>
      <c r="W454" s="213">
        <f t="shared" si="17"/>
        <v>0</v>
      </c>
      <c r="X454" s="213">
        <f t="shared" si="18"/>
        <v>0</v>
      </c>
      <c r="Y454" s="213">
        <f t="shared" si="19"/>
        <v>338</v>
      </c>
    </row>
    <row r="455" spans="3:25" ht="14.5" hidden="1" outlineLevel="1" x14ac:dyDescent="0.35">
      <c r="C455" s="600" t="str">
        <f t="shared" si="16"/>
        <v>Infinitum Entretenimiento+ 70  (Netflix 2 dispositivos)531.89</v>
      </c>
      <c r="D455" s="621" t="s">
        <v>1118</v>
      </c>
      <c r="E455" s="617">
        <v>531.89</v>
      </c>
      <c r="F455" s="733">
        <v>0</v>
      </c>
      <c r="G455" s="733">
        <v>0</v>
      </c>
      <c r="H455" s="733">
        <v>0</v>
      </c>
      <c r="I455" s="733">
        <v>0</v>
      </c>
      <c r="J455" s="733">
        <v>0</v>
      </c>
      <c r="K455" s="733">
        <v>266</v>
      </c>
      <c r="L455" s="706">
        <v>0</v>
      </c>
      <c r="M455" s="706">
        <v>0</v>
      </c>
      <c r="N455" s="706">
        <v>0</v>
      </c>
      <c r="O455" s="706">
        <v>200</v>
      </c>
      <c r="P455" s="706">
        <v>0</v>
      </c>
      <c r="Q455" s="461"/>
      <c r="R455" s="461"/>
      <c r="S455" s="461"/>
      <c r="T455" s="461"/>
      <c r="U455" s="461"/>
      <c r="V455" s="461"/>
      <c r="W455" s="213">
        <f t="shared" si="17"/>
        <v>0</v>
      </c>
      <c r="X455" s="213">
        <f t="shared" si="18"/>
        <v>0</v>
      </c>
      <c r="Y455" s="213">
        <f t="shared" si="19"/>
        <v>266</v>
      </c>
    </row>
    <row r="456" spans="3:25" ht="14.5" hidden="1" outlineLevel="1" x14ac:dyDescent="0.35">
      <c r="C456" s="600" t="str">
        <f t="shared" si="16"/>
        <v>Infinitum Entretenimiento+ 70  (Netflix 4 dispositivos)600.86</v>
      </c>
      <c r="D456" s="621" t="s">
        <v>1119</v>
      </c>
      <c r="E456" s="617">
        <v>600.86</v>
      </c>
      <c r="F456" s="733">
        <v>0</v>
      </c>
      <c r="G456" s="733">
        <v>0</v>
      </c>
      <c r="H456" s="733">
        <v>0</v>
      </c>
      <c r="I456" s="733">
        <v>0</v>
      </c>
      <c r="J456" s="733">
        <v>0</v>
      </c>
      <c r="K456" s="733">
        <v>259</v>
      </c>
      <c r="L456" s="706">
        <v>0</v>
      </c>
      <c r="M456" s="706">
        <v>0</v>
      </c>
      <c r="N456" s="706">
        <v>0</v>
      </c>
      <c r="O456" s="706">
        <v>235</v>
      </c>
      <c r="P456" s="706">
        <v>0</v>
      </c>
      <c r="Q456" s="461"/>
      <c r="R456" s="461"/>
      <c r="S456" s="461"/>
      <c r="T456" s="461"/>
      <c r="U456" s="461"/>
      <c r="V456" s="461"/>
      <c r="W456" s="213">
        <f t="shared" si="17"/>
        <v>0</v>
      </c>
      <c r="X456" s="213">
        <f t="shared" si="18"/>
        <v>0</v>
      </c>
      <c r="Y456" s="213">
        <f t="shared" si="19"/>
        <v>259</v>
      </c>
    </row>
    <row r="457" spans="3:25" ht="14.5" hidden="1" outlineLevel="1" x14ac:dyDescent="0.35">
      <c r="C457" s="600" t="str">
        <f t="shared" si="16"/>
        <v>Infinitum Entretenimiento+ 120 (Netflix 2 dispositivos)585.343103448276</v>
      </c>
      <c r="D457" s="621" t="s">
        <v>1292</v>
      </c>
      <c r="E457" s="617">
        <v>585.34310344827588</v>
      </c>
      <c r="F457" s="733">
        <v>0</v>
      </c>
      <c r="G457" s="733">
        <v>0</v>
      </c>
      <c r="H457" s="733">
        <v>0</v>
      </c>
      <c r="I457" s="733">
        <v>0</v>
      </c>
      <c r="J457" s="733">
        <v>0</v>
      </c>
      <c r="K457" s="733">
        <v>481</v>
      </c>
      <c r="L457" s="706">
        <v>0</v>
      </c>
      <c r="M457" s="706">
        <v>0</v>
      </c>
      <c r="N457" s="706">
        <v>0</v>
      </c>
      <c r="O457" s="706">
        <v>182</v>
      </c>
      <c r="P457" s="706">
        <v>0</v>
      </c>
      <c r="Q457" s="461"/>
      <c r="R457" s="461"/>
      <c r="S457" s="461"/>
      <c r="T457" s="461"/>
      <c r="U457" s="461"/>
      <c r="V457" s="461"/>
      <c r="W457" s="213">
        <f t="shared" si="17"/>
        <v>0</v>
      </c>
      <c r="X457" s="213">
        <f t="shared" si="18"/>
        <v>0</v>
      </c>
      <c r="Y457" s="213">
        <f t="shared" si="19"/>
        <v>481</v>
      </c>
    </row>
    <row r="458" spans="3:25" ht="14.5" hidden="1" outlineLevel="1" x14ac:dyDescent="0.35">
      <c r="C458" s="600" t="str">
        <f t="shared" si="16"/>
        <v>Infinitum Entretenimiento+ 120 (Netflix 4 dispositivos)654.308620689655</v>
      </c>
      <c r="D458" s="621" t="s">
        <v>1293</v>
      </c>
      <c r="E458" s="617">
        <v>654.30862068965519</v>
      </c>
      <c r="F458" s="733">
        <v>0</v>
      </c>
      <c r="G458" s="733">
        <v>0</v>
      </c>
      <c r="H458" s="733">
        <v>0</v>
      </c>
      <c r="I458" s="733">
        <v>0</v>
      </c>
      <c r="J458" s="733">
        <v>0</v>
      </c>
      <c r="K458" s="733">
        <v>293</v>
      </c>
      <c r="L458" s="706">
        <v>0</v>
      </c>
      <c r="M458" s="706">
        <v>0</v>
      </c>
      <c r="N458" s="706">
        <v>0</v>
      </c>
      <c r="O458" s="706">
        <v>263</v>
      </c>
      <c r="P458" s="706">
        <v>0</v>
      </c>
      <c r="Q458" s="461"/>
      <c r="R458" s="461"/>
      <c r="S458" s="461"/>
      <c r="T458" s="461"/>
      <c r="U458" s="461"/>
      <c r="V458" s="461"/>
      <c r="W458" s="213">
        <f t="shared" si="17"/>
        <v>0</v>
      </c>
      <c r="X458" s="213">
        <f t="shared" si="18"/>
        <v>0</v>
      </c>
      <c r="Y458" s="213">
        <f t="shared" si="19"/>
        <v>293</v>
      </c>
    </row>
    <row r="459" spans="3:25" ht="14.5" hidden="1" outlineLevel="1" x14ac:dyDescent="0.35">
      <c r="C459" s="600" t="str">
        <f t="shared" si="16"/>
        <v>Infinitum Entretenimiento+ 250  (Netflix 4 dispositivos)735.34</v>
      </c>
      <c r="D459" s="621" t="s">
        <v>1120</v>
      </c>
      <c r="E459" s="617">
        <v>735.33999999999992</v>
      </c>
      <c r="F459" s="733">
        <v>0</v>
      </c>
      <c r="G459" s="733">
        <v>0</v>
      </c>
      <c r="H459" s="733">
        <v>0</v>
      </c>
      <c r="I459" s="733">
        <v>0</v>
      </c>
      <c r="J459" s="733">
        <v>0</v>
      </c>
      <c r="K459" s="733">
        <v>475</v>
      </c>
      <c r="L459" s="706">
        <v>0</v>
      </c>
      <c r="M459" s="706">
        <v>0</v>
      </c>
      <c r="N459" s="706">
        <v>0</v>
      </c>
      <c r="O459" s="706">
        <v>216</v>
      </c>
      <c r="P459" s="706">
        <v>0</v>
      </c>
      <c r="Q459" s="461"/>
      <c r="R459" s="461"/>
      <c r="S459" s="461"/>
      <c r="T459" s="461"/>
      <c r="U459" s="461"/>
      <c r="V459" s="461"/>
      <c r="W459" s="213">
        <f t="shared" si="17"/>
        <v>0</v>
      </c>
      <c r="X459" s="213">
        <f t="shared" si="18"/>
        <v>0</v>
      </c>
      <c r="Y459" s="213">
        <f t="shared" si="19"/>
        <v>475</v>
      </c>
    </row>
    <row r="460" spans="3:25" ht="14.5" hidden="1" outlineLevel="1" x14ac:dyDescent="0.35">
      <c r="C460" s="600" t="str">
        <f t="shared" si="16"/>
        <v>Infinitum Entretenimiento+ 250  (Netflix 2 dispositivos)786.21</v>
      </c>
      <c r="D460" s="621" t="s">
        <v>1121</v>
      </c>
      <c r="E460" s="617">
        <v>786.21</v>
      </c>
      <c r="F460" s="733">
        <v>0</v>
      </c>
      <c r="G460" s="733">
        <v>0</v>
      </c>
      <c r="H460" s="733">
        <v>0</v>
      </c>
      <c r="I460" s="733">
        <v>0</v>
      </c>
      <c r="J460" s="733">
        <v>0</v>
      </c>
      <c r="K460" s="733">
        <v>677</v>
      </c>
      <c r="L460" s="706">
        <v>0</v>
      </c>
      <c r="M460" s="706">
        <v>0</v>
      </c>
      <c r="N460" s="706">
        <v>0</v>
      </c>
      <c r="O460" s="706">
        <v>335</v>
      </c>
      <c r="P460" s="706">
        <v>0</v>
      </c>
      <c r="Q460" s="461"/>
      <c r="R460" s="461"/>
      <c r="S460" s="461"/>
      <c r="T460" s="461"/>
      <c r="U460" s="461"/>
      <c r="V460" s="461"/>
      <c r="W460" s="213">
        <f t="shared" si="17"/>
        <v>0</v>
      </c>
      <c r="X460" s="213">
        <f t="shared" si="18"/>
        <v>0</v>
      </c>
      <c r="Y460" s="213">
        <f t="shared" si="19"/>
        <v>677</v>
      </c>
    </row>
    <row r="461" spans="3:25" ht="14.5" hidden="1" outlineLevel="1" x14ac:dyDescent="0.35">
      <c r="C461" s="600" t="str">
        <f t="shared" si="16"/>
        <v>Infinitum Entretenimiento+ 500   (Netflix 4 dispositivos)1165.52</v>
      </c>
      <c r="D461" s="621" t="s">
        <v>1122</v>
      </c>
      <c r="E461" s="617">
        <v>1165.52</v>
      </c>
      <c r="F461" s="733">
        <v>0</v>
      </c>
      <c r="G461" s="733">
        <v>0</v>
      </c>
      <c r="H461" s="733">
        <v>0</v>
      </c>
      <c r="I461" s="733">
        <v>0</v>
      </c>
      <c r="J461" s="733">
        <v>0</v>
      </c>
      <c r="K461" s="733">
        <v>778</v>
      </c>
      <c r="L461" s="706">
        <v>0</v>
      </c>
      <c r="M461" s="706">
        <v>0</v>
      </c>
      <c r="N461" s="706">
        <v>0</v>
      </c>
      <c r="O461" s="706">
        <v>305</v>
      </c>
      <c r="P461" s="706">
        <v>0</v>
      </c>
      <c r="Q461" s="461"/>
      <c r="R461" s="461"/>
      <c r="S461" s="461"/>
      <c r="T461" s="461"/>
      <c r="U461" s="461"/>
      <c r="V461" s="461"/>
      <c r="W461" s="213">
        <f t="shared" si="17"/>
        <v>0</v>
      </c>
      <c r="X461" s="213">
        <f t="shared" si="18"/>
        <v>0</v>
      </c>
      <c r="Y461" s="213">
        <f t="shared" si="19"/>
        <v>778</v>
      </c>
    </row>
    <row r="462" spans="3:25" ht="14.5" hidden="1" outlineLevel="1" x14ac:dyDescent="0.35">
      <c r="C462" s="600" t="str">
        <f t="shared" si="16"/>
        <v>Infinitum Entretenimiento+ 500   (Netflix 2 dispositivos)1118.1</v>
      </c>
      <c r="D462" s="621" t="s">
        <v>1123</v>
      </c>
      <c r="E462" s="617">
        <v>1118.0999999999999</v>
      </c>
      <c r="F462" s="733">
        <v>0</v>
      </c>
      <c r="G462" s="733">
        <v>0</v>
      </c>
      <c r="H462" s="733">
        <v>0</v>
      </c>
      <c r="I462" s="733">
        <v>0</v>
      </c>
      <c r="J462" s="733">
        <v>0</v>
      </c>
      <c r="K462" s="733">
        <v>983</v>
      </c>
      <c r="L462" s="706">
        <v>0</v>
      </c>
      <c r="M462" s="706">
        <v>0</v>
      </c>
      <c r="N462" s="706">
        <v>0</v>
      </c>
      <c r="O462" s="706">
        <v>245</v>
      </c>
      <c r="P462" s="706">
        <v>0</v>
      </c>
      <c r="Q462" s="461"/>
      <c r="R462" s="461"/>
      <c r="S462" s="461"/>
      <c r="T462" s="461"/>
      <c r="U462" s="461"/>
      <c r="V462" s="461"/>
      <c r="W462" s="213">
        <f t="shared" si="17"/>
        <v>0</v>
      </c>
      <c r="X462" s="213">
        <f t="shared" si="18"/>
        <v>0</v>
      </c>
      <c r="Y462" s="213">
        <f t="shared" si="19"/>
        <v>983</v>
      </c>
    </row>
    <row r="463" spans="3:25" ht="14.5" hidden="1" outlineLevel="1" x14ac:dyDescent="0.35">
      <c r="C463" s="600" t="str">
        <f t="shared" si="16"/>
        <v>Velocidad Simétrica Conectes Negocio86.21</v>
      </c>
      <c r="D463" s="621" t="s">
        <v>817</v>
      </c>
      <c r="E463" s="342">
        <v>86.21</v>
      </c>
      <c r="F463" s="733">
        <v>0</v>
      </c>
      <c r="G463" s="733">
        <v>0</v>
      </c>
      <c r="H463" s="733">
        <v>0</v>
      </c>
      <c r="I463" s="733">
        <v>0</v>
      </c>
      <c r="J463" s="733">
        <v>0</v>
      </c>
      <c r="K463" s="733">
        <v>94</v>
      </c>
      <c r="L463" s="706">
        <v>0</v>
      </c>
      <c r="M463" s="706">
        <v>0</v>
      </c>
      <c r="N463" s="706">
        <v>0</v>
      </c>
      <c r="O463" s="706">
        <v>0</v>
      </c>
      <c r="P463" s="706">
        <v>0</v>
      </c>
      <c r="Q463" s="461"/>
      <c r="R463" s="461"/>
      <c r="S463" s="461"/>
      <c r="T463" s="461"/>
      <c r="U463" s="461"/>
      <c r="V463" s="461"/>
      <c r="W463" s="213">
        <f t="shared" si="17"/>
        <v>0</v>
      </c>
      <c r="X463" s="213">
        <f t="shared" si="18"/>
        <v>0</v>
      </c>
      <c r="Y463" s="213">
        <f t="shared" si="19"/>
        <v>94</v>
      </c>
    </row>
    <row r="464" spans="3:25" ht="14.5" hidden="1" outlineLevel="1" x14ac:dyDescent="0.35">
      <c r="C464" s="600" t="str">
        <f t="shared" si="16"/>
        <v>Velocidad Simétrica Conectes Negocio Promoción *172.41</v>
      </c>
      <c r="D464" s="621" t="s">
        <v>1294</v>
      </c>
      <c r="E464" s="342">
        <v>172.41</v>
      </c>
      <c r="F464" s="733">
        <v>0</v>
      </c>
      <c r="G464" s="733">
        <v>0</v>
      </c>
      <c r="H464" s="733">
        <v>0</v>
      </c>
      <c r="I464" s="733">
        <v>0</v>
      </c>
      <c r="J464" s="733">
        <v>0</v>
      </c>
      <c r="K464" s="733">
        <v>133</v>
      </c>
      <c r="L464" s="706">
        <v>0</v>
      </c>
      <c r="M464" s="706">
        <v>0</v>
      </c>
      <c r="N464" s="706">
        <v>0</v>
      </c>
      <c r="O464" s="706">
        <v>0</v>
      </c>
      <c r="P464" s="706">
        <v>0</v>
      </c>
      <c r="Q464" s="461"/>
      <c r="R464" s="461"/>
      <c r="S464" s="461"/>
      <c r="T464" s="461"/>
      <c r="U464" s="461"/>
      <c r="V464" s="461"/>
      <c r="W464" s="213">
        <f t="shared" si="17"/>
        <v>0</v>
      </c>
      <c r="X464" s="213">
        <f t="shared" si="18"/>
        <v>0</v>
      </c>
      <c r="Y464" s="213">
        <f t="shared" si="19"/>
        <v>133</v>
      </c>
    </row>
    <row r="465" spans="3:25" ht="14.5" hidden="1" outlineLevel="1" x14ac:dyDescent="0.35">
      <c r="C465" s="600" t="str">
        <f t="shared" si="16"/>
        <v>Velocidad Simétrica Mi Negocio215.52</v>
      </c>
      <c r="D465" s="621" t="s">
        <v>818</v>
      </c>
      <c r="E465" s="342">
        <v>215.52</v>
      </c>
      <c r="F465" s="733">
        <v>0</v>
      </c>
      <c r="G465" s="733">
        <v>0</v>
      </c>
      <c r="H465" s="733">
        <v>0</v>
      </c>
      <c r="I465" s="733">
        <v>0</v>
      </c>
      <c r="J465" s="733">
        <v>0</v>
      </c>
      <c r="K465" s="733">
        <v>262</v>
      </c>
      <c r="L465" s="706">
        <v>0</v>
      </c>
      <c r="M465" s="706">
        <v>0</v>
      </c>
      <c r="N465" s="706">
        <v>0</v>
      </c>
      <c r="O465" s="706">
        <v>0</v>
      </c>
      <c r="P465" s="706">
        <v>0</v>
      </c>
      <c r="Q465" s="461"/>
      <c r="R465" s="461"/>
      <c r="S465" s="461"/>
      <c r="T465" s="461"/>
      <c r="U465" s="461"/>
      <c r="V465" s="461"/>
      <c r="W465" s="213">
        <f t="shared" si="17"/>
        <v>0</v>
      </c>
      <c r="X465" s="213">
        <f t="shared" si="18"/>
        <v>0</v>
      </c>
      <c r="Y465" s="213">
        <f t="shared" si="19"/>
        <v>262</v>
      </c>
    </row>
    <row r="466" spans="3:25" ht="14.5" hidden="1" outlineLevel="1" x14ac:dyDescent="0.35">
      <c r="C466" s="600" t="str">
        <f t="shared" si="16"/>
        <v>Velocidad Simétrica Supernegocio258.62</v>
      </c>
      <c r="D466" s="621" t="s">
        <v>1043</v>
      </c>
      <c r="E466" s="342">
        <v>258.62</v>
      </c>
      <c r="F466" s="733">
        <v>0</v>
      </c>
      <c r="G466" s="733">
        <v>0</v>
      </c>
      <c r="H466" s="733">
        <v>0</v>
      </c>
      <c r="I466" s="733">
        <v>0</v>
      </c>
      <c r="J466" s="733">
        <v>0</v>
      </c>
      <c r="K466" s="733">
        <v>258</v>
      </c>
      <c r="L466" s="706">
        <v>0</v>
      </c>
      <c r="M466" s="706">
        <v>0</v>
      </c>
      <c r="N466" s="706">
        <v>0</v>
      </c>
      <c r="O466" s="706">
        <v>0</v>
      </c>
      <c r="P466" s="706">
        <v>0</v>
      </c>
      <c r="Q466" s="461"/>
      <c r="R466" s="461"/>
      <c r="S466" s="461"/>
      <c r="T466" s="461"/>
      <c r="U466" s="461"/>
      <c r="V466" s="461"/>
      <c r="W466" s="213">
        <f t="shared" si="17"/>
        <v>0</v>
      </c>
      <c r="X466" s="213">
        <f t="shared" si="18"/>
        <v>0</v>
      </c>
      <c r="Y466" s="213">
        <f t="shared" si="19"/>
        <v>258</v>
      </c>
    </row>
    <row r="467" spans="3:25" ht="14.5" hidden="1" outlineLevel="1" x14ac:dyDescent="0.35">
      <c r="C467" s="600" t="str">
        <f t="shared" si="16"/>
        <v>Velocidad Simétrica Telmex Negocio Sin Límites 1344.83</v>
      </c>
      <c r="D467" s="621" t="s">
        <v>844</v>
      </c>
      <c r="E467" s="342">
        <v>344.83</v>
      </c>
      <c r="F467" s="733">
        <v>0</v>
      </c>
      <c r="G467" s="733">
        <v>0</v>
      </c>
      <c r="H467" s="733">
        <v>0</v>
      </c>
      <c r="I467" s="733">
        <v>0</v>
      </c>
      <c r="J467" s="733">
        <v>0</v>
      </c>
      <c r="K467" s="733">
        <v>445</v>
      </c>
      <c r="L467" s="706">
        <v>0</v>
      </c>
      <c r="M467" s="706">
        <v>0</v>
      </c>
      <c r="N467" s="706">
        <v>0</v>
      </c>
      <c r="O467" s="706">
        <v>0</v>
      </c>
      <c r="P467" s="706">
        <v>0</v>
      </c>
      <c r="Q467" s="461"/>
      <c r="R467" s="461"/>
      <c r="S467" s="461"/>
      <c r="T467" s="461"/>
      <c r="U467" s="461"/>
      <c r="V467" s="461"/>
      <c r="W467" s="213">
        <f t="shared" si="17"/>
        <v>0</v>
      </c>
      <c r="X467" s="213">
        <f t="shared" si="18"/>
        <v>0</v>
      </c>
      <c r="Y467" s="213">
        <f t="shared" si="19"/>
        <v>445</v>
      </c>
    </row>
    <row r="468" spans="3:25" ht="14.5" hidden="1" outlineLevel="1" x14ac:dyDescent="0.35">
      <c r="C468" s="600" t="str">
        <f t="shared" si="16"/>
        <v>Velocidad Simétrica Telmex Negocio Sin Límites 2387.93</v>
      </c>
      <c r="D468" s="621" t="s">
        <v>845</v>
      </c>
      <c r="E468" s="342">
        <v>387.93</v>
      </c>
      <c r="F468" s="733">
        <v>0</v>
      </c>
      <c r="G468" s="733">
        <v>0</v>
      </c>
      <c r="H468" s="733">
        <v>0</v>
      </c>
      <c r="I468" s="733">
        <v>0</v>
      </c>
      <c r="J468" s="733">
        <v>0</v>
      </c>
      <c r="K468" s="733">
        <v>295</v>
      </c>
      <c r="L468" s="706">
        <v>0</v>
      </c>
      <c r="M468" s="706">
        <v>0</v>
      </c>
      <c r="N468" s="706">
        <v>0</v>
      </c>
      <c r="O468" s="706">
        <v>0</v>
      </c>
      <c r="P468" s="706">
        <v>0</v>
      </c>
      <c r="Q468" s="461"/>
      <c r="R468" s="461"/>
      <c r="S468" s="461"/>
      <c r="T468" s="461"/>
      <c r="U468" s="461"/>
      <c r="V468" s="461"/>
      <c r="W468" s="213">
        <f t="shared" si="17"/>
        <v>0</v>
      </c>
      <c r="X468" s="213">
        <f t="shared" si="18"/>
        <v>0</v>
      </c>
      <c r="Y468" s="213">
        <f t="shared" si="19"/>
        <v>295</v>
      </c>
    </row>
    <row r="469" spans="3:25" ht="14.5" hidden="1" outlineLevel="1" x14ac:dyDescent="0.35">
      <c r="C469" s="600" t="str">
        <f t="shared" si="16"/>
        <v>Velocidad Simétrica Telmex Negocio Sin Límites 3431.03</v>
      </c>
      <c r="D469" s="621" t="s">
        <v>846</v>
      </c>
      <c r="E469" s="342">
        <v>431.03</v>
      </c>
      <c r="F469" s="733">
        <v>0</v>
      </c>
      <c r="G469" s="733">
        <v>0</v>
      </c>
      <c r="H469" s="733">
        <v>0</v>
      </c>
      <c r="I469" s="733">
        <v>0</v>
      </c>
      <c r="J469" s="733">
        <v>0</v>
      </c>
      <c r="K469" s="733">
        <v>552</v>
      </c>
      <c r="L469" s="706">
        <v>0</v>
      </c>
      <c r="M469" s="706">
        <v>0</v>
      </c>
      <c r="N469" s="706">
        <v>0</v>
      </c>
      <c r="O469" s="706">
        <v>0</v>
      </c>
      <c r="P469" s="706">
        <v>0</v>
      </c>
      <c r="Q469" s="461"/>
      <c r="R469" s="461"/>
      <c r="S469" s="461"/>
      <c r="T469" s="461"/>
      <c r="U469" s="461"/>
      <c r="V469" s="461"/>
      <c r="W469" s="213">
        <f t="shared" si="17"/>
        <v>0</v>
      </c>
      <c r="X469" s="213">
        <f t="shared" si="18"/>
        <v>0</v>
      </c>
      <c r="Y469" s="213">
        <f t="shared" si="19"/>
        <v>552</v>
      </c>
    </row>
    <row r="470" spans="3:25" ht="14.5" hidden="1" outlineLevel="1" x14ac:dyDescent="0.35">
      <c r="C470" s="600" t="str">
        <f t="shared" si="16"/>
        <v>Velocidad Simétrica Conectes Negocio Netflix (1 dispositivo)86.21</v>
      </c>
      <c r="D470" s="621" t="s">
        <v>1044</v>
      </c>
      <c r="E470" s="342">
        <v>86.21</v>
      </c>
      <c r="F470" s="733">
        <v>0</v>
      </c>
      <c r="G470" s="733">
        <v>0</v>
      </c>
      <c r="H470" s="733">
        <v>0</v>
      </c>
      <c r="I470" s="733">
        <v>0</v>
      </c>
      <c r="J470" s="733">
        <v>0</v>
      </c>
      <c r="K470" s="733">
        <v>78</v>
      </c>
      <c r="L470" s="706">
        <v>0</v>
      </c>
      <c r="M470" s="706">
        <v>0</v>
      </c>
      <c r="N470" s="706">
        <v>0</v>
      </c>
      <c r="O470" s="706">
        <v>0</v>
      </c>
      <c r="P470" s="706">
        <v>0</v>
      </c>
      <c r="Q470" s="461"/>
      <c r="R470" s="461"/>
      <c r="S470" s="461"/>
      <c r="T470" s="461"/>
      <c r="U470" s="461"/>
      <c r="V470" s="461"/>
      <c r="W470" s="213">
        <f t="shared" si="17"/>
        <v>0</v>
      </c>
      <c r="X470" s="213">
        <f t="shared" si="18"/>
        <v>0</v>
      </c>
      <c r="Y470" s="213">
        <f t="shared" si="19"/>
        <v>78</v>
      </c>
    </row>
    <row r="471" spans="3:25" ht="14.5" hidden="1" outlineLevel="1" x14ac:dyDescent="0.35">
      <c r="C471" s="600" t="str">
        <f t="shared" si="16"/>
        <v>Velocidad Simétrica Conectes Negocio Netflix (1 dispositivo) Promoción172.41</v>
      </c>
      <c r="D471" s="621" t="s">
        <v>1295</v>
      </c>
      <c r="E471" s="342">
        <v>172.41</v>
      </c>
      <c r="F471" s="733">
        <v>0</v>
      </c>
      <c r="G471" s="733">
        <v>0</v>
      </c>
      <c r="H471" s="733">
        <v>0</v>
      </c>
      <c r="I471" s="733">
        <v>0</v>
      </c>
      <c r="J471" s="733">
        <v>0</v>
      </c>
      <c r="K471" s="733">
        <v>143</v>
      </c>
      <c r="L471" s="733">
        <v>0</v>
      </c>
      <c r="M471" s="733">
        <v>0</v>
      </c>
      <c r="N471" s="706">
        <v>0</v>
      </c>
      <c r="O471" s="706">
        <v>0</v>
      </c>
      <c r="P471" s="706">
        <v>0</v>
      </c>
      <c r="Q471" s="461"/>
      <c r="R471" s="461"/>
      <c r="S471" s="461"/>
      <c r="T471" s="461"/>
      <c r="U471" s="461"/>
      <c r="V471" s="461"/>
      <c r="W471" s="213">
        <f t="shared" si="17"/>
        <v>0</v>
      </c>
      <c r="X471" s="213">
        <f t="shared" si="18"/>
        <v>0</v>
      </c>
      <c r="Y471" s="213">
        <f t="shared" si="19"/>
        <v>143</v>
      </c>
    </row>
    <row r="472" spans="3:25" ht="14.5" hidden="1" outlineLevel="1" x14ac:dyDescent="0.35">
      <c r="C472" s="600" t="str">
        <f t="shared" si="16"/>
        <v>Velocidad Simétrica Conectes Negocio Netflix (2 dispositivos)86.21</v>
      </c>
      <c r="D472" s="621" t="s">
        <v>1045</v>
      </c>
      <c r="E472" s="342">
        <v>86.21</v>
      </c>
      <c r="F472" s="733">
        <v>0</v>
      </c>
      <c r="G472" s="733">
        <v>0</v>
      </c>
      <c r="H472" s="733">
        <v>0</v>
      </c>
      <c r="I472" s="733">
        <v>0</v>
      </c>
      <c r="J472" s="733">
        <v>0</v>
      </c>
      <c r="K472" s="733">
        <v>63</v>
      </c>
      <c r="L472" s="733">
        <v>0</v>
      </c>
      <c r="M472" s="733">
        <v>0</v>
      </c>
      <c r="N472" s="706">
        <v>0</v>
      </c>
      <c r="O472" s="706">
        <v>0</v>
      </c>
      <c r="P472" s="706">
        <v>0</v>
      </c>
      <c r="Q472" s="461"/>
      <c r="R472" s="461"/>
      <c r="S472" s="461"/>
      <c r="T472" s="461"/>
      <c r="U472" s="461"/>
      <c r="V472" s="461"/>
      <c r="W472" s="213">
        <f t="shared" si="17"/>
        <v>0</v>
      </c>
      <c r="X472" s="213">
        <f t="shared" si="18"/>
        <v>0</v>
      </c>
      <c r="Y472" s="213">
        <f t="shared" si="19"/>
        <v>63</v>
      </c>
    </row>
    <row r="473" spans="3:25" ht="14.5" hidden="1" outlineLevel="1" x14ac:dyDescent="0.35">
      <c r="C473" s="600" t="str">
        <f t="shared" si="16"/>
        <v>Velocidad Simétrica Conectes Negocio Netflix (2 dispositivos) Promoción172.41</v>
      </c>
      <c r="D473" s="621" t="s">
        <v>1296</v>
      </c>
      <c r="E473" s="342">
        <v>172.41</v>
      </c>
      <c r="F473" s="733">
        <v>0</v>
      </c>
      <c r="G473" s="733">
        <v>0</v>
      </c>
      <c r="H473" s="733">
        <v>0</v>
      </c>
      <c r="I473" s="733">
        <v>0</v>
      </c>
      <c r="J473" s="733">
        <v>0</v>
      </c>
      <c r="K473" s="733">
        <v>202</v>
      </c>
      <c r="L473" s="706">
        <v>0</v>
      </c>
      <c r="M473" s="733">
        <v>0</v>
      </c>
      <c r="N473" s="706">
        <v>0</v>
      </c>
      <c r="O473" s="706">
        <v>0</v>
      </c>
      <c r="P473" s="706">
        <v>0</v>
      </c>
      <c r="Q473" s="461"/>
      <c r="R473" s="461"/>
      <c r="S473" s="461"/>
      <c r="T473" s="461"/>
      <c r="U473" s="461"/>
      <c r="V473" s="461"/>
      <c r="W473" s="213">
        <f t="shared" si="17"/>
        <v>0</v>
      </c>
      <c r="X473" s="213">
        <f t="shared" si="18"/>
        <v>0</v>
      </c>
      <c r="Y473" s="213">
        <f t="shared" si="19"/>
        <v>202</v>
      </c>
    </row>
    <row r="474" spans="3:25" ht="14.5" hidden="1" outlineLevel="1" x14ac:dyDescent="0.35">
      <c r="C474" s="600" t="str">
        <f t="shared" si="16"/>
        <v>Velocidad Simétrica Conectes Negocio Netflix (4 dispositivos)86.21</v>
      </c>
      <c r="D474" s="621" t="s">
        <v>1046</v>
      </c>
      <c r="E474" s="342">
        <v>86.21</v>
      </c>
      <c r="F474" s="733">
        <v>0</v>
      </c>
      <c r="G474" s="733">
        <v>0</v>
      </c>
      <c r="H474" s="733">
        <v>0</v>
      </c>
      <c r="I474" s="733">
        <v>0</v>
      </c>
      <c r="J474" s="733">
        <v>0</v>
      </c>
      <c r="K474" s="733">
        <v>82</v>
      </c>
      <c r="L474" s="706">
        <v>0</v>
      </c>
      <c r="M474" s="733">
        <v>0</v>
      </c>
      <c r="N474" s="706">
        <v>0</v>
      </c>
      <c r="O474" s="706">
        <v>0</v>
      </c>
      <c r="P474" s="706">
        <v>0</v>
      </c>
      <c r="Q474" s="461"/>
      <c r="R474" s="461"/>
      <c r="S474" s="461"/>
      <c r="T474" s="461"/>
      <c r="U474" s="461"/>
      <c r="V474" s="461"/>
      <c r="W474" s="213">
        <f t="shared" si="17"/>
        <v>0</v>
      </c>
      <c r="X474" s="213">
        <f t="shared" si="18"/>
        <v>0</v>
      </c>
      <c r="Y474" s="213">
        <f t="shared" si="19"/>
        <v>82</v>
      </c>
    </row>
    <row r="475" spans="3:25" ht="14.5" hidden="1" outlineLevel="1" x14ac:dyDescent="0.35">
      <c r="C475" s="600" t="str">
        <f t="shared" si="16"/>
        <v>Velocidad Simétrica Conectes Negocio Netflix (4 dispositivos) Promoción172.41</v>
      </c>
      <c r="D475" s="621" t="s">
        <v>1297</v>
      </c>
      <c r="E475" s="342">
        <v>172.41</v>
      </c>
      <c r="F475" s="733">
        <v>0</v>
      </c>
      <c r="G475" s="733">
        <v>0</v>
      </c>
      <c r="H475" s="733">
        <v>0</v>
      </c>
      <c r="I475" s="733">
        <v>0</v>
      </c>
      <c r="J475" s="733">
        <v>0</v>
      </c>
      <c r="K475" s="733">
        <v>156</v>
      </c>
      <c r="L475" s="706">
        <v>0</v>
      </c>
      <c r="M475" s="733">
        <v>0</v>
      </c>
      <c r="N475" s="706">
        <v>0</v>
      </c>
      <c r="O475" s="706">
        <v>0</v>
      </c>
      <c r="P475" s="706">
        <v>0</v>
      </c>
      <c r="Q475" s="461"/>
      <c r="R475" s="461"/>
      <c r="S475" s="461"/>
      <c r="T475" s="461"/>
      <c r="U475" s="461"/>
      <c r="V475" s="461"/>
      <c r="W475" s="213">
        <f t="shared" si="17"/>
        <v>0</v>
      </c>
      <c r="X475" s="213">
        <f t="shared" si="18"/>
        <v>0</v>
      </c>
      <c r="Y475" s="213">
        <f t="shared" si="19"/>
        <v>156</v>
      </c>
    </row>
    <row r="476" spans="3:25" ht="14.5" hidden="1" outlineLevel="1" x14ac:dyDescent="0.35">
      <c r="C476" s="600" t="str">
        <f t="shared" si="16"/>
        <v>Velocidad Simétrica Mi Negocio Netflix (2 dispositivos)215.52</v>
      </c>
      <c r="D476" s="621" t="s">
        <v>1047</v>
      </c>
      <c r="E476" s="342">
        <v>215.52</v>
      </c>
      <c r="F476" s="733">
        <v>0</v>
      </c>
      <c r="G476" s="733">
        <v>0</v>
      </c>
      <c r="H476" s="733">
        <v>0</v>
      </c>
      <c r="I476" s="733">
        <v>0</v>
      </c>
      <c r="J476" s="733">
        <v>0</v>
      </c>
      <c r="K476" s="733">
        <v>272</v>
      </c>
      <c r="L476" s="733">
        <v>0</v>
      </c>
      <c r="M476" s="733">
        <v>0</v>
      </c>
      <c r="N476" s="706">
        <v>0</v>
      </c>
      <c r="O476" s="706">
        <v>0</v>
      </c>
      <c r="P476" s="706">
        <v>0</v>
      </c>
      <c r="Q476" s="461"/>
      <c r="R476" s="461"/>
      <c r="S476" s="461"/>
      <c r="T476" s="461"/>
      <c r="U476" s="461"/>
      <c r="V476" s="461"/>
      <c r="W476" s="213">
        <f t="shared" si="17"/>
        <v>0</v>
      </c>
      <c r="X476" s="213">
        <f t="shared" si="18"/>
        <v>0</v>
      </c>
      <c r="Y476" s="213">
        <f t="shared" si="19"/>
        <v>272</v>
      </c>
    </row>
    <row r="477" spans="3:25" ht="14.5" hidden="1" outlineLevel="1" x14ac:dyDescent="0.35">
      <c r="C477" s="600" t="str">
        <f t="shared" si="16"/>
        <v>Velocidad Simétrica Mi Negocio Netflix (4 dispositivos)215.52</v>
      </c>
      <c r="D477" s="621" t="s">
        <v>1048</v>
      </c>
      <c r="E477" s="342">
        <v>215.52</v>
      </c>
      <c r="F477" s="733">
        <v>0</v>
      </c>
      <c r="G477" s="733">
        <v>0</v>
      </c>
      <c r="H477" s="733">
        <v>0</v>
      </c>
      <c r="I477" s="733">
        <v>0</v>
      </c>
      <c r="J477" s="733">
        <v>0</v>
      </c>
      <c r="K477" s="733">
        <v>180</v>
      </c>
      <c r="L477" s="733">
        <v>0</v>
      </c>
      <c r="M477" s="733">
        <v>0</v>
      </c>
      <c r="N477" s="706">
        <v>0</v>
      </c>
      <c r="O477" s="706">
        <v>0</v>
      </c>
      <c r="P477" s="706">
        <v>0</v>
      </c>
      <c r="Q477" s="461"/>
      <c r="R477" s="461"/>
      <c r="S477" s="461"/>
      <c r="T477" s="461"/>
      <c r="U477" s="461"/>
      <c r="V477" s="461"/>
      <c r="W477" s="213">
        <f t="shared" si="17"/>
        <v>0</v>
      </c>
      <c r="X477" s="213">
        <f t="shared" si="18"/>
        <v>0</v>
      </c>
      <c r="Y477" s="213">
        <f t="shared" si="19"/>
        <v>180</v>
      </c>
    </row>
    <row r="478" spans="3:25" ht="14.5" hidden="1" outlineLevel="1" x14ac:dyDescent="0.35">
      <c r="C478" s="600" t="str">
        <f t="shared" si="16"/>
        <v>Velocidad Simétrica Supernegocio Netflix (2 dispositivos)258.62</v>
      </c>
      <c r="D478" s="621" t="s">
        <v>1049</v>
      </c>
      <c r="E478" s="342">
        <v>258.62</v>
      </c>
      <c r="F478" s="733">
        <v>0</v>
      </c>
      <c r="G478" s="733">
        <v>0</v>
      </c>
      <c r="H478" s="733">
        <v>0</v>
      </c>
      <c r="I478" s="733">
        <v>0</v>
      </c>
      <c r="J478" s="733">
        <v>0</v>
      </c>
      <c r="K478" s="733">
        <v>214</v>
      </c>
      <c r="L478" s="733">
        <v>0</v>
      </c>
      <c r="M478" s="733">
        <v>0</v>
      </c>
      <c r="N478" s="706">
        <v>0</v>
      </c>
      <c r="O478" s="706">
        <v>0</v>
      </c>
      <c r="P478" s="706">
        <v>0</v>
      </c>
      <c r="Q478" s="461"/>
      <c r="R478" s="461"/>
      <c r="S478" s="461"/>
      <c r="T478" s="461"/>
      <c r="U478" s="461"/>
      <c r="V478" s="461"/>
      <c r="W478" s="213">
        <f t="shared" si="17"/>
        <v>0</v>
      </c>
      <c r="X478" s="213">
        <f t="shared" si="18"/>
        <v>0</v>
      </c>
      <c r="Y478" s="213">
        <f t="shared" si="19"/>
        <v>214</v>
      </c>
    </row>
    <row r="479" spans="3:25" ht="14.5" hidden="1" outlineLevel="1" x14ac:dyDescent="0.35">
      <c r="C479" s="600" t="str">
        <f t="shared" si="16"/>
        <v>Velocidad Simétrica Supernegocio Netflix (4 dispositivos)258.62</v>
      </c>
      <c r="D479" s="621" t="s">
        <v>1050</v>
      </c>
      <c r="E479" s="342">
        <v>258.62</v>
      </c>
      <c r="F479" s="733">
        <v>0</v>
      </c>
      <c r="G479" s="733">
        <v>0</v>
      </c>
      <c r="H479" s="733">
        <v>0</v>
      </c>
      <c r="I479" s="733">
        <v>0</v>
      </c>
      <c r="J479" s="733">
        <v>0</v>
      </c>
      <c r="K479" s="733">
        <v>308</v>
      </c>
      <c r="L479" s="733">
        <v>0</v>
      </c>
      <c r="M479" s="733">
        <v>0</v>
      </c>
      <c r="N479" s="706">
        <v>0</v>
      </c>
      <c r="O479" s="706">
        <v>0</v>
      </c>
      <c r="P479" s="706">
        <v>0</v>
      </c>
      <c r="Q479" s="461"/>
      <c r="R479" s="461"/>
      <c r="S479" s="461"/>
      <c r="T479" s="461"/>
      <c r="U479" s="461"/>
      <c r="V479" s="461"/>
      <c r="W479" s="213">
        <f t="shared" si="17"/>
        <v>0</v>
      </c>
      <c r="X479" s="213">
        <f t="shared" si="18"/>
        <v>0</v>
      </c>
      <c r="Y479" s="213">
        <f t="shared" si="19"/>
        <v>308</v>
      </c>
    </row>
    <row r="480" spans="3:25" ht="14.5" collapsed="1" x14ac:dyDescent="0.35">
      <c r="C480" s="600" t="e">
        <f t="shared" ref="C480" si="20">1+C479</f>
        <v>#VALUE!</v>
      </c>
      <c r="D480" s="601" t="s">
        <v>252</v>
      </c>
      <c r="E480" s="342"/>
      <c r="F480" s="733">
        <v>0</v>
      </c>
      <c r="G480" s="706">
        <v>0</v>
      </c>
      <c r="H480" s="706">
        <v>0</v>
      </c>
      <c r="I480" s="706">
        <v>0</v>
      </c>
      <c r="J480" s="706">
        <v>0</v>
      </c>
      <c r="K480" s="733">
        <v>0</v>
      </c>
      <c r="L480" s="733">
        <v>0</v>
      </c>
      <c r="M480" s="733">
        <v>0</v>
      </c>
      <c r="N480" s="706">
        <v>0</v>
      </c>
      <c r="O480" s="706">
        <v>0</v>
      </c>
      <c r="P480" s="706">
        <v>0</v>
      </c>
      <c r="Q480" s="461"/>
      <c r="R480" s="461"/>
      <c r="S480" s="461"/>
      <c r="T480" s="461"/>
      <c r="U480" s="461"/>
      <c r="V480" s="461"/>
      <c r="W480" s="213">
        <f t="shared" si="17"/>
        <v>0</v>
      </c>
      <c r="X480" s="213">
        <f t="shared" si="18"/>
        <v>0</v>
      </c>
      <c r="Y480" s="213">
        <f t="shared" si="19"/>
        <v>0</v>
      </c>
    </row>
    <row r="482" spans="3:22" x14ac:dyDescent="0.25">
      <c r="D482" s="585" t="s">
        <v>365</v>
      </c>
    </row>
    <row r="483" spans="3:22" x14ac:dyDescent="0.25">
      <c r="D483" s="585"/>
    </row>
    <row r="484" spans="3:22" ht="15.5" x14ac:dyDescent="0.25">
      <c r="D484" s="607" t="s">
        <v>1147</v>
      </c>
      <c r="E484" s="605"/>
      <c r="F484" s="605"/>
      <c r="G484" s="605"/>
      <c r="H484" s="606"/>
    </row>
    <row r="485" spans="3:22" x14ac:dyDescent="0.25">
      <c r="D485" s="585"/>
    </row>
    <row r="486" spans="3:22" ht="23" x14ac:dyDescent="0.25">
      <c r="C486" s="585"/>
      <c r="D486" s="593" t="s">
        <v>405</v>
      </c>
      <c r="F486" s="615" t="s">
        <v>409</v>
      </c>
      <c r="G486" s="787" t="s">
        <v>406</v>
      </c>
      <c r="H486" s="788"/>
      <c r="I486" s="788"/>
      <c r="J486" s="789"/>
      <c r="K486" s="787" t="s">
        <v>407</v>
      </c>
      <c r="L486" s="789"/>
      <c r="M486" s="616" t="s">
        <v>1270</v>
      </c>
      <c r="N486" s="787" t="s">
        <v>1271</v>
      </c>
      <c r="O486" s="788"/>
      <c r="P486" s="788"/>
      <c r="Q486" s="788"/>
      <c r="R486" s="788"/>
      <c r="S486" s="788"/>
      <c r="T486" s="789"/>
      <c r="U486" s="615" t="s">
        <v>408</v>
      </c>
      <c r="V486" s="615"/>
    </row>
    <row r="487" spans="3:22" ht="57.5" x14ac:dyDescent="0.25">
      <c r="C487" s="585"/>
      <c r="D487" s="597" t="s">
        <v>252</v>
      </c>
      <c r="E487" s="598" t="s">
        <v>1280</v>
      </c>
      <c r="F487" s="598" t="s">
        <v>409</v>
      </c>
      <c r="G487" s="598" t="s">
        <v>410</v>
      </c>
      <c r="H487" s="598" t="s">
        <v>411</v>
      </c>
      <c r="I487" s="598" t="s">
        <v>412</v>
      </c>
      <c r="J487" s="599" t="s">
        <v>1272</v>
      </c>
      <c r="K487" s="599" t="s">
        <v>407</v>
      </c>
      <c r="L487" s="599" t="s">
        <v>1273</v>
      </c>
      <c r="M487" s="598" t="s">
        <v>416</v>
      </c>
      <c r="N487" s="598" t="s">
        <v>419</v>
      </c>
      <c r="O487" s="598" t="s">
        <v>908</v>
      </c>
      <c r="P487" s="598" t="s">
        <v>1274</v>
      </c>
      <c r="Q487" s="598" t="s">
        <v>1275</v>
      </c>
      <c r="R487" s="598" t="s">
        <v>978</v>
      </c>
      <c r="S487" s="598" t="s">
        <v>1276</v>
      </c>
      <c r="T487" s="598" t="s">
        <v>1277</v>
      </c>
      <c r="U487" s="598" t="s">
        <v>1278</v>
      </c>
      <c r="V487" s="598" t="s">
        <v>1279</v>
      </c>
    </row>
    <row r="488" spans="3:22" ht="14.5" x14ac:dyDescent="0.35">
      <c r="C488" s="600">
        <v>1</v>
      </c>
      <c r="D488" s="621" t="s">
        <v>1095</v>
      </c>
      <c r="E488" s="617">
        <v>328.44</v>
      </c>
      <c r="F488" s="733">
        <v>178</v>
      </c>
      <c r="G488" s="733">
        <v>11</v>
      </c>
      <c r="H488" s="733">
        <v>3</v>
      </c>
      <c r="I488" s="733">
        <v>1</v>
      </c>
      <c r="J488" s="733">
        <v>15</v>
      </c>
      <c r="K488" s="733">
        <v>144</v>
      </c>
      <c r="L488" s="706">
        <v>0</v>
      </c>
      <c r="M488" s="706">
        <v>0</v>
      </c>
      <c r="N488" s="706">
        <v>0</v>
      </c>
      <c r="O488" s="706">
        <v>0</v>
      </c>
      <c r="P488" s="706">
        <v>0</v>
      </c>
      <c r="Q488" s="461"/>
      <c r="R488" s="461"/>
      <c r="S488" s="461"/>
      <c r="T488" s="461"/>
      <c r="U488" s="461"/>
      <c r="V488" s="461"/>
    </row>
    <row r="489" spans="3:22" ht="14.5" x14ac:dyDescent="0.35">
      <c r="C489" s="600">
        <f>1+C488</f>
        <v>2</v>
      </c>
      <c r="D489" s="621" t="s">
        <v>1096</v>
      </c>
      <c r="E489" s="617">
        <v>367.29</v>
      </c>
      <c r="F489" s="733">
        <v>131</v>
      </c>
      <c r="G489" s="733">
        <v>18</v>
      </c>
      <c r="H489" s="733">
        <v>4</v>
      </c>
      <c r="I489" s="733">
        <v>1</v>
      </c>
      <c r="J489" s="733">
        <v>12</v>
      </c>
      <c r="K489" s="733">
        <v>190</v>
      </c>
      <c r="L489" s="706">
        <v>0</v>
      </c>
      <c r="M489" s="706">
        <v>0</v>
      </c>
      <c r="N489" s="706">
        <v>0</v>
      </c>
      <c r="O489" s="706">
        <v>0</v>
      </c>
      <c r="P489" s="706">
        <v>0</v>
      </c>
      <c r="Q489" s="461"/>
      <c r="R489" s="461"/>
      <c r="S489" s="461"/>
      <c r="T489" s="461"/>
      <c r="U489" s="461"/>
      <c r="V489" s="461"/>
    </row>
    <row r="490" spans="3:22" ht="14.5" x14ac:dyDescent="0.35">
      <c r="C490" s="600">
        <f t="shared" ref="C490:C553" si="21">1+C489</f>
        <v>3</v>
      </c>
      <c r="D490" s="621" t="s">
        <v>1097</v>
      </c>
      <c r="E490" s="617">
        <v>421.32</v>
      </c>
      <c r="F490" s="733">
        <v>142</v>
      </c>
      <c r="G490" s="733">
        <v>12</v>
      </c>
      <c r="H490" s="733">
        <v>4</v>
      </c>
      <c r="I490" s="733">
        <v>1</v>
      </c>
      <c r="J490" s="733">
        <v>21</v>
      </c>
      <c r="K490" s="733">
        <v>273</v>
      </c>
      <c r="L490" s="706">
        <v>0</v>
      </c>
      <c r="M490" s="706">
        <v>0</v>
      </c>
      <c r="N490" s="706">
        <v>0</v>
      </c>
      <c r="O490" s="706">
        <v>0</v>
      </c>
      <c r="P490" s="706">
        <v>0</v>
      </c>
      <c r="Q490" s="461"/>
      <c r="R490" s="461"/>
      <c r="S490" s="461"/>
      <c r="T490" s="461"/>
      <c r="U490" s="461"/>
      <c r="V490" s="461"/>
    </row>
    <row r="491" spans="3:22" ht="14.5" x14ac:dyDescent="0.35">
      <c r="C491" s="600">
        <f t="shared" si="21"/>
        <v>4</v>
      </c>
      <c r="D491" s="621" t="s">
        <v>1098</v>
      </c>
      <c r="E491" s="617">
        <v>505.76</v>
      </c>
      <c r="F491" s="733">
        <v>167</v>
      </c>
      <c r="G491" s="733">
        <v>14</v>
      </c>
      <c r="H491" s="733">
        <v>6</v>
      </c>
      <c r="I491" s="733">
        <v>3</v>
      </c>
      <c r="J491" s="733">
        <v>22</v>
      </c>
      <c r="K491" s="733">
        <v>254</v>
      </c>
      <c r="L491" s="706">
        <v>0</v>
      </c>
      <c r="M491" s="706">
        <v>0</v>
      </c>
      <c r="N491" s="706">
        <v>0</v>
      </c>
      <c r="O491" s="706">
        <v>0</v>
      </c>
      <c r="P491" s="706">
        <v>0</v>
      </c>
      <c r="Q491" s="461"/>
      <c r="R491" s="461"/>
      <c r="S491" s="461"/>
      <c r="T491" s="461"/>
      <c r="U491" s="461"/>
      <c r="V491" s="461"/>
    </row>
    <row r="492" spans="3:22" ht="14.5" x14ac:dyDescent="0.35">
      <c r="C492" s="600">
        <f t="shared" si="21"/>
        <v>5</v>
      </c>
      <c r="D492" s="621" t="s">
        <v>1099</v>
      </c>
      <c r="E492" s="617">
        <v>843.5</v>
      </c>
      <c r="F492" s="733">
        <v>162</v>
      </c>
      <c r="G492" s="733">
        <v>13</v>
      </c>
      <c r="H492" s="733">
        <v>5</v>
      </c>
      <c r="I492" s="733">
        <v>3</v>
      </c>
      <c r="J492" s="733">
        <v>13</v>
      </c>
      <c r="K492" s="733">
        <v>678</v>
      </c>
      <c r="L492" s="706">
        <v>0</v>
      </c>
      <c r="M492" s="706">
        <v>0</v>
      </c>
      <c r="N492" s="706">
        <v>0</v>
      </c>
      <c r="O492" s="706">
        <v>0</v>
      </c>
      <c r="P492" s="706">
        <v>0</v>
      </c>
      <c r="Q492" s="461"/>
      <c r="R492" s="461"/>
      <c r="S492" s="461"/>
      <c r="T492" s="461"/>
      <c r="U492" s="461"/>
      <c r="V492" s="461"/>
    </row>
    <row r="493" spans="3:22" ht="14.5" x14ac:dyDescent="0.35">
      <c r="C493" s="600">
        <f t="shared" si="21"/>
        <v>6</v>
      </c>
      <c r="D493" s="621" t="s">
        <v>1100</v>
      </c>
      <c r="E493" s="617">
        <v>300.86</v>
      </c>
      <c r="F493" s="733">
        <v>0</v>
      </c>
      <c r="G493" s="733">
        <v>0</v>
      </c>
      <c r="H493" s="733">
        <v>0</v>
      </c>
      <c r="I493" s="733">
        <v>0</v>
      </c>
      <c r="J493" s="733">
        <v>0</v>
      </c>
      <c r="K493" s="733">
        <v>308</v>
      </c>
      <c r="L493" s="706">
        <v>0</v>
      </c>
      <c r="M493" s="706">
        <v>0</v>
      </c>
      <c r="N493" s="706">
        <v>0</v>
      </c>
      <c r="O493" s="706">
        <v>0</v>
      </c>
      <c r="P493" s="706">
        <v>0</v>
      </c>
      <c r="Q493" s="461"/>
      <c r="R493" s="461"/>
      <c r="S493" s="461"/>
      <c r="T493" s="461"/>
      <c r="U493" s="461"/>
      <c r="V493" s="461"/>
    </row>
    <row r="494" spans="3:22" ht="14.5" x14ac:dyDescent="0.35">
      <c r="C494" s="600">
        <f t="shared" si="21"/>
        <v>7</v>
      </c>
      <c r="D494" s="621" t="s">
        <v>1101</v>
      </c>
      <c r="E494" s="617">
        <v>343.97</v>
      </c>
      <c r="F494" s="733">
        <v>0</v>
      </c>
      <c r="G494" s="733">
        <v>0</v>
      </c>
      <c r="H494" s="733">
        <v>0</v>
      </c>
      <c r="I494" s="733">
        <v>0</v>
      </c>
      <c r="J494" s="733">
        <v>0</v>
      </c>
      <c r="K494" s="733">
        <v>260</v>
      </c>
      <c r="L494" s="706">
        <v>0</v>
      </c>
      <c r="M494" s="706">
        <v>0</v>
      </c>
      <c r="N494" s="706">
        <v>0</v>
      </c>
      <c r="O494" s="706">
        <v>0</v>
      </c>
      <c r="P494" s="706">
        <v>0</v>
      </c>
      <c r="Q494" s="461"/>
      <c r="R494" s="461"/>
      <c r="S494" s="461"/>
      <c r="T494" s="461"/>
      <c r="U494" s="461"/>
      <c r="V494" s="461"/>
    </row>
    <row r="495" spans="3:22" ht="14.5" x14ac:dyDescent="0.35">
      <c r="C495" s="600">
        <f t="shared" si="21"/>
        <v>8</v>
      </c>
      <c r="D495" s="621" t="s">
        <v>1243</v>
      </c>
      <c r="E495" s="617">
        <v>387.07</v>
      </c>
      <c r="F495" s="733">
        <v>0</v>
      </c>
      <c r="G495" s="733">
        <v>0</v>
      </c>
      <c r="H495" s="733">
        <v>0</v>
      </c>
      <c r="I495" s="733">
        <v>0</v>
      </c>
      <c r="J495" s="733">
        <v>0</v>
      </c>
      <c r="K495" s="735">
        <v>417</v>
      </c>
      <c r="L495" s="706">
        <v>0</v>
      </c>
      <c r="M495" s="706">
        <v>0</v>
      </c>
      <c r="N495" s="706">
        <v>0</v>
      </c>
      <c r="O495" s="706">
        <v>0</v>
      </c>
      <c r="P495" s="706">
        <v>0</v>
      </c>
      <c r="Q495" s="461"/>
      <c r="R495" s="461"/>
      <c r="S495" s="461"/>
      <c r="T495" s="461"/>
      <c r="U495" s="461"/>
      <c r="V495" s="461"/>
    </row>
    <row r="496" spans="3:22" ht="14.5" x14ac:dyDescent="0.35">
      <c r="C496" s="600">
        <f t="shared" si="21"/>
        <v>9</v>
      </c>
      <c r="D496" s="621" t="s">
        <v>1102</v>
      </c>
      <c r="E496" s="617">
        <v>473.28</v>
      </c>
      <c r="F496" s="733">
        <v>0</v>
      </c>
      <c r="G496" s="733">
        <v>0</v>
      </c>
      <c r="H496" s="733">
        <v>0</v>
      </c>
      <c r="I496" s="733">
        <v>0</v>
      </c>
      <c r="J496" s="733">
        <v>0</v>
      </c>
      <c r="K496" s="733">
        <v>475</v>
      </c>
      <c r="L496" s="706">
        <v>0</v>
      </c>
      <c r="M496" s="706">
        <v>0</v>
      </c>
      <c r="N496" s="706">
        <v>0</v>
      </c>
      <c r="O496" s="706">
        <v>0</v>
      </c>
      <c r="P496" s="706">
        <v>0</v>
      </c>
      <c r="Q496" s="461"/>
      <c r="R496" s="461"/>
      <c r="S496" s="461"/>
      <c r="T496" s="461"/>
      <c r="U496" s="461"/>
      <c r="V496" s="461"/>
    </row>
    <row r="497" spans="3:22" ht="14.5" hidden="1" outlineLevel="1" x14ac:dyDescent="0.35">
      <c r="C497" s="600">
        <f t="shared" si="21"/>
        <v>10</v>
      </c>
      <c r="D497" s="621" t="s">
        <v>1103</v>
      </c>
      <c r="E497" s="617">
        <v>775</v>
      </c>
      <c r="F497" s="733">
        <v>0</v>
      </c>
      <c r="G497" s="733">
        <v>0</v>
      </c>
      <c r="H497" s="733">
        <v>0</v>
      </c>
      <c r="I497" s="733">
        <v>0</v>
      </c>
      <c r="J497" s="733">
        <v>0</v>
      </c>
      <c r="K497" s="733">
        <v>841</v>
      </c>
      <c r="L497" s="706">
        <v>0</v>
      </c>
      <c r="M497" s="706">
        <v>0</v>
      </c>
      <c r="N497" s="706">
        <v>0</v>
      </c>
      <c r="O497" s="706">
        <v>0</v>
      </c>
      <c r="P497" s="706">
        <v>0</v>
      </c>
      <c r="Q497" s="461"/>
      <c r="R497" s="461"/>
      <c r="S497" s="461"/>
      <c r="T497" s="461"/>
      <c r="U497" s="461"/>
      <c r="V497" s="461"/>
    </row>
    <row r="498" spans="3:22" ht="14.5" hidden="1" outlineLevel="1" x14ac:dyDescent="0.35">
      <c r="C498" s="600">
        <f t="shared" si="21"/>
        <v>11</v>
      </c>
      <c r="D498" s="621" t="s">
        <v>1104</v>
      </c>
      <c r="E498" s="617">
        <v>328.44</v>
      </c>
      <c r="F498" s="733">
        <v>113</v>
      </c>
      <c r="G498" s="733">
        <v>14</v>
      </c>
      <c r="H498" s="733">
        <v>3</v>
      </c>
      <c r="I498" s="733">
        <v>1</v>
      </c>
      <c r="J498" s="733">
        <v>21</v>
      </c>
      <c r="K498" s="733">
        <v>105</v>
      </c>
      <c r="L498" s="706">
        <v>0</v>
      </c>
      <c r="M498" s="706">
        <v>0</v>
      </c>
      <c r="N498" s="706">
        <v>0</v>
      </c>
      <c r="O498" s="706">
        <v>0</v>
      </c>
      <c r="P498" s="706">
        <v>0</v>
      </c>
      <c r="Q498" s="461"/>
      <c r="R498" s="461"/>
      <c r="S498" s="461"/>
      <c r="T498" s="461"/>
      <c r="U498" s="461"/>
      <c r="V498" s="461"/>
    </row>
    <row r="499" spans="3:22" ht="14.5" hidden="1" outlineLevel="1" x14ac:dyDescent="0.35">
      <c r="C499" s="600">
        <f t="shared" si="21"/>
        <v>12</v>
      </c>
      <c r="D499" s="621" t="s">
        <v>1105</v>
      </c>
      <c r="E499" s="617">
        <v>328.44</v>
      </c>
      <c r="F499" s="733">
        <v>114</v>
      </c>
      <c r="G499" s="733">
        <v>11</v>
      </c>
      <c r="H499" s="733">
        <v>3</v>
      </c>
      <c r="I499" s="733">
        <v>1</v>
      </c>
      <c r="J499" s="733">
        <v>18</v>
      </c>
      <c r="K499" s="733">
        <v>131</v>
      </c>
      <c r="L499" s="706">
        <v>0</v>
      </c>
      <c r="M499" s="706">
        <v>0</v>
      </c>
      <c r="N499" s="706">
        <v>0</v>
      </c>
      <c r="O499" s="706">
        <v>0</v>
      </c>
      <c r="P499" s="706">
        <v>0</v>
      </c>
      <c r="Q499" s="461"/>
      <c r="R499" s="461"/>
      <c r="S499" s="461"/>
      <c r="T499" s="461"/>
      <c r="U499" s="461"/>
      <c r="V499" s="461"/>
    </row>
    <row r="500" spans="3:22" ht="14.5" hidden="1" outlineLevel="1" x14ac:dyDescent="0.35">
      <c r="C500" s="600">
        <f t="shared" si="21"/>
        <v>13</v>
      </c>
      <c r="D500" s="621" t="s">
        <v>1106</v>
      </c>
      <c r="E500" s="617">
        <v>328.44</v>
      </c>
      <c r="F500" s="733">
        <v>187</v>
      </c>
      <c r="G500" s="733">
        <v>11</v>
      </c>
      <c r="H500" s="733">
        <v>5</v>
      </c>
      <c r="I500" s="733">
        <v>1</v>
      </c>
      <c r="J500" s="733">
        <v>18</v>
      </c>
      <c r="K500" s="733">
        <v>105</v>
      </c>
      <c r="L500" s="706">
        <v>0</v>
      </c>
      <c r="M500" s="706">
        <v>0</v>
      </c>
      <c r="N500" s="706">
        <v>0</v>
      </c>
      <c r="O500" s="706">
        <v>0</v>
      </c>
      <c r="P500" s="706">
        <v>0</v>
      </c>
      <c r="Q500" s="461"/>
      <c r="R500" s="461"/>
      <c r="S500" s="461"/>
      <c r="T500" s="461"/>
      <c r="U500" s="461"/>
      <c r="V500" s="461"/>
    </row>
    <row r="501" spans="3:22" ht="14.5" hidden="1" outlineLevel="1" x14ac:dyDescent="0.35">
      <c r="C501" s="600">
        <f t="shared" si="21"/>
        <v>14</v>
      </c>
      <c r="D501" s="621" t="s">
        <v>1107</v>
      </c>
      <c r="E501" s="617">
        <v>367.29</v>
      </c>
      <c r="F501" s="733">
        <v>190</v>
      </c>
      <c r="G501" s="733">
        <v>18</v>
      </c>
      <c r="H501" s="733">
        <v>5</v>
      </c>
      <c r="I501" s="733">
        <v>1</v>
      </c>
      <c r="J501" s="733">
        <v>14</v>
      </c>
      <c r="K501" s="733">
        <v>225</v>
      </c>
      <c r="L501" s="706">
        <v>0</v>
      </c>
      <c r="M501" s="706">
        <v>0</v>
      </c>
      <c r="N501" s="706">
        <v>0</v>
      </c>
      <c r="O501" s="706">
        <v>0</v>
      </c>
      <c r="P501" s="706">
        <v>0</v>
      </c>
      <c r="Q501" s="461"/>
      <c r="R501" s="461"/>
      <c r="S501" s="461"/>
      <c r="T501" s="461"/>
      <c r="U501" s="461"/>
      <c r="V501" s="461"/>
    </row>
    <row r="502" spans="3:22" ht="14.5" hidden="1" outlineLevel="1" x14ac:dyDescent="0.35">
      <c r="C502" s="600">
        <f t="shared" si="21"/>
        <v>15</v>
      </c>
      <c r="D502" s="621" t="s">
        <v>1108</v>
      </c>
      <c r="E502" s="617">
        <v>367.29</v>
      </c>
      <c r="F502" s="733">
        <v>150</v>
      </c>
      <c r="G502" s="733">
        <v>12</v>
      </c>
      <c r="H502" s="733">
        <v>4</v>
      </c>
      <c r="I502" s="733">
        <v>1</v>
      </c>
      <c r="J502" s="733">
        <v>18</v>
      </c>
      <c r="K502" s="733">
        <v>211</v>
      </c>
      <c r="L502" s="706">
        <v>0</v>
      </c>
      <c r="M502" s="706">
        <v>0</v>
      </c>
      <c r="N502" s="706">
        <v>0</v>
      </c>
      <c r="O502" s="706">
        <v>0</v>
      </c>
      <c r="P502" s="706">
        <v>0</v>
      </c>
      <c r="Q502" s="461"/>
      <c r="R502" s="461"/>
      <c r="S502" s="461"/>
      <c r="T502" s="461"/>
      <c r="U502" s="461"/>
      <c r="V502" s="461"/>
    </row>
    <row r="503" spans="3:22" ht="14.5" hidden="1" outlineLevel="1" x14ac:dyDescent="0.35">
      <c r="C503" s="600">
        <f t="shared" si="21"/>
        <v>16</v>
      </c>
      <c r="D503" s="621" t="s">
        <v>1109</v>
      </c>
      <c r="E503" s="617">
        <v>421.32</v>
      </c>
      <c r="F503" s="733">
        <v>126</v>
      </c>
      <c r="G503" s="733">
        <v>19</v>
      </c>
      <c r="H503" s="733">
        <v>4</v>
      </c>
      <c r="I503" s="733">
        <v>1</v>
      </c>
      <c r="J503" s="733">
        <v>14</v>
      </c>
      <c r="K503" s="733">
        <v>192</v>
      </c>
      <c r="L503" s="706">
        <v>0</v>
      </c>
      <c r="M503" s="706">
        <v>0</v>
      </c>
      <c r="N503" s="706">
        <v>0</v>
      </c>
      <c r="O503" s="706">
        <v>0</v>
      </c>
      <c r="P503" s="706">
        <v>0</v>
      </c>
      <c r="Q503" s="461"/>
      <c r="R503" s="461"/>
      <c r="S503" s="461"/>
      <c r="T503" s="461"/>
      <c r="U503" s="461"/>
      <c r="V503" s="461"/>
    </row>
    <row r="504" spans="3:22" ht="14.5" hidden="1" outlineLevel="1" x14ac:dyDescent="0.35">
      <c r="C504" s="600">
        <f t="shared" si="21"/>
        <v>17</v>
      </c>
      <c r="D504" s="621" t="s">
        <v>1110</v>
      </c>
      <c r="E504" s="617">
        <v>421.32</v>
      </c>
      <c r="F504" s="733">
        <v>132</v>
      </c>
      <c r="G504" s="733">
        <v>12</v>
      </c>
      <c r="H504" s="733">
        <v>3</v>
      </c>
      <c r="I504" s="733">
        <v>1</v>
      </c>
      <c r="J504" s="733">
        <v>19</v>
      </c>
      <c r="K504" s="733">
        <v>259</v>
      </c>
      <c r="L504" s="706">
        <v>0</v>
      </c>
      <c r="M504" s="706">
        <v>0</v>
      </c>
      <c r="N504" s="706">
        <v>0</v>
      </c>
      <c r="O504" s="706">
        <v>0</v>
      </c>
      <c r="P504" s="706">
        <v>0</v>
      </c>
      <c r="Q504" s="461"/>
      <c r="R504" s="461"/>
      <c r="S504" s="461"/>
      <c r="T504" s="461"/>
      <c r="U504" s="461"/>
      <c r="V504" s="461"/>
    </row>
    <row r="505" spans="3:22" ht="14.5" hidden="1" outlineLevel="1" x14ac:dyDescent="0.35">
      <c r="C505" s="600">
        <f t="shared" si="21"/>
        <v>18</v>
      </c>
      <c r="D505" s="621" t="s">
        <v>1111</v>
      </c>
      <c r="E505" s="617">
        <v>505.76</v>
      </c>
      <c r="F505" s="733">
        <v>144</v>
      </c>
      <c r="G505" s="733">
        <v>14</v>
      </c>
      <c r="H505" s="733">
        <v>8</v>
      </c>
      <c r="I505" s="733">
        <v>2</v>
      </c>
      <c r="J505" s="733">
        <v>15</v>
      </c>
      <c r="K505" s="733">
        <v>303</v>
      </c>
      <c r="L505" s="706">
        <v>0</v>
      </c>
      <c r="M505" s="706">
        <v>0</v>
      </c>
      <c r="N505" s="706">
        <v>0</v>
      </c>
      <c r="O505" s="706">
        <v>0</v>
      </c>
      <c r="P505" s="706">
        <v>0</v>
      </c>
      <c r="Q505" s="461"/>
      <c r="R505" s="461"/>
      <c r="S505" s="461"/>
      <c r="T505" s="461"/>
      <c r="U505" s="461"/>
      <c r="V505" s="461"/>
    </row>
    <row r="506" spans="3:22" ht="14.5" hidden="1" outlineLevel="1" x14ac:dyDescent="0.35">
      <c r="C506" s="600">
        <f t="shared" si="21"/>
        <v>19</v>
      </c>
      <c r="D506" s="621" t="s">
        <v>1112</v>
      </c>
      <c r="E506" s="617">
        <v>505.76</v>
      </c>
      <c r="F506" s="733">
        <v>131</v>
      </c>
      <c r="G506" s="733">
        <v>15</v>
      </c>
      <c r="H506" s="733">
        <v>6</v>
      </c>
      <c r="I506" s="733">
        <v>3</v>
      </c>
      <c r="J506" s="733">
        <v>20</v>
      </c>
      <c r="K506" s="733">
        <v>223</v>
      </c>
      <c r="L506" s="706">
        <v>0</v>
      </c>
      <c r="M506" s="706">
        <v>0</v>
      </c>
      <c r="N506" s="706">
        <v>0</v>
      </c>
      <c r="O506" s="706">
        <v>0</v>
      </c>
      <c r="P506" s="706">
        <v>0</v>
      </c>
      <c r="Q506" s="461"/>
      <c r="R506" s="461"/>
      <c r="S506" s="461"/>
      <c r="T506" s="461"/>
      <c r="U506" s="461"/>
      <c r="V506" s="461"/>
    </row>
    <row r="507" spans="3:22" ht="14.5" hidden="1" outlineLevel="1" x14ac:dyDescent="0.35">
      <c r="C507" s="600">
        <f t="shared" si="21"/>
        <v>20</v>
      </c>
      <c r="D507" s="621" t="s">
        <v>1113</v>
      </c>
      <c r="E507" s="617">
        <v>843.5</v>
      </c>
      <c r="F507" s="733">
        <v>112</v>
      </c>
      <c r="G507" s="733">
        <v>16</v>
      </c>
      <c r="H507" s="733">
        <v>7</v>
      </c>
      <c r="I507" s="733">
        <v>2</v>
      </c>
      <c r="J507" s="733">
        <v>13</v>
      </c>
      <c r="K507" s="733">
        <v>606</v>
      </c>
      <c r="L507" s="706">
        <v>0</v>
      </c>
      <c r="M507" s="706">
        <v>0</v>
      </c>
      <c r="N507" s="706">
        <v>0</v>
      </c>
      <c r="O507" s="706">
        <v>0</v>
      </c>
      <c r="P507" s="706">
        <v>0</v>
      </c>
      <c r="Q507" s="461"/>
      <c r="R507" s="461"/>
      <c r="S507" s="461"/>
      <c r="T507" s="461"/>
      <c r="U507" s="461"/>
      <c r="V507" s="461"/>
    </row>
    <row r="508" spans="3:22" ht="14.5" hidden="1" outlineLevel="1" x14ac:dyDescent="0.35">
      <c r="C508" s="600">
        <f t="shared" si="21"/>
        <v>21</v>
      </c>
      <c r="D508" s="621" t="s">
        <v>1114</v>
      </c>
      <c r="E508" s="617">
        <v>843.5</v>
      </c>
      <c r="F508" s="733">
        <v>134</v>
      </c>
      <c r="G508" s="733">
        <v>17</v>
      </c>
      <c r="H508" s="733">
        <v>7</v>
      </c>
      <c r="I508" s="733">
        <v>2</v>
      </c>
      <c r="J508" s="733">
        <v>14</v>
      </c>
      <c r="K508" s="733">
        <v>747</v>
      </c>
      <c r="L508" s="706">
        <v>0</v>
      </c>
      <c r="M508" s="706">
        <v>0</v>
      </c>
      <c r="N508" s="706">
        <v>0</v>
      </c>
      <c r="O508" s="706">
        <v>0</v>
      </c>
      <c r="P508" s="706">
        <v>0</v>
      </c>
      <c r="Q508" s="461"/>
      <c r="R508" s="461"/>
      <c r="S508" s="461"/>
      <c r="T508" s="461"/>
      <c r="U508" s="461"/>
      <c r="V508" s="461"/>
    </row>
    <row r="509" spans="3:22" ht="14.5" hidden="1" outlineLevel="1" x14ac:dyDescent="0.35">
      <c r="C509" s="600">
        <f t="shared" si="21"/>
        <v>22</v>
      </c>
      <c r="D509" s="621" t="s">
        <v>1115</v>
      </c>
      <c r="E509" s="617">
        <v>300.86</v>
      </c>
      <c r="F509" s="733">
        <v>0</v>
      </c>
      <c r="G509" s="733">
        <v>0</v>
      </c>
      <c r="H509" s="733">
        <v>0</v>
      </c>
      <c r="I509" s="733">
        <v>0</v>
      </c>
      <c r="J509" s="733">
        <v>0</v>
      </c>
      <c r="K509" s="733">
        <v>380</v>
      </c>
      <c r="L509" s="706">
        <v>0</v>
      </c>
      <c r="M509" s="706">
        <v>0</v>
      </c>
      <c r="N509" s="706">
        <v>0</v>
      </c>
      <c r="O509" s="706">
        <v>0</v>
      </c>
      <c r="P509" s="706">
        <v>0</v>
      </c>
      <c r="Q509" s="461"/>
      <c r="R509" s="461"/>
      <c r="S509" s="461"/>
      <c r="T509" s="461"/>
      <c r="U509" s="461"/>
      <c r="V509" s="461"/>
    </row>
    <row r="510" spans="3:22" ht="14.5" hidden="1" outlineLevel="1" x14ac:dyDescent="0.35">
      <c r="C510" s="600">
        <f t="shared" si="21"/>
        <v>23</v>
      </c>
      <c r="D510" s="621" t="s">
        <v>1116</v>
      </c>
      <c r="E510" s="617">
        <v>300.86</v>
      </c>
      <c r="F510" s="733">
        <v>0</v>
      </c>
      <c r="G510" s="733">
        <v>0</v>
      </c>
      <c r="H510" s="733">
        <v>0</v>
      </c>
      <c r="I510" s="733">
        <v>0</v>
      </c>
      <c r="J510" s="733">
        <v>0</v>
      </c>
      <c r="K510" s="733">
        <v>259</v>
      </c>
      <c r="L510" s="706">
        <v>0</v>
      </c>
      <c r="M510" s="706">
        <v>0</v>
      </c>
      <c r="N510" s="706">
        <v>0</v>
      </c>
      <c r="O510" s="706">
        <v>0</v>
      </c>
      <c r="P510" s="706">
        <v>0</v>
      </c>
      <c r="Q510" s="461"/>
      <c r="R510" s="461"/>
      <c r="S510" s="461"/>
      <c r="T510" s="461"/>
      <c r="U510" s="461"/>
      <c r="V510" s="461"/>
    </row>
    <row r="511" spans="3:22" ht="14.5" hidden="1" outlineLevel="1" x14ac:dyDescent="0.35">
      <c r="C511" s="600">
        <f t="shared" si="21"/>
        <v>24</v>
      </c>
      <c r="D511" s="621" t="s">
        <v>1117</v>
      </c>
      <c r="E511" s="617">
        <v>300.86</v>
      </c>
      <c r="F511" s="733">
        <v>0</v>
      </c>
      <c r="G511" s="733">
        <v>0</v>
      </c>
      <c r="H511" s="733">
        <v>0</v>
      </c>
      <c r="I511" s="733">
        <v>0</v>
      </c>
      <c r="J511" s="733">
        <v>0</v>
      </c>
      <c r="K511" s="733">
        <v>230</v>
      </c>
      <c r="L511" s="706">
        <v>0</v>
      </c>
      <c r="M511" s="706">
        <v>0</v>
      </c>
      <c r="N511" s="706">
        <v>0</v>
      </c>
      <c r="O511" s="706">
        <v>0</v>
      </c>
      <c r="P511" s="706">
        <v>0</v>
      </c>
      <c r="Q511" s="461"/>
      <c r="R511" s="461"/>
      <c r="S511" s="461"/>
      <c r="T511" s="461"/>
      <c r="U511" s="461"/>
      <c r="V511" s="461"/>
    </row>
    <row r="512" spans="3:22" ht="14.5" hidden="1" outlineLevel="1" x14ac:dyDescent="0.35">
      <c r="C512" s="600">
        <f t="shared" si="21"/>
        <v>25</v>
      </c>
      <c r="D512" s="621" t="s">
        <v>1118</v>
      </c>
      <c r="E512" s="617">
        <v>343.97</v>
      </c>
      <c r="F512" s="733">
        <v>0</v>
      </c>
      <c r="G512" s="733">
        <v>0</v>
      </c>
      <c r="H512" s="733">
        <v>0</v>
      </c>
      <c r="I512" s="733">
        <v>0</v>
      </c>
      <c r="J512" s="733">
        <v>0</v>
      </c>
      <c r="K512" s="733">
        <v>302</v>
      </c>
      <c r="L512" s="706">
        <v>0</v>
      </c>
      <c r="M512" s="706">
        <v>0</v>
      </c>
      <c r="N512" s="706">
        <v>0</v>
      </c>
      <c r="O512" s="706">
        <v>0</v>
      </c>
      <c r="P512" s="706">
        <v>0</v>
      </c>
      <c r="Q512" s="461"/>
      <c r="R512" s="461"/>
      <c r="S512" s="461"/>
      <c r="T512" s="461"/>
      <c r="U512" s="461"/>
      <c r="V512" s="461"/>
    </row>
    <row r="513" spans="3:22" ht="14.5" hidden="1" outlineLevel="1" x14ac:dyDescent="0.35">
      <c r="C513" s="600">
        <f t="shared" si="21"/>
        <v>26</v>
      </c>
      <c r="D513" s="621" t="s">
        <v>1119</v>
      </c>
      <c r="E513" s="617">
        <v>343.97</v>
      </c>
      <c r="F513" s="733">
        <v>0</v>
      </c>
      <c r="G513" s="733">
        <v>0</v>
      </c>
      <c r="H513" s="733">
        <v>0</v>
      </c>
      <c r="I513" s="733">
        <v>0</v>
      </c>
      <c r="J513" s="733">
        <v>0</v>
      </c>
      <c r="K513" s="733">
        <v>447</v>
      </c>
      <c r="L513" s="706">
        <v>0</v>
      </c>
      <c r="M513" s="706">
        <v>0</v>
      </c>
      <c r="N513" s="706">
        <v>0</v>
      </c>
      <c r="O513" s="706">
        <v>0</v>
      </c>
      <c r="P513" s="706">
        <v>0</v>
      </c>
      <c r="Q513" s="461"/>
      <c r="R513" s="461"/>
      <c r="S513" s="461"/>
      <c r="T513" s="461"/>
      <c r="U513" s="461"/>
      <c r="V513" s="461"/>
    </row>
    <row r="514" spans="3:22" ht="14.5" hidden="1" outlineLevel="1" x14ac:dyDescent="0.35">
      <c r="C514" s="600">
        <f t="shared" si="21"/>
        <v>27</v>
      </c>
      <c r="D514" s="621" t="s">
        <v>1292</v>
      </c>
      <c r="E514" s="617">
        <v>387.07</v>
      </c>
      <c r="F514" s="733">
        <v>0</v>
      </c>
      <c r="G514" s="733">
        <v>0</v>
      </c>
      <c r="H514" s="733">
        <v>0</v>
      </c>
      <c r="I514" s="733">
        <v>0</v>
      </c>
      <c r="J514" s="733">
        <v>0</v>
      </c>
      <c r="K514" s="735">
        <v>296</v>
      </c>
      <c r="L514" s="706">
        <v>0</v>
      </c>
      <c r="M514" s="706">
        <v>0</v>
      </c>
      <c r="N514" s="706">
        <v>0</v>
      </c>
      <c r="O514" s="706">
        <v>0</v>
      </c>
      <c r="P514" s="706">
        <v>0</v>
      </c>
      <c r="Q514" s="461"/>
      <c r="R514" s="461"/>
      <c r="S514" s="461"/>
      <c r="T514" s="461"/>
      <c r="U514" s="461"/>
      <c r="V514" s="461"/>
    </row>
    <row r="515" spans="3:22" ht="14.5" hidden="1" outlineLevel="1" x14ac:dyDescent="0.35">
      <c r="C515" s="600">
        <f t="shared" si="21"/>
        <v>28</v>
      </c>
      <c r="D515" s="621" t="s">
        <v>1293</v>
      </c>
      <c r="E515" s="617">
        <v>387.07</v>
      </c>
      <c r="F515" s="733">
        <v>0</v>
      </c>
      <c r="G515" s="733">
        <v>0</v>
      </c>
      <c r="H515" s="733">
        <v>0</v>
      </c>
      <c r="I515" s="733">
        <v>0</v>
      </c>
      <c r="J515" s="733">
        <v>0</v>
      </c>
      <c r="K515" s="735">
        <v>272</v>
      </c>
      <c r="L515" s="706">
        <v>0</v>
      </c>
      <c r="M515" s="706">
        <v>0</v>
      </c>
      <c r="N515" s="706">
        <v>0</v>
      </c>
      <c r="O515" s="706">
        <v>0</v>
      </c>
      <c r="P515" s="706">
        <v>0</v>
      </c>
      <c r="Q515" s="461"/>
      <c r="R515" s="461"/>
      <c r="S515" s="461"/>
      <c r="T515" s="461"/>
      <c r="U515" s="461"/>
      <c r="V515" s="461"/>
    </row>
    <row r="516" spans="3:22" ht="14.5" hidden="1" outlineLevel="1" x14ac:dyDescent="0.35">
      <c r="C516" s="600">
        <f t="shared" si="21"/>
        <v>29</v>
      </c>
      <c r="D516" s="621" t="s">
        <v>1120</v>
      </c>
      <c r="E516" s="617">
        <v>473.28</v>
      </c>
      <c r="F516" s="733">
        <v>0</v>
      </c>
      <c r="G516" s="733">
        <v>0</v>
      </c>
      <c r="H516" s="733">
        <v>0</v>
      </c>
      <c r="I516" s="733">
        <v>0</v>
      </c>
      <c r="J516" s="733">
        <v>0</v>
      </c>
      <c r="K516" s="733">
        <v>404</v>
      </c>
      <c r="L516" s="706">
        <v>0</v>
      </c>
      <c r="M516" s="706">
        <v>0</v>
      </c>
      <c r="N516" s="706">
        <v>0</v>
      </c>
      <c r="O516" s="706">
        <v>0</v>
      </c>
      <c r="P516" s="706">
        <v>0</v>
      </c>
      <c r="Q516" s="461"/>
      <c r="R516" s="461"/>
      <c r="S516" s="461"/>
      <c r="T516" s="461"/>
      <c r="U516" s="461"/>
      <c r="V516" s="461"/>
    </row>
    <row r="517" spans="3:22" ht="14.5" hidden="1" outlineLevel="1" x14ac:dyDescent="0.35">
      <c r="C517" s="600">
        <f t="shared" si="21"/>
        <v>30</v>
      </c>
      <c r="D517" s="621" t="s">
        <v>1121</v>
      </c>
      <c r="E517" s="617">
        <v>473.28</v>
      </c>
      <c r="F517" s="733">
        <v>0</v>
      </c>
      <c r="G517" s="733">
        <v>0</v>
      </c>
      <c r="H517" s="733">
        <v>0</v>
      </c>
      <c r="I517" s="733">
        <v>0</v>
      </c>
      <c r="J517" s="733">
        <v>0</v>
      </c>
      <c r="K517" s="733">
        <v>589</v>
      </c>
      <c r="L517" s="706">
        <v>0</v>
      </c>
      <c r="M517" s="706">
        <v>0</v>
      </c>
      <c r="N517" s="706">
        <v>0</v>
      </c>
      <c r="O517" s="706">
        <v>0</v>
      </c>
      <c r="P517" s="706">
        <v>0</v>
      </c>
      <c r="Q517" s="461"/>
      <c r="R517" s="461"/>
      <c r="S517" s="461"/>
      <c r="T517" s="461"/>
      <c r="U517" s="461"/>
      <c r="V517" s="461"/>
    </row>
    <row r="518" spans="3:22" ht="14.5" hidden="1" outlineLevel="1" x14ac:dyDescent="0.35">
      <c r="C518" s="600">
        <f t="shared" si="21"/>
        <v>31</v>
      </c>
      <c r="D518" s="621" t="s">
        <v>1122</v>
      </c>
      <c r="E518" s="617">
        <v>775</v>
      </c>
      <c r="F518" s="733">
        <v>0</v>
      </c>
      <c r="G518" s="733">
        <v>0</v>
      </c>
      <c r="H518" s="733">
        <v>0</v>
      </c>
      <c r="I518" s="733">
        <v>0</v>
      </c>
      <c r="J518" s="733">
        <v>0</v>
      </c>
      <c r="K518" s="733">
        <v>947</v>
      </c>
      <c r="L518" s="706">
        <v>0</v>
      </c>
      <c r="M518" s="706">
        <v>0</v>
      </c>
      <c r="N518" s="706">
        <v>0</v>
      </c>
      <c r="O518" s="706">
        <v>0</v>
      </c>
      <c r="P518" s="706">
        <v>0</v>
      </c>
      <c r="Q518" s="461"/>
      <c r="R518" s="461"/>
      <c r="S518" s="461"/>
      <c r="T518" s="461"/>
      <c r="U518" s="461"/>
      <c r="V518" s="461"/>
    </row>
    <row r="519" spans="3:22" ht="14.5" hidden="1" outlineLevel="1" x14ac:dyDescent="0.35">
      <c r="C519" s="600">
        <f t="shared" si="21"/>
        <v>32</v>
      </c>
      <c r="D519" s="621" t="s">
        <v>1123</v>
      </c>
      <c r="E519" s="617">
        <v>775</v>
      </c>
      <c r="F519" s="733">
        <v>0</v>
      </c>
      <c r="G519" s="733">
        <v>0</v>
      </c>
      <c r="H519" s="733">
        <v>0</v>
      </c>
      <c r="I519" s="733">
        <v>0</v>
      </c>
      <c r="J519" s="733">
        <v>0</v>
      </c>
      <c r="K519" s="733">
        <v>545</v>
      </c>
      <c r="L519" s="706">
        <v>0</v>
      </c>
      <c r="M519" s="706">
        <v>0</v>
      </c>
      <c r="N519" s="706">
        <v>0</v>
      </c>
      <c r="O519" s="706">
        <v>0</v>
      </c>
      <c r="P519" s="706">
        <v>0</v>
      </c>
      <c r="Q519" s="461"/>
      <c r="R519" s="461"/>
      <c r="S519" s="461"/>
      <c r="T519" s="461"/>
      <c r="U519" s="461"/>
      <c r="V519" s="461"/>
    </row>
    <row r="520" spans="3:22" ht="14.5" hidden="1" outlineLevel="1" x14ac:dyDescent="0.35">
      <c r="C520" s="600">
        <f t="shared" si="21"/>
        <v>33</v>
      </c>
      <c r="D520" s="601" t="s">
        <v>252</v>
      </c>
      <c r="E520" s="342"/>
      <c r="F520" s="733">
        <v>0</v>
      </c>
      <c r="G520" s="706">
        <v>0</v>
      </c>
      <c r="H520" s="706">
        <v>0</v>
      </c>
      <c r="I520" s="706">
        <v>0</v>
      </c>
      <c r="J520" s="706">
        <v>0</v>
      </c>
      <c r="K520" s="706">
        <v>0</v>
      </c>
      <c r="L520" s="706">
        <v>0</v>
      </c>
      <c r="M520" s="706">
        <v>0</v>
      </c>
      <c r="N520" s="706">
        <v>0</v>
      </c>
      <c r="O520" s="706">
        <v>0</v>
      </c>
      <c r="P520" s="706">
        <v>0</v>
      </c>
      <c r="Q520" s="461"/>
      <c r="R520" s="461"/>
      <c r="S520" s="461"/>
      <c r="T520" s="461"/>
      <c r="U520" s="461"/>
      <c r="V520" s="461"/>
    </row>
    <row r="521" spans="3:22" ht="14.5" hidden="1" outlineLevel="1" x14ac:dyDescent="0.35">
      <c r="C521" s="600">
        <f t="shared" si="21"/>
        <v>34</v>
      </c>
      <c r="D521" s="601" t="s">
        <v>252</v>
      </c>
      <c r="E521" s="342"/>
      <c r="F521" s="733">
        <v>0</v>
      </c>
      <c r="G521" s="706">
        <v>0</v>
      </c>
      <c r="H521" s="706">
        <v>0</v>
      </c>
      <c r="I521" s="706">
        <v>0</v>
      </c>
      <c r="J521" s="706">
        <v>0</v>
      </c>
      <c r="K521" s="706">
        <v>0</v>
      </c>
      <c r="L521" s="706">
        <v>0</v>
      </c>
      <c r="M521" s="706">
        <v>0</v>
      </c>
      <c r="N521" s="706">
        <v>0</v>
      </c>
      <c r="O521" s="706">
        <v>0</v>
      </c>
      <c r="P521" s="706">
        <v>0</v>
      </c>
      <c r="Q521" s="461"/>
      <c r="R521" s="461"/>
      <c r="S521" s="461"/>
      <c r="T521" s="461"/>
      <c r="U521" s="461"/>
      <c r="V521" s="461"/>
    </row>
    <row r="522" spans="3:22" ht="14.5" hidden="1" outlineLevel="1" x14ac:dyDescent="0.35">
      <c r="C522" s="600">
        <f t="shared" si="21"/>
        <v>35</v>
      </c>
      <c r="D522" s="601" t="s">
        <v>252</v>
      </c>
      <c r="E522" s="342"/>
      <c r="F522" s="733">
        <v>0</v>
      </c>
      <c r="G522" s="706">
        <v>0</v>
      </c>
      <c r="H522" s="706">
        <v>0</v>
      </c>
      <c r="I522" s="706">
        <v>0</v>
      </c>
      <c r="J522" s="706">
        <v>0</v>
      </c>
      <c r="K522" s="706">
        <v>0</v>
      </c>
      <c r="L522" s="706">
        <v>0</v>
      </c>
      <c r="M522" s="706">
        <v>0</v>
      </c>
      <c r="N522" s="706">
        <v>0</v>
      </c>
      <c r="O522" s="706">
        <v>0</v>
      </c>
      <c r="P522" s="706">
        <v>0</v>
      </c>
      <c r="Q522" s="461"/>
      <c r="R522" s="461"/>
      <c r="S522" s="461"/>
      <c r="T522" s="461"/>
      <c r="U522" s="461"/>
      <c r="V522" s="461"/>
    </row>
    <row r="523" spans="3:22" ht="14.5" hidden="1" outlineLevel="1" x14ac:dyDescent="0.35">
      <c r="C523" s="600">
        <f t="shared" si="21"/>
        <v>36</v>
      </c>
      <c r="D523" s="601" t="s">
        <v>252</v>
      </c>
      <c r="E523" s="342"/>
      <c r="F523" s="733">
        <v>0</v>
      </c>
      <c r="G523" s="706">
        <v>0</v>
      </c>
      <c r="H523" s="706">
        <v>0</v>
      </c>
      <c r="I523" s="706">
        <v>0</v>
      </c>
      <c r="J523" s="706">
        <v>0</v>
      </c>
      <c r="K523" s="706">
        <v>0</v>
      </c>
      <c r="L523" s="706">
        <v>0</v>
      </c>
      <c r="M523" s="706">
        <v>0</v>
      </c>
      <c r="N523" s="706">
        <v>0</v>
      </c>
      <c r="O523" s="706">
        <v>0</v>
      </c>
      <c r="P523" s="706">
        <v>0</v>
      </c>
      <c r="Q523" s="461"/>
      <c r="R523" s="461"/>
      <c r="S523" s="461"/>
      <c r="T523" s="461"/>
      <c r="U523" s="461"/>
      <c r="V523" s="461"/>
    </row>
    <row r="524" spans="3:22" ht="14.5" hidden="1" outlineLevel="1" x14ac:dyDescent="0.35">
      <c r="C524" s="600">
        <f t="shared" si="21"/>
        <v>37</v>
      </c>
      <c r="D524" s="601" t="s">
        <v>252</v>
      </c>
      <c r="E524" s="342"/>
      <c r="F524" s="733">
        <v>0</v>
      </c>
      <c r="G524" s="706">
        <v>0</v>
      </c>
      <c r="H524" s="706">
        <v>0</v>
      </c>
      <c r="I524" s="706">
        <v>0</v>
      </c>
      <c r="J524" s="706">
        <v>0</v>
      </c>
      <c r="K524" s="706">
        <v>0</v>
      </c>
      <c r="L524" s="706">
        <v>0</v>
      </c>
      <c r="M524" s="706">
        <v>0</v>
      </c>
      <c r="N524" s="706">
        <v>0</v>
      </c>
      <c r="O524" s="706">
        <v>0</v>
      </c>
      <c r="P524" s="706">
        <v>0</v>
      </c>
      <c r="Q524" s="461"/>
      <c r="R524" s="461"/>
      <c r="S524" s="461"/>
      <c r="T524" s="461"/>
      <c r="U524" s="461"/>
      <c r="V524" s="461"/>
    </row>
    <row r="525" spans="3:22" ht="14.5" hidden="1" outlineLevel="1" x14ac:dyDescent="0.35">
      <c r="C525" s="600">
        <f t="shared" si="21"/>
        <v>38</v>
      </c>
      <c r="D525" s="601" t="s">
        <v>252</v>
      </c>
      <c r="E525" s="342"/>
      <c r="F525" s="733">
        <v>0</v>
      </c>
      <c r="G525" s="706">
        <v>0</v>
      </c>
      <c r="H525" s="706">
        <v>0</v>
      </c>
      <c r="I525" s="706">
        <v>0</v>
      </c>
      <c r="J525" s="706">
        <v>0</v>
      </c>
      <c r="K525" s="706">
        <v>0</v>
      </c>
      <c r="L525" s="706">
        <v>0</v>
      </c>
      <c r="M525" s="706">
        <v>0</v>
      </c>
      <c r="N525" s="706">
        <v>0</v>
      </c>
      <c r="O525" s="706">
        <v>0</v>
      </c>
      <c r="P525" s="706">
        <v>0</v>
      </c>
      <c r="Q525" s="461"/>
      <c r="R525" s="461"/>
      <c r="S525" s="461"/>
      <c r="T525" s="461"/>
      <c r="U525" s="461"/>
      <c r="V525" s="461"/>
    </row>
    <row r="526" spans="3:22" ht="14.5" hidden="1" outlineLevel="1" x14ac:dyDescent="0.35">
      <c r="C526" s="600">
        <f t="shared" si="21"/>
        <v>39</v>
      </c>
      <c r="D526" s="601" t="s">
        <v>252</v>
      </c>
      <c r="E526" s="342"/>
      <c r="F526" s="733">
        <v>0</v>
      </c>
      <c r="G526" s="706">
        <v>0</v>
      </c>
      <c r="H526" s="706">
        <v>0</v>
      </c>
      <c r="I526" s="706">
        <v>0</v>
      </c>
      <c r="J526" s="706">
        <v>0</v>
      </c>
      <c r="K526" s="706">
        <v>0</v>
      </c>
      <c r="L526" s="706">
        <v>0</v>
      </c>
      <c r="M526" s="706">
        <v>0</v>
      </c>
      <c r="N526" s="706">
        <v>0</v>
      </c>
      <c r="O526" s="706">
        <v>0</v>
      </c>
      <c r="P526" s="706">
        <v>0</v>
      </c>
      <c r="Q526" s="461"/>
      <c r="R526" s="461"/>
      <c r="S526" s="461"/>
      <c r="T526" s="461"/>
      <c r="U526" s="461"/>
      <c r="V526" s="461"/>
    </row>
    <row r="527" spans="3:22" ht="14.5" hidden="1" outlineLevel="1" x14ac:dyDescent="0.35">
      <c r="C527" s="600">
        <f t="shared" si="21"/>
        <v>40</v>
      </c>
      <c r="D527" s="601" t="s">
        <v>252</v>
      </c>
      <c r="E527" s="342"/>
      <c r="F527" s="733">
        <v>0</v>
      </c>
      <c r="G527" s="706">
        <v>0</v>
      </c>
      <c r="H527" s="706">
        <v>0</v>
      </c>
      <c r="I527" s="706">
        <v>0</v>
      </c>
      <c r="J527" s="706">
        <v>0</v>
      </c>
      <c r="K527" s="706">
        <v>0</v>
      </c>
      <c r="L527" s="706">
        <v>0</v>
      </c>
      <c r="M527" s="706">
        <v>0</v>
      </c>
      <c r="N527" s="706">
        <v>0</v>
      </c>
      <c r="O527" s="706">
        <v>0</v>
      </c>
      <c r="P527" s="706">
        <v>0</v>
      </c>
      <c r="Q527" s="461"/>
      <c r="R527" s="461"/>
      <c r="S527" s="461"/>
      <c r="T527" s="461"/>
      <c r="U527" s="461"/>
      <c r="V527" s="461"/>
    </row>
    <row r="528" spans="3:22" ht="14.5" hidden="1" outlineLevel="1" x14ac:dyDescent="0.35">
      <c r="C528" s="600">
        <f t="shared" si="21"/>
        <v>41</v>
      </c>
      <c r="D528" s="601" t="s">
        <v>252</v>
      </c>
      <c r="E528" s="342"/>
      <c r="F528" s="733">
        <v>0</v>
      </c>
      <c r="G528" s="706">
        <v>0</v>
      </c>
      <c r="H528" s="706">
        <v>0</v>
      </c>
      <c r="I528" s="706">
        <v>0</v>
      </c>
      <c r="J528" s="706">
        <v>0</v>
      </c>
      <c r="K528" s="706">
        <v>0</v>
      </c>
      <c r="L528" s="706">
        <v>0</v>
      </c>
      <c r="M528" s="706">
        <v>0</v>
      </c>
      <c r="N528" s="706">
        <v>0</v>
      </c>
      <c r="O528" s="706">
        <v>0</v>
      </c>
      <c r="P528" s="706">
        <v>0</v>
      </c>
      <c r="Q528" s="461"/>
      <c r="R528" s="461"/>
      <c r="S528" s="461"/>
      <c r="T528" s="461"/>
      <c r="U528" s="461"/>
      <c r="V528" s="461"/>
    </row>
    <row r="529" spans="3:22" ht="14.5" hidden="1" outlineLevel="1" x14ac:dyDescent="0.35">
      <c r="C529" s="600">
        <f t="shared" si="21"/>
        <v>42</v>
      </c>
      <c r="D529" s="601" t="s">
        <v>252</v>
      </c>
      <c r="E529" s="342"/>
      <c r="F529" s="733">
        <v>0</v>
      </c>
      <c r="G529" s="706">
        <v>0</v>
      </c>
      <c r="H529" s="706">
        <v>0</v>
      </c>
      <c r="I529" s="706">
        <v>0</v>
      </c>
      <c r="J529" s="706">
        <v>0</v>
      </c>
      <c r="K529" s="706">
        <v>0</v>
      </c>
      <c r="L529" s="706">
        <v>0</v>
      </c>
      <c r="M529" s="706">
        <v>0</v>
      </c>
      <c r="N529" s="706">
        <v>0</v>
      </c>
      <c r="O529" s="706">
        <v>0</v>
      </c>
      <c r="P529" s="706">
        <v>0</v>
      </c>
      <c r="Q529" s="461"/>
      <c r="R529" s="461"/>
      <c r="S529" s="461"/>
      <c r="T529" s="461"/>
      <c r="U529" s="461"/>
      <c r="V529" s="461"/>
    </row>
    <row r="530" spans="3:22" ht="14.5" hidden="1" outlineLevel="1" x14ac:dyDescent="0.35">
      <c r="C530" s="600">
        <f t="shared" si="21"/>
        <v>43</v>
      </c>
      <c r="D530" s="601" t="s">
        <v>252</v>
      </c>
      <c r="E530" s="342"/>
      <c r="F530" s="733">
        <v>0</v>
      </c>
      <c r="G530" s="706">
        <v>0</v>
      </c>
      <c r="H530" s="706">
        <v>0</v>
      </c>
      <c r="I530" s="706">
        <v>0</v>
      </c>
      <c r="J530" s="706">
        <v>0</v>
      </c>
      <c r="K530" s="706">
        <v>0</v>
      </c>
      <c r="L530" s="706">
        <v>0</v>
      </c>
      <c r="M530" s="706">
        <v>0</v>
      </c>
      <c r="N530" s="706">
        <v>0</v>
      </c>
      <c r="O530" s="706">
        <v>0</v>
      </c>
      <c r="P530" s="706">
        <v>0</v>
      </c>
      <c r="Q530" s="461"/>
      <c r="R530" s="461"/>
      <c r="S530" s="461"/>
      <c r="T530" s="461"/>
      <c r="U530" s="461"/>
      <c r="V530" s="461"/>
    </row>
    <row r="531" spans="3:22" ht="14.5" hidden="1" outlineLevel="1" x14ac:dyDescent="0.35">
      <c r="C531" s="600">
        <f t="shared" si="21"/>
        <v>44</v>
      </c>
      <c r="D531" s="601" t="s">
        <v>252</v>
      </c>
      <c r="E531" s="342"/>
      <c r="F531" s="733">
        <v>0</v>
      </c>
      <c r="G531" s="706">
        <v>0</v>
      </c>
      <c r="H531" s="706">
        <v>0</v>
      </c>
      <c r="I531" s="706">
        <v>0</v>
      </c>
      <c r="J531" s="706">
        <v>0</v>
      </c>
      <c r="K531" s="706">
        <v>0</v>
      </c>
      <c r="L531" s="706">
        <v>0</v>
      </c>
      <c r="M531" s="706">
        <v>0</v>
      </c>
      <c r="N531" s="706">
        <v>0</v>
      </c>
      <c r="O531" s="706">
        <v>0</v>
      </c>
      <c r="P531" s="706">
        <v>0</v>
      </c>
      <c r="Q531" s="461"/>
      <c r="R531" s="461"/>
      <c r="S531" s="461"/>
      <c r="T531" s="461"/>
      <c r="U531" s="461"/>
      <c r="V531" s="461"/>
    </row>
    <row r="532" spans="3:22" ht="14.5" hidden="1" outlineLevel="1" x14ac:dyDescent="0.35">
      <c r="C532" s="600">
        <f t="shared" si="21"/>
        <v>45</v>
      </c>
      <c r="D532" s="601" t="s">
        <v>252</v>
      </c>
      <c r="E532" s="342"/>
      <c r="F532" s="733">
        <v>0</v>
      </c>
      <c r="G532" s="706">
        <v>0</v>
      </c>
      <c r="H532" s="706">
        <v>0</v>
      </c>
      <c r="I532" s="706">
        <v>0</v>
      </c>
      <c r="J532" s="706">
        <v>0</v>
      </c>
      <c r="K532" s="706">
        <v>0</v>
      </c>
      <c r="L532" s="706">
        <v>0</v>
      </c>
      <c r="M532" s="706">
        <v>0</v>
      </c>
      <c r="N532" s="706">
        <v>0</v>
      </c>
      <c r="O532" s="706">
        <v>0</v>
      </c>
      <c r="P532" s="706">
        <v>0</v>
      </c>
      <c r="Q532" s="461"/>
      <c r="R532" s="461"/>
      <c r="S532" s="461"/>
      <c r="T532" s="461"/>
      <c r="U532" s="461"/>
      <c r="V532" s="461"/>
    </row>
    <row r="533" spans="3:22" ht="14.5" hidden="1" outlineLevel="1" x14ac:dyDescent="0.35">
      <c r="C533" s="600">
        <f t="shared" si="21"/>
        <v>46</v>
      </c>
      <c r="D533" s="601" t="s">
        <v>252</v>
      </c>
      <c r="E533" s="342"/>
      <c r="F533" s="733">
        <v>0</v>
      </c>
      <c r="G533" s="706">
        <v>0</v>
      </c>
      <c r="H533" s="706">
        <v>0</v>
      </c>
      <c r="I533" s="706">
        <v>0</v>
      </c>
      <c r="J533" s="706">
        <v>0</v>
      </c>
      <c r="K533" s="706">
        <v>0</v>
      </c>
      <c r="L533" s="706">
        <v>0</v>
      </c>
      <c r="M533" s="706">
        <v>0</v>
      </c>
      <c r="N533" s="706">
        <v>0</v>
      </c>
      <c r="O533" s="706">
        <v>0</v>
      </c>
      <c r="P533" s="706">
        <v>0</v>
      </c>
      <c r="Q533" s="461"/>
      <c r="R533" s="461"/>
      <c r="S533" s="461"/>
      <c r="T533" s="461"/>
      <c r="U533" s="461"/>
      <c r="V533" s="461"/>
    </row>
    <row r="534" spans="3:22" ht="14.5" hidden="1" outlineLevel="1" x14ac:dyDescent="0.35">
      <c r="C534" s="600">
        <f t="shared" si="21"/>
        <v>47</v>
      </c>
      <c r="D534" s="601" t="s">
        <v>252</v>
      </c>
      <c r="E534" s="342"/>
      <c r="F534" s="733">
        <v>0</v>
      </c>
      <c r="G534" s="706">
        <v>0</v>
      </c>
      <c r="H534" s="706">
        <v>0</v>
      </c>
      <c r="I534" s="706">
        <v>0</v>
      </c>
      <c r="J534" s="706">
        <v>0</v>
      </c>
      <c r="K534" s="706">
        <v>0</v>
      </c>
      <c r="L534" s="706">
        <v>0</v>
      </c>
      <c r="M534" s="706">
        <v>0</v>
      </c>
      <c r="N534" s="706">
        <v>0</v>
      </c>
      <c r="O534" s="706">
        <v>0</v>
      </c>
      <c r="P534" s="706">
        <v>0</v>
      </c>
      <c r="Q534" s="461"/>
      <c r="R534" s="461"/>
      <c r="S534" s="461"/>
      <c r="T534" s="461"/>
      <c r="U534" s="461"/>
      <c r="V534" s="461"/>
    </row>
    <row r="535" spans="3:22" ht="14.5" hidden="1" outlineLevel="1" x14ac:dyDescent="0.35">
      <c r="C535" s="600">
        <f t="shared" si="21"/>
        <v>48</v>
      </c>
      <c r="D535" s="601" t="s">
        <v>252</v>
      </c>
      <c r="E535" s="342"/>
      <c r="F535" s="733">
        <v>0</v>
      </c>
      <c r="G535" s="706">
        <v>0</v>
      </c>
      <c r="H535" s="706">
        <v>0</v>
      </c>
      <c r="I535" s="706">
        <v>0</v>
      </c>
      <c r="J535" s="706">
        <v>0</v>
      </c>
      <c r="K535" s="706">
        <v>0</v>
      </c>
      <c r="L535" s="706">
        <v>0</v>
      </c>
      <c r="M535" s="706">
        <v>0</v>
      </c>
      <c r="N535" s="706">
        <v>0</v>
      </c>
      <c r="O535" s="706">
        <v>0</v>
      </c>
      <c r="P535" s="706">
        <v>0</v>
      </c>
      <c r="Q535" s="461"/>
      <c r="R535" s="461"/>
      <c r="S535" s="461"/>
      <c r="T535" s="461"/>
      <c r="U535" s="461"/>
      <c r="V535" s="461"/>
    </row>
    <row r="536" spans="3:22" ht="14.5" hidden="1" outlineLevel="1" x14ac:dyDescent="0.35">
      <c r="C536" s="600">
        <f t="shared" si="21"/>
        <v>49</v>
      </c>
      <c r="D536" s="601" t="s">
        <v>252</v>
      </c>
      <c r="E536" s="342"/>
      <c r="F536" s="733">
        <v>0</v>
      </c>
      <c r="G536" s="706">
        <v>0</v>
      </c>
      <c r="H536" s="706">
        <v>0</v>
      </c>
      <c r="I536" s="706">
        <v>0</v>
      </c>
      <c r="J536" s="706">
        <v>0</v>
      </c>
      <c r="K536" s="706">
        <v>0</v>
      </c>
      <c r="L536" s="706">
        <v>0</v>
      </c>
      <c r="M536" s="706">
        <v>0</v>
      </c>
      <c r="N536" s="706">
        <v>0</v>
      </c>
      <c r="O536" s="706">
        <v>0</v>
      </c>
      <c r="P536" s="706">
        <v>0</v>
      </c>
      <c r="Q536" s="461"/>
      <c r="R536" s="461"/>
      <c r="S536" s="461"/>
      <c r="T536" s="461"/>
      <c r="U536" s="461"/>
      <c r="V536" s="461"/>
    </row>
    <row r="537" spans="3:22" ht="14.5" hidden="1" outlineLevel="1" x14ac:dyDescent="0.35">
      <c r="C537" s="600">
        <f t="shared" si="21"/>
        <v>50</v>
      </c>
      <c r="D537" s="601" t="s">
        <v>252</v>
      </c>
      <c r="E537" s="342"/>
      <c r="F537" s="733">
        <v>0</v>
      </c>
      <c r="G537" s="706">
        <v>0</v>
      </c>
      <c r="H537" s="706">
        <v>0</v>
      </c>
      <c r="I537" s="706">
        <v>0</v>
      </c>
      <c r="J537" s="706">
        <v>0</v>
      </c>
      <c r="K537" s="706">
        <v>0</v>
      </c>
      <c r="L537" s="706">
        <v>0</v>
      </c>
      <c r="M537" s="706">
        <v>0</v>
      </c>
      <c r="N537" s="706">
        <v>0</v>
      </c>
      <c r="O537" s="706">
        <v>0</v>
      </c>
      <c r="P537" s="706">
        <v>0</v>
      </c>
      <c r="Q537" s="461"/>
      <c r="R537" s="461"/>
      <c r="S537" s="461"/>
      <c r="T537" s="461"/>
      <c r="U537" s="461"/>
      <c r="V537" s="461"/>
    </row>
    <row r="538" spans="3:22" ht="14.5" hidden="1" outlineLevel="1" x14ac:dyDescent="0.35">
      <c r="C538" s="600">
        <f t="shared" si="21"/>
        <v>51</v>
      </c>
      <c r="D538" s="601" t="s">
        <v>252</v>
      </c>
      <c r="E538" s="342"/>
      <c r="F538" s="733">
        <v>0</v>
      </c>
      <c r="G538" s="706">
        <v>0</v>
      </c>
      <c r="H538" s="706">
        <v>0</v>
      </c>
      <c r="I538" s="706">
        <v>0</v>
      </c>
      <c r="J538" s="706">
        <v>0</v>
      </c>
      <c r="K538" s="706">
        <v>0</v>
      </c>
      <c r="L538" s="706">
        <v>0</v>
      </c>
      <c r="M538" s="706">
        <v>0</v>
      </c>
      <c r="N538" s="706">
        <v>0</v>
      </c>
      <c r="O538" s="706">
        <v>0</v>
      </c>
      <c r="P538" s="706">
        <v>0</v>
      </c>
      <c r="Q538" s="461"/>
      <c r="R538" s="461"/>
      <c r="S538" s="461"/>
      <c r="T538" s="461"/>
      <c r="U538" s="461"/>
      <c r="V538" s="461"/>
    </row>
    <row r="539" spans="3:22" ht="14.5" hidden="1" outlineLevel="1" x14ac:dyDescent="0.35">
      <c r="C539" s="600">
        <f t="shared" si="21"/>
        <v>52</v>
      </c>
      <c r="D539" s="601" t="s">
        <v>252</v>
      </c>
      <c r="E539" s="342"/>
      <c r="F539" s="733">
        <v>0</v>
      </c>
      <c r="G539" s="706">
        <v>0</v>
      </c>
      <c r="H539" s="706">
        <v>0</v>
      </c>
      <c r="I539" s="706">
        <v>0</v>
      </c>
      <c r="J539" s="706">
        <v>0</v>
      </c>
      <c r="K539" s="706">
        <v>0</v>
      </c>
      <c r="L539" s="706">
        <v>0</v>
      </c>
      <c r="M539" s="706">
        <v>0</v>
      </c>
      <c r="N539" s="706">
        <v>0</v>
      </c>
      <c r="O539" s="706">
        <v>0</v>
      </c>
      <c r="P539" s="706">
        <v>0</v>
      </c>
      <c r="Q539" s="461"/>
      <c r="R539" s="461"/>
      <c r="S539" s="461"/>
      <c r="T539" s="461"/>
      <c r="U539" s="461"/>
      <c r="V539" s="461"/>
    </row>
    <row r="540" spans="3:22" ht="14.5" hidden="1" outlineLevel="1" x14ac:dyDescent="0.35">
      <c r="C540" s="600">
        <f t="shared" si="21"/>
        <v>53</v>
      </c>
      <c r="D540" s="601" t="s">
        <v>252</v>
      </c>
      <c r="E540" s="342"/>
      <c r="F540" s="733">
        <v>0</v>
      </c>
      <c r="G540" s="706">
        <v>0</v>
      </c>
      <c r="H540" s="706">
        <v>0</v>
      </c>
      <c r="I540" s="706">
        <v>0</v>
      </c>
      <c r="J540" s="706">
        <v>0</v>
      </c>
      <c r="K540" s="706">
        <v>0</v>
      </c>
      <c r="L540" s="706">
        <v>0</v>
      </c>
      <c r="M540" s="706">
        <v>0</v>
      </c>
      <c r="N540" s="706">
        <v>0</v>
      </c>
      <c r="O540" s="706">
        <v>0</v>
      </c>
      <c r="P540" s="706">
        <v>0</v>
      </c>
      <c r="Q540" s="461"/>
      <c r="R540" s="461"/>
      <c r="S540" s="461"/>
      <c r="T540" s="461"/>
      <c r="U540" s="461"/>
      <c r="V540" s="461"/>
    </row>
    <row r="541" spans="3:22" ht="14.5" hidden="1" outlineLevel="1" x14ac:dyDescent="0.35">
      <c r="C541" s="600">
        <f t="shared" si="21"/>
        <v>54</v>
      </c>
      <c r="D541" s="601" t="s">
        <v>252</v>
      </c>
      <c r="E541" s="342"/>
      <c r="F541" s="733">
        <v>0</v>
      </c>
      <c r="G541" s="706">
        <v>0</v>
      </c>
      <c r="H541" s="706">
        <v>0</v>
      </c>
      <c r="I541" s="706">
        <v>0</v>
      </c>
      <c r="J541" s="706">
        <v>0</v>
      </c>
      <c r="K541" s="706">
        <v>0</v>
      </c>
      <c r="L541" s="706">
        <v>0</v>
      </c>
      <c r="M541" s="706">
        <v>0</v>
      </c>
      <c r="N541" s="706">
        <v>0</v>
      </c>
      <c r="O541" s="706">
        <v>0</v>
      </c>
      <c r="P541" s="706">
        <v>0</v>
      </c>
      <c r="Q541" s="461"/>
      <c r="R541" s="461"/>
      <c r="S541" s="461"/>
      <c r="T541" s="461"/>
      <c r="U541" s="461"/>
      <c r="V541" s="461"/>
    </row>
    <row r="542" spans="3:22" ht="14.5" hidden="1" outlineLevel="1" x14ac:dyDescent="0.35">
      <c r="C542" s="600">
        <f t="shared" si="21"/>
        <v>55</v>
      </c>
      <c r="D542" s="601" t="s">
        <v>252</v>
      </c>
      <c r="E542" s="342"/>
      <c r="F542" s="733">
        <v>0</v>
      </c>
      <c r="G542" s="706">
        <v>0</v>
      </c>
      <c r="H542" s="706">
        <v>0</v>
      </c>
      <c r="I542" s="706">
        <v>0</v>
      </c>
      <c r="J542" s="706">
        <v>0</v>
      </c>
      <c r="K542" s="706">
        <v>0</v>
      </c>
      <c r="L542" s="706">
        <v>0</v>
      </c>
      <c r="M542" s="706">
        <v>0</v>
      </c>
      <c r="N542" s="706">
        <v>0</v>
      </c>
      <c r="O542" s="706">
        <v>0</v>
      </c>
      <c r="P542" s="706">
        <v>0</v>
      </c>
      <c r="Q542" s="461"/>
      <c r="R542" s="461"/>
      <c r="S542" s="461"/>
      <c r="T542" s="461"/>
      <c r="U542" s="461"/>
      <c r="V542" s="461"/>
    </row>
    <row r="543" spans="3:22" ht="14.5" hidden="1" outlineLevel="1" x14ac:dyDescent="0.35">
      <c r="C543" s="600">
        <f t="shared" si="21"/>
        <v>56</v>
      </c>
      <c r="D543" s="601" t="s">
        <v>252</v>
      </c>
      <c r="E543" s="342"/>
      <c r="F543" s="733">
        <v>0</v>
      </c>
      <c r="G543" s="706">
        <v>0</v>
      </c>
      <c r="H543" s="706">
        <v>0</v>
      </c>
      <c r="I543" s="706">
        <v>0</v>
      </c>
      <c r="J543" s="706">
        <v>0</v>
      </c>
      <c r="K543" s="706">
        <v>0</v>
      </c>
      <c r="L543" s="706">
        <v>0</v>
      </c>
      <c r="M543" s="706">
        <v>0</v>
      </c>
      <c r="N543" s="706">
        <v>0</v>
      </c>
      <c r="O543" s="706">
        <v>0</v>
      </c>
      <c r="P543" s="706">
        <v>0</v>
      </c>
      <c r="Q543" s="461"/>
      <c r="R543" s="461"/>
      <c r="S543" s="461"/>
      <c r="T543" s="461"/>
      <c r="U543" s="461"/>
      <c r="V543" s="461"/>
    </row>
    <row r="544" spans="3:22" ht="14.5" hidden="1" outlineLevel="1" x14ac:dyDescent="0.35">
      <c r="C544" s="600">
        <f t="shared" si="21"/>
        <v>57</v>
      </c>
      <c r="D544" s="601" t="s">
        <v>252</v>
      </c>
      <c r="E544" s="342"/>
      <c r="F544" s="733">
        <v>0</v>
      </c>
      <c r="G544" s="706">
        <v>0</v>
      </c>
      <c r="H544" s="706">
        <v>0</v>
      </c>
      <c r="I544" s="706">
        <v>0</v>
      </c>
      <c r="J544" s="706">
        <v>0</v>
      </c>
      <c r="K544" s="706">
        <v>0</v>
      </c>
      <c r="L544" s="706">
        <v>0</v>
      </c>
      <c r="M544" s="706">
        <v>0</v>
      </c>
      <c r="N544" s="706">
        <v>0</v>
      </c>
      <c r="O544" s="706">
        <v>0</v>
      </c>
      <c r="P544" s="706">
        <v>0</v>
      </c>
      <c r="Q544" s="461"/>
      <c r="R544" s="461"/>
      <c r="S544" s="461"/>
      <c r="T544" s="461"/>
      <c r="U544" s="461"/>
      <c r="V544" s="461"/>
    </row>
    <row r="545" spans="3:22" ht="14.5" hidden="1" outlineLevel="1" x14ac:dyDescent="0.35">
      <c r="C545" s="600">
        <f t="shared" si="21"/>
        <v>58</v>
      </c>
      <c r="D545" s="601" t="s">
        <v>252</v>
      </c>
      <c r="E545" s="342"/>
      <c r="F545" s="733">
        <v>0</v>
      </c>
      <c r="G545" s="706">
        <v>0</v>
      </c>
      <c r="H545" s="706">
        <v>0</v>
      </c>
      <c r="I545" s="706">
        <v>0</v>
      </c>
      <c r="J545" s="706">
        <v>0</v>
      </c>
      <c r="K545" s="706">
        <v>0</v>
      </c>
      <c r="L545" s="706">
        <v>0</v>
      </c>
      <c r="M545" s="706">
        <v>0</v>
      </c>
      <c r="N545" s="706">
        <v>0</v>
      </c>
      <c r="O545" s="706">
        <v>0</v>
      </c>
      <c r="P545" s="706">
        <v>0</v>
      </c>
      <c r="Q545" s="461"/>
      <c r="R545" s="461"/>
      <c r="S545" s="461"/>
      <c r="T545" s="461"/>
      <c r="U545" s="461"/>
      <c r="V545" s="461"/>
    </row>
    <row r="546" spans="3:22" ht="14.5" hidden="1" outlineLevel="1" x14ac:dyDescent="0.35">
      <c r="C546" s="600">
        <f t="shared" si="21"/>
        <v>59</v>
      </c>
      <c r="D546" s="601" t="s">
        <v>252</v>
      </c>
      <c r="E546" s="342"/>
      <c r="F546" s="733">
        <v>0</v>
      </c>
      <c r="G546" s="706">
        <v>0</v>
      </c>
      <c r="H546" s="706">
        <v>0</v>
      </c>
      <c r="I546" s="706">
        <v>0</v>
      </c>
      <c r="J546" s="706">
        <v>0</v>
      </c>
      <c r="K546" s="706">
        <v>0</v>
      </c>
      <c r="L546" s="706">
        <v>0</v>
      </c>
      <c r="M546" s="706">
        <v>0</v>
      </c>
      <c r="N546" s="706">
        <v>0</v>
      </c>
      <c r="O546" s="706">
        <v>0</v>
      </c>
      <c r="P546" s="706">
        <v>0</v>
      </c>
      <c r="Q546" s="461"/>
      <c r="R546" s="461"/>
      <c r="S546" s="461"/>
      <c r="T546" s="461"/>
      <c r="U546" s="461"/>
      <c r="V546" s="461"/>
    </row>
    <row r="547" spans="3:22" ht="14.5" hidden="1" outlineLevel="1" x14ac:dyDescent="0.35">
      <c r="C547" s="600">
        <f t="shared" si="21"/>
        <v>60</v>
      </c>
      <c r="D547" s="601" t="s">
        <v>252</v>
      </c>
      <c r="E547" s="342"/>
      <c r="F547" s="733">
        <v>0</v>
      </c>
      <c r="G547" s="706">
        <v>0</v>
      </c>
      <c r="H547" s="706">
        <v>0</v>
      </c>
      <c r="I547" s="706">
        <v>0</v>
      </c>
      <c r="J547" s="706">
        <v>0</v>
      </c>
      <c r="K547" s="706">
        <v>0</v>
      </c>
      <c r="L547" s="706">
        <v>0</v>
      </c>
      <c r="M547" s="706">
        <v>0</v>
      </c>
      <c r="N547" s="706">
        <v>0</v>
      </c>
      <c r="O547" s="706">
        <v>0</v>
      </c>
      <c r="P547" s="706">
        <v>0</v>
      </c>
      <c r="Q547" s="461"/>
      <c r="R547" s="461"/>
      <c r="S547" s="461"/>
      <c r="T547" s="461"/>
      <c r="U547" s="461"/>
      <c r="V547" s="461"/>
    </row>
    <row r="548" spans="3:22" ht="14.5" hidden="1" outlineLevel="1" x14ac:dyDescent="0.35">
      <c r="C548" s="600">
        <f t="shared" si="21"/>
        <v>61</v>
      </c>
      <c r="D548" s="601" t="s">
        <v>252</v>
      </c>
      <c r="E548" s="342"/>
      <c r="F548" s="733">
        <v>0</v>
      </c>
      <c r="G548" s="706">
        <v>0</v>
      </c>
      <c r="H548" s="706">
        <v>0</v>
      </c>
      <c r="I548" s="706">
        <v>0</v>
      </c>
      <c r="J548" s="706">
        <v>0</v>
      </c>
      <c r="K548" s="706">
        <v>0</v>
      </c>
      <c r="L548" s="706">
        <v>0</v>
      </c>
      <c r="M548" s="706">
        <v>0</v>
      </c>
      <c r="N548" s="706">
        <v>0</v>
      </c>
      <c r="O548" s="706">
        <v>0</v>
      </c>
      <c r="P548" s="706">
        <v>0</v>
      </c>
      <c r="Q548" s="461"/>
      <c r="R548" s="461"/>
      <c r="S548" s="461"/>
      <c r="T548" s="461"/>
      <c r="U548" s="461"/>
      <c r="V548" s="461"/>
    </row>
    <row r="549" spans="3:22" ht="14.5" hidden="1" outlineLevel="1" x14ac:dyDescent="0.35">
      <c r="C549" s="600">
        <f t="shared" si="21"/>
        <v>62</v>
      </c>
      <c r="D549" s="601" t="s">
        <v>252</v>
      </c>
      <c r="E549" s="342"/>
      <c r="F549" s="733">
        <v>0</v>
      </c>
      <c r="G549" s="706">
        <v>0</v>
      </c>
      <c r="H549" s="706">
        <v>0</v>
      </c>
      <c r="I549" s="706">
        <v>0</v>
      </c>
      <c r="J549" s="706">
        <v>0</v>
      </c>
      <c r="K549" s="706">
        <v>0</v>
      </c>
      <c r="L549" s="706">
        <v>0</v>
      </c>
      <c r="M549" s="706">
        <v>0</v>
      </c>
      <c r="N549" s="706">
        <v>0</v>
      </c>
      <c r="O549" s="706">
        <v>0</v>
      </c>
      <c r="P549" s="706">
        <v>0</v>
      </c>
      <c r="Q549" s="461"/>
      <c r="R549" s="461"/>
      <c r="S549" s="461"/>
      <c r="T549" s="461"/>
      <c r="U549" s="461"/>
      <c r="V549" s="461"/>
    </row>
    <row r="550" spans="3:22" ht="14.5" hidden="1" outlineLevel="1" x14ac:dyDescent="0.35">
      <c r="C550" s="600">
        <f t="shared" si="21"/>
        <v>63</v>
      </c>
      <c r="D550" s="601" t="s">
        <v>252</v>
      </c>
      <c r="E550" s="342"/>
      <c r="F550" s="733">
        <v>0</v>
      </c>
      <c r="G550" s="706">
        <v>0</v>
      </c>
      <c r="H550" s="706">
        <v>0</v>
      </c>
      <c r="I550" s="706">
        <v>0</v>
      </c>
      <c r="J550" s="706">
        <v>0</v>
      </c>
      <c r="K550" s="706">
        <v>0</v>
      </c>
      <c r="L550" s="706">
        <v>0</v>
      </c>
      <c r="M550" s="706">
        <v>0</v>
      </c>
      <c r="N550" s="706">
        <v>0</v>
      </c>
      <c r="O550" s="706">
        <v>0</v>
      </c>
      <c r="P550" s="706">
        <v>0</v>
      </c>
      <c r="Q550" s="461"/>
      <c r="R550" s="461"/>
      <c r="S550" s="461"/>
      <c r="T550" s="461"/>
      <c r="U550" s="461"/>
      <c r="V550" s="461"/>
    </row>
    <row r="551" spans="3:22" ht="14.5" hidden="1" outlineLevel="1" x14ac:dyDescent="0.35">
      <c r="C551" s="600">
        <f t="shared" si="21"/>
        <v>64</v>
      </c>
      <c r="D551" s="601" t="s">
        <v>252</v>
      </c>
      <c r="E551" s="342"/>
      <c r="F551" s="733">
        <v>0</v>
      </c>
      <c r="G551" s="706">
        <v>0</v>
      </c>
      <c r="H551" s="706">
        <v>0</v>
      </c>
      <c r="I551" s="706">
        <v>0</v>
      </c>
      <c r="J551" s="706">
        <v>0</v>
      </c>
      <c r="K551" s="706">
        <v>0</v>
      </c>
      <c r="L551" s="706">
        <v>0</v>
      </c>
      <c r="M551" s="706">
        <v>0</v>
      </c>
      <c r="N551" s="706">
        <v>0</v>
      </c>
      <c r="O551" s="706">
        <v>0</v>
      </c>
      <c r="P551" s="706">
        <v>0</v>
      </c>
      <c r="Q551" s="461"/>
      <c r="R551" s="461"/>
      <c r="S551" s="461"/>
      <c r="T551" s="461"/>
      <c r="U551" s="461"/>
      <c r="V551" s="461"/>
    </row>
    <row r="552" spans="3:22" ht="14.5" hidden="1" outlineLevel="1" x14ac:dyDescent="0.35">
      <c r="C552" s="600">
        <f t="shared" si="21"/>
        <v>65</v>
      </c>
      <c r="D552" s="601" t="s">
        <v>252</v>
      </c>
      <c r="E552" s="342"/>
      <c r="F552" s="733">
        <v>0</v>
      </c>
      <c r="G552" s="706">
        <v>0</v>
      </c>
      <c r="H552" s="706">
        <v>0</v>
      </c>
      <c r="I552" s="706">
        <v>0</v>
      </c>
      <c r="J552" s="706">
        <v>0</v>
      </c>
      <c r="K552" s="706">
        <v>0</v>
      </c>
      <c r="L552" s="706">
        <v>0</v>
      </c>
      <c r="M552" s="706">
        <v>0</v>
      </c>
      <c r="N552" s="706">
        <v>0</v>
      </c>
      <c r="O552" s="706">
        <v>0</v>
      </c>
      <c r="P552" s="706">
        <v>0</v>
      </c>
      <c r="Q552" s="461"/>
      <c r="R552" s="461"/>
      <c r="S552" s="461"/>
      <c r="T552" s="461"/>
      <c r="U552" s="461"/>
      <c r="V552" s="461"/>
    </row>
    <row r="553" spans="3:22" ht="14.5" hidden="1" outlineLevel="1" x14ac:dyDescent="0.35">
      <c r="C553" s="600">
        <f t="shared" si="21"/>
        <v>66</v>
      </c>
      <c r="D553" s="601" t="s">
        <v>252</v>
      </c>
      <c r="E553" s="342"/>
      <c r="F553" s="733">
        <v>0</v>
      </c>
      <c r="G553" s="706">
        <v>0</v>
      </c>
      <c r="H553" s="706">
        <v>0</v>
      </c>
      <c r="I553" s="706">
        <v>0</v>
      </c>
      <c r="J553" s="706">
        <v>0</v>
      </c>
      <c r="K553" s="706">
        <v>0</v>
      </c>
      <c r="L553" s="706">
        <v>0</v>
      </c>
      <c r="M553" s="706">
        <v>0</v>
      </c>
      <c r="N553" s="706">
        <v>0</v>
      </c>
      <c r="O553" s="706">
        <v>0</v>
      </c>
      <c r="P553" s="706">
        <v>0</v>
      </c>
      <c r="Q553" s="461"/>
      <c r="R553" s="461"/>
      <c r="S553" s="461"/>
      <c r="T553" s="461"/>
      <c r="U553" s="461"/>
      <c r="V553" s="461"/>
    </row>
    <row r="554" spans="3:22" ht="14.5" hidden="1" outlineLevel="1" x14ac:dyDescent="0.35">
      <c r="C554" s="600">
        <f t="shared" ref="C554:C567" si="22">1+C553</f>
        <v>67</v>
      </c>
      <c r="D554" s="601" t="s">
        <v>252</v>
      </c>
      <c r="E554" s="342"/>
      <c r="F554" s="733">
        <v>0</v>
      </c>
      <c r="G554" s="706">
        <v>0</v>
      </c>
      <c r="H554" s="706">
        <v>0</v>
      </c>
      <c r="I554" s="706">
        <v>0</v>
      </c>
      <c r="J554" s="706">
        <v>0</v>
      </c>
      <c r="K554" s="706">
        <v>0</v>
      </c>
      <c r="L554" s="706">
        <v>0</v>
      </c>
      <c r="M554" s="706">
        <v>0</v>
      </c>
      <c r="N554" s="706">
        <v>0</v>
      </c>
      <c r="O554" s="706">
        <v>0</v>
      </c>
      <c r="P554" s="706">
        <v>0</v>
      </c>
      <c r="Q554" s="461"/>
      <c r="R554" s="461"/>
      <c r="S554" s="461"/>
      <c r="T554" s="461"/>
      <c r="U554" s="461"/>
      <c r="V554" s="461"/>
    </row>
    <row r="555" spans="3:22" ht="14.5" hidden="1" outlineLevel="1" x14ac:dyDescent="0.35">
      <c r="C555" s="600">
        <f t="shared" si="22"/>
        <v>68</v>
      </c>
      <c r="D555" s="601" t="s">
        <v>252</v>
      </c>
      <c r="E555" s="342"/>
      <c r="F555" s="733">
        <v>0</v>
      </c>
      <c r="G555" s="706">
        <v>0</v>
      </c>
      <c r="H555" s="706">
        <v>0</v>
      </c>
      <c r="I555" s="706">
        <v>0</v>
      </c>
      <c r="J555" s="706">
        <v>0</v>
      </c>
      <c r="K555" s="706">
        <v>0</v>
      </c>
      <c r="L555" s="706">
        <v>0</v>
      </c>
      <c r="M555" s="706">
        <v>0</v>
      </c>
      <c r="N555" s="706">
        <v>0</v>
      </c>
      <c r="O555" s="706">
        <v>0</v>
      </c>
      <c r="P555" s="706">
        <v>0</v>
      </c>
      <c r="Q555" s="461"/>
      <c r="R555" s="461"/>
      <c r="S555" s="461"/>
      <c r="T555" s="461"/>
      <c r="U555" s="461"/>
      <c r="V555" s="461"/>
    </row>
    <row r="556" spans="3:22" ht="14.5" hidden="1" outlineLevel="1" x14ac:dyDescent="0.35">
      <c r="C556" s="600">
        <f t="shared" si="22"/>
        <v>69</v>
      </c>
      <c r="D556" s="601" t="s">
        <v>252</v>
      </c>
      <c r="E556" s="342"/>
      <c r="F556" s="733">
        <v>0</v>
      </c>
      <c r="G556" s="706">
        <v>0</v>
      </c>
      <c r="H556" s="706">
        <v>0</v>
      </c>
      <c r="I556" s="706">
        <v>0</v>
      </c>
      <c r="J556" s="706">
        <v>0</v>
      </c>
      <c r="K556" s="706">
        <v>0</v>
      </c>
      <c r="L556" s="706">
        <v>0</v>
      </c>
      <c r="M556" s="706">
        <v>0</v>
      </c>
      <c r="N556" s="706">
        <v>0</v>
      </c>
      <c r="O556" s="706">
        <v>0</v>
      </c>
      <c r="P556" s="706">
        <v>0</v>
      </c>
      <c r="Q556" s="461"/>
      <c r="R556" s="461"/>
      <c r="S556" s="461"/>
      <c r="T556" s="461"/>
      <c r="U556" s="461"/>
      <c r="V556" s="461"/>
    </row>
    <row r="557" spans="3:22" ht="14.5" hidden="1" outlineLevel="1" x14ac:dyDescent="0.35">
      <c r="C557" s="600">
        <f t="shared" si="22"/>
        <v>70</v>
      </c>
      <c r="D557" s="601" t="s">
        <v>252</v>
      </c>
      <c r="E557" s="342"/>
      <c r="F557" s="733">
        <v>0</v>
      </c>
      <c r="G557" s="706">
        <v>0</v>
      </c>
      <c r="H557" s="706">
        <v>0</v>
      </c>
      <c r="I557" s="706">
        <v>0</v>
      </c>
      <c r="J557" s="706">
        <v>0</v>
      </c>
      <c r="K557" s="706">
        <v>0</v>
      </c>
      <c r="L557" s="706">
        <v>0</v>
      </c>
      <c r="M557" s="706">
        <v>0</v>
      </c>
      <c r="N557" s="706">
        <v>0</v>
      </c>
      <c r="O557" s="706">
        <v>0</v>
      </c>
      <c r="P557" s="706">
        <v>0</v>
      </c>
      <c r="Q557" s="461"/>
      <c r="R557" s="461"/>
      <c r="S557" s="461"/>
      <c r="T557" s="461"/>
      <c r="U557" s="461"/>
      <c r="V557" s="461"/>
    </row>
    <row r="558" spans="3:22" ht="14.5" hidden="1" outlineLevel="1" x14ac:dyDescent="0.35">
      <c r="C558" s="600">
        <f t="shared" si="22"/>
        <v>71</v>
      </c>
      <c r="D558" s="601" t="s">
        <v>252</v>
      </c>
      <c r="E558" s="342"/>
      <c r="F558" s="733">
        <v>0</v>
      </c>
      <c r="G558" s="706">
        <v>0</v>
      </c>
      <c r="H558" s="706">
        <v>0</v>
      </c>
      <c r="I558" s="706">
        <v>0</v>
      </c>
      <c r="J558" s="706">
        <v>0</v>
      </c>
      <c r="K558" s="706">
        <v>0</v>
      </c>
      <c r="L558" s="706">
        <v>0</v>
      </c>
      <c r="M558" s="706">
        <v>0</v>
      </c>
      <c r="N558" s="706">
        <v>0</v>
      </c>
      <c r="O558" s="706">
        <v>0</v>
      </c>
      <c r="P558" s="706">
        <v>0</v>
      </c>
      <c r="Q558" s="461"/>
      <c r="R558" s="461"/>
      <c r="S558" s="461"/>
      <c r="T558" s="461"/>
      <c r="U558" s="461"/>
      <c r="V558" s="461"/>
    </row>
    <row r="559" spans="3:22" ht="14.5" hidden="1" outlineLevel="1" x14ac:dyDescent="0.35">
      <c r="C559" s="600">
        <f t="shared" si="22"/>
        <v>72</v>
      </c>
      <c r="D559" s="601" t="s">
        <v>252</v>
      </c>
      <c r="E559" s="342"/>
      <c r="F559" s="733">
        <v>0</v>
      </c>
      <c r="G559" s="706">
        <v>0</v>
      </c>
      <c r="H559" s="706">
        <v>0</v>
      </c>
      <c r="I559" s="706">
        <v>0</v>
      </c>
      <c r="J559" s="706">
        <v>0</v>
      </c>
      <c r="K559" s="706">
        <v>0</v>
      </c>
      <c r="L559" s="706">
        <v>0</v>
      </c>
      <c r="M559" s="706">
        <v>0</v>
      </c>
      <c r="N559" s="706">
        <v>0</v>
      </c>
      <c r="O559" s="706">
        <v>0</v>
      </c>
      <c r="P559" s="706">
        <v>0</v>
      </c>
      <c r="Q559" s="461"/>
      <c r="R559" s="461"/>
      <c r="S559" s="461"/>
      <c r="T559" s="461"/>
      <c r="U559" s="461"/>
      <c r="V559" s="461"/>
    </row>
    <row r="560" spans="3:22" ht="14.5" hidden="1" outlineLevel="1" x14ac:dyDescent="0.35">
      <c r="C560" s="600">
        <f t="shared" si="22"/>
        <v>73</v>
      </c>
      <c r="D560" s="601" t="s">
        <v>252</v>
      </c>
      <c r="E560" s="342"/>
      <c r="F560" s="733">
        <v>0</v>
      </c>
      <c r="G560" s="706">
        <v>0</v>
      </c>
      <c r="H560" s="706">
        <v>0</v>
      </c>
      <c r="I560" s="706">
        <v>0</v>
      </c>
      <c r="J560" s="706">
        <v>0</v>
      </c>
      <c r="K560" s="706">
        <v>0</v>
      </c>
      <c r="L560" s="706">
        <v>0</v>
      </c>
      <c r="M560" s="706">
        <v>0</v>
      </c>
      <c r="N560" s="706">
        <v>0</v>
      </c>
      <c r="O560" s="706">
        <v>0</v>
      </c>
      <c r="P560" s="706">
        <v>0</v>
      </c>
      <c r="Q560" s="461"/>
      <c r="R560" s="461"/>
      <c r="S560" s="461"/>
      <c r="T560" s="461"/>
      <c r="U560" s="461"/>
      <c r="V560" s="461"/>
    </row>
    <row r="561" spans="3:40" ht="14.5" hidden="1" outlineLevel="1" x14ac:dyDescent="0.35">
      <c r="C561" s="600">
        <f t="shared" si="22"/>
        <v>74</v>
      </c>
      <c r="D561" s="601" t="s">
        <v>252</v>
      </c>
      <c r="E561" s="342"/>
      <c r="F561" s="733">
        <v>0</v>
      </c>
      <c r="G561" s="706">
        <v>0</v>
      </c>
      <c r="H561" s="706">
        <v>0</v>
      </c>
      <c r="I561" s="706">
        <v>0</v>
      </c>
      <c r="J561" s="706">
        <v>0</v>
      </c>
      <c r="K561" s="706">
        <v>0</v>
      </c>
      <c r="L561" s="706">
        <v>0</v>
      </c>
      <c r="M561" s="706">
        <v>0</v>
      </c>
      <c r="N561" s="706">
        <v>0</v>
      </c>
      <c r="O561" s="706">
        <v>0</v>
      </c>
      <c r="P561" s="706">
        <v>0</v>
      </c>
      <c r="Q561" s="461"/>
      <c r="R561" s="461"/>
      <c r="S561" s="461"/>
      <c r="T561" s="461"/>
      <c r="U561" s="461"/>
      <c r="V561" s="461"/>
    </row>
    <row r="562" spans="3:40" ht="14.5" hidden="1" outlineLevel="1" x14ac:dyDescent="0.35">
      <c r="C562" s="600">
        <f t="shared" si="22"/>
        <v>75</v>
      </c>
      <c r="D562" s="601" t="s">
        <v>252</v>
      </c>
      <c r="E562" s="342"/>
      <c r="F562" s="733">
        <v>0</v>
      </c>
      <c r="G562" s="706">
        <v>0</v>
      </c>
      <c r="H562" s="706">
        <v>0</v>
      </c>
      <c r="I562" s="706">
        <v>0</v>
      </c>
      <c r="J562" s="706">
        <v>0</v>
      </c>
      <c r="K562" s="706">
        <v>0</v>
      </c>
      <c r="L562" s="706">
        <v>0</v>
      </c>
      <c r="M562" s="706">
        <v>0</v>
      </c>
      <c r="N562" s="706">
        <v>0</v>
      </c>
      <c r="O562" s="706">
        <v>0</v>
      </c>
      <c r="P562" s="706">
        <v>0</v>
      </c>
      <c r="Q562" s="461"/>
      <c r="R562" s="461"/>
      <c r="S562" s="461"/>
      <c r="T562" s="461"/>
      <c r="U562" s="461"/>
      <c r="V562" s="461"/>
    </row>
    <row r="563" spans="3:40" ht="14.5" hidden="1" outlineLevel="1" x14ac:dyDescent="0.35">
      <c r="C563" s="600">
        <f t="shared" si="22"/>
        <v>76</v>
      </c>
      <c r="D563" s="601" t="s">
        <v>252</v>
      </c>
      <c r="E563" s="342"/>
      <c r="F563" s="733">
        <v>0</v>
      </c>
      <c r="G563" s="706">
        <v>0</v>
      </c>
      <c r="H563" s="706">
        <v>0</v>
      </c>
      <c r="I563" s="706">
        <v>0</v>
      </c>
      <c r="J563" s="706">
        <v>0</v>
      </c>
      <c r="K563" s="706">
        <v>0</v>
      </c>
      <c r="L563" s="706">
        <v>0</v>
      </c>
      <c r="M563" s="706">
        <v>0</v>
      </c>
      <c r="N563" s="706">
        <v>0</v>
      </c>
      <c r="O563" s="706">
        <v>0</v>
      </c>
      <c r="P563" s="706">
        <v>0</v>
      </c>
      <c r="Q563" s="461"/>
      <c r="R563" s="461"/>
      <c r="S563" s="461"/>
      <c r="T563" s="461"/>
      <c r="U563" s="461"/>
      <c r="V563" s="461"/>
    </row>
    <row r="564" spans="3:40" ht="14.5" hidden="1" outlineLevel="1" x14ac:dyDescent="0.35">
      <c r="C564" s="600">
        <f t="shared" si="22"/>
        <v>77</v>
      </c>
      <c r="D564" s="601" t="s">
        <v>252</v>
      </c>
      <c r="E564" s="342"/>
      <c r="F564" s="733">
        <v>0</v>
      </c>
      <c r="G564" s="706">
        <v>0</v>
      </c>
      <c r="H564" s="706">
        <v>0</v>
      </c>
      <c r="I564" s="706">
        <v>0</v>
      </c>
      <c r="J564" s="706">
        <v>0</v>
      </c>
      <c r="K564" s="706">
        <v>0</v>
      </c>
      <c r="L564" s="706">
        <v>0</v>
      </c>
      <c r="M564" s="706">
        <v>0</v>
      </c>
      <c r="N564" s="706">
        <v>0</v>
      </c>
      <c r="O564" s="706">
        <v>0</v>
      </c>
      <c r="P564" s="706">
        <v>0</v>
      </c>
      <c r="Q564" s="461"/>
      <c r="R564" s="461"/>
      <c r="S564" s="461"/>
      <c r="T564" s="461"/>
      <c r="U564" s="461"/>
      <c r="V564" s="461"/>
    </row>
    <row r="565" spans="3:40" ht="14.5" hidden="1" outlineLevel="1" x14ac:dyDescent="0.35">
      <c r="C565" s="600">
        <f t="shared" si="22"/>
        <v>78</v>
      </c>
      <c r="D565" s="601" t="s">
        <v>252</v>
      </c>
      <c r="E565" s="342"/>
      <c r="F565" s="733">
        <v>0</v>
      </c>
      <c r="G565" s="706">
        <v>0</v>
      </c>
      <c r="H565" s="706">
        <v>0</v>
      </c>
      <c r="I565" s="706">
        <v>0</v>
      </c>
      <c r="J565" s="706">
        <v>0</v>
      </c>
      <c r="K565" s="706">
        <v>0</v>
      </c>
      <c r="L565" s="706">
        <v>0</v>
      </c>
      <c r="M565" s="706">
        <v>0</v>
      </c>
      <c r="N565" s="706">
        <v>0</v>
      </c>
      <c r="O565" s="706">
        <v>0</v>
      </c>
      <c r="P565" s="706">
        <v>0</v>
      </c>
      <c r="Q565" s="461"/>
      <c r="R565" s="461"/>
      <c r="S565" s="461"/>
      <c r="T565" s="461"/>
      <c r="U565" s="461"/>
      <c r="V565" s="461"/>
    </row>
    <row r="566" spans="3:40" ht="14.5" hidden="1" outlineLevel="1" x14ac:dyDescent="0.35">
      <c r="C566" s="600">
        <f t="shared" si="22"/>
        <v>79</v>
      </c>
      <c r="D566" s="601" t="s">
        <v>252</v>
      </c>
      <c r="E566" s="342"/>
      <c r="F566" s="733">
        <v>0</v>
      </c>
      <c r="G566" s="706">
        <v>0</v>
      </c>
      <c r="H566" s="706">
        <v>0</v>
      </c>
      <c r="I566" s="706">
        <v>0</v>
      </c>
      <c r="J566" s="706">
        <v>0</v>
      </c>
      <c r="K566" s="706">
        <v>0</v>
      </c>
      <c r="L566" s="706">
        <v>0</v>
      </c>
      <c r="M566" s="706">
        <v>0</v>
      </c>
      <c r="N566" s="706">
        <v>0</v>
      </c>
      <c r="O566" s="706">
        <v>0</v>
      </c>
      <c r="P566" s="706">
        <v>0</v>
      </c>
      <c r="Q566" s="461"/>
      <c r="R566" s="461"/>
      <c r="S566" s="461"/>
      <c r="T566" s="461"/>
      <c r="U566" s="461"/>
      <c r="V566" s="461"/>
    </row>
    <row r="567" spans="3:40" ht="14.5" collapsed="1" x14ac:dyDescent="0.35">
      <c r="C567" s="600">
        <f t="shared" si="22"/>
        <v>80</v>
      </c>
      <c r="D567" s="601" t="s">
        <v>252</v>
      </c>
      <c r="E567" s="342"/>
      <c r="F567" s="738">
        <v>0</v>
      </c>
      <c r="G567" s="739">
        <v>0</v>
      </c>
      <c r="H567" s="739">
        <v>0</v>
      </c>
      <c r="I567" s="739">
        <v>0</v>
      </c>
      <c r="J567" s="739">
        <v>0</v>
      </c>
      <c r="K567" s="739">
        <v>0</v>
      </c>
      <c r="L567" s="739">
        <v>0</v>
      </c>
      <c r="M567" s="739">
        <v>0</v>
      </c>
      <c r="N567" s="739">
        <v>0</v>
      </c>
      <c r="O567" s="739">
        <v>0</v>
      </c>
      <c r="P567" s="739">
        <v>0</v>
      </c>
      <c r="Q567" s="461"/>
      <c r="R567" s="461"/>
      <c r="S567" s="461"/>
      <c r="T567" s="461"/>
      <c r="U567" s="461"/>
      <c r="V567" s="461"/>
    </row>
    <row r="568" spans="3:40" x14ac:dyDescent="0.25">
      <c r="C568" s="585"/>
      <c r="D568" s="587"/>
      <c r="F568" s="740"/>
      <c r="G568" s="740"/>
      <c r="H568" s="740"/>
      <c r="I568" s="740"/>
      <c r="J568" s="740"/>
      <c r="K568" s="740"/>
      <c r="L568" s="740"/>
      <c r="M568" s="740"/>
      <c r="N568" s="740"/>
      <c r="O568" s="740"/>
      <c r="P568" s="740"/>
    </row>
    <row r="569" spans="3:40" x14ac:dyDescent="0.25">
      <c r="C569" s="585"/>
      <c r="D569" s="585" t="s">
        <v>365</v>
      </c>
    </row>
    <row r="570" spans="3:40" x14ac:dyDescent="0.25">
      <c r="C570" s="585"/>
      <c r="D570" s="587"/>
    </row>
    <row r="571" spans="3:40" ht="15.5" x14ac:dyDescent="0.25">
      <c r="D571" s="607" t="s">
        <v>1148</v>
      </c>
      <c r="E571" s="605"/>
      <c r="F571" s="605"/>
      <c r="G571" s="605"/>
      <c r="H571" s="606"/>
    </row>
    <row r="572" spans="3:40" x14ac:dyDescent="0.25">
      <c r="D572" s="585"/>
    </row>
    <row r="573" spans="3:40" ht="34.5" x14ac:dyDescent="0.25">
      <c r="C573" s="585"/>
      <c r="D573" s="593" t="s">
        <v>405</v>
      </c>
      <c r="E573" s="618" t="s">
        <v>1281</v>
      </c>
      <c r="F573" s="619" t="s">
        <v>409</v>
      </c>
      <c r="G573" s="781" t="s">
        <v>406</v>
      </c>
      <c r="H573" s="782"/>
      <c r="I573" s="782"/>
      <c r="J573" s="783"/>
      <c r="K573" s="781" t="s">
        <v>407</v>
      </c>
      <c r="L573" s="783"/>
      <c r="M573" s="618" t="s">
        <v>1270</v>
      </c>
      <c r="N573" s="781" t="s">
        <v>1271</v>
      </c>
      <c r="O573" s="782"/>
      <c r="P573" s="782"/>
      <c r="Q573" s="782"/>
      <c r="R573" s="782"/>
      <c r="S573" s="782"/>
      <c r="T573" s="783"/>
      <c r="U573" s="619" t="s">
        <v>408</v>
      </c>
      <c r="V573" s="619"/>
      <c r="W573" s="619" t="s">
        <v>1282</v>
      </c>
      <c r="X573" s="619" t="s">
        <v>409</v>
      </c>
      <c r="Y573" s="781" t="s">
        <v>406</v>
      </c>
      <c r="Z573" s="782"/>
      <c r="AA573" s="782"/>
      <c r="AB573" s="783"/>
      <c r="AC573" s="790" t="s">
        <v>407</v>
      </c>
      <c r="AD573" s="791"/>
      <c r="AE573" s="618" t="s">
        <v>1270</v>
      </c>
      <c r="AF573" s="781" t="s">
        <v>1271</v>
      </c>
      <c r="AG573" s="782"/>
      <c r="AH573" s="782"/>
      <c r="AI573" s="782"/>
      <c r="AJ573" s="782"/>
      <c r="AK573" s="782"/>
      <c r="AL573" s="783"/>
      <c r="AM573" s="619" t="s">
        <v>408</v>
      </c>
      <c r="AN573" s="619"/>
    </row>
    <row r="574" spans="3:40" ht="69" x14ac:dyDescent="0.25">
      <c r="C574" s="585"/>
      <c r="D574" s="597" t="s">
        <v>252</v>
      </c>
      <c r="E574" s="598" t="s">
        <v>1283</v>
      </c>
      <c r="F574" s="598" t="s">
        <v>409</v>
      </c>
      <c r="G574" s="598" t="s">
        <v>410</v>
      </c>
      <c r="H574" s="598" t="s">
        <v>411</v>
      </c>
      <c r="I574" s="598" t="s">
        <v>412</v>
      </c>
      <c r="J574" s="599" t="s">
        <v>1272</v>
      </c>
      <c r="K574" s="599" t="s">
        <v>407</v>
      </c>
      <c r="L574" s="599" t="s">
        <v>1273</v>
      </c>
      <c r="M574" s="598" t="s">
        <v>416</v>
      </c>
      <c r="N574" s="598" t="s">
        <v>419</v>
      </c>
      <c r="O574" s="598" t="s">
        <v>908</v>
      </c>
      <c r="P574" s="598" t="s">
        <v>1274</v>
      </c>
      <c r="Q574" s="598" t="s">
        <v>1275</v>
      </c>
      <c r="R574" s="598" t="s">
        <v>978</v>
      </c>
      <c r="S574" s="598" t="s">
        <v>1276</v>
      </c>
      <c r="T574" s="598" t="s">
        <v>1277</v>
      </c>
      <c r="U574" s="598" t="s">
        <v>1278</v>
      </c>
      <c r="V574" s="598" t="s">
        <v>1279</v>
      </c>
      <c r="W574" s="598" t="s">
        <v>1284</v>
      </c>
      <c r="X574" s="598" t="s">
        <v>409</v>
      </c>
      <c r="Y574" s="598" t="s">
        <v>410</v>
      </c>
      <c r="Z574" s="598" t="s">
        <v>411</v>
      </c>
      <c r="AA574" s="598" t="s">
        <v>412</v>
      </c>
      <c r="AB574" s="599" t="s">
        <v>1272</v>
      </c>
      <c r="AC574" s="599" t="s">
        <v>407</v>
      </c>
      <c r="AD574" s="599" t="s">
        <v>1273</v>
      </c>
      <c r="AE574" s="598" t="s">
        <v>416</v>
      </c>
      <c r="AF574" s="598" t="s">
        <v>419</v>
      </c>
      <c r="AG574" s="598" t="s">
        <v>908</v>
      </c>
      <c r="AH574" s="598" t="s">
        <v>1274</v>
      </c>
      <c r="AI574" s="598" t="s">
        <v>1275</v>
      </c>
      <c r="AJ574" s="598" t="s">
        <v>978</v>
      </c>
      <c r="AK574" s="598" t="s">
        <v>1276</v>
      </c>
      <c r="AL574" s="598" t="s">
        <v>1277</v>
      </c>
      <c r="AM574" s="598" t="s">
        <v>1278</v>
      </c>
      <c r="AN574" s="598" t="s">
        <v>1279</v>
      </c>
    </row>
    <row r="575" spans="3:40" ht="14.5" x14ac:dyDescent="0.35">
      <c r="C575" s="600">
        <v>1</v>
      </c>
      <c r="D575" s="601" t="s">
        <v>797</v>
      </c>
      <c r="E575" s="617">
        <v>328.44</v>
      </c>
      <c r="F575" s="733">
        <v>133</v>
      </c>
      <c r="G575" s="733">
        <v>12</v>
      </c>
      <c r="H575" s="733">
        <v>3</v>
      </c>
      <c r="I575" s="733">
        <v>1</v>
      </c>
      <c r="J575" s="733">
        <v>17</v>
      </c>
      <c r="K575" s="733">
        <v>174</v>
      </c>
      <c r="L575" s="342"/>
      <c r="M575" s="461"/>
      <c r="N575" s="461"/>
      <c r="O575" s="461"/>
      <c r="P575" s="461"/>
      <c r="Q575" s="461"/>
      <c r="R575" s="461"/>
      <c r="S575" s="461"/>
      <c r="T575" s="461"/>
      <c r="U575" s="461"/>
      <c r="V575" s="461"/>
      <c r="W575" s="342"/>
      <c r="X575" s="342"/>
      <c r="Y575" s="461"/>
      <c r="Z575" s="461"/>
      <c r="AA575" s="461"/>
      <c r="AB575" s="461"/>
      <c r="AC575" s="461"/>
      <c r="AD575" s="461"/>
      <c r="AE575" s="461"/>
      <c r="AF575" s="461"/>
      <c r="AG575" s="461"/>
      <c r="AH575" s="461"/>
      <c r="AI575" s="461"/>
      <c r="AJ575" s="461"/>
      <c r="AK575" s="461"/>
      <c r="AL575" s="461"/>
      <c r="AM575" s="461"/>
      <c r="AN575" s="461"/>
    </row>
    <row r="576" spans="3:40" ht="14.5" x14ac:dyDescent="0.35">
      <c r="C576" s="600">
        <f>1+C575</f>
        <v>2</v>
      </c>
      <c r="D576" s="601" t="s">
        <v>798</v>
      </c>
      <c r="E576" s="617">
        <v>367.29</v>
      </c>
      <c r="F576" s="733">
        <v>184</v>
      </c>
      <c r="G576" s="733">
        <v>14</v>
      </c>
      <c r="H576" s="733">
        <v>5</v>
      </c>
      <c r="I576" s="733">
        <v>1</v>
      </c>
      <c r="J576" s="733">
        <v>19</v>
      </c>
      <c r="K576" s="733">
        <v>198</v>
      </c>
      <c r="L576" s="461"/>
      <c r="M576" s="461"/>
      <c r="N576" s="461"/>
      <c r="O576" s="461"/>
      <c r="P576" s="461"/>
      <c r="Q576" s="461"/>
      <c r="R576" s="461"/>
      <c r="S576" s="461"/>
      <c r="T576" s="461"/>
      <c r="U576" s="461"/>
      <c r="V576" s="461"/>
      <c r="W576" s="342"/>
      <c r="X576" s="342"/>
      <c r="Y576" s="461"/>
      <c r="Z576" s="461"/>
      <c r="AA576" s="461"/>
      <c r="AB576" s="461"/>
      <c r="AC576" s="461"/>
      <c r="AD576" s="461"/>
      <c r="AE576" s="461"/>
      <c r="AF576" s="461"/>
      <c r="AG576" s="461"/>
      <c r="AH576" s="461"/>
      <c r="AI576" s="461"/>
      <c r="AJ576" s="461"/>
      <c r="AK576" s="461"/>
      <c r="AL576" s="461"/>
      <c r="AM576" s="461"/>
      <c r="AN576" s="461"/>
    </row>
    <row r="577" spans="3:40" ht="14.5" x14ac:dyDescent="0.35">
      <c r="C577" s="600">
        <f t="shared" ref="C577:C640" si="23">1+C576</f>
        <v>3</v>
      </c>
      <c r="D577" s="601" t="s">
        <v>205</v>
      </c>
      <c r="E577" s="617">
        <v>421.32</v>
      </c>
      <c r="F577" s="733">
        <v>119</v>
      </c>
      <c r="G577" s="733">
        <v>12</v>
      </c>
      <c r="H577" s="733">
        <v>5</v>
      </c>
      <c r="I577" s="733">
        <v>1</v>
      </c>
      <c r="J577" s="733">
        <v>18</v>
      </c>
      <c r="K577" s="733">
        <v>243</v>
      </c>
      <c r="L577" s="461"/>
      <c r="M577" s="461"/>
      <c r="N577" s="461"/>
      <c r="O577" s="461"/>
      <c r="P577" s="461"/>
      <c r="Q577" s="461"/>
      <c r="R577" s="461"/>
      <c r="S577" s="461"/>
      <c r="T577" s="461"/>
      <c r="U577" s="461"/>
      <c r="V577" s="461"/>
      <c r="W577" s="342"/>
      <c r="X577" s="342"/>
      <c r="Y577" s="461"/>
      <c r="Z577" s="461"/>
      <c r="AA577" s="461"/>
      <c r="AB577" s="461"/>
      <c r="AC577" s="461"/>
      <c r="AD577" s="461"/>
      <c r="AE577" s="461"/>
      <c r="AF577" s="461"/>
      <c r="AG577" s="461"/>
      <c r="AH577" s="461"/>
      <c r="AI577" s="461"/>
      <c r="AJ577" s="461"/>
      <c r="AK577" s="461"/>
      <c r="AL577" s="461"/>
      <c r="AM577" s="461"/>
      <c r="AN577" s="461"/>
    </row>
    <row r="578" spans="3:40" ht="14.5" x14ac:dyDescent="0.35">
      <c r="C578" s="600" t="e">
        <f>1+#REF!</f>
        <v>#REF!</v>
      </c>
      <c r="D578" s="601" t="s">
        <v>252</v>
      </c>
      <c r="E578" s="342"/>
      <c r="F578" s="342"/>
      <c r="G578" s="461"/>
      <c r="H578" s="461"/>
      <c r="I578" s="461"/>
      <c r="J578" s="461"/>
      <c r="K578" s="461"/>
      <c r="L578" s="461"/>
      <c r="M578" s="461"/>
      <c r="N578" s="461"/>
      <c r="O578" s="461"/>
      <c r="P578" s="461"/>
      <c r="Q578" s="461"/>
      <c r="R578" s="461"/>
      <c r="S578" s="461"/>
      <c r="T578" s="461"/>
      <c r="U578" s="461"/>
      <c r="V578" s="461"/>
      <c r="W578" s="342"/>
      <c r="X578" s="342"/>
      <c r="Y578" s="461"/>
      <c r="Z578" s="461"/>
      <c r="AA578" s="461"/>
      <c r="AB578" s="461"/>
      <c r="AC578" s="461"/>
      <c r="AD578" s="461"/>
      <c r="AE578" s="461"/>
      <c r="AF578" s="461"/>
      <c r="AG578" s="461"/>
      <c r="AH578" s="461"/>
      <c r="AI578" s="461"/>
      <c r="AJ578" s="461"/>
      <c r="AK578" s="461"/>
      <c r="AL578" s="461"/>
      <c r="AM578" s="461"/>
      <c r="AN578" s="461"/>
    </row>
    <row r="579" spans="3:40" ht="14.5" hidden="1" outlineLevel="1" x14ac:dyDescent="0.35">
      <c r="C579" s="600" t="e">
        <f t="shared" si="23"/>
        <v>#REF!</v>
      </c>
      <c r="D579" s="601" t="s">
        <v>252</v>
      </c>
      <c r="E579" s="342"/>
      <c r="F579" s="342"/>
      <c r="G579" s="461"/>
      <c r="H579" s="461"/>
      <c r="I579" s="461"/>
      <c r="J579" s="461"/>
      <c r="K579" s="461"/>
      <c r="L579" s="461"/>
      <c r="M579" s="461"/>
      <c r="N579" s="461"/>
      <c r="O579" s="461"/>
      <c r="P579" s="461"/>
      <c r="Q579" s="461"/>
      <c r="R579" s="461"/>
      <c r="S579" s="461"/>
      <c r="T579" s="461"/>
      <c r="U579" s="461"/>
      <c r="V579" s="461"/>
      <c r="W579" s="342"/>
      <c r="X579" s="342"/>
      <c r="Y579" s="461"/>
      <c r="Z579" s="461"/>
      <c r="AA579" s="461"/>
      <c r="AB579" s="461"/>
      <c r="AC579" s="461"/>
      <c r="AD579" s="461"/>
      <c r="AE579" s="461"/>
      <c r="AF579" s="461"/>
      <c r="AG579" s="461"/>
      <c r="AH579" s="461"/>
      <c r="AI579" s="461"/>
      <c r="AJ579" s="461"/>
      <c r="AK579" s="461"/>
      <c r="AL579" s="461"/>
      <c r="AM579" s="461"/>
      <c r="AN579" s="461"/>
    </row>
    <row r="580" spans="3:40" ht="14.5" hidden="1" outlineLevel="1" x14ac:dyDescent="0.35">
      <c r="C580" s="600" t="e">
        <f t="shared" si="23"/>
        <v>#REF!</v>
      </c>
      <c r="D580" s="601" t="s">
        <v>252</v>
      </c>
      <c r="E580" s="342"/>
      <c r="F580" s="342"/>
      <c r="G580" s="461"/>
      <c r="H580" s="461"/>
      <c r="I580" s="461"/>
      <c r="J580" s="461"/>
      <c r="K580" s="461"/>
      <c r="L580" s="461"/>
      <c r="M580" s="461"/>
      <c r="N580" s="461"/>
      <c r="O580" s="461"/>
      <c r="P580" s="461"/>
      <c r="Q580" s="461"/>
      <c r="R580" s="461"/>
      <c r="S580" s="461"/>
      <c r="T580" s="461"/>
      <c r="U580" s="461"/>
      <c r="V580" s="461"/>
      <c r="W580" s="342"/>
      <c r="X580" s="342"/>
      <c r="Y580" s="461"/>
      <c r="Z580" s="461"/>
      <c r="AA580" s="461"/>
      <c r="AB580" s="461"/>
      <c r="AC580" s="461"/>
      <c r="AD580" s="461"/>
      <c r="AE580" s="461"/>
      <c r="AF580" s="461"/>
      <c r="AG580" s="461"/>
      <c r="AH580" s="461"/>
      <c r="AI580" s="461"/>
      <c r="AJ580" s="461"/>
      <c r="AK580" s="461"/>
      <c r="AL580" s="461"/>
      <c r="AM580" s="461"/>
      <c r="AN580" s="461"/>
    </row>
    <row r="581" spans="3:40" ht="14.5" hidden="1" outlineLevel="1" x14ac:dyDescent="0.35">
      <c r="C581" s="600" t="e">
        <f t="shared" si="23"/>
        <v>#REF!</v>
      </c>
      <c r="D581" s="601" t="s">
        <v>252</v>
      </c>
      <c r="E581" s="342"/>
      <c r="F581" s="342"/>
      <c r="G581" s="342"/>
      <c r="H581" s="342"/>
      <c r="I581" s="342"/>
      <c r="J581" s="342"/>
      <c r="K581" s="342"/>
      <c r="L581" s="461"/>
      <c r="M581" s="461"/>
      <c r="N581" s="461"/>
      <c r="O581" s="461"/>
      <c r="P581" s="461"/>
      <c r="Q581" s="461"/>
      <c r="R581" s="461"/>
      <c r="S581" s="461"/>
      <c r="T581" s="461"/>
      <c r="U581" s="461"/>
      <c r="V581" s="461"/>
      <c r="W581" s="342"/>
      <c r="X581" s="342"/>
      <c r="Y581" s="461"/>
      <c r="Z581" s="461"/>
      <c r="AA581" s="461"/>
      <c r="AB581" s="461"/>
      <c r="AC581" s="461"/>
      <c r="AD581" s="461"/>
      <c r="AE581" s="461"/>
      <c r="AF581" s="461"/>
      <c r="AG581" s="461"/>
      <c r="AH581" s="461"/>
      <c r="AI581" s="461"/>
      <c r="AJ581" s="461"/>
      <c r="AK581" s="461"/>
      <c r="AL581" s="461"/>
      <c r="AM581" s="461"/>
      <c r="AN581" s="461"/>
    </row>
    <row r="582" spans="3:40" ht="14.5" hidden="1" outlineLevel="1" x14ac:dyDescent="0.35">
      <c r="C582" s="600" t="e">
        <f t="shared" si="23"/>
        <v>#REF!</v>
      </c>
      <c r="D582" s="601" t="s">
        <v>252</v>
      </c>
      <c r="E582" s="342"/>
      <c r="F582" s="342"/>
      <c r="G582" s="461"/>
      <c r="H582" s="461"/>
      <c r="I582" s="461"/>
      <c r="J582" s="461"/>
      <c r="K582" s="461"/>
      <c r="L582" s="461"/>
      <c r="M582" s="461"/>
      <c r="N582" s="461"/>
      <c r="O582" s="461"/>
      <c r="P582" s="461"/>
      <c r="Q582" s="461"/>
      <c r="R582" s="461"/>
      <c r="S582" s="461"/>
      <c r="T582" s="461"/>
      <c r="U582" s="461"/>
      <c r="V582" s="461"/>
      <c r="W582" s="342"/>
      <c r="X582" s="342"/>
      <c r="Y582" s="461"/>
      <c r="Z582" s="461"/>
      <c r="AA582" s="461"/>
      <c r="AB582" s="461"/>
      <c r="AC582" s="461"/>
      <c r="AD582" s="461"/>
      <c r="AE582" s="461"/>
      <c r="AF582" s="461"/>
      <c r="AG582" s="461"/>
      <c r="AH582" s="461"/>
      <c r="AI582" s="461"/>
      <c r="AJ582" s="461"/>
      <c r="AK582" s="461"/>
      <c r="AL582" s="461"/>
      <c r="AM582" s="461"/>
      <c r="AN582" s="461"/>
    </row>
    <row r="583" spans="3:40" ht="14.5" hidden="1" outlineLevel="1" x14ac:dyDescent="0.35">
      <c r="C583" s="600" t="e">
        <f t="shared" si="23"/>
        <v>#REF!</v>
      </c>
      <c r="D583" s="601" t="s">
        <v>252</v>
      </c>
      <c r="E583" s="342"/>
      <c r="F583" s="342"/>
      <c r="G583" s="461"/>
      <c r="H583" s="461"/>
      <c r="I583" s="461"/>
      <c r="J583" s="461"/>
      <c r="K583" s="461"/>
      <c r="L583" s="461"/>
      <c r="M583" s="461"/>
      <c r="N583" s="461"/>
      <c r="O583" s="461"/>
      <c r="P583" s="461"/>
      <c r="Q583" s="461"/>
      <c r="R583" s="461"/>
      <c r="S583" s="461"/>
      <c r="T583" s="461"/>
      <c r="U583" s="461"/>
      <c r="V583" s="461"/>
      <c r="W583" s="342"/>
      <c r="X583" s="342"/>
      <c r="Y583" s="461"/>
      <c r="Z583" s="461"/>
      <c r="AA583" s="461"/>
      <c r="AB583" s="461"/>
      <c r="AC583" s="461"/>
      <c r="AD583" s="461"/>
      <c r="AE583" s="461"/>
      <c r="AF583" s="461"/>
      <c r="AG583" s="461"/>
      <c r="AH583" s="461"/>
      <c r="AI583" s="461"/>
      <c r="AJ583" s="461"/>
      <c r="AK583" s="461"/>
      <c r="AL583" s="461"/>
      <c r="AM583" s="461"/>
      <c r="AN583" s="461"/>
    </row>
    <row r="584" spans="3:40" ht="14.5" hidden="1" outlineLevel="1" x14ac:dyDescent="0.35">
      <c r="C584" s="600" t="e">
        <f t="shared" si="23"/>
        <v>#REF!</v>
      </c>
      <c r="D584" s="601" t="s">
        <v>252</v>
      </c>
      <c r="E584" s="342"/>
      <c r="F584" s="342"/>
      <c r="G584" s="461"/>
      <c r="H584" s="461"/>
      <c r="I584" s="461"/>
      <c r="J584" s="461"/>
      <c r="K584" s="461"/>
      <c r="L584" s="461"/>
      <c r="M584" s="461"/>
      <c r="N584" s="461"/>
      <c r="O584" s="461"/>
      <c r="P584" s="461"/>
      <c r="Q584" s="461"/>
      <c r="R584" s="461"/>
      <c r="S584" s="461"/>
      <c r="T584" s="461"/>
      <c r="U584" s="461"/>
      <c r="V584" s="461"/>
      <c r="W584" s="342"/>
      <c r="X584" s="342"/>
      <c r="Y584" s="461"/>
      <c r="Z584" s="461"/>
      <c r="AA584" s="461"/>
      <c r="AB584" s="461"/>
      <c r="AC584" s="461"/>
      <c r="AD584" s="461"/>
      <c r="AE584" s="461"/>
      <c r="AF584" s="461"/>
      <c r="AG584" s="461"/>
      <c r="AH584" s="461"/>
      <c r="AI584" s="461"/>
      <c r="AJ584" s="461"/>
      <c r="AK584" s="461"/>
      <c r="AL584" s="461"/>
      <c r="AM584" s="461"/>
      <c r="AN584" s="461"/>
    </row>
    <row r="585" spans="3:40" ht="14.5" hidden="1" outlineLevel="1" x14ac:dyDescent="0.35">
      <c r="C585" s="600" t="e">
        <f t="shared" si="23"/>
        <v>#REF!</v>
      </c>
      <c r="D585" s="601" t="s">
        <v>252</v>
      </c>
      <c r="E585" s="342"/>
      <c r="F585" s="342"/>
      <c r="G585" s="461"/>
      <c r="H585" s="461"/>
      <c r="I585" s="461"/>
      <c r="J585" s="461"/>
      <c r="K585" s="461"/>
      <c r="L585" s="461"/>
      <c r="M585" s="461"/>
      <c r="N585" s="461"/>
      <c r="O585" s="461"/>
      <c r="P585" s="461"/>
      <c r="Q585" s="461"/>
      <c r="R585" s="461"/>
      <c r="S585" s="461"/>
      <c r="T585" s="461"/>
      <c r="U585" s="461"/>
      <c r="V585" s="461"/>
      <c r="W585" s="342"/>
      <c r="X585" s="342"/>
      <c r="Y585" s="461"/>
      <c r="Z585" s="461"/>
      <c r="AA585" s="461"/>
      <c r="AB585" s="461"/>
      <c r="AC585" s="461"/>
      <c r="AD585" s="461"/>
      <c r="AE585" s="461"/>
      <c r="AF585" s="461"/>
      <c r="AG585" s="461"/>
      <c r="AH585" s="461"/>
      <c r="AI585" s="461"/>
      <c r="AJ585" s="461"/>
      <c r="AK585" s="461"/>
      <c r="AL585" s="461"/>
      <c r="AM585" s="461"/>
      <c r="AN585" s="461"/>
    </row>
    <row r="586" spans="3:40" ht="14.5" hidden="1" outlineLevel="1" x14ac:dyDescent="0.35">
      <c r="C586" s="600" t="e">
        <f t="shared" si="23"/>
        <v>#REF!</v>
      </c>
      <c r="D586" s="601" t="s">
        <v>252</v>
      </c>
      <c r="E586" s="342"/>
      <c r="F586" s="342"/>
      <c r="G586" s="461"/>
      <c r="H586" s="461"/>
      <c r="I586" s="461"/>
      <c r="J586" s="461"/>
      <c r="K586" s="461"/>
      <c r="L586" s="461"/>
      <c r="M586" s="461"/>
      <c r="N586" s="461"/>
      <c r="O586" s="461"/>
      <c r="P586" s="461"/>
      <c r="Q586" s="461"/>
      <c r="R586" s="461"/>
      <c r="S586" s="461"/>
      <c r="T586" s="461"/>
      <c r="U586" s="461"/>
      <c r="V586" s="461"/>
      <c r="W586" s="342"/>
      <c r="X586" s="342"/>
      <c r="Y586" s="461"/>
      <c r="Z586" s="461"/>
      <c r="AA586" s="461"/>
      <c r="AB586" s="461"/>
      <c r="AC586" s="461"/>
      <c r="AD586" s="461"/>
      <c r="AE586" s="461"/>
      <c r="AF586" s="461"/>
      <c r="AG586" s="461"/>
      <c r="AH586" s="461"/>
      <c r="AI586" s="461"/>
      <c r="AJ586" s="461"/>
      <c r="AK586" s="461"/>
      <c r="AL586" s="461"/>
      <c r="AM586" s="461"/>
      <c r="AN586" s="461"/>
    </row>
    <row r="587" spans="3:40" ht="14.5" hidden="1" outlineLevel="1" x14ac:dyDescent="0.35">
      <c r="C587" s="600" t="e">
        <f t="shared" si="23"/>
        <v>#REF!</v>
      </c>
      <c r="D587" s="601" t="s">
        <v>252</v>
      </c>
      <c r="E587" s="342"/>
      <c r="F587" s="342"/>
      <c r="G587" s="461"/>
      <c r="H587" s="461"/>
      <c r="I587" s="461"/>
      <c r="J587" s="461"/>
      <c r="K587" s="461"/>
      <c r="L587" s="461"/>
      <c r="M587" s="461"/>
      <c r="N587" s="461"/>
      <c r="O587" s="461"/>
      <c r="P587" s="461"/>
      <c r="Q587" s="461"/>
      <c r="R587" s="461"/>
      <c r="S587" s="461"/>
      <c r="T587" s="461"/>
      <c r="U587" s="461"/>
      <c r="V587" s="461"/>
      <c r="W587" s="342"/>
      <c r="X587" s="342"/>
      <c r="Y587" s="461"/>
      <c r="Z587" s="461"/>
      <c r="AA587" s="461"/>
      <c r="AB587" s="461"/>
      <c r="AC587" s="461"/>
      <c r="AD587" s="461"/>
      <c r="AE587" s="461"/>
      <c r="AF587" s="461"/>
      <c r="AG587" s="461"/>
      <c r="AH587" s="461"/>
      <c r="AI587" s="461"/>
      <c r="AJ587" s="461"/>
      <c r="AK587" s="461"/>
      <c r="AL587" s="461"/>
      <c r="AM587" s="461"/>
      <c r="AN587" s="461"/>
    </row>
    <row r="588" spans="3:40" ht="14.5" hidden="1" outlineLevel="1" x14ac:dyDescent="0.35">
      <c r="C588" s="600" t="e">
        <f t="shared" si="23"/>
        <v>#REF!</v>
      </c>
      <c r="D588" s="601" t="s">
        <v>252</v>
      </c>
      <c r="E588" s="342"/>
      <c r="F588" s="342"/>
      <c r="G588" s="461"/>
      <c r="H588" s="461"/>
      <c r="I588" s="461"/>
      <c r="J588" s="461"/>
      <c r="K588" s="461"/>
      <c r="L588" s="461"/>
      <c r="M588" s="461"/>
      <c r="N588" s="461"/>
      <c r="O588" s="461"/>
      <c r="P588" s="461"/>
      <c r="Q588" s="461"/>
      <c r="R588" s="461"/>
      <c r="S588" s="461"/>
      <c r="T588" s="461"/>
      <c r="U588" s="461"/>
      <c r="V588" s="461"/>
      <c r="W588" s="342"/>
      <c r="X588" s="342"/>
      <c r="Y588" s="461"/>
      <c r="Z588" s="461"/>
      <c r="AA588" s="461"/>
      <c r="AB588" s="461"/>
      <c r="AC588" s="461"/>
      <c r="AD588" s="461"/>
      <c r="AE588" s="461"/>
      <c r="AF588" s="461"/>
      <c r="AG588" s="461"/>
      <c r="AH588" s="461"/>
      <c r="AI588" s="461"/>
      <c r="AJ588" s="461"/>
      <c r="AK588" s="461"/>
      <c r="AL588" s="461"/>
      <c r="AM588" s="461"/>
      <c r="AN588" s="461"/>
    </row>
    <row r="589" spans="3:40" ht="14.5" hidden="1" outlineLevel="1" x14ac:dyDescent="0.35">
      <c r="C589" s="600" t="e">
        <f t="shared" si="23"/>
        <v>#REF!</v>
      </c>
      <c r="D589" s="601" t="s">
        <v>252</v>
      </c>
      <c r="E589" s="342"/>
      <c r="F589" s="342"/>
      <c r="G589" s="461"/>
      <c r="H589" s="461"/>
      <c r="I589" s="461"/>
      <c r="J589" s="461"/>
      <c r="K589" s="461"/>
      <c r="L589" s="461"/>
      <c r="M589" s="461"/>
      <c r="N589" s="461"/>
      <c r="O589" s="461"/>
      <c r="P589" s="461"/>
      <c r="Q589" s="461"/>
      <c r="R589" s="461"/>
      <c r="S589" s="461"/>
      <c r="T589" s="461"/>
      <c r="U589" s="461"/>
      <c r="V589" s="461"/>
      <c r="W589" s="342"/>
      <c r="X589" s="342"/>
      <c r="Y589" s="461"/>
      <c r="Z589" s="461"/>
      <c r="AA589" s="461"/>
      <c r="AB589" s="461"/>
      <c r="AC589" s="461"/>
      <c r="AD589" s="461"/>
      <c r="AE589" s="461"/>
      <c r="AF589" s="461"/>
      <c r="AG589" s="461"/>
      <c r="AH589" s="461"/>
      <c r="AI589" s="461"/>
      <c r="AJ589" s="461"/>
      <c r="AK589" s="461"/>
      <c r="AL589" s="461"/>
      <c r="AM589" s="461"/>
      <c r="AN589" s="461"/>
    </row>
    <row r="590" spans="3:40" ht="14.5" hidden="1" outlineLevel="1" x14ac:dyDescent="0.35">
      <c r="C590" s="600" t="e">
        <f t="shared" si="23"/>
        <v>#REF!</v>
      </c>
      <c r="D590" s="601" t="s">
        <v>252</v>
      </c>
      <c r="E590" s="342"/>
      <c r="F590" s="342"/>
      <c r="G590" s="461"/>
      <c r="H590" s="461"/>
      <c r="I590" s="461"/>
      <c r="J590" s="461"/>
      <c r="K590" s="461"/>
      <c r="L590" s="461"/>
      <c r="M590" s="461"/>
      <c r="N590" s="461"/>
      <c r="O590" s="461"/>
      <c r="P590" s="461"/>
      <c r="Q590" s="461"/>
      <c r="R590" s="461"/>
      <c r="S590" s="461"/>
      <c r="T590" s="461"/>
      <c r="U590" s="461"/>
      <c r="V590" s="461"/>
      <c r="W590" s="342"/>
      <c r="X590" s="342"/>
      <c r="Y590" s="461"/>
      <c r="Z590" s="461"/>
      <c r="AA590" s="461"/>
      <c r="AB590" s="461"/>
      <c r="AC590" s="461"/>
      <c r="AD590" s="461"/>
      <c r="AE590" s="461"/>
      <c r="AF590" s="461"/>
      <c r="AG590" s="461"/>
      <c r="AH590" s="461"/>
      <c r="AI590" s="461"/>
      <c r="AJ590" s="461"/>
      <c r="AK590" s="461"/>
      <c r="AL590" s="461"/>
      <c r="AM590" s="461"/>
      <c r="AN590" s="461"/>
    </row>
    <row r="591" spans="3:40" ht="14.5" hidden="1" outlineLevel="1" x14ac:dyDescent="0.35">
      <c r="C591" s="600" t="e">
        <f t="shared" si="23"/>
        <v>#REF!</v>
      </c>
      <c r="D591" s="601" t="s">
        <v>252</v>
      </c>
      <c r="E591" s="342"/>
      <c r="F591" s="342"/>
      <c r="G591" s="461"/>
      <c r="H591" s="461"/>
      <c r="I591" s="461"/>
      <c r="J591" s="461"/>
      <c r="K591" s="461"/>
      <c r="L591" s="461"/>
      <c r="M591" s="461"/>
      <c r="N591" s="461"/>
      <c r="O591" s="461"/>
      <c r="P591" s="461"/>
      <c r="Q591" s="461"/>
      <c r="R591" s="461"/>
      <c r="S591" s="461"/>
      <c r="T591" s="461"/>
      <c r="U591" s="461"/>
      <c r="V591" s="461"/>
      <c r="W591" s="342"/>
      <c r="X591" s="342"/>
      <c r="Y591" s="461"/>
      <c r="Z591" s="461"/>
      <c r="AA591" s="461"/>
      <c r="AB591" s="461"/>
      <c r="AC591" s="461"/>
      <c r="AD591" s="461"/>
      <c r="AE591" s="461"/>
      <c r="AF591" s="461"/>
      <c r="AG591" s="461"/>
      <c r="AH591" s="461"/>
      <c r="AI591" s="461"/>
      <c r="AJ591" s="461"/>
      <c r="AK591" s="461"/>
      <c r="AL591" s="461"/>
      <c r="AM591" s="461"/>
      <c r="AN591" s="461"/>
    </row>
    <row r="592" spans="3:40" ht="14.5" hidden="1" outlineLevel="1" x14ac:dyDescent="0.35">
      <c r="C592" s="600" t="e">
        <f t="shared" si="23"/>
        <v>#REF!</v>
      </c>
      <c r="D592" s="601" t="s">
        <v>252</v>
      </c>
      <c r="E592" s="342"/>
      <c r="F592" s="342"/>
      <c r="G592" s="461"/>
      <c r="H592" s="461"/>
      <c r="I592" s="461"/>
      <c r="J592" s="461"/>
      <c r="K592" s="461"/>
      <c r="L592" s="461"/>
      <c r="M592" s="461"/>
      <c r="N592" s="461"/>
      <c r="O592" s="461"/>
      <c r="P592" s="461"/>
      <c r="Q592" s="461"/>
      <c r="R592" s="461"/>
      <c r="S592" s="461"/>
      <c r="T592" s="461"/>
      <c r="U592" s="461"/>
      <c r="V592" s="461"/>
      <c r="W592" s="342"/>
      <c r="X592" s="342"/>
      <c r="Y592" s="461"/>
      <c r="Z592" s="461"/>
      <c r="AA592" s="461"/>
      <c r="AB592" s="461"/>
      <c r="AC592" s="461"/>
      <c r="AD592" s="461"/>
      <c r="AE592" s="461"/>
      <c r="AF592" s="461"/>
      <c r="AG592" s="461"/>
      <c r="AH592" s="461"/>
      <c r="AI592" s="461"/>
      <c r="AJ592" s="461"/>
      <c r="AK592" s="461"/>
      <c r="AL592" s="461"/>
      <c r="AM592" s="461"/>
      <c r="AN592" s="461"/>
    </row>
    <row r="593" spans="3:40" ht="14.5" hidden="1" outlineLevel="1" x14ac:dyDescent="0.35">
      <c r="C593" s="600" t="e">
        <f t="shared" si="23"/>
        <v>#REF!</v>
      </c>
      <c r="D593" s="601" t="s">
        <v>252</v>
      </c>
      <c r="E593" s="342"/>
      <c r="F593" s="342"/>
      <c r="G593" s="461"/>
      <c r="H593" s="461"/>
      <c r="I593" s="461"/>
      <c r="J593" s="461"/>
      <c r="K593" s="461"/>
      <c r="L593" s="461"/>
      <c r="M593" s="461"/>
      <c r="N593" s="461"/>
      <c r="O593" s="461"/>
      <c r="P593" s="461"/>
      <c r="Q593" s="461"/>
      <c r="R593" s="461"/>
      <c r="S593" s="461"/>
      <c r="T593" s="461"/>
      <c r="U593" s="461"/>
      <c r="V593" s="461"/>
      <c r="W593" s="342"/>
      <c r="X593" s="342"/>
      <c r="Y593" s="461"/>
      <c r="Z593" s="461"/>
      <c r="AA593" s="461"/>
      <c r="AB593" s="461"/>
      <c r="AC593" s="461"/>
      <c r="AD593" s="461"/>
      <c r="AE593" s="461"/>
      <c r="AF593" s="461"/>
      <c r="AG593" s="461"/>
      <c r="AH593" s="461"/>
      <c r="AI593" s="461"/>
      <c r="AJ593" s="461"/>
      <c r="AK593" s="461"/>
      <c r="AL593" s="461"/>
      <c r="AM593" s="461"/>
      <c r="AN593" s="461"/>
    </row>
    <row r="594" spans="3:40" ht="14.5" hidden="1" outlineLevel="1" x14ac:dyDescent="0.35">
      <c r="C594" s="600" t="e">
        <f t="shared" si="23"/>
        <v>#REF!</v>
      </c>
      <c r="D594" s="601" t="s">
        <v>252</v>
      </c>
      <c r="E594" s="342"/>
      <c r="F594" s="342"/>
      <c r="G594" s="461"/>
      <c r="H594" s="461"/>
      <c r="I594" s="461"/>
      <c r="J594" s="461"/>
      <c r="K594" s="461"/>
      <c r="L594" s="461"/>
      <c r="M594" s="461"/>
      <c r="N594" s="461"/>
      <c r="O594" s="461"/>
      <c r="P594" s="461"/>
      <c r="Q594" s="461"/>
      <c r="R594" s="461"/>
      <c r="S594" s="461"/>
      <c r="T594" s="461"/>
      <c r="U594" s="461"/>
      <c r="V594" s="461"/>
      <c r="W594" s="342"/>
      <c r="X594" s="342"/>
      <c r="Y594" s="461"/>
      <c r="Z594" s="461"/>
      <c r="AA594" s="461"/>
      <c r="AB594" s="461"/>
      <c r="AC594" s="461"/>
      <c r="AD594" s="461"/>
      <c r="AE594" s="461"/>
      <c r="AF594" s="461"/>
      <c r="AG594" s="461"/>
      <c r="AH594" s="461"/>
      <c r="AI594" s="461"/>
      <c r="AJ594" s="461"/>
      <c r="AK594" s="461"/>
      <c r="AL594" s="461"/>
      <c r="AM594" s="461"/>
      <c r="AN594" s="461"/>
    </row>
    <row r="595" spans="3:40" ht="14.5" hidden="1" outlineLevel="1" x14ac:dyDescent="0.35">
      <c r="C595" s="600" t="e">
        <f t="shared" si="23"/>
        <v>#REF!</v>
      </c>
      <c r="D595" s="601" t="s">
        <v>252</v>
      </c>
      <c r="E595" s="342"/>
      <c r="F595" s="342"/>
      <c r="G595" s="461"/>
      <c r="H595" s="461"/>
      <c r="I595" s="461"/>
      <c r="J595" s="461"/>
      <c r="K595" s="461"/>
      <c r="L595" s="461"/>
      <c r="M595" s="461"/>
      <c r="N595" s="461"/>
      <c r="O595" s="461"/>
      <c r="P595" s="461"/>
      <c r="Q595" s="461"/>
      <c r="R595" s="461"/>
      <c r="S595" s="461"/>
      <c r="T595" s="461"/>
      <c r="U595" s="461"/>
      <c r="V595" s="461"/>
      <c r="W595" s="342"/>
      <c r="X595" s="342"/>
      <c r="Y595" s="461"/>
      <c r="Z595" s="461"/>
      <c r="AA595" s="461"/>
      <c r="AB595" s="461"/>
      <c r="AC595" s="461"/>
      <c r="AD595" s="461"/>
      <c r="AE595" s="461"/>
      <c r="AF595" s="461"/>
      <c r="AG595" s="461"/>
      <c r="AH595" s="461"/>
      <c r="AI595" s="461"/>
      <c r="AJ595" s="461"/>
      <c r="AK595" s="461"/>
      <c r="AL595" s="461"/>
      <c r="AM595" s="461"/>
      <c r="AN595" s="461"/>
    </row>
    <row r="596" spans="3:40" ht="14.5" hidden="1" outlineLevel="1" x14ac:dyDescent="0.35">
      <c r="C596" s="600" t="e">
        <f t="shared" si="23"/>
        <v>#REF!</v>
      </c>
      <c r="D596" s="601" t="s">
        <v>252</v>
      </c>
      <c r="E596" s="342"/>
      <c r="F596" s="342"/>
      <c r="G596" s="461"/>
      <c r="H596" s="461"/>
      <c r="I596" s="461"/>
      <c r="J596" s="461"/>
      <c r="K596" s="461"/>
      <c r="L596" s="461"/>
      <c r="M596" s="461"/>
      <c r="N596" s="461"/>
      <c r="O596" s="461"/>
      <c r="P596" s="461"/>
      <c r="Q596" s="461"/>
      <c r="R596" s="461"/>
      <c r="S596" s="461"/>
      <c r="T596" s="461"/>
      <c r="U596" s="461"/>
      <c r="V596" s="461"/>
      <c r="W596" s="342"/>
      <c r="X596" s="342"/>
      <c r="Y596" s="461"/>
      <c r="Z596" s="461"/>
      <c r="AA596" s="461"/>
      <c r="AB596" s="461"/>
      <c r="AC596" s="461"/>
      <c r="AD596" s="461"/>
      <c r="AE596" s="461"/>
      <c r="AF596" s="461"/>
      <c r="AG596" s="461"/>
      <c r="AH596" s="461"/>
      <c r="AI596" s="461"/>
      <c r="AJ596" s="461"/>
      <c r="AK596" s="461"/>
      <c r="AL596" s="461"/>
      <c r="AM596" s="461"/>
      <c r="AN596" s="461"/>
    </row>
    <row r="597" spans="3:40" ht="14.5" hidden="1" outlineLevel="1" x14ac:dyDescent="0.35">
      <c r="C597" s="600" t="e">
        <f t="shared" si="23"/>
        <v>#REF!</v>
      </c>
      <c r="D597" s="601" t="s">
        <v>252</v>
      </c>
      <c r="E597" s="342"/>
      <c r="F597" s="342"/>
      <c r="G597" s="461"/>
      <c r="H597" s="461"/>
      <c r="I597" s="461"/>
      <c r="J597" s="461"/>
      <c r="K597" s="461"/>
      <c r="L597" s="461"/>
      <c r="M597" s="461"/>
      <c r="N597" s="461"/>
      <c r="O597" s="461"/>
      <c r="P597" s="461"/>
      <c r="Q597" s="461"/>
      <c r="R597" s="461"/>
      <c r="S597" s="461"/>
      <c r="T597" s="461"/>
      <c r="U597" s="461"/>
      <c r="V597" s="461"/>
      <c r="W597" s="342"/>
      <c r="X597" s="342"/>
      <c r="Y597" s="461"/>
      <c r="Z597" s="461"/>
      <c r="AA597" s="461"/>
      <c r="AB597" s="461"/>
      <c r="AC597" s="461"/>
      <c r="AD597" s="461"/>
      <c r="AE597" s="461"/>
      <c r="AF597" s="461"/>
      <c r="AG597" s="461"/>
      <c r="AH597" s="461"/>
      <c r="AI597" s="461"/>
      <c r="AJ597" s="461"/>
      <c r="AK597" s="461"/>
      <c r="AL597" s="461"/>
      <c r="AM597" s="461"/>
      <c r="AN597" s="461"/>
    </row>
    <row r="598" spans="3:40" ht="14.5" hidden="1" outlineLevel="1" x14ac:dyDescent="0.35">
      <c r="C598" s="600" t="e">
        <f t="shared" si="23"/>
        <v>#REF!</v>
      </c>
      <c r="D598" s="601" t="s">
        <v>252</v>
      </c>
      <c r="E598" s="342"/>
      <c r="F598" s="342"/>
      <c r="G598" s="461"/>
      <c r="H598" s="461"/>
      <c r="I598" s="461"/>
      <c r="J598" s="461"/>
      <c r="K598" s="461"/>
      <c r="L598" s="461"/>
      <c r="M598" s="461"/>
      <c r="N598" s="461"/>
      <c r="O598" s="461"/>
      <c r="P598" s="461"/>
      <c r="Q598" s="461"/>
      <c r="R598" s="461"/>
      <c r="S598" s="461"/>
      <c r="T598" s="461"/>
      <c r="U598" s="461"/>
      <c r="V598" s="461"/>
      <c r="W598" s="342"/>
      <c r="X598" s="342"/>
      <c r="Y598" s="461"/>
      <c r="Z598" s="461"/>
      <c r="AA598" s="461"/>
      <c r="AB598" s="461"/>
      <c r="AC598" s="461"/>
      <c r="AD598" s="461"/>
      <c r="AE598" s="461"/>
      <c r="AF598" s="461"/>
      <c r="AG598" s="461"/>
      <c r="AH598" s="461"/>
      <c r="AI598" s="461"/>
      <c r="AJ598" s="461"/>
      <c r="AK598" s="461"/>
      <c r="AL598" s="461"/>
      <c r="AM598" s="461"/>
      <c r="AN598" s="461"/>
    </row>
    <row r="599" spans="3:40" ht="14.5" hidden="1" outlineLevel="1" x14ac:dyDescent="0.35">
      <c r="C599" s="600" t="e">
        <f t="shared" si="23"/>
        <v>#REF!</v>
      </c>
      <c r="D599" s="601" t="s">
        <v>252</v>
      </c>
      <c r="E599" s="342"/>
      <c r="F599" s="342"/>
      <c r="G599" s="461"/>
      <c r="H599" s="461"/>
      <c r="I599" s="461"/>
      <c r="J599" s="461"/>
      <c r="K599" s="461"/>
      <c r="L599" s="461"/>
      <c r="M599" s="461"/>
      <c r="N599" s="461"/>
      <c r="O599" s="461"/>
      <c r="P599" s="461"/>
      <c r="Q599" s="461"/>
      <c r="R599" s="461"/>
      <c r="S599" s="461"/>
      <c r="T599" s="461"/>
      <c r="U599" s="461"/>
      <c r="V599" s="461"/>
      <c r="W599" s="342"/>
      <c r="X599" s="342"/>
      <c r="Y599" s="461"/>
      <c r="Z599" s="461"/>
      <c r="AA599" s="461"/>
      <c r="AB599" s="461"/>
      <c r="AC599" s="461"/>
      <c r="AD599" s="461"/>
      <c r="AE599" s="461"/>
      <c r="AF599" s="461"/>
      <c r="AG599" s="461"/>
      <c r="AH599" s="461"/>
      <c r="AI599" s="461"/>
      <c r="AJ599" s="461"/>
      <c r="AK599" s="461"/>
      <c r="AL599" s="461"/>
      <c r="AM599" s="461"/>
      <c r="AN599" s="461"/>
    </row>
    <row r="600" spans="3:40" ht="14.5" hidden="1" outlineLevel="1" x14ac:dyDescent="0.35">
      <c r="C600" s="600" t="e">
        <f t="shared" si="23"/>
        <v>#REF!</v>
      </c>
      <c r="D600" s="601" t="s">
        <v>252</v>
      </c>
      <c r="E600" s="342"/>
      <c r="F600" s="342"/>
      <c r="G600" s="461"/>
      <c r="H600" s="461"/>
      <c r="I600" s="461"/>
      <c r="J600" s="461"/>
      <c r="K600" s="461"/>
      <c r="L600" s="461"/>
      <c r="M600" s="461"/>
      <c r="N600" s="461"/>
      <c r="O600" s="461"/>
      <c r="P600" s="461"/>
      <c r="Q600" s="461"/>
      <c r="R600" s="461"/>
      <c r="S600" s="461"/>
      <c r="T600" s="461"/>
      <c r="U600" s="461"/>
      <c r="V600" s="461"/>
      <c r="W600" s="342"/>
      <c r="X600" s="342"/>
      <c r="Y600" s="461"/>
      <c r="Z600" s="461"/>
      <c r="AA600" s="461"/>
      <c r="AB600" s="461"/>
      <c r="AC600" s="461"/>
      <c r="AD600" s="461"/>
      <c r="AE600" s="461"/>
      <c r="AF600" s="461"/>
      <c r="AG600" s="461"/>
      <c r="AH600" s="461"/>
      <c r="AI600" s="461"/>
      <c r="AJ600" s="461"/>
      <c r="AK600" s="461"/>
      <c r="AL600" s="461"/>
      <c r="AM600" s="461"/>
      <c r="AN600" s="461"/>
    </row>
    <row r="601" spans="3:40" ht="14.5" hidden="1" outlineLevel="1" x14ac:dyDescent="0.35">
      <c r="C601" s="600" t="e">
        <f t="shared" si="23"/>
        <v>#REF!</v>
      </c>
      <c r="D601" s="601" t="s">
        <v>252</v>
      </c>
      <c r="E601" s="342"/>
      <c r="F601" s="342"/>
      <c r="G601" s="461"/>
      <c r="H601" s="461"/>
      <c r="I601" s="461"/>
      <c r="J601" s="461"/>
      <c r="K601" s="461"/>
      <c r="L601" s="461"/>
      <c r="M601" s="461"/>
      <c r="N601" s="461"/>
      <c r="O601" s="461"/>
      <c r="P601" s="461"/>
      <c r="Q601" s="461"/>
      <c r="R601" s="461"/>
      <c r="S601" s="461"/>
      <c r="T601" s="461"/>
      <c r="U601" s="461"/>
      <c r="V601" s="461"/>
      <c r="W601" s="342"/>
      <c r="X601" s="342"/>
      <c r="Y601" s="461"/>
      <c r="Z601" s="461"/>
      <c r="AA601" s="461"/>
      <c r="AB601" s="461"/>
      <c r="AC601" s="461"/>
      <c r="AD601" s="461"/>
      <c r="AE601" s="461"/>
      <c r="AF601" s="461"/>
      <c r="AG601" s="461"/>
      <c r="AH601" s="461"/>
      <c r="AI601" s="461"/>
      <c r="AJ601" s="461"/>
      <c r="AK601" s="461"/>
      <c r="AL601" s="461"/>
      <c r="AM601" s="461"/>
      <c r="AN601" s="461"/>
    </row>
    <row r="602" spans="3:40" ht="14.5" hidden="1" outlineLevel="1" x14ac:dyDescent="0.35">
      <c r="C602" s="600" t="e">
        <f t="shared" si="23"/>
        <v>#REF!</v>
      </c>
      <c r="D602" s="601" t="s">
        <v>252</v>
      </c>
      <c r="E602" s="342"/>
      <c r="F602" s="342"/>
      <c r="G602" s="461"/>
      <c r="H602" s="461"/>
      <c r="I602" s="461"/>
      <c r="J602" s="461"/>
      <c r="K602" s="461"/>
      <c r="L602" s="461"/>
      <c r="M602" s="461"/>
      <c r="N602" s="461"/>
      <c r="O602" s="461"/>
      <c r="P602" s="461"/>
      <c r="Q602" s="461"/>
      <c r="R602" s="461"/>
      <c r="S602" s="461"/>
      <c r="T602" s="461"/>
      <c r="U602" s="461"/>
      <c r="V602" s="461"/>
      <c r="W602" s="342"/>
      <c r="X602" s="342"/>
      <c r="Y602" s="461"/>
      <c r="Z602" s="461"/>
      <c r="AA602" s="461"/>
      <c r="AB602" s="461"/>
      <c r="AC602" s="461"/>
      <c r="AD602" s="461"/>
      <c r="AE602" s="461"/>
      <c r="AF602" s="461"/>
      <c r="AG602" s="461"/>
      <c r="AH602" s="461"/>
      <c r="AI602" s="461"/>
      <c r="AJ602" s="461"/>
      <c r="AK602" s="461"/>
      <c r="AL602" s="461"/>
      <c r="AM602" s="461"/>
      <c r="AN602" s="461"/>
    </row>
    <row r="603" spans="3:40" ht="14.5" hidden="1" outlineLevel="1" x14ac:dyDescent="0.35">
      <c r="C603" s="600" t="e">
        <f t="shared" si="23"/>
        <v>#REF!</v>
      </c>
      <c r="D603" s="601" t="s">
        <v>252</v>
      </c>
      <c r="E603" s="342"/>
      <c r="F603" s="342"/>
      <c r="G603" s="461"/>
      <c r="H603" s="461"/>
      <c r="I603" s="461"/>
      <c r="J603" s="461"/>
      <c r="K603" s="461"/>
      <c r="L603" s="461"/>
      <c r="M603" s="461"/>
      <c r="N603" s="461"/>
      <c r="O603" s="461"/>
      <c r="P603" s="461"/>
      <c r="Q603" s="461"/>
      <c r="R603" s="461"/>
      <c r="S603" s="461"/>
      <c r="T603" s="461"/>
      <c r="U603" s="461"/>
      <c r="V603" s="461"/>
      <c r="W603" s="342"/>
      <c r="X603" s="342"/>
      <c r="Y603" s="461"/>
      <c r="Z603" s="461"/>
      <c r="AA603" s="461"/>
      <c r="AB603" s="461"/>
      <c r="AC603" s="461"/>
      <c r="AD603" s="461"/>
      <c r="AE603" s="461"/>
      <c r="AF603" s="461"/>
      <c r="AG603" s="461"/>
      <c r="AH603" s="461"/>
      <c r="AI603" s="461"/>
      <c r="AJ603" s="461"/>
      <c r="AK603" s="461"/>
      <c r="AL603" s="461"/>
      <c r="AM603" s="461"/>
      <c r="AN603" s="461"/>
    </row>
    <row r="604" spans="3:40" ht="14.5" hidden="1" outlineLevel="1" x14ac:dyDescent="0.35">
      <c r="C604" s="600" t="e">
        <f t="shared" si="23"/>
        <v>#REF!</v>
      </c>
      <c r="D604" s="601" t="s">
        <v>252</v>
      </c>
      <c r="E604" s="342"/>
      <c r="F604" s="342"/>
      <c r="G604" s="461"/>
      <c r="H604" s="461"/>
      <c r="I604" s="461"/>
      <c r="J604" s="461"/>
      <c r="K604" s="461"/>
      <c r="L604" s="461"/>
      <c r="M604" s="461"/>
      <c r="N604" s="461"/>
      <c r="O604" s="461"/>
      <c r="P604" s="461"/>
      <c r="Q604" s="461"/>
      <c r="R604" s="461"/>
      <c r="S604" s="461"/>
      <c r="T604" s="461"/>
      <c r="U604" s="461"/>
      <c r="V604" s="461"/>
      <c r="W604" s="342"/>
      <c r="X604" s="342"/>
      <c r="Y604" s="461"/>
      <c r="Z604" s="461"/>
      <c r="AA604" s="461"/>
      <c r="AB604" s="461"/>
      <c r="AC604" s="461"/>
      <c r="AD604" s="461"/>
      <c r="AE604" s="461"/>
      <c r="AF604" s="461"/>
      <c r="AG604" s="461"/>
      <c r="AH604" s="461"/>
      <c r="AI604" s="461"/>
      <c r="AJ604" s="461"/>
      <c r="AK604" s="461"/>
      <c r="AL604" s="461"/>
      <c r="AM604" s="461"/>
      <c r="AN604" s="461"/>
    </row>
    <row r="605" spans="3:40" ht="14.5" hidden="1" outlineLevel="1" x14ac:dyDescent="0.35">
      <c r="C605" s="600" t="e">
        <f t="shared" si="23"/>
        <v>#REF!</v>
      </c>
      <c r="D605" s="601" t="s">
        <v>252</v>
      </c>
      <c r="E605" s="342"/>
      <c r="F605" s="342"/>
      <c r="G605" s="461"/>
      <c r="H605" s="461"/>
      <c r="I605" s="461"/>
      <c r="J605" s="461"/>
      <c r="K605" s="461"/>
      <c r="L605" s="461"/>
      <c r="M605" s="461"/>
      <c r="N605" s="461"/>
      <c r="O605" s="461"/>
      <c r="P605" s="461"/>
      <c r="Q605" s="461"/>
      <c r="R605" s="461"/>
      <c r="S605" s="461"/>
      <c r="T605" s="461"/>
      <c r="U605" s="461"/>
      <c r="V605" s="461"/>
      <c r="W605" s="342"/>
      <c r="X605" s="342"/>
      <c r="Y605" s="461"/>
      <c r="Z605" s="461"/>
      <c r="AA605" s="461"/>
      <c r="AB605" s="461"/>
      <c r="AC605" s="461"/>
      <c r="AD605" s="461"/>
      <c r="AE605" s="461"/>
      <c r="AF605" s="461"/>
      <c r="AG605" s="461"/>
      <c r="AH605" s="461"/>
      <c r="AI605" s="461"/>
      <c r="AJ605" s="461"/>
      <c r="AK605" s="461"/>
      <c r="AL605" s="461"/>
      <c r="AM605" s="461"/>
      <c r="AN605" s="461"/>
    </row>
    <row r="606" spans="3:40" ht="14.5" hidden="1" outlineLevel="1" x14ac:dyDescent="0.35">
      <c r="C606" s="600" t="e">
        <f t="shared" si="23"/>
        <v>#REF!</v>
      </c>
      <c r="D606" s="601" t="s">
        <v>252</v>
      </c>
      <c r="E606" s="342"/>
      <c r="F606" s="342"/>
      <c r="G606" s="461"/>
      <c r="H606" s="461"/>
      <c r="I606" s="461"/>
      <c r="J606" s="461"/>
      <c r="K606" s="461"/>
      <c r="L606" s="461"/>
      <c r="M606" s="461"/>
      <c r="N606" s="461"/>
      <c r="O606" s="461"/>
      <c r="P606" s="461"/>
      <c r="Q606" s="461"/>
      <c r="R606" s="461"/>
      <c r="S606" s="461"/>
      <c r="T606" s="461"/>
      <c r="U606" s="461"/>
      <c r="V606" s="461"/>
      <c r="W606" s="342"/>
      <c r="X606" s="342"/>
      <c r="Y606" s="461"/>
      <c r="Z606" s="461"/>
      <c r="AA606" s="461"/>
      <c r="AB606" s="461"/>
      <c r="AC606" s="461"/>
      <c r="AD606" s="461"/>
      <c r="AE606" s="461"/>
      <c r="AF606" s="461"/>
      <c r="AG606" s="461"/>
      <c r="AH606" s="461"/>
      <c r="AI606" s="461"/>
      <c r="AJ606" s="461"/>
      <c r="AK606" s="461"/>
      <c r="AL606" s="461"/>
      <c r="AM606" s="461"/>
      <c r="AN606" s="461"/>
    </row>
    <row r="607" spans="3:40" ht="14.5" hidden="1" outlineLevel="1" x14ac:dyDescent="0.35">
      <c r="C607" s="600" t="e">
        <f t="shared" si="23"/>
        <v>#REF!</v>
      </c>
      <c r="D607" s="601" t="s">
        <v>252</v>
      </c>
      <c r="E607" s="342"/>
      <c r="F607" s="342"/>
      <c r="G607" s="461"/>
      <c r="H607" s="461"/>
      <c r="I607" s="461"/>
      <c r="J607" s="461"/>
      <c r="K607" s="461"/>
      <c r="L607" s="461"/>
      <c r="M607" s="461"/>
      <c r="N607" s="461"/>
      <c r="O607" s="461"/>
      <c r="P607" s="461"/>
      <c r="Q607" s="461"/>
      <c r="R607" s="461"/>
      <c r="S607" s="461"/>
      <c r="T607" s="461"/>
      <c r="U607" s="461"/>
      <c r="V607" s="461"/>
      <c r="W607" s="342"/>
      <c r="X607" s="342"/>
      <c r="Y607" s="461"/>
      <c r="Z607" s="461"/>
      <c r="AA607" s="461"/>
      <c r="AB607" s="461"/>
      <c r="AC607" s="461"/>
      <c r="AD607" s="461"/>
      <c r="AE607" s="461"/>
      <c r="AF607" s="461"/>
      <c r="AG607" s="461"/>
      <c r="AH607" s="461"/>
      <c r="AI607" s="461"/>
      <c r="AJ607" s="461"/>
      <c r="AK607" s="461"/>
      <c r="AL607" s="461"/>
      <c r="AM607" s="461"/>
      <c r="AN607" s="461"/>
    </row>
    <row r="608" spans="3:40" ht="14.5" hidden="1" outlineLevel="1" x14ac:dyDescent="0.35">
      <c r="C608" s="600" t="e">
        <f t="shared" si="23"/>
        <v>#REF!</v>
      </c>
      <c r="D608" s="601" t="s">
        <v>252</v>
      </c>
      <c r="E608" s="342"/>
      <c r="F608" s="342"/>
      <c r="G608" s="461"/>
      <c r="H608" s="461"/>
      <c r="I608" s="461"/>
      <c r="J608" s="461"/>
      <c r="K608" s="461"/>
      <c r="L608" s="461"/>
      <c r="M608" s="461"/>
      <c r="N608" s="461"/>
      <c r="O608" s="461"/>
      <c r="P608" s="461"/>
      <c r="Q608" s="461"/>
      <c r="R608" s="461"/>
      <c r="S608" s="461"/>
      <c r="T608" s="461"/>
      <c r="U608" s="461"/>
      <c r="V608" s="461"/>
      <c r="W608" s="342"/>
      <c r="X608" s="342"/>
      <c r="Y608" s="461"/>
      <c r="Z608" s="461"/>
      <c r="AA608" s="461"/>
      <c r="AB608" s="461"/>
      <c r="AC608" s="461"/>
      <c r="AD608" s="461"/>
      <c r="AE608" s="461"/>
      <c r="AF608" s="461"/>
      <c r="AG608" s="461"/>
      <c r="AH608" s="461"/>
      <c r="AI608" s="461"/>
      <c r="AJ608" s="461"/>
      <c r="AK608" s="461"/>
      <c r="AL608" s="461"/>
      <c r="AM608" s="461"/>
      <c r="AN608" s="461"/>
    </row>
    <row r="609" spans="3:40" ht="14.5" hidden="1" outlineLevel="1" x14ac:dyDescent="0.35">
      <c r="C609" s="600" t="e">
        <f t="shared" si="23"/>
        <v>#REF!</v>
      </c>
      <c r="D609" s="601" t="s">
        <v>252</v>
      </c>
      <c r="E609" s="342"/>
      <c r="F609" s="342"/>
      <c r="G609" s="461"/>
      <c r="H609" s="461"/>
      <c r="I609" s="461"/>
      <c r="J609" s="461"/>
      <c r="K609" s="461"/>
      <c r="L609" s="461"/>
      <c r="M609" s="461"/>
      <c r="N609" s="461"/>
      <c r="O609" s="461"/>
      <c r="P609" s="461"/>
      <c r="Q609" s="461"/>
      <c r="R609" s="461"/>
      <c r="S609" s="461"/>
      <c r="T609" s="461"/>
      <c r="U609" s="461"/>
      <c r="V609" s="461"/>
      <c r="W609" s="342"/>
      <c r="X609" s="342"/>
      <c r="Y609" s="461"/>
      <c r="Z609" s="461"/>
      <c r="AA609" s="461"/>
      <c r="AB609" s="461"/>
      <c r="AC609" s="461"/>
      <c r="AD609" s="461"/>
      <c r="AE609" s="461"/>
      <c r="AF609" s="461"/>
      <c r="AG609" s="461"/>
      <c r="AH609" s="461"/>
      <c r="AI609" s="461"/>
      <c r="AJ609" s="461"/>
      <c r="AK609" s="461"/>
      <c r="AL609" s="461"/>
      <c r="AM609" s="461"/>
      <c r="AN609" s="461"/>
    </row>
    <row r="610" spans="3:40" ht="14.5" hidden="1" outlineLevel="1" x14ac:dyDescent="0.35">
      <c r="C610" s="600" t="e">
        <f t="shared" si="23"/>
        <v>#REF!</v>
      </c>
      <c r="D610" s="601" t="s">
        <v>252</v>
      </c>
      <c r="E610" s="342"/>
      <c r="F610" s="342"/>
      <c r="G610" s="461"/>
      <c r="H610" s="461"/>
      <c r="I610" s="461"/>
      <c r="J610" s="461"/>
      <c r="K610" s="461"/>
      <c r="L610" s="461"/>
      <c r="M610" s="461"/>
      <c r="N610" s="461"/>
      <c r="O610" s="461"/>
      <c r="P610" s="461"/>
      <c r="Q610" s="461"/>
      <c r="R610" s="461"/>
      <c r="S610" s="461"/>
      <c r="T610" s="461"/>
      <c r="U610" s="461"/>
      <c r="V610" s="461"/>
      <c r="W610" s="342"/>
      <c r="X610" s="342"/>
      <c r="Y610" s="461"/>
      <c r="Z610" s="461"/>
      <c r="AA610" s="461"/>
      <c r="AB610" s="461"/>
      <c r="AC610" s="461"/>
      <c r="AD610" s="461"/>
      <c r="AE610" s="461"/>
      <c r="AF610" s="461"/>
      <c r="AG610" s="461"/>
      <c r="AH610" s="461"/>
      <c r="AI610" s="461"/>
      <c r="AJ610" s="461"/>
      <c r="AK610" s="461"/>
      <c r="AL610" s="461"/>
      <c r="AM610" s="461"/>
      <c r="AN610" s="461"/>
    </row>
    <row r="611" spans="3:40" ht="14.5" hidden="1" outlineLevel="1" x14ac:dyDescent="0.35">
      <c r="C611" s="600" t="e">
        <f t="shared" si="23"/>
        <v>#REF!</v>
      </c>
      <c r="D611" s="601" t="s">
        <v>252</v>
      </c>
      <c r="E611" s="342"/>
      <c r="F611" s="342"/>
      <c r="G611" s="461"/>
      <c r="H611" s="461"/>
      <c r="I611" s="461"/>
      <c r="J611" s="461"/>
      <c r="K611" s="461"/>
      <c r="L611" s="461"/>
      <c r="M611" s="461"/>
      <c r="N611" s="461"/>
      <c r="O611" s="461"/>
      <c r="P611" s="461"/>
      <c r="Q611" s="461"/>
      <c r="R611" s="461"/>
      <c r="S611" s="461"/>
      <c r="T611" s="461"/>
      <c r="U611" s="461"/>
      <c r="V611" s="461"/>
      <c r="W611" s="342"/>
      <c r="X611" s="342"/>
      <c r="Y611" s="461"/>
      <c r="Z611" s="461"/>
      <c r="AA611" s="461"/>
      <c r="AB611" s="461"/>
      <c r="AC611" s="461"/>
      <c r="AD611" s="461"/>
      <c r="AE611" s="461"/>
      <c r="AF611" s="461"/>
      <c r="AG611" s="461"/>
      <c r="AH611" s="461"/>
      <c r="AI611" s="461"/>
      <c r="AJ611" s="461"/>
      <c r="AK611" s="461"/>
      <c r="AL611" s="461"/>
      <c r="AM611" s="461"/>
      <c r="AN611" s="461"/>
    </row>
    <row r="612" spans="3:40" ht="14.5" hidden="1" outlineLevel="1" x14ac:dyDescent="0.35">
      <c r="C612" s="600" t="e">
        <f t="shared" si="23"/>
        <v>#REF!</v>
      </c>
      <c r="D612" s="601" t="s">
        <v>252</v>
      </c>
      <c r="E612" s="342"/>
      <c r="F612" s="342"/>
      <c r="G612" s="461"/>
      <c r="H612" s="461"/>
      <c r="I612" s="461"/>
      <c r="J612" s="461"/>
      <c r="K612" s="461"/>
      <c r="L612" s="461"/>
      <c r="M612" s="461"/>
      <c r="N612" s="461"/>
      <c r="O612" s="461"/>
      <c r="P612" s="461"/>
      <c r="Q612" s="461"/>
      <c r="R612" s="461"/>
      <c r="S612" s="461"/>
      <c r="T612" s="461"/>
      <c r="U612" s="461"/>
      <c r="V612" s="461"/>
      <c r="W612" s="342"/>
      <c r="X612" s="342"/>
      <c r="Y612" s="461"/>
      <c r="Z612" s="461"/>
      <c r="AA612" s="461"/>
      <c r="AB612" s="461"/>
      <c r="AC612" s="461"/>
      <c r="AD612" s="461"/>
      <c r="AE612" s="461"/>
      <c r="AF612" s="461"/>
      <c r="AG612" s="461"/>
      <c r="AH612" s="461"/>
      <c r="AI612" s="461"/>
      <c r="AJ612" s="461"/>
      <c r="AK612" s="461"/>
      <c r="AL612" s="461"/>
      <c r="AM612" s="461"/>
      <c r="AN612" s="461"/>
    </row>
    <row r="613" spans="3:40" ht="14.5" hidden="1" outlineLevel="1" x14ac:dyDescent="0.35">
      <c r="C613" s="600" t="e">
        <f t="shared" si="23"/>
        <v>#REF!</v>
      </c>
      <c r="D613" s="601" t="s">
        <v>252</v>
      </c>
      <c r="E613" s="342"/>
      <c r="F613" s="342"/>
      <c r="G613" s="461"/>
      <c r="H613" s="461"/>
      <c r="I613" s="461"/>
      <c r="J613" s="461"/>
      <c r="K613" s="461"/>
      <c r="L613" s="461"/>
      <c r="M613" s="461"/>
      <c r="N613" s="461"/>
      <c r="O613" s="461"/>
      <c r="P613" s="461"/>
      <c r="Q613" s="461"/>
      <c r="R613" s="461"/>
      <c r="S613" s="461"/>
      <c r="T613" s="461"/>
      <c r="U613" s="461"/>
      <c r="V613" s="461"/>
      <c r="W613" s="342"/>
      <c r="X613" s="342"/>
      <c r="Y613" s="461"/>
      <c r="Z613" s="461"/>
      <c r="AA613" s="461"/>
      <c r="AB613" s="461"/>
      <c r="AC613" s="461"/>
      <c r="AD613" s="461"/>
      <c r="AE613" s="461"/>
      <c r="AF613" s="461"/>
      <c r="AG613" s="461"/>
      <c r="AH613" s="461"/>
      <c r="AI613" s="461"/>
      <c r="AJ613" s="461"/>
      <c r="AK613" s="461"/>
      <c r="AL613" s="461"/>
      <c r="AM613" s="461"/>
      <c r="AN613" s="461"/>
    </row>
    <row r="614" spans="3:40" ht="14.5" hidden="1" outlineLevel="1" x14ac:dyDescent="0.35">
      <c r="C614" s="600" t="e">
        <f t="shared" si="23"/>
        <v>#REF!</v>
      </c>
      <c r="D614" s="601" t="s">
        <v>252</v>
      </c>
      <c r="E614" s="342"/>
      <c r="F614" s="342"/>
      <c r="G614" s="461"/>
      <c r="H614" s="461"/>
      <c r="I614" s="461"/>
      <c r="J614" s="461"/>
      <c r="K614" s="461"/>
      <c r="L614" s="461"/>
      <c r="M614" s="461"/>
      <c r="N614" s="461"/>
      <c r="O614" s="461"/>
      <c r="P614" s="461"/>
      <c r="Q614" s="461"/>
      <c r="R614" s="461"/>
      <c r="S614" s="461"/>
      <c r="T614" s="461"/>
      <c r="U614" s="461"/>
      <c r="V614" s="461"/>
      <c r="W614" s="342"/>
      <c r="X614" s="342"/>
      <c r="Y614" s="461"/>
      <c r="Z614" s="461"/>
      <c r="AA614" s="461"/>
      <c r="AB614" s="461"/>
      <c r="AC614" s="461"/>
      <c r="AD614" s="461"/>
      <c r="AE614" s="461"/>
      <c r="AF614" s="461"/>
      <c r="AG614" s="461"/>
      <c r="AH614" s="461"/>
      <c r="AI614" s="461"/>
      <c r="AJ614" s="461"/>
      <c r="AK614" s="461"/>
      <c r="AL614" s="461"/>
      <c r="AM614" s="461"/>
      <c r="AN614" s="461"/>
    </row>
    <row r="615" spans="3:40" ht="14.5" hidden="1" outlineLevel="1" x14ac:dyDescent="0.35">
      <c r="C615" s="600" t="e">
        <f t="shared" si="23"/>
        <v>#REF!</v>
      </c>
      <c r="D615" s="601" t="s">
        <v>252</v>
      </c>
      <c r="E615" s="342"/>
      <c r="F615" s="342"/>
      <c r="G615" s="461"/>
      <c r="H615" s="461"/>
      <c r="I615" s="461"/>
      <c r="J615" s="461"/>
      <c r="K615" s="461"/>
      <c r="L615" s="461"/>
      <c r="M615" s="461"/>
      <c r="N615" s="461"/>
      <c r="O615" s="461"/>
      <c r="P615" s="461"/>
      <c r="Q615" s="461"/>
      <c r="R615" s="461"/>
      <c r="S615" s="461"/>
      <c r="T615" s="461"/>
      <c r="U615" s="461"/>
      <c r="V615" s="461"/>
      <c r="W615" s="342"/>
      <c r="X615" s="342"/>
      <c r="Y615" s="461"/>
      <c r="Z615" s="461"/>
      <c r="AA615" s="461"/>
      <c r="AB615" s="461"/>
      <c r="AC615" s="461"/>
      <c r="AD615" s="461"/>
      <c r="AE615" s="461"/>
      <c r="AF615" s="461"/>
      <c r="AG615" s="461"/>
      <c r="AH615" s="461"/>
      <c r="AI615" s="461"/>
      <c r="AJ615" s="461"/>
      <c r="AK615" s="461"/>
      <c r="AL615" s="461"/>
      <c r="AM615" s="461"/>
      <c r="AN615" s="461"/>
    </row>
    <row r="616" spans="3:40" ht="14.5" hidden="1" outlineLevel="1" x14ac:dyDescent="0.35">
      <c r="C616" s="600" t="e">
        <f t="shared" si="23"/>
        <v>#REF!</v>
      </c>
      <c r="D616" s="601" t="s">
        <v>252</v>
      </c>
      <c r="E616" s="342"/>
      <c r="F616" s="342"/>
      <c r="G616" s="461"/>
      <c r="H616" s="461"/>
      <c r="I616" s="461"/>
      <c r="J616" s="461"/>
      <c r="K616" s="461"/>
      <c r="L616" s="461"/>
      <c r="M616" s="461"/>
      <c r="N616" s="461"/>
      <c r="O616" s="461"/>
      <c r="P616" s="461"/>
      <c r="Q616" s="461"/>
      <c r="R616" s="461"/>
      <c r="S616" s="461"/>
      <c r="T616" s="461"/>
      <c r="U616" s="461"/>
      <c r="V616" s="461"/>
      <c r="W616" s="342"/>
      <c r="X616" s="342"/>
      <c r="Y616" s="461"/>
      <c r="Z616" s="461"/>
      <c r="AA616" s="461"/>
      <c r="AB616" s="461"/>
      <c r="AC616" s="461"/>
      <c r="AD616" s="461"/>
      <c r="AE616" s="461"/>
      <c r="AF616" s="461"/>
      <c r="AG616" s="461"/>
      <c r="AH616" s="461"/>
      <c r="AI616" s="461"/>
      <c r="AJ616" s="461"/>
      <c r="AK616" s="461"/>
      <c r="AL616" s="461"/>
      <c r="AM616" s="461"/>
      <c r="AN616" s="461"/>
    </row>
    <row r="617" spans="3:40" ht="14.5" hidden="1" outlineLevel="1" x14ac:dyDescent="0.35">
      <c r="C617" s="600" t="e">
        <f t="shared" si="23"/>
        <v>#REF!</v>
      </c>
      <c r="D617" s="601" t="s">
        <v>252</v>
      </c>
      <c r="E617" s="342"/>
      <c r="F617" s="342"/>
      <c r="G617" s="461"/>
      <c r="H617" s="461"/>
      <c r="I617" s="461"/>
      <c r="J617" s="461"/>
      <c r="K617" s="461"/>
      <c r="L617" s="461"/>
      <c r="M617" s="461"/>
      <c r="N617" s="461"/>
      <c r="O617" s="461"/>
      <c r="P617" s="461"/>
      <c r="Q617" s="461"/>
      <c r="R617" s="461"/>
      <c r="S617" s="461"/>
      <c r="T617" s="461"/>
      <c r="U617" s="461"/>
      <c r="V617" s="461"/>
      <c r="W617" s="342"/>
      <c r="X617" s="342"/>
      <c r="Y617" s="461"/>
      <c r="Z617" s="461"/>
      <c r="AA617" s="461"/>
      <c r="AB617" s="461"/>
      <c r="AC617" s="461"/>
      <c r="AD617" s="461"/>
      <c r="AE617" s="461"/>
      <c r="AF617" s="461"/>
      <c r="AG617" s="461"/>
      <c r="AH617" s="461"/>
      <c r="AI617" s="461"/>
      <c r="AJ617" s="461"/>
      <c r="AK617" s="461"/>
      <c r="AL617" s="461"/>
      <c r="AM617" s="461"/>
      <c r="AN617" s="461"/>
    </row>
    <row r="618" spans="3:40" ht="14.5" hidden="1" outlineLevel="1" x14ac:dyDescent="0.35">
      <c r="C618" s="600" t="e">
        <f t="shared" si="23"/>
        <v>#REF!</v>
      </c>
      <c r="D618" s="601" t="s">
        <v>252</v>
      </c>
      <c r="E618" s="342"/>
      <c r="F618" s="342"/>
      <c r="G618" s="461"/>
      <c r="H618" s="461"/>
      <c r="I618" s="461"/>
      <c r="J618" s="461"/>
      <c r="K618" s="461"/>
      <c r="L618" s="461"/>
      <c r="M618" s="461"/>
      <c r="N618" s="461"/>
      <c r="O618" s="461"/>
      <c r="P618" s="461"/>
      <c r="Q618" s="461"/>
      <c r="R618" s="461"/>
      <c r="S618" s="461"/>
      <c r="T618" s="461"/>
      <c r="U618" s="461"/>
      <c r="V618" s="461"/>
      <c r="W618" s="342"/>
      <c r="X618" s="342"/>
      <c r="Y618" s="461"/>
      <c r="Z618" s="461"/>
      <c r="AA618" s="461"/>
      <c r="AB618" s="461"/>
      <c r="AC618" s="461"/>
      <c r="AD618" s="461"/>
      <c r="AE618" s="461"/>
      <c r="AF618" s="461"/>
      <c r="AG618" s="461"/>
      <c r="AH618" s="461"/>
      <c r="AI618" s="461"/>
      <c r="AJ618" s="461"/>
      <c r="AK618" s="461"/>
      <c r="AL618" s="461"/>
      <c r="AM618" s="461"/>
      <c r="AN618" s="461"/>
    </row>
    <row r="619" spans="3:40" ht="14.5" hidden="1" outlineLevel="1" x14ac:dyDescent="0.35">
      <c r="C619" s="600" t="e">
        <f t="shared" si="23"/>
        <v>#REF!</v>
      </c>
      <c r="D619" s="601" t="s">
        <v>252</v>
      </c>
      <c r="E619" s="342"/>
      <c r="F619" s="342"/>
      <c r="G619" s="461"/>
      <c r="H619" s="461"/>
      <c r="I619" s="461"/>
      <c r="J619" s="461"/>
      <c r="K619" s="461"/>
      <c r="L619" s="461"/>
      <c r="M619" s="461"/>
      <c r="N619" s="461"/>
      <c r="O619" s="461"/>
      <c r="P619" s="461"/>
      <c r="Q619" s="461"/>
      <c r="R619" s="461"/>
      <c r="S619" s="461"/>
      <c r="T619" s="461"/>
      <c r="U619" s="461"/>
      <c r="V619" s="461"/>
      <c r="W619" s="342"/>
      <c r="X619" s="342"/>
      <c r="Y619" s="461"/>
      <c r="Z619" s="461"/>
      <c r="AA619" s="461"/>
      <c r="AB619" s="461"/>
      <c r="AC619" s="461"/>
      <c r="AD619" s="461"/>
      <c r="AE619" s="461"/>
      <c r="AF619" s="461"/>
      <c r="AG619" s="461"/>
      <c r="AH619" s="461"/>
      <c r="AI619" s="461"/>
      <c r="AJ619" s="461"/>
      <c r="AK619" s="461"/>
      <c r="AL619" s="461"/>
      <c r="AM619" s="461"/>
      <c r="AN619" s="461"/>
    </row>
    <row r="620" spans="3:40" ht="14.5" hidden="1" outlineLevel="1" x14ac:dyDescent="0.35">
      <c r="C620" s="600" t="e">
        <f t="shared" si="23"/>
        <v>#REF!</v>
      </c>
      <c r="D620" s="601" t="s">
        <v>252</v>
      </c>
      <c r="E620" s="342"/>
      <c r="F620" s="342"/>
      <c r="G620" s="461"/>
      <c r="H620" s="461"/>
      <c r="I620" s="461"/>
      <c r="J620" s="461"/>
      <c r="K620" s="461"/>
      <c r="L620" s="461"/>
      <c r="M620" s="461"/>
      <c r="N620" s="461"/>
      <c r="O620" s="461"/>
      <c r="P620" s="461"/>
      <c r="Q620" s="461"/>
      <c r="R620" s="461"/>
      <c r="S620" s="461"/>
      <c r="T620" s="461"/>
      <c r="U620" s="461"/>
      <c r="V620" s="461"/>
      <c r="W620" s="342"/>
      <c r="X620" s="342"/>
      <c r="Y620" s="461"/>
      <c r="Z620" s="461"/>
      <c r="AA620" s="461"/>
      <c r="AB620" s="461"/>
      <c r="AC620" s="461"/>
      <c r="AD620" s="461"/>
      <c r="AE620" s="461"/>
      <c r="AF620" s="461"/>
      <c r="AG620" s="461"/>
      <c r="AH620" s="461"/>
      <c r="AI620" s="461"/>
      <c r="AJ620" s="461"/>
      <c r="AK620" s="461"/>
      <c r="AL620" s="461"/>
      <c r="AM620" s="461"/>
      <c r="AN620" s="461"/>
    </row>
    <row r="621" spans="3:40" ht="14.5" hidden="1" outlineLevel="1" x14ac:dyDescent="0.35">
      <c r="C621" s="600" t="e">
        <f t="shared" si="23"/>
        <v>#REF!</v>
      </c>
      <c r="D621" s="601" t="s">
        <v>252</v>
      </c>
      <c r="E621" s="342"/>
      <c r="F621" s="342"/>
      <c r="G621" s="461"/>
      <c r="H621" s="461"/>
      <c r="I621" s="461"/>
      <c r="J621" s="461"/>
      <c r="K621" s="461"/>
      <c r="L621" s="461"/>
      <c r="M621" s="461"/>
      <c r="N621" s="461"/>
      <c r="O621" s="461"/>
      <c r="P621" s="461"/>
      <c r="Q621" s="461"/>
      <c r="R621" s="461"/>
      <c r="S621" s="461"/>
      <c r="T621" s="461"/>
      <c r="U621" s="461"/>
      <c r="V621" s="461"/>
      <c r="W621" s="342"/>
      <c r="X621" s="342"/>
      <c r="Y621" s="461"/>
      <c r="Z621" s="461"/>
      <c r="AA621" s="461"/>
      <c r="AB621" s="461"/>
      <c r="AC621" s="461"/>
      <c r="AD621" s="461"/>
      <c r="AE621" s="461"/>
      <c r="AF621" s="461"/>
      <c r="AG621" s="461"/>
      <c r="AH621" s="461"/>
      <c r="AI621" s="461"/>
      <c r="AJ621" s="461"/>
      <c r="AK621" s="461"/>
      <c r="AL621" s="461"/>
      <c r="AM621" s="461"/>
      <c r="AN621" s="461"/>
    </row>
    <row r="622" spans="3:40" ht="14.5" hidden="1" outlineLevel="1" x14ac:dyDescent="0.35">
      <c r="C622" s="600" t="e">
        <f t="shared" si="23"/>
        <v>#REF!</v>
      </c>
      <c r="D622" s="601" t="s">
        <v>252</v>
      </c>
      <c r="E622" s="342"/>
      <c r="F622" s="342"/>
      <c r="G622" s="461"/>
      <c r="H622" s="461"/>
      <c r="I622" s="461"/>
      <c r="J622" s="461"/>
      <c r="K622" s="461"/>
      <c r="L622" s="461"/>
      <c r="M622" s="461"/>
      <c r="N622" s="461"/>
      <c r="O622" s="461"/>
      <c r="P622" s="461"/>
      <c r="Q622" s="461"/>
      <c r="R622" s="461"/>
      <c r="S622" s="461"/>
      <c r="T622" s="461"/>
      <c r="U622" s="461"/>
      <c r="V622" s="461"/>
      <c r="W622" s="342"/>
      <c r="X622" s="342"/>
      <c r="Y622" s="461"/>
      <c r="Z622" s="461"/>
      <c r="AA622" s="461"/>
      <c r="AB622" s="461"/>
      <c r="AC622" s="461"/>
      <c r="AD622" s="461"/>
      <c r="AE622" s="461"/>
      <c r="AF622" s="461"/>
      <c r="AG622" s="461"/>
      <c r="AH622" s="461"/>
      <c r="AI622" s="461"/>
      <c r="AJ622" s="461"/>
      <c r="AK622" s="461"/>
      <c r="AL622" s="461"/>
      <c r="AM622" s="461"/>
      <c r="AN622" s="461"/>
    </row>
    <row r="623" spans="3:40" ht="14.5" hidden="1" outlineLevel="1" x14ac:dyDescent="0.35">
      <c r="C623" s="600" t="e">
        <f t="shared" si="23"/>
        <v>#REF!</v>
      </c>
      <c r="D623" s="601" t="s">
        <v>252</v>
      </c>
      <c r="E623" s="342"/>
      <c r="F623" s="342"/>
      <c r="G623" s="461"/>
      <c r="H623" s="461"/>
      <c r="I623" s="461"/>
      <c r="J623" s="461"/>
      <c r="K623" s="461"/>
      <c r="L623" s="461"/>
      <c r="M623" s="461"/>
      <c r="N623" s="461"/>
      <c r="O623" s="461"/>
      <c r="P623" s="461"/>
      <c r="Q623" s="461"/>
      <c r="R623" s="461"/>
      <c r="S623" s="461"/>
      <c r="T623" s="461"/>
      <c r="U623" s="461"/>
      <c r="V623" s="461"/>
      <c r="W623" s="342"/>
      <c r="X623" s="342"/>
      <c r="Y623" s="461"/>
      <c r="Z623" s="461"/>
      <c r="AA623" s="461"/>
      <c r="AB623" s="461"/>
      <c r="AC623" s="461"/>
      <c r="AD623" s="461"/>
      <c r="AE623" s="461"/>
      <c r="AF623" s="461"/>
      <c r="AG623" s="461"/>
      <c r="AH623" s="461"/>
      <c r="AI623" s="461"/>
      <c r="AJ623" s="461"/>
      <c r="AK623" s="461"/>
      <c r="AL623" s="461"/>
      <c r="AM623" s="461"/>
      <c r="AN623" s="461"/>
    </row>
    <row r="624" spans="3:40" ht="14.5" hidden="1" outlineLevel="1" x14ac:dyDescent="0.35">
      <c r="C624" s="600" t="e">
        <f t="shared" si="23"/>
        <v>#REF!</v>
      </c>
      <c r="D624" s="601" t="s">
        <v>252</v>
      </c>
      <c r="E624" s="342"/>
      <c r="F624" s="342"/>
      <c r="G624" s="461"/>
      <c r="H624" s="461"/>
      <c r="I624" s="461"/>
      <c r="J624" s="461"/>
      <c r="K624" s="461"/>
      <c r="L624" s="461"/>
      <c r="M624" s="461"/>
      <c r="N624" s="461"/>
      <c r="O624" s="461"/>
      <c r="P624" s="461"/>
      <c r="Q624" s="461"/>
      <c r="R624" s="461"/>
      <c r="S624" s="461"/>
      <c r="T624" s="461"/>
      <c r="U624" s="461"/>
      <c r="V624" s="461"/>
      <c r="W624" s="342"/>
      <c r="X624" s="342"/>
      <c r="Y624" s="461"/>
      <c r="Z624" s="461"/>
      <c r="AA624" s="461"/>
      <c r="AB624" s="461"/>
      <c r="AC624" s="461"/>
      <c r="AD624" s="461"/>
      <c r="AE624" s="461"/>
      <c r="AF624" s="461"/>
      <c r="AG624" s="461"/>
      <c r="AH624" s="461"/>
      <c r="AI624" s="461"/>
      <c r="AJ624" s="461"/>
      <c r="AK624" s="461"/>
      <c r="AL624" s="461"/>
      <c r="AM624" s="461"/>
      <c r="AN624" s="461"/>
    </row>
    <row r="625" spans="3:40" ht="14.5" hidden="1" outlineLevel="1" x14ac:dyDescent="0.35">
      <c r="C625" s="600" t="e">
        <f t="shared" si="23"/>
        <v>#REF!</v>
      </c>
      <c r="D625" s="601" t="s">
        <v>252</v>
      </c>
      <c r="E625" s="342"/>
      <c r="F625" s="342"/>
      <c r="G625" s="461"/>
      <c r="H625" s="461"/>
      <c r="I625" s="461"/>
      <c r="J625" s="461"/>
      <c r="K625" s="461"/>
      <c r="L625" s="461"/>
      <c r="M625" s="461"/>
      <c r="N625" s="461"/>
      <c r="O625" s="461"/>
      <c r="P625" s="461"/>
      <c r="Q625" s="461"/>
      <c r="R625" s="461"/>
      <c r="S625" s="461"/>
      <c r="T625" s="461"/>
      <c r="U625" s="461"/>
      <c r="V625" s="461"/>
      <c r="W625" s="342"/>
      <c r="X625" s="342"/>
      <c r="Y625" s="461"/>
      <c r="Z625" s="461"/>
      <c r="AA625" s="461"/>
      <c r="AB625" s="461"/>
      <c r="AC625" s="461"/>
      <c r="AD625" s="461"/>
      <c r="AE625" s="461"/>
      <c r="AF625" s="461"/>
      <c r="AG625" s="461"/>
      <c r="AH625" s="461"/>
      <c r="AI625" s="461"/>
      <c r="AJ625" s="461"/>
      <c r="AK625" s="461"/>
      <c r="AL625" s="461"/>
      <c r="AM625" s="461"/>
      <c r="AN625" s="461"/>
    </row>
    <row r="626" spans="3:40" ht="14.5" hidden="1" outlineLevel="1" x14ac:dyDescent="0.35">
      <c r="C626" s="600" t="e">
        <f t="shared" si="23"/>
        <v>#REF!</v>
      </c>
      <c r="D626" s="601" t="s">
        <v>252</v>
      </c>
      <c r="E626" s="342"/>
      <c r="F626" s="342"/>
      <c r="G626" s="461"/>
      <c r="H626" s="461"/>
      <c r="I626" s="461"/>
      <c r="J626" s="461"/>
      <c r="K626" s="461"/>
      <c r="L626" s="461"/>
      <c r="M626" s="461"/>
      <c r="N626" s="461"/>
      <c r="O626" s="461"/>
      <c r="P626" s="461"/>
      <c r="Q626" s="461"/>
      <c r="R626" s="461"/>
      <c r="S626" s="461"/>
      <c r="T626" s="461"/>
      <c r="U626" s="461"/>
      <c r="V626" s="461"/>
      <c r="W626" s="342"/>
      <c r="X626" s="342"/>
      <c r="Y626" s="461"/>
      <c r="Z626" s="461"/>
      <c r="AA626" s="461"/>
      <c r="AB626" s="461"/>
      <c r="AC626" s="461"/>
      <c r="AD626" s="461"/>
      <c r="AE626" s="461"/>
      <c r="AF626" s="461"/>
      <c r="AG626" s="461"/>
      <c r="AH626" s="461"/>
      <c r="AI626" s="461"/>
      <c r="AJ626" s="461"/>
      <c r="AK626" s="461"/>
      <c r="AL626" s="461"/>
      <c r="AM626" s="461"/>
      <c r="AN626" s="461"/>
    </row>
    <row r="627" spans="3:40" ht="14.5" hidden="1" outlineLevel="1" x14ac:dyDescent="0.35">
      <c r="C627" s="600" t="e">
        <f t="shared" si="23"/>
        <v>#REF!</v>
      </c>
      <c r="D627" s="601" t="s">
        <v>252</v>
      </c>
      <c r="E627" s="342"/>
      <c r="F627" s="342"/>
      <c r="G627" s="461"/>
      <c r="H627" s="461"/>
      <c r="I627" s="461"/>
      <c r="J627" s="461"/>
      <c r="K627" s="461"/>
      <c r="L627" s="461"/>
      <c r="M627" s="461"/>
      <c r="N627" s="461"/>
      <c r="O627" s="461"/>
      <c r="P627" s="461"/>
      <c r="Q627" s="461"/>
      <c r="R627" s="461"/>
      <c r="S627" s="461"/>
      <c r="T627" s="461"/>
      <c r="U627" s="461"/>
      <c r="V627" s="461"/>
      <c r="W627" s="342"/>
      <c r="X627" s="342"/>
      <c r="Y627" s="461"/>
      <c r="Z627" s="461"/>
      <c r="AA627" s="461"/>
      <c r="AB627" s="461"/>
      <c r="AC627" s="461"/>
      <c r="AD627" s="461"/>
      <c r="AE627" s="461"/>
      <c r="AF627" s="461"/>
      <c r="AG627" s="461"/>
      <c r="AH627" s="461"/>
      <c r="AI627" s="461"/>
      <c r="AJ627" s="461"/>
      <c r="AK627" s="461"/>
      <c r="AL627" s="461"/>
      <c r="AM627" s="461"/>
      <c r="AN627" s="461"/>
    </row>
    <row r="628" spans="3:40" ht="14.5" hidden="1" outlineLevel="1" x14ac:dyDescent="0.35">
      <c r="C628" s="600" t="e">
        <f t="shared" si="23"/>
        <v>#REF!</v>
      </c>
      <c r="D628" s="601" t="s">
        <v>252</v>
      </c>
      <c r="E628" s="342"/>
      <c r="F628" s="342"/>
      <c r="G628" s="461"/>
      <c r="H628" s="461"/>
      <c r="I628" s="461"/>
      <c r="J628" s="461"/>
      <c r="K628" s="461"/>
      <c r="L628" s="461"/>
      <c r="M628" s="461"/>
      <c r="N628" s="461"/>
      <c r="O628" s="461"/>
      <c r="P628" s="461"/>
      <c r="Q628" s="461"/>
      <c r="R628" s="461"/>
      <c r="S628" s="461"/>
      <c r="T628" s="461"/>
      <c r="U628" s="461"/>
      <c r="V628" s="461"/>
      <c r="W628" s="342"/>
      <c r="X628" s="342"/>
      <c r="Y628" s="461"/>
      <c r="Z628" s="461"/>
      <c r="AA628" s="461"/>
      <c r="AB628" s="461"/>
      <c r="AC628" s="461"/>
      <c r="AD628" s="461"/>
      <c r="AE628" s="461"/>
      <c r="AF628" s="461"/>
      <c r="AG628" s="461"/>
      <c r="AH628" s="461"/>
      <c r="AI628" s="461"/>
      <c r="AJ628" s="461"/>
      <c r="AK628" s="461"/>
      <c r="AL628" s="461"/>
      <c r="AM628" s="461"/>
      <c r="AN628" s="461"/>
    </row>
    <row r="629" spans="3:40" ht="14.5" hidden="1" outlineLevel="1" x14ac:dyDescent="0.35">
      <c r="C629" s="600" t="e">
        <f t="shared" si="23"/>
        <v>#REF!</v>
      </c>
      <c r="D629" s="601" t="s">
        <v>252</v>
      </c>
      <c r="E629" s="342"/>
      <c r="F629" s="342"/>
      <c r="G629" s="461"/>
      <c r="H629" s="461"/>
      <c r="I629" s="461"/>
      <c r="J629" s="461"/>
      <c r="K629" s="461"/>
      <c r="L629" s="461"/>
      <c r="M629" s="461"/>
      <c r="N629" s="461"/>
      <c r="O629" s="461"/>
      <c r="P629" s="461"/>
      <c r="Q629" s="461"/>
      <c r="R629" s="461"/>
      <c r="S629" s="461"/>
      <c r="T629" s="461"/>
      <c r="U629" s="461"/>
      <c r="V629" s="461"/>
      <c r="W629" s="342"/>
      <c r="X629" s="342"/>
      <c r="Y629" s="461"/>
      <c r="Z629" s="461"/>
      <c r="AA629" s="461"/>
      <c r="AB629" s="461"/>
      <c r="AC629" s="461"/>
      <c r="AD629" s="461"/>
      <c r="AE629" s="461"/>
      <c r="AF629" s="461"/>
      <c r="AG629" s="461"/>
      <c r="AH629" s="461"/>
      <c r="AI629" s="461"/>
      <c r="AJ629" s="461"/>
      <c r="AK629" s="461"/>
      <c r="AL629" s="461"/>
      <c r="AM629" s="461"/>
      <c r="AN629" s="461"/>
    </row>
    <row r="630" spans="3:40" ht="14.5" hidden="1" outlineLevel="1" x14ac:dyDescent="0.35">
      <c r="C630" s="600" t="e">
        <f t="shared" si="23"/>
        <v>#REF!</v>
      </c>
      <c r="D630" s="601" t="s">
        <v>252</v>
      </c>
      <c r="E630" s="342"/>
      <c r="F630" s="342"/>
      <c r="G630" s="461"/>
      <c r="H630" s="461"/>
      <c r="I630" s="461"/>
      <c r="J630" s="461"/>
      <c r="K630" s="461"/>
      <c r="L630" s="461"/>
      <c r="M630" s="461"/>
      <c r="N630" s="461"/>
      <c r="O630" s="461"/>
      <c r="P630" s="461"/>
      <c r="Q630" s="461"/>
      <c r="R630" s="461"/>
      <c r="S630" s="461"/>
      <c r="T630" s="461"/>
      <c r="U630" s="461"/>
      <c r="V630" s="461"/>
      <c r="W630" s="342"/>
      <c r="X630" s="342"/>
      <c r="Y630" s="461"/>
      <c r="Z630" s="461"/>
      <c r="AA630" s="461"/>
      <c r="AB630" s="461"/>
      <c r="AC630" s="461"/>
      <c r="AD630" s="461"/>
      <c r="AE630" s="461"/>
      <c r="AF630" s="461"/>
      <c r="AG630" s="461"/>
      <c r="AH630" s="461"/>
      <c r="AI630" s="461"/>
      <c r="AJ630" s="461"/>
      <c r="AK630" s="461"/>
      <c r="AL630" s="461"/>
      <c r="AM630" s="461"/>
      <c r="AN630" s="461"/>
    </row>
    <row r="631" spans="3:40" ht="14.5" hidden="1" outlineLevel="1" x14ac:dyDescent="0.35">
      <c r="C631" s="600" t="e">
        <f t="shared" si="23"/>
        <v>#REF!</v>
      </c>
      <c r="D631" s="601" t="s">
        <v>252</v>
      </c>
      <c r="E631" s="342"/>
      <c r="F631" s="342"/>
      <c r="G631" s="461"/>
      <c r="H631" s="461"/>
      <c r="I631" s="461"/>
      <c r="J631" s="461"/>
      <c r="K631" s="461"/>
      <c r="L631" s="461"/>
      <c r="M631" s="461"/>
      <c r="N631" s="461"/>
      <c r="O631" s="461"/>
      <c r="P631" s="461"/>
      <c r="Q631" s="461"/>
      <c r="R631" s="461"/>
      <c r="S631" s="461"/>
      <c r="T631" s="461"/>
      <c r="U631" s="461"/>
      <c r="V631" s="461"/>
      <c r="W631" s="342"/>
      <c r="X631" s="342"/>
      <c r="Y631" s="461"/>
      <c r="Z631" s="461"/>
      <c r="AA631" s="461"/>
      <c r="AB631" s="461"/>
      <c r="AC631" s="461"/>
      <c r="AD631" s="461"/>
      <c r="AE631" s="461"/>
      <c r="AF631" s="461"/>
      <c r="AG631" s="461"/>
      <c r="AH631" s="461"/>
      <c r="AI631" s="461"/>
      <c r="AJ631" s="461"/>
      <c r="AK631" s="461"/>
      <c r="AL631" s="461"/>
      <c r="AM631" s="461"/>
      <c r="AN631" s="461"/>
    </row>
    <row r="632" spans="3:40" ht="14.5" hidden="1" outlineLevel="1" x14ac:dyDescent="0.35">
      <c r="C632" s="600" t="e">
        <f t="shared" si="23"/>
        <v>#REF!</v>
      </c>
      <c r="D632" s="601" t="s">
        <v>252</v>
      </c>
      <c r="E632" s="342"/>
      <c r="F632" s="342"/>
      <c r="G632" s="461"/>
      <c r="H632" s="461"/>
      <c r="I632" s="461"/>
      <c r="J632" s="461"/>
      <c r="K632" s="461"/>
      <c r="L632" s="461"/>
      <c r="M632" s="461"/>
      <c r="N632" s="461"/>
      <c r="O632" s="461"/>
      <c r="P632" s="461"/>
      <c r="Q632" s="461"/>
      <c r="R632" s="461"/>
      <c r="S632" s="461"/>
      <c r="T632" s="461"/>
      <c r="U632" s="461"/>
      <c r="V632" s="461"/>
      <c r="W632" s="342"/>
      <c r="X632" s="342"/>
      <c r="Y632" s="461"/>
      <c r="Z632" s="461"/>
      <c r="AA632" s="461"/>
      <c r="AB632" s="461"/>
      <c r="AC632" s="461"/>
      <c r="AD632" s="461"/>
      <c r="AE632" s="461"/>
      <c r="AF632" s="461"/>
      <c r="AG632" s="461"/>
      <c r="AH632" s="461"/>
      <c r="AI632" s="461"/>
      <c r="AJ632" s="461"/>
      <c r="AK632" s="461"/>
      <c r="AL632" s="461"/>
      <c r="AM632" s="461"/>
      <c r="AN632" s="461"/>
    </row>
    <row r="633" spans="3:40" ht="14.5" hidden="1" outlineLevel="1" x14ac:dyDescent="0.35">
      <c r="C633" s="600" t="e">
        <f t="shared" si="23"/>
        <v>#REF!</v>
      </c>
      <c r="D633" s="601" t="s">
        <v>252</v>
      </c>
      <c r="E633" s="342"/>
      <c r="F633" s="342"/>
      <c r="G633" s="461"/>
      <c r="H633" s="461"/>
      <c r="I633" s="461"/>
      <c r="J633" s="461"/>
      <c r="K633" s="461"/>
      <c r="L633" s="461"/>
      <c r="M633" s="461"/>
      <c r="N633" s="461"/>
      <c r="O633" s="461"/>
      <c r="P633" s="461"/>
      <c r="Q633" s="461"/>
      <c r="R633" s="461"/>
      <c r="S633" s="461"/>
      <c r="T633" s="461"/>
      <c r="U633" s="461"/>
      <c r="V633" s="461"/>
      <c r="W633" s="342"/>
      <c r="X633" s="342"/>
      <c r="Y633" s="461"/>
      <c r="Z633" s="461"/>
      <c r="AA633" s="461"/>
      <c r="AB633" s="461"/>
      <c r="AC633" s="461"/>
      <c r="AD633" s="461"/>
      <c r="AE633" s="461"/>
      <c r="AF633" s="461"/>
      <c r="AG633" s="461"/>
      <c r="AH633" s="461"/>
      <c r="AI633" s="461"/>
      <c r="AJ633" s="461"/>
      <c r="AK633" s="461"/>
      <c r="AL633" s="461"/>
      <c r="AM633" s="461"/>
      <c r="AN633" s="461"/>
    </row>
    <row r="634" spans="3:40" ht="14.5" hidden="1" outlineLevel="1" x14ac:dyDescent="0.35">
      <c r="C634" s="600" t="e">
        <f t="shared" si="23"/>
        <v>#REF!</v>
      </c>
      <c r="D634" s="601" t="s">
        <v>252</v>
      </c>
      <c r="E634" s="342"/>
      <c r="F634" s="342"/>
      <c r="G634" s="461"/>
      <c r="H634" s="461"/>
      <c r="I634" s="461"/>
      <c r="J634" s="461"/>
      <c r="K634" s="461"/>
      <c r="L634" s="461"/>
      <c r="M634" s="461"/>
      <c r="N634" s="461"/>
      <c r="O634" s="461"/>
      <c r="P634" s="461"/>
      <c r="Q634" s="461"/>
      <c r="R634" s="461"/>
      <c r="S634" s="461"/>
      <c r="T634" s="461"/>
      <c r="U634" s="461"/>
      <c r="V634" s="461"/>
      <c r="W634" s="342"/>
      <c r="X634" s="342"/>
      <c r="Y634" s="461"/>
      <c r="Z634" s="461"/>
      <c r="AA634" s="461"/>
      <c r="AB634" s="461"/>
      <c r="AC634" s="461"/>
      <c r="AD634" s="461"/>
      <c r="AE634" s="461"/>
      <c r="AF634" s="461"/>
      <c r="AG634" s="461"/>
      <c r="AH634" s="461"/>
      <c r="AI634" s="461"/>
      <c r="AJ634" s="461"/>
      <c r="AK634" s="461"/>
      <c r="AL634" s="461"/>
      <c r="AM634" s="461"/>
      <c r="AN634" s="461"/>
    </row>
    <row r="635" spans="3:40" ht="14.5" hidden="1" outlineLevel="1" x14ac:dyDescent="0.35">
      <c r="C635" s="600" t="e">
        <f t="shared" si="23"/>
        <v>#REF!</v>
      </c>
      <c r="D635" s="601" t="s">
        <v>252</v>
      </c>
      <c r="E635" s="342"/>
      <c r="F635" s="342"/>
      <c r="G635" s="461"/>
      <c r="H635" s="461"/>
      <c r="I635" s="461"/>
      <c r="J635" s="461"/>
      <c r="K635" s="461"/>
      <c r="L635" s="461"/>
      <c r="M635" s="461"/>
      <c r="N635" s="461"/>
      <c r="O635" s="461"/>
      <c r="P635" s="461"/>
      <c r="Q635" s="461"/>
      <c r="R635" s="461"/>
      <c r="S635" s="461"/>
      <c r="T635" s="461"/>
      <c r="U635" s="461"/>
      <c r="V635" s="461"/>
      <c r="W635" s="342"/>
      <c r="X635" s="342"/>
      <c r="Y635" s="461"/>
      <c r="Z635" s="461"/>
      <c r="AA635" s="461"/>
      <c r="AB635" s="461"/>
      <c r="AC635" s="461"/>
      <c r="AD635" s="461"/>
      <c r="AE635" s="461"/>
      <c r="AF635" s="461"/>
      <c r="AG635" s="461"/>
      <c r="AH635" s="461"/>
      <c r="AI635" s="461"/>
      <c r="AJ635" s="461"/>
      <c r="AK635" s="461"/>
      <c r="AL635" s="461"/>
      <c r="AM635" s="461"/>
      <c r="AN635" s="461"/>
    </row>
    <row r="636" spans="3:40" ht="14.5" hidden="1" outlineLevel="1" x14ac:dyDescent="0.35">
      <c r="C636" s="600" t="e">
        <f t="shared" si="23"/>
        <v>#REF!</v>
      </c>
      <c r="D636" s="601" t="s">
        <v>252</v>
      </c>
      <c r="E636" s="342"/>
      <c r="F636" s="342"/>
      <c r="G636" s="461"/>
      <c r="H636" s="461"/>
      <c r="I636" s="461"/>
      <c r="J636" s="461"/>
      <c r="K636" s="461"/>
      <c r="L636" s="461"/>
      <c r="M636" s="461"/>
      <c r="N636" s="461"/>
      <c r="O636" s="461"/>
      <c r="P636" s="461"/>
      <c r="Q636" s="461"/>
      <c r="R636" s="461"/>
      <c r="S636" s="461"/>
      <c r="T636" s="461"/>
      <c r="U636" s="461"/>
      <c r="V636" s="461"/>
      <c r="W636" s="342"/>
      <c r="X636" s="342"/>
      <c r="Y636" s="461"/>
      <c r="Z636" s="461"/>
      <c r="AA636" s="461"/>
      <c r="AB636" s="461"/>
      <c r="AC636" s="461"/>
      <c r="AD636" s="461"/>
      <c r="AE636" s="461"/>
      <c r="AF636" s="461"/>
      <c r="AG636" s="461"/>
      <c r="AH636" s="461"/>
      <c r="AI636" s="461"/>
      <c r="AJ636" s="461"/>
      <c r="AK636" s="461"/>
      <c r="AL636" s="461"/>
      <c r="AM636" s="461"/>
      <c r="AN636" s="461"/>
    </row>
    <row r="637" spans="3:40" ht="14.5" hidden="1" outlineLevel="1" x14ac:dyDescent="0.35">
      <c r="C637" s="600" t="e">
        <f t="shared" si="23"/>
        <v>#REF!</v>
      </c>
      <c r="D637" s="601" t="s">
        <v>252</v>
      </c>
      <c r="E637" s="342"/>
      <c r="F637" s="342"/>
      <c r="G637" s="461"/>
      <c r="H637" s="461"/>
      <c r="I637" s="461"/>
      <c r="J637" s="461"/>
      <c r="K637" s="461"/>
      <c r="L637" s="461"/>
      <c r="M637" s="461"/>
      <c r="N637" s="461"/>
      <c r="O637" s="461"/>
      <c r="P637" s="461"/>
      <c r="Q637" s="461"/>
      <c r="R637" s="461"/>
      <c r="S637" s="461"/>
      <c r="T637" s="461"/>
      <c r="U637" s="461"/>
      <c r="V637" s="461"/>
      <c r="W637" s="342"/>
      <c r="X637" s="342"/>
      <c r="Y637" s="461"/>
      <c r="Z637" s="461"/>
      <c r="AA637" s="461"/>
      <c r="AB637" s="461"/>
      <c r="AC637" s="461"/>
      <c r="AD637" s="461"/>
      <c r="AE637" s="461"/>
      <c r="AF637" s="461"/>
      <c r="AG637" s="461"/>
      <c r="AH637" s="461"/>
      <c r="AI637" s="461"/>
      <c r="AJ637" s="461"/>
      <c r="AK637" s="461"/>
      <c r="AL637" s="461"/>
      <c r="AM637" s="461"/>
      <c r="AN637" s="461"/>
    </row>
    <row r="638" spans="3:40" ht="14.5" hidden="1" outlineLevel="1" x14ac:dyDescent="0.35">
      <c r="C638" s="600" t="e">
        <f t="shared" si="23"/>
        <v>#REF!</v>
      </c>
      <c r="D638" s="601" t="s">
        <v>252</v>
      </c>
      <c r="E638" s="342"/>
      <c r="F638" s="342"/>
      <c r="G638" s="461"/>
      <c r="H638" s="461"/>
      <c r="I638" s="461"/>
      <c r="J638" s="461"/>
      <c r="K638" s="461"/>
      <c r="L638" s="461"/>
      <c r="M638" s="461"/>
      <c r="N638" s="461"/>
      <c r="O638" s="461"/>
      <c r="P638" s="461"/>
      <c r="Q638" s="461"/>
      <c r="R638" s="461"/>
      <c r="S638" s="461"/>
      <c r="T638" s="461"/>
      <c r="U638" s="461"/>
      <c r="V638" s="461"/>
      <c r="W638" s="342"/>
      <c r="X638" s="342"/>
      <c r="Y638" s="461"/>
      <c r="Z638" s="461"/>
      <c r="AA638" s="461"/>
      <c r="AB638" s="461"/>
      <c r="AC638" s="461"/>
      <c r="AD638" s="461"/>
      <c r="AE638" s="461"/>
      <c r="AF638" s="461"/>
      <c r="AG638" s="461"/>
      <c r="AH638" s="461"/>
      <c r="AI638" s="461"/>
      <c r="AJ638" s="461"/>
      <c r="AK638" s="461"/>
      <c r="AL638" s="461"/>
      <c r="AM638" s="461"/>
      <c r="AN638" s="461"/>
    </row>
    <row r="639" spans="3:40" ht="14.5" hidden="1" outlineLevel="1" x14ac:dyDescent="0.35">
      <c r="C639" s="600" t="e">
        <f t="shared" si="23"/>
        <v>#REF!</v>
      </c>
      <c r="D639" s="601" t="s">
        <v>252</v>
      </c>
      <c r="E639" s="342"/>
      <c r="F639" s="342"/>
      <c r="G639" s="461"/>
      <c r="H639" s="461"/>
      <c r="I639" s="461"/>
      <c r="J639" s="461"/>
      <c r="K639" s="461"/>
      <c r="L639" s="461"/>
      <c r="M639" s="461"/>
      <c r="N639" s="461"/>
      <c r="O639" s="461"/>
      <c r="P639" s="461"/>
      <c r="Q639" s="461"/>
      <c r="R639" s="461"/>
      <c r="S639" s="461"/>
      <c r="T639" s="461"/>
      <c r="U639" s="461"/>
      <c r="V639" s="461"/>
      <c r="W639" s="342"/>
      <c r="X639" s="342"/>
      <c r="Y639" s="461"/>
      <c r="Z639" s="461"/>
      <c r="AA639" s="461"/>
      <c r="AB639" s="461"/>
      <c r="AC639" s="461"/>
      <c r="AD639" s="461"/>
      <c r="AE639" s="461"/>
      <c r="AF639" s="461"/>
      <c r="AG639" s="461"/>
      <c r="AH639" s="461"/>
      <c r="AI639" s="461"/>
      <c r="AJ639" s="461"/>
      <c r="AK639" s="461"/>
      <c r="AL639" s="461"/>
      <c r="AM639" s="461"/>
      <c r="AN639" s="461"/>
    </row>
    <row r="640" spans="3:40" ht="14.5" hidden="1" outlineLevel="1" x14ac:dyDescent="0.35">
      <c r="C640" s="600" t="e">
        <f t="shared" si="23"/>
        <v>#REF!</v>
      </c>
      <c r="D640" s="601" t="s">
        <v>252</v>
      </c>
      <c r="E640" s="342"/>
      <c r="F640" s="342"/>
      <c r="G640" s="461"/>
      <c r="H640" s="461"/>
      <c r="I640" s="461"/>
      <c r="J640" s="461"/>
      <c r="K640" s="461"/>
      <c r="L640" s="461"/>
      <c r="M640" s="461"/>
      <c r="N640" s="461"/>
      <c r="O640" s="461"/>
      <c r="P640" s="461"/>
      <c r="Q640" s="461"/>
      <c r="R640" s="461"/>
      <c r="S640" s="461"/>
      <c r="T640" s="461"/>
      <c r="U640" s="461"/>
      <c r="V640" s="461"/>
      <c r="W640" s="342"/>
      <c r="X640" s="342"/>
      <c r="Y640" s="461"/>
      <c r="Z640" s="461"/>
      <c r="AA640" s="461"/>
      <c r="AB640" s="461"/>
      <c r="AC640" s="461"/>
      <c r="AD640" s="461"/>
      <c r="AE640" s="461"/>
      <c r="AF640" s="461"/>
      <c r="AG640" s="461"/>
      <c r="AH640" s="461"/>
      <c r="AI640" s="461"/>
      <c r="AJ640" s="461"/>
      <c r="AK640" s="461"/>
      <c r="AL640" s="461"/>
      <c r="AM640" s="461"/>
      <c r="AN640" s="461"/>
    </row>
    <row r="641" spans="1:92" ht="14.5" hidden="1" outlineLevel="1" x14ac:dyDescent="0.35">
      <c r="C641" s="600" t="e">
        <f t="shared" ref="C641:C649" si="24">1+C640</f>
        <v>#REF!</v>
      </c>
      <c r="D641" s="601" t="s">
        <v>252</v>
      </c>
      <c r="E641" s="342"/>
      <c r="F641" s="342"/>
      <c r="G641" s="461"/>
      <c r="H641" s="461"/>
      <c r="I641" s="461"/>
      <c r="J641" s="461"/>
      <c r="K641" s="461"/>
      <c r="L641" s="461"/>
      <c r="M641" s="461"/>
      <c r="N641" s="461"/>
      <c r="O641" s="461"/>
      <c r="P641" s="461"/>
      <c r="Q641" s="461"/>
      <c r="R641" s="461"/>
      <c r="S641" s="461"/>
      <c r="T641" s="461"/>
      <c r="U641" s="461"/>
      <c r="V641" s="461"/>
      <c r="W641" s="342"/>
      <c r="X641" s="342"/>
      <c r="Y641" s="461"/>
      <c r="Z641" s="461"/>
      <c r="AA641" s="461"/>
      <c r="AB641" s="461"/>
      <c r="AC641" s="461"/>
      <c r="AD641" s="461"/>
      <c r="AE641" s="461"/>
      <c r="AF641" s="461"/>
      <c r="AG641" s="461"/>
      <c r="AH641" s="461"/>
      <c r="AI641" s="461"/>
      <c r="AJ641" s="461"/>
      <c r="AK641" s="461"/>
      <c r="AL641" s="461"/>
      <c r="AM641" s="461"/>
      <c r="AN641" s="461"/>
    </row>
    <row r="642" spans="1:92" ht="14.5" hidden="1" outlineLevel="1" x14ac:dyDescent="0.35">
      <c r="C642" s="600" t="e">
        <f t="shared" si="24"/>
        <v>#REF!</v>
      </c>
      <c r="D642" s="601" t="s">
        <v>252</v>
      </c>
      <c r="E642" s="342"/>
      <c r="F642" s="342"/>
      <c r="G642" s="461"/>
      <c r="H642" s="461"/>
      <c r="I642" s="461"/>
      <c r="J642" s="461"/>
      <c r="K642" s="461"/>
      <c r="L642" s="461"/>
      <c r="M642" s="461"/>
      <c r="N642" s="461"/>
      <c r="O642" s="461"/>
      <c r="P642" s="461"/>
      <c r="Q642" s="461"/>
      <c r="R642" s="461"/>
      <c r="S642" s="461"/>
      <c r="T642" s="461"/>
      <c r="U642" s="461"/>
      <c r="V642" s="461"/>
      <c r="W642" s="342"/>
      <c r="X642" s="342"/>
      <c r="Y642" s="461"/>
      <c r="Z642" s="461"/>
      <c r="AA642" s="461"/>
      <c r="AB642" s="461"/>
      <c r="AC642" s="461"/>
      <c r="AD642" s="461"/>
      <c r="AE642" s="461"/>
      <c r="AF642" s="461"/>
      <c r="AG642" s="461"/>
      <c r="AH642" s="461"/>
      <c r="AI642" s="461"/>
      <c r="AJ642" s="461"/>
      <c r="AK642" s="461"/>
      <c r="AL642" s="461"/>
      <c r="AM642" s="461"/>
      <c r="AN642" s="461"/>
    </row>
    <row r="643" spans="1:92" ht="14.5" hidden="1" outlineLevel="1" x14ac:dyDescent="0.35">
      <c r="C643" s="600" t="e">
        <f t="shared" si="24"/>
        <v>#REF!</v>
      </c>
      <c r="D643" s="601" t="s">
        <v>252</v>
      </c>
      <c r="E643" s="342"/>
      <c r="F643" s="342"/>
      <c r="G643" s="461"/>
      <c r="H643" s="461"/>
      <c r="I643" s="461"/>
      <c r="J643" s="461"/>
      <c r="K643" s="461"/>
      <c r="L643" s="461"/>
      <c r="M643" s="461"/>
      <c r="N643" s="461"/>
      <c r="O643" s="461"/>
      <c r="P643" s="461"/>
      <c r="Q643" s="461"/>
      <c r="R643" s="461"/>
      <c r="S643" s="461"/>
      <c r="T643" s="461"/>
      <c r="U643" s="461"/>
      <c r="V643" s="461"/>
      <c r="W643" s="342"/>
      <c r="X643" s="342"/>
      <c r="Y643" s="461"/>
      <c r="Z643" s="461"/>
      <c r="AA643" s="461"/>
      <c r="AB643" s="461"/>
      <c r="AC643" s="461"/>
      <c r="AD643" s="461"/>
      <c r="AE643" s="461"/>
      <c r="AF643" s="461"/>
      <c r="AG643" s="461"/>
      <c r="AH643" s="461"/>
      <c r="AI643" s="461"/>
      <c r="AJ643" s="461"/>
      <c r="AK643" s="461"/>
      <c r="AL643" s="461"/>
      <c r="AM643" s="461"/>
      <c r="AN643" s="461"/>
    </row>
    <row r="644" spans="1:92" ht="14.5" hidden="1" outlineLevel="1" x14ac:dyDescent="0.35">
      <c r="C644" s="600" t="e">
        <f t="shared" si="24"/>
        <v>#REF!</v>
      </c>
      <c r="D644" s="601" t="s">
        <v>252</v>
      </c>
      <c r="E644" s="342"/>
      <c r="F644" s="342"/>
      <c r="G644" s="461"/>
      <c r="H644" s="461"/>
      <c r="I644" s="461"/>
      <c r="J644" s="461"/>
      <c r="K644" s="461"/>
      <c r="L644" s="461"/>
      <c r="M644" s="461"/>
      <c r="N644" s="461"/>
      <c r="O644" s="461"/>
      <c r="P644" s="461"/>
      <c r="Q644" s="461"/>
      <c r="R644" s="461"/>
      <c r="S644" s="461"/>
      <c r="T644" s="461"/>
      <c r="U644" s="461"/>
      <c r="V644" s="461"/>
      <c r="W644" s="342"/>
      <c r="X644" s="342"/>
      <c r="Y644" s="461"/>
      <c r="Z644" s="461"/>
      <c r="AA644" s="461"/>
      <c r="AB644" s="461"/>
      <c r="AC644" s="461"/>
      <c r="AD644" s="461"/>
      <c r="AE644" s="461"/>
      <c r="AF644" s="461"/>
      <c r="AG644" s="461"/>
      <c r="AH644" s="461"/>
      <c r="AI644" s="461"/>
      <c r="AJ644" s="461"/>
      <c r="AK644" s="461"/>
      <c r="AL644" s="461"/>
      <c r="AM644" s="461"/>
      <c r="AN644" s="461"/>
    </row>
    <row r="645" spans="1:92" ht="14.5" hidden="1" outlineLevel="1" x14ac:dyDescent="0.35">
      <c r="C645" s="600" t="e">
        <f t="shared" si="24"/>
        <v>#REF!</v>
      </c>
      <c r="D645" s="601" t="s">
        <v>252</v>
      </c>
      <c r="E645" s="342"/>
      <c r="F645" s="342"/>
      <c r="G645" s="461"/>
      <c r="H645" s="461"/>
      <c r="I645" s="461"/>
      <c r="J645" s="461"/>
      <c r="K645" s="461"/>
      <c r="L645" s="461"/>
      <c r="M645" s="461"/>
      <c r="N645" s="461"/>
      <c r="O645" s="461"/>
      <c r="P645" s="461"/>
      <c r="Q645" s="461"/>
      <c r="R645" s="461"/>
      <c r="S645" s="461"/>
      <c r="T645" s="461"/>
      <c r="U645" s="461"/>
      <c r="V645" s="461"/>
      <c r="W645" s="342"/>
      <c r="X645" s="342"/>
      <c r="Y645" s="461"/>
      <c r="Z645" s="461"/>
      <c r="AA645" s="461"/>
      <c r="AB645" s="461"/>
      <c r="AC645" s="461"/>
      <c r="AD645" s="461"/>
      <c r="AE645" s="461"/>
      <c r="AF645" s="461"/>
      <c r="AG645" s="461"/>
      <c r="AH645" s="461"/>
      <c r="AI645" s="461"/>
      <c r="AJ645" s="461"/>
      <c r="AK645" s="461"/>
      <c r="AL645" s="461"/>
      <c r="AM645" s="461"/>
      <c r="AN645" s="461"/>
    </row>
    <row r="646" spans="1:92" ht="14.5" hidden="1" outlineLevel="1" x14ac:dyDescent="0.35">
      <c r="C646" s="600" t="e">
        <f t="shared" si="24"/>
        <v>#REF!</v>
      </c>
      <c r="D646" s="601" t="s">
        <v>252</v>
      </c>
      <c r="E646" s="342"/>
      <c r="F646" s="342"/>
      <c r="G646" s="461"/>
      <c r="H646" s="461"/>
      <c r="I646" s="461"/>
      <c r="J646" s="461"/>
      <c r="K646" s="461"/>
      <c r="L646" s="461"/>
      <c r="M646" s="461"/>
      <c r="N646" s="461"/>
      <c r="O646" s="461"/>
      <c r="P646" s="461"/>
      <c r="Q646" s="461"/>
      <c r="R646" s="461"/>
      <c r="S646" s="461"/>
      <c r="T646" s="461"/>
      <c r="U646" s="461"/>
      <c r="V646" s="461"/>
      <c r="W646" s="342"/>
      <c r="X646" s="342"/>
      <c r="Y646" s="461"/>
      <c r="Z646" s="461"/>
      <c r="AA646" s="461"/>
      <c r="AB646" s="461"/>
      <c r="AC646" s="461"/>
      <c r="AD646" s="461"/>
      <c r="AE646" s="461"/>
      <c r="AF646" s="461"/>
      <c r="AG646" s="461"/>
      <c r="AH646" s="461"/>
      <c r="AI646" s="461"/>
      <c r="AJ646" s="461"/>
      <c r="AK646" s="461"/>
      <c r="AL646" s="461"/>
      <c r="AM646" s="461"/>
      <c r="AN646" s="461"/>
    </row>
    <row r="647" spans="1:92" ht="14.5" hidden="1" outlineLevel="1" x14ac:dyDescent="0.35">
      <c r="C647" s="600" t="e">
        <f t="shared" si="24"/>
        <v>#REF!</v>
      </c>
      <c r="D647" s="601" t="s">
        <v>252</v>
      </c>
      <c r="E647" s="342"/>
      <c r="F647" s="342"/>
      <c r="G647" s="461"/>
      <c r="H647" s="461"/>
      <c r="I647" s="461"/>
      <c r="J647" s="461"/>
      <c r="K647" s="461"/>
      <c r="L647" s="461"/>
      <c r="M647" s="461"/>
      <c r="N647" s="461"/>
      <c r="O647" s="461"/>
      <c r="P647" s="461"/>
      <c r="Q647" s="461"/>
      <c r="R647" s="461"/>
      <c r="S647" s="461"/>
      <c r="T647" s="461"/>
      <c r="U647" s="461"/>
      <c r="V647" s="461"/>
      <c r="W647" s="342"/>
      <c r="X647" s="342"/>
      <c r="Y647" s="461"/>
      <c r="Z647" s="461"/>
      <c r="AA647" s="461"/>
      <c r="AB647" s="461"/>
      <c r="AC647" s="461"/>
      <c r="AD647" s="461"/>
      <c r="AE647" s="461"/>
      <c r="AF647" s="461"/>
      <c r="AG647" s="461"/>
      <c r="AH647" s="461"/>
      <c r="AI647" s="461"/>
      <c r="AJ647" s="461"/>
      <c r="AK647" s="461"/>
      <c r="AL647" s="461"/>
      <c r="AM647" s="461"/>
      <c r="AN647" s="461"/>
    </row>
    <row r="648" spans="1:92" ht="14.5" hidden="1" outlineLevel="1" x14ac:dyDescent="0.35">
      <c r="C648" s="600" t="e">
        <f t="shared" si="24"/>
        <v>#REF!</v>
      </c>
      <c r="D648" s="601" t="s">
        <v>252</v>
      </c>
      <c r="E648" s="342"/>
      <c r="F648" s="342"/>
      <c r="G648" s="461"/>
      <c r="H648" s="461"/>
      <c r="I648" s="461"/>
      <c r="J648" s="461"/>
      <c r="K648" s="461"/>
      <c r="L648" s="461"/>
      <c r="M648" s="461"/>
      <c r="N648" s="461"/>
      <c r="O648" s="461"/>
      <c r="P648" s="461"/>
      <c r="Q648" s="461"/>
      <c r="R648" s="461"/>
      <c r="S648" s="461"/>
      <c r="T648" s="461"/>
      <c r="U648" s="461"/>
      <c r="V648" s="461"/>
      <c r="W648" s="342"/>
      <c r="X648" s="342"/>
      <c r="Y648" s="461"/>
      <c r="Z648" s="461"/>
      <c r="AA648" s="461"/>
      <c r="AB648" s="461"/>
      <c r="AC648" s="461"/>
      <c r="AD648" s="461"/>
      <c r="AE648" s="461"/>
      <c r="AF648" s="461"/>
      <c r="AG648" s="461"/>
      <c r="AH648" s="461"/>
      <c r="AI648" s="461"/>
      <c r="AJ648" s="461"/>
      <c r="AK648" s="461"/>
      <c r="AL648" s="461"/>
      <c r="AM648" s="461"/>
      <c r="AN648" s="461"/>
    </row>
    <row r="649" spans="1:92" ht="14.5" collapsed="1" x14ac:dyDescent="0.35">
      <c r="C649" s="600" t="e">
        <f t="shared" si="24"/>
        <v>#REF!</v>
      </c>
      <c r="D649" s="601" t="s">
        <v>252</v>
      </c>
      <c r="E649" s="342"/>
      <c r="F649" s="342"/>
      <c r="G649" s="461"/>
      <c r="H649" s="461"/>
      <c r="I649" s="461"/>
      <c r="J649" s="461"/>
      <c r="K649" s="461"/>
      <c r="L649" s="461"/>
      <c r="M649" s="461"/>
      <c r="N649" s="461"/>
      <c r="O649" s="461"/>
      <c r="P649" s="461"/>
      <c r="Q649" s="461"/>
      <c r="R649" s="461"/>
      <c r="S649" s="461"/>
      <c r="T649" s="461"/>
      <c r="U649" s="461"/>
      <c r="V649" s="461"/>
      <c r="W649" s="342"/>
      <c r="X649" s="342"/>
      <c r="Y649" s="461"/>
      <c r="Z649" s="461"/>
      <c r="AA649" s="461"/>
      <c r="AB649" s="461"/>
      <c r="AC649" s="461"/>
      <c r="AD649" s="461"/>
      <c r="AE649" s="461"/>
      <c r="AF649" s="461"/>
      <c r="AG649" s="461"/>
      <c r="AH649" s="461"/>
      <c r="AI649" s="461"/>
      <c r="AJ649" s="461"/>
      <c r="AK649" s="461"/>
      <c r="AL649" s="461"/>
      <c r="AM649" s="461"/>
      <c r="AN649" s="461"/>
    </row>
    <row r="650" spans="1:92" x14ac:dyDescent="0.25">
      <c r="C650" s="585"/>
      <c r="D650" s="625"/>
    </row>
    <row r="651" spans="1:92" x14ac:dyDescent="0.25">
      <c r="C651" s="585"/>
      <c r="D651" s="585" t="s">
        <v>365</v>
      </c>
    </row>
    <row r="652" spans="1:92" x14ac:dyDescent="0.25">
      <c r="C652" s="585"/>
      <c r="D652" s="587"/>
    </row>
    <row r="654" spans="1:92" ht="15.5" x14ac:dyDescent="0.25">
      <c r="A654" s="582" t="s">
        <v>425</v>
      </c>
      <c r="B654" s="582"/>
      <c r="C654" s="582" t="s">
        <v>400</v>
      </c>
      <c r="D654" s="582"/>
      <c r="E654" s="583"/>
      <c r="F654" s="583"/>
      <c r="G654" s="583"/>
      <c r="H654" s="583"/>
      <c r="I654" s="583"/>
      <c r="J654" s="583"/>
      <c r="K654" s="583"/>
      <c r="L654" s="583"/>
      <c r="M654" s="583"/>
      <c r="N654" s="583"/>
      <c r="O654" s="583"/>
      <c r="P654" s="583"/>
      <c r="Q654" s="583"/>
      <c r="R654" s="583"/>
      <c r="S654" s="583"/>
      <c r="T654" s="583"/>
      <c r="U654" s="583"/>
      <c r="V654" s="583"/>
      <c r="W654" s="583"/>
      <c r="X654" s="583"/>
      <c r="Y654" s="583"/>
      <c r="Z654" s="583"/>
      <c r="AA654" s="583"/>
      <c r="AB654" s="583"/>
      <c r="AC654" s="583"/>
      <c r="AD654" s="583"/>
      <c r="AE654" s="583"/>
      <c r="AF654" s="583"/>
      <c r="AG654" s="583"/>
      <c r="AH654" s="583"/>
      <c r="AI654" s="583"/>
      <c r="AJ654" s="583"/>
      <c r="AK654" s="583"/>
      <c r="AL654" s="583"/>
      <c r="AM654" s="583"/>
      <c r="AN654" s="583"/>
      <c r="AO654" s="583"/>
      <c r="AP654" s="583"/>
      <c r="AQ654" s="583"/>
      <c r="AR654" s="583"/>
      <c r="AS654" s="583"/>
      <c r="AT654" s="583"/>
      <c r="AU654" s="583"/>
      <c r="AV654" s="583"/>
      <c r="AW654" s="583"/>
      <c r="AX654" s="583"/>
      <c r="AY654" s="583"/>
      <c r="AZ654" s="583"/>
      <c r="BA654" s="583"/>
      <c r="BB654" s="583"/>
      <c r="BC654" s="583"/>
      <c r="BD654" s="583"/>
      <c r="BE654" s="583"/>
      <c r="BF654" s="583"/>
      <c r="BG654" s="583"/>
      <c r="BH654" s="583"/>
      <c r="BI654" s="583"/>
      <c r="BJ654" s="583"/>
      <c r="BK654" s="583"/>
      <c r="BL654" s="583"/>
      <c r="BM654" s="583"/>
      <c r="BN654" s="583"/>
      <c r="BO654" s="583"/>
      <c r="BP654" s="583"/>
      <c r="BQ654" s="583"/>
      <c r="BR654" s="583"/>
      <c r="BS654" s="583"/>
      <c r="BT654" s="583"/>
      <c r="BU654" s="583"/>
      <c r="BV654" s="583"/>
      <c r="BW654" s="583"/>
      <c r="BX654" s="583"/>
      <c r="BY654" s="583"/>
      <c r="BZ654" s="583"/>
      <c r="CA654" s="583"/>
      <c r="CB654" s="583"/>
      <c r="CC654" s="583"/>
      <c r="CD654" s="583"/>
      <c r="CE654" s="583"/>
      <c r="CF654" s="583"/>
      <c r="CG654" s="583"/>
      <c r="CH654" s="583"/>
      <c r="CI654" s="583"/>
      <c r="CJ654" s="583"/>
      <c r="CK654" s="583"/>
      <c r="CL654" s="583"/>
      <c r="CM654" s="583"/>
      <c r="CN654" s="583"/>
    </row>
  </sheetData>
  <autoFilter ref="C359:V480" xr:uid="{00000000-0009-0000-0000-000007000000}"/>
  <mergeCells count="24">
    <mergeCell ref="AF266:AL266"/>
    <mergeCell ref="G114:J114"/>
    <mergeCell ref="K114:L114"/>
    <mergeCell ref="N114:T114"/>
    <mergeCell ref="G229:J229"/>
    <mergeCell ref="K229:L229"/>
    <mergeCell ref="N229:T229"/>
    <mergeCell ref="G266:J266"/>
    <mergeCell ref="K266:L266"/>
    <mergeCell ref="N266:T266"/>
    <mergeCell ref="Y266:AB266"/>
    <mergeCell ref="AC266:AD266"/>
    <mergeCell ref="AF573:AL573"/>
    <mergeCell ref="G358:J358"/>
    <mergeCell ref="K358:L358"/>
    <mergeCell ref="N358:T358"/>
    <mergeCell ref="G486:J486"/>
    <mergeCell ref="K486:L486"/>
    <mergeCell ref="N486:T486"/>
    <mergeCell ref="G573:J573"/>
    <mergeCell ref="K573:L573"/>
    <mergeCell ref="N573:T573"/>
    <mergeCell ref="Y573:AB573"/>
    <mergeCell ref="AC573:AD573"/>
  </mergeCell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reamble2">
    <pageSetUpPr autoPageBreaks="0"/>
  </sheetPr>
  <dimension ref="A1:D15"/>
  <sheetViews>
    <sheetView showGridLines="0" defaultGridColor="0" colorId="22" zoomScale="70" zoomScaleNormal="70" zoomScaleSheetLayoutView="75" workbookViewId="0">
      <pane ySplit="15" topLeftCell="A16" activePane="bottomLeft" state="frozen"/>
      <selection pane="bottomLeft"/>
    </sheetView>
  </sheetViews>
  <sheetFormatPr baseColWidth="10" defaultColWidth="12.796875" defaultRowHeight="11.5" x14ac:dyDescent="0.25"/>
  <cols>
    <col min="1" max="1" width="16.59765625" style="60" customWidth="1"/>
    <col min="2" max="2" width="16.796875" style="61" customWidth="1"/>
    <col min="3" max="3" width="16.796875" style="60" customWidth="1"/>
    <col min="4" max="4" width="92.796875" style="66" customWidth="1"/>
  </cols>
  <sheetData>
    <row r="1" spans="1:4" s="80" customFormat="1" ht="33.75" customHeight="1" x14ac:dyDescent="0.25">
      <c r="C1" s="89" t="s">
        <v>148</v>
      </c>
    </row>
    <row r="2" spans="1:4" ht="12" customHeight="1" x14ac:dyDescent="0.25">
      <c r="A2"/>
      <c r="B2"/>
      <c r="C2"/>
      <c r="D2"/>
    </row>
    <row r="3" spans="1:4" s="2" customFormat="1" ht="18" x14ac:dyDescent="0.4">
      <c r="A3" s="62" t="s">
        <v>108</v>
      </c>
    </row>
    <row r="4" spans="1:4" ht="6" customHeight="1" x14ac:dyDescent="0.25">
      <c r="A4"/>
      <c r="B4"/>
      <c r="C4"/>
      <c r="D4"/>
    </row>
    <row r="5" spans="1:4" x14ac:dyDescent="0.25">
      <c r="A5" s="63" t="s">
        <v>101</v>
      </c>
      <c r="B5" s="66" t="str">
        <f>Workbook.Title</f>
        <v>Workbook Title</v>
      </c>
      <c r="C5"/>
      <c r="D5"/>
    </row>
    <row r="6" spans="1:4" x14ac:dyDescent="0.25">
      <c r="A6" s="63" t="s">
        <v>100</v>
      </c>
      <c r="B6" s="66" t="str">
        <f>Workbook.Objective</f>
        <v>Workbook Objective</v>
      </c>
      <c r="C6"/>
      <c r="D6"/>
    </row>
    <row r="7" spans="1:4" x14ac:dyDescent="0.25">
      <c r="A7"/>
      <c r="B7"/>
      <c r="C7"/>
      <c r="D7"/>
    </row>
    <row r="8" spans="1:4" x14ac:dyDescent="0.25">
      <c r="A8" s="63" t="s">
        <v>99</v>
      </c>
      <c r="B8" s="66" t="str">
        <f>Workbook.Version</f>
        <v>Workbook Version</v>
      </c>
      <c r="C8"/>
      <c r="D8"/>
    </row>
    <row r="9" spans="1:4" x14ac:dyDescent="0.25">
      <c r="A9" s="63" t="s">
        <v>2</v>
      </c>
      <c r="B9" s="66" t="str">
        <f>Workbook.Status</f>
        <v>Under construction</v>
      </c>
      <c r="C9"/>
      <c r="D9"/>
    </row>
    <row r="10" spans="1:4" x14ac:dyDescent="0.25">
      <c r="A10" s="63" t="s">
        <v>106</v>
      </c>
      <c r="B10" s="66" t="str">
        <f>Workbook.Author</f>
        <v>Workbook Author</v>
      </c>
      <c r="C10"/>
      <c r="D10"/>
    </row>
    <row r="11" spans="1:4" x14ac:dyDescent="0.25">
      <c r="A11" s="63" t="s">
        <v>117</v>
      </c>
      <c r="B11" s="66" t="str">
        <f>Workbook.Authors_Email_Address</f>
        <v>Workbook Author's Email Address</v>
      </c>
      <c r="C11"/>
      <c r="D11"/>
    </row>
    <row r="12" spans="1:4" x14ac:dyDescent="0.25">
      <c r="A12"/>
      <c r="B12"/>
      <c r="C12"/>
      <c r="D12"/>
    </row>
    <row r="13" spans="1:4" s="2" customFormat="1" ht="18" x14ac:dyDescent="0.4">
      <c r="A13" s="3" t="s">
        <v>112</v>
      </c>
    </row>
    <row r="14" spans="1:4" ht="6" customHeight="1" x14ac:dyDescent="0.25">
      <c r="A14"/>
      <c r="B14"/>
      <c r="C14"/>
      <c r="D14"/>
    </row>
    <row r="15" spans="1:4" ht="15.5" x14ac:dyDescent="0.35">
      <c r="A15" s="59" t="s">
        <v>99</v>
      </c>
      <c r="B15" s="59" t="s">
        <v>150</v>
      </c>
      <c r="C15" s="59" t="s">
        <v>106</v>
      </c>
      <c r="D15" s="4" t="s">
        <v>105</v>
      </c>
    </row>
  </sheetData>
  <phoneticPr fontId="0" type="noConversion"/>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reamble3">
    <outlinePr summaryBelow="0"/>
    <pageSetUpPr autoPageBreaks="0" fitToPage="1"/>
  </sheetPr>
  <dimension ref="A1:M145"/>
  <sheetViews>
    <sheetView showGridLines="0" defaultGridColor="0" colorId="22" zoomScale="70" zoomScaleNormal="70" workbookViewId="0">
      <pane ySplit="1" topLeftCell="A2" activePane="bottomLeft" state="frozen"/>
      <selection pane="bottomLeft" activeCell="B143" sqref="B143"/>
    </sheetView>
  </sheetViews>
  <sheetFormatPr baseColWidth="10" defaultColWidth="12.796875" defaultRowHeight="11.5" x14ac:dyDescent="0.25"/>
  <cols>
    <col min="1" max="1" width="2.796875" customWidth="1"/>
    <col min="2" max="2" width="26.59765625" customWidth="1"/>
  </cols>
  <sheetData>
    <row r="1" spans="1:13" s="77" customFormat="1" ht="33.75" customHeight="1" x14ac:dyDescent="0.25">
      <c r="C1" s="88" t="s">
        <v>147</v>
      </c>
    </row>
    <row r="2" spans="1:13" s="57" customFormat="1" ht="12" customHeight="1" x14ac:dyDescent="0.25"/>
    <row r="3" spans="1:13" x14ac:dyDescent="0.25">
      <c r="A3" s="26" t="s">
        <v>97</v>
      </c>
    </row>
    <row r="4" spans="1:13" x14ac:dyDescent="0.25">
      <c r="A4" s="47" t="s">
        <v>146</v>
      </c>
    </row>
    <row r="6" spans="1:13" ht="18" x14ac:dyDescent="0.25">
      <c r="A6" s="10" t="s">
        <v>85</v>
      </c>
    </row>
    <row r="7" spans="1:13" x14ac:dyDescent="0.25">
      <c r="A7" s="82" t="s">
        <v>86</v>
      </c>
      <c r="B7" s="46"/>
      <c r="C7" s="46"/>
      <c r="D7" s="46"/>
      <c r="E7" s="46"/>
    </row>
    <row r="8" spans="1:13" x14ac:dyDescent="0.25">
      <c r="A8" s="26" t="s">
        <v>141</v>
      </c>
    </row>
    <row r="10" spans="1:13" x14ac:dyDescent="0.25">
      <c r="B10" s="56" t="s">
        <v>25</v>
      </c>
      <c r="C10" s="11">
        <v>100</v>
      </c>
      <c r="D10" s="26" t="s">
        <v>4</v>
      </c>
      <c r="E10" t="s">
        <v>55</v>
      </c>
    </row>
    <row r="12" spans="1:13" x14ac:dyDescent="0.25">
      <c r="B12" s="7" t="s">
        <v>25</v>
      </c>
      <c r="C12" s="11">
        <v>250</v>
      </c>
      <c r="D12" s="26" t="s">
        <v>4</v>
      </c>
      <c r="E12" s="52" t="s">
        <v>71</v>
      </c>
      <c r="F12" s="52"/>
      <c r="G12" s="52"/>
      <c r="H12" s="52"/>
      <c r="I12" s="52"/>
      <c r="J12" s="52"/>
      <c r="K12" s="52"/>
    </row>
    <row r="13" spans="1:13" hidden="1" x14ac:dyDescent="0.25">
      <c r="B13" s="6" t="s">
        <v>73</v>
      </c>
      <c r="C13" s="5">
        <v>100</v>
      </c>
    </row>
    <row r="14" spans="1:13" hidden="1" x14ac:dyDescent="0.25">
      <c r="B14" s="6" t="s">
        <v>74</v>
      </c>
      <c r="C14" s="5">
        <v>300</v>
      </c>
    </row>
    <row r="16" spans="1:13" x14ac:dyDescent="0.25">
      <c r="B16" s="7" t="s">
        <v>25</v>
      </c>
      <c r="C16" s="11">
        <v>300</v>
      </c>
      <c r="D16" s="26" t="s">
        <v>4</v>
      </c>
      <c r="E16" s="52" t="s">
        <v>75</v>
      </c>
      <c r="F16" s="52"/>
      <c r="G16" s="52"/>
      <c r="H16" s="52"/>
      <c r="I16" s="52"/>
      <c r="J16" s="52"/>
      <c r="K16" s="52"/>
      <c r="L16" s="52"/>
      <c r="M16" s="52"/>
    </row>
    <row r="17" spans="2:5" hidden="1" x14ac:dyDescent="0.25">
      <c r="B17" s="6" t="s">
        <v>72</v>
      </c>
      <c r="C17" s="5">
        <v>100</v>
      </c>
    </row>
    <row r="18" spans="2:5" hidden="1" x14ac:dyDescent="0.25">
      <c r="C18" s="5">
        <v>200</v>
      </c>
    </row>
    <row r="19" spans="2:5" hidden="1" x14ac:dyDescent="0.25">
      <c r="C19" s="5">
        <v>300</v>
      </c>
    </row>
    <row r="21" spans="2:5" x14ac:dyDescent="0.25">
      <c r="B21" s="7" t="s">
        <v>26</v>
      </c>
      <c r="C21" s="13">
        <v>100</v>
      </c>
      <c r="D21" s="26" t="s">
        <v>4</v>
      </c>
      <c r="E21" t="s">
        <v>54</v>
      </c>
    </row>
    <row r="23" spans="2:5" x14ac:dyDescent="0.25">
      <c r="B23" s="7" t="s">
        <v>81</v>
      </c>
      <c r="C23" s="55">
        <v>100</v>
      </c>
      <c r="D23" s="26" t="s">
        <v>4</v>
      </c>
      <c r="E23" t="s">
        <v>82</v>
      </c>
    </row>
    <row r="25" spans="2:5" x14ac:dyDescent="0.25">
      <c r="B25" s="7" t="s">
        <v>27</v>
      </c>
      <c r="C25" s="12">
        <v>100</v>
      </c>
      <c r="D25" s="26" t="s">
        <v>5</v>
      </c>
      <c r="E25" t="s">
        <v>155</v>
      </c>
    </row>
    <row r="27" spans="2:5" x14ac:dyDescent="0.25">
      <c r="B27" s="7" t="s">
        <v>28</v>
      </c>
      <c r="C27" s="14">
        <v>100</v>
      </c>
      <c r="D27" s="26" t="s">
        <v>5</v>
      </c>
      <c r="E27" t="s">
        <v>144</v>
      </c>
    </row>
    <row r="29" spans="2:5" ht="12" customHeight="1" x14ac:dyDescent="0.25">
      <c r="B29" s="7" t="s">
        <v>143</v>
      </c>
      <c r="C29" s="81">
        <v>100</v>
      </c>
      <c r="D29" s="26" t="s">
        <v>5</v>
      </c>
      <c r="E29" t="s">
        <v>145</v>
      </c>
    </row>
    <row r="31" spans="2:5" ht="12" customHeight="1" x14ac:dyDescent="0.25">
      <c r="B31" s="7" t="s">
        <v>122</v>
      </c>
      <c r="C31" s="70">
        <v>100</v>
      </c>
      <c r="D31" s="26" t="s">
        <v>5</v>
      </c>
      <c r="E31" t="s">
        <v>123</v>
      </c>
    </row>
    <row r="33" spans="1:11" ht="18" x14ac:dyDescent="0.25">
      <c r="A33" s="10" t="s">
        <v>87</v>
      </c>
    </row>
    <row r="34" spans="1:11" x14ac:dyDescent="0.25">
      <c r="A34" s="82" t="s">
        <v>88</v>
      </c>
      <c r="B34" s="46"/>
      <c r="C34" s="46"/>
      <c r="D34" s="46"/>
      <c r="E34" s="46"/>
    </row>
    <row r="35" spans="1:11" x14ac:dyDescent="0.25">
      <c r="A35" s="26" t="s">
        <v>142</v>
      </c>
    </row>
    <row r="37" spans="1:11" x14ac:dyDescent="0.25">
      <c r="B37" s="7" t="s">
        <v>6</v>
      </c>
      <c r="C37" s="15">
        <v>100</v>
      </c>
      <c r="D37" s="26" t="s">
        <v>5</v>
      </c>
      <c r="E37" t="s">
        <v>53</v>
      </c>
    </row>
    <row r="38" spans="1:11" x14ac:dyDescent="0.25">
      <c r="C38" s="15"/>
    </row>
    <row r="39" spans="1:11" x14ac:dyDescent="0.25">
      <c r="B39" s="7" t="s">
        <v>94</v>
      </c>
      <c r="C39" s="71">
        <v>123.45</v>
      </c>
      <c r="E39" t="s">
        <v>57</v>
      </c>
    </row>
    <row r="41" spans="1:11" ht="12" x14ac:dyDescent="0.25">
      <c r="B41" s="7" t="s">
        <v>124</v>
      </c>
      <c r="C41" s="67">
        <v>0</v>
      </c>
      <c r="D41" s="26" t="s">
        <v>5</v>
      </c>
      <c r="E41" t="s">
        <v>56</v>
      </c>
      <c r="F41" s="52"/>
      <c r="G41" s="52"/>
      <c r="H41" s="52"/>
      <c r="I41" s="52"/>
      <c r="J41" s="52"/>
      <c r="K41" s="52"/>
    </row>
    <row r="43" spans="1:11" ht="12" x14ac:dyDescent="0.25">
      <c r="B43" s="7" t="s">
        <v>124</v>
      </c>
      <c r="C43" s="67">
        <v>0.1</v>
      </c>
      <c r="D43" s="26" t="s">
        <v>5</v>
      </c>
      <c r="E43" s="52" t="s">
        <v>151</v>
      </c>
      <c r="F43" s="52"/>
      <c r="G43" s="52"/>
      <c r="H43" s="52"/>
      <c r="I43" s="52"/>
      <c r="J43" s="52"/>
      <c r="K43" s="52"/>
    </row>
    <row r="45" spans="1:11" x14ac:dyDescent="0.25">
      <c r="B45" s="7" t="s">
        <v>7</v>
      </c>
      <c r="C45" s="16">
        <v>100</v>
      </c>
      <c r="E45" t="s">
        <v>16</v>
      </c>
    </row>
    <row r="47" spans="1:11" ht="12" x14ac:dyDescent="0.25">
      <c r="B47" s="7" t="s">
        <v>34</v>
      </c>
      <c r="C47" s="42" t="s">
        <v>34</v>
      </c>
      <c r="D47" s="26" t="s">
        <v>5</v>
      </c>
      <c r="E47" t="s">
        <v>152</v>
      </c>
    </row>
    <row r="49" spans="1:10" x14ac:dyDescent="0.25">
      <c r="B49" s="7" t="s">
        <v>35</v>
      </c>
      <c r="C49" s="43" t="s">
        <v>35</v>
      </c>
      <c r="E49" t="s">
        <v>89</v>
      </c>
    </row>
    <row r="51" spans="1:10" x14ac:dyDescent="0.25">
      <c r="B51" s="7" t="s">
        <v>8</v>
      </c>
      <c r="C51" s="17">
        <v>100</v>
      </c>
      <c r="E51" t="s">
        <v>9</v>
      </c>
    </row>
    <row r="52" spans="1:10" x14ac:dyDescent="0.25">
      <c r="B52" s="7"/>
    </row>
    <row r="53" spans="1:10" x14ac:dyDescent="0.25">
      <c r="B53" s="7" t="s">
        <v>76</v>
      </c>
      <c r="C53" s="53">
        <v>100</v>
      </c>
      <c r="E53" t="s">
        <v>77</v>
      </c>
    </row>
    <row r="55" spans="1:10" ht="18" x14ac:dyDescent="0.25">
      <c r="A55" s="10" t="s">
        <v>45</v>
      </c>
    </row>
    <row r="56" spans="1:10" x14ac:dyDescent="0.25">
      <c r="A56" s="82" t="s">
        <v>51</v>
      </c>
      <c r="B56" s="46"/>
      <c r="C56" s="46"/>
      <c r="D56" s="46"/>
      <c r="E56" s="46"/>
    </row>
    <row r="57" spans="1:10" x14ac:dyDescent="0.25">
      <c r="A57" s="26" t="s">
        <v>78</v>
      </c>
    </row>
    <row r="58" spans="1:10" x14ac:dyDescent="0.25">
      <c r="A58" s="26" t="s">
        <v>80</v>
      </c>
    </row>
    <row r="60" spans="1:10" ht="23" x14ac:dyDescent="0.25">
      <c r="B60" s="1"/>
      <c r="C60" s="1" t="s">
        <v>11</v>
      </c>
      <c r="D60" s="1" t="s">
        <v>19</v>
      </c>
      <c r="E60" s="1" t="s">
        <v>13</v>
      </c>
      <c r="F60" s="1" t="s">
        <v>14</v>
      </c>
      <c r="G60" s="1" t="s">
        <v>12</v>
      </c>
      <c r="H60" s="1" t="s">
        <v>20</v>
      </c>
      <c r="I60" s="1" t="s">
        <v>17</v>
      </c>
      <c r="J60" s="1" t="s">
        <v>18</v>
      </c>
    </row>
    <row r="61" spans="1:10" x14ac:dyDescent="0.25">
      <c r="B61" s="7" t="s">
        <v>58</v>
      </c>
      <c r="C61" s="5">
        <v>1234.56</v>
      </c>
      <c r="D61" s="18">
        <v>123.45</v>
      </c>
      <c r="E61" s="50">
        <v>0.1234</v>
      </c>
      <c r="F61" s="51">
        <v>0.1234</v>
      </c>
      <c r="G61" s="19">
        <v>1234.56</v>
      </c>
      <c r="H61" s="20">
        <v>123.45</v>
      </c>
      <c r="I61" s="48">
        <v>1234.56</v>
      </c>
      <c r="J61" s="49">
        <v>0.1234</v>
      </c>
    </row>
    <row r="62" spans="1:10" x14ac:dyDescent="0.25">
      <c r="B62" s="7" t="s">
        <v>59</v>
      </c>
      <c r="C62" s="5">
        <v>-1234.56</v>
      </c>
      <c r="D62" s="18">
        <v>-123.45</v>
      </c>
      <c r="E62" s="50">
        <v>-0.1234</v>
      </c>
      <c r="F62" s="51">
        <v>-0.1234</v>
      </c>
      <c r="G62" s="19">
        <v>-1234.56</v>
      </c>
      <c r="H62" s="20">
        <v>-123.45</v>
      </c>
      <c r="I62" s="48">
        <v>-1234.56</v>
      </c>
      <c r="J62" s="49">
        <v>-0.1234</v>
      </c>
    </row>
    <row r="63" spans="1:10" x14ac:dyDescent="0.25">
      <c r="B63" s="7" t="s">
        <v>60</v>
      </c>
      <c r="C63" s="5">
        <v>0</v>
      </c>
      <c r="D63" s="18">
        <v>0</v>
      </c>
      <c r="E63" s="90">
        <v>0</v>
      </c>
      <c r="F63" s="91">
        <v>0</v>
      </c>
      <c r="G63" s="19">
        <v>0</v>
      </c>
      <c r="H63" s="20">
        <v>0</v>
      </c>
      <c r="I63" s="48">
        <v>0</v>
      </c>
      <c r="J63" s="49">
        <v>0</v>
      </c>
    </row>
    <row r="64" spans="1:10" ht="12" thickBot="1" x14ac:dyDescent="0.3">
      <c r="B64" s="7" t="s">
        <v>10</v>
      </c>
      <c r="C64" s="5" t="s">
        <v>10</v>
      </c>
      <c r="D64" s="18" t="s">
        <v>10</v>
      </c>
      <c r="E64" s="50" t="s">
        <v>10</v>
      </c>
      <c r="F64" s="51" t="s">
        <v>10</v>
      </c>
      <c r="G64" s="19" t="s">
        <v>10</v>
      </c>
      <c r="H64" s="20" t="s">
        <v>10</v>
      </c>
      <c r="I64" s="48" t="s">
        <v>10</v>
      </c>
      <c r="J64" s="49" t="s">
        <v>10</v>
      </c>
    </row>
    <row r="65" spans="2:10" x14ac:dyDescent="0.25">
      <c r="B65" s="41"/>
      <c r="C65" s="41"/>
      <c r="D65" s="41"/>
      <c r="E65" s="41"/>
      <c r="F65" s="41"/>
      <c r="G65" s="41"/>
      <c r="H65" s="41"/>
      <c r="I65" s="41"/>
      <c r="J65" s="41"/>
    </row>
    <row r="66" spans="2:10" ht="23" x14ac:dyDescent="0.25">
      <c r="B66" s="1"/>
      <c r="C66" s="1" t="s">
        <v>63</v>
      </c>
      <c r="D66" s="1" t="s">
        <v>64</v>
      </c>
      <c r="E66" s="1" t="s">
        <v>61</v>
      </c>
      <c r="F66" s="1" t="s">
        <v>62</v>
      </c>
    </row>
    <row r="67" spans="2:10" x14ac:dyDescent="0.25">
      <c r="B67" s="7" t="s">
        <v>58</v>
      </c>
      <c r="C67" s="23">
        <v>1234.56</v>
      </c>
      <c r="D67" s="24">
        <v>123.45</v>
      </c>
      <c r="E67" s="21">
        <v>1234.56</v>
      </c>
      <c r="F67" s="22">
        <v>123.45</v>
      </c>
    </row>
    <row r="68" spans="2:10" x14ac:dyDescent="0.25">
      <c r="B68" s="7" t="s">
        <v>59</v>
      </c>
      <c r="C68" s="23">
        <v>-1234.56</v>
      </c>
      <c r="D68" s="24">
        <v>-123.45</v>
      </c>
      <c r="E68" s="21">
        <v>-1234.56</v>
      </c>
      <c r="F68" s="22">
        <v>-123.45</v>
      </c>
    </row>
    <row r="69" spans="2:10" x14ac:dyDescent="0.25">
      <c r="B69" s="7" t="s">
        <v>60</v>
      </c>
      <c r="C69" s="23">
        <v>0</v>
      </c>
      <c r="D69" s="24">
        <v>0</v>
      </c>
      <c r="E69" s="21">
        <v>0</v>
      </c>
      <c r="F69" s="22">
        <v>0</v>
      </c>
    </row>
    <row r="70" spans="2:10" ht="12" thickBot="1" x14ac:dyDescent="0.3">
      <c r="B70" s="7" t="s">
        <v>10</v>
      </c>
      <c r="C70" s="23" t="s">
        <v>10</v>
      </c>
      <c r="D70" s="24" t="s">
        <v>10</v>
      </c>
      <c r="E70" s="21" t="s">
        <v>10</v>
      </c>
      <c r="F70" s="22" t="s">
        <v>10</v>
      </c>
    </row>
    <row r="71" spans="2:10" x14ac:dyDescent="0.25">
      <c r="B71" s="41"/>
      <c r="C71" s="41"/>
      <c r="D71" s="41"/>
      <c r="E71" s="41"/>
      <c r="F71" s="41"/>
    </row>
    <row r="72" spans="2:10" ht="23" x14ac:dyDescent="0.25">
      <c r="B72" s="1"/>
      <c r="C72" s="1" t="s">
        <v>65</v>
      </c>
      <c r="D72" s="1" t="s">
        <v>66</v>
      </c>
      <c r="E72" s="1" t="s">
        <v>22</v>
      </c>
      <c r="F72" s="1" t="s">
        <v>21</v>
      </c>
    </row>
    <row r="73" spans="2:10" x14ac:dyDescent="0.25">
      <c r="B73" s="7" t="s">
        <v>58</v>
      </c>
      <c r="C73" s="29">
        <v>1234.56</v>
      </c>
      <c r="D73" s="30">
        <v>123.45</v>
      </c>
      <c r="E73" s="27">
        <v>1234.56</v>
      </c>
      <c r="F73" s="28">
        <v>123.45</v>
      </c>
    </row>
    <row r="74" spans="2:10" x14ac:dyDescent="0.25">
      <c r="B74" s="7" t="s">
        <v>59</v>
      </c>
      <c r="C74" s="29">
        <v>-1234.56</v>
      </c>
      <c r="D74" s="30">
        <v>-123.45</v>
      </c>
      <c r="E74" s="27">
        <v>-1234.56</v>
      </c>
      <c r="F74" s="28">
        <v>-123.45</v>
      </c>
    </row>
    <row r="75" spans="2:10" x14ac:dyDescent="0.25">
      <c r="B75" s="7" t="s">
        <v>60</v>
      </c>
      <c r="C75" s="29">
        <v>0</v>
      </c>
      <c r="D75" s="30">
        <v>0</v>
      </c>
      <c r="E75" s="27">
        <v>0</v>
      </c>
      <c r="F75" s="28">
        <v>0</v>
      </c>
    </row>
    <row r="76" spans="2:10" ht="12" thickBot="1" x14ac:dyDescent="0.3">
      <c r="B76" s="7" t="s">
        <v>10</v>
      </c>
      <c r="C76" s="29" t="s">
        <v>10</v>
      </c>
      <c r="D76" s="30" t="s">
        <v>10</v>
      </c>
      <c r="E76" s="27" t="s">
        <v>10</v>
      </c>
      <c r="F76" s="28" t="s">
        <v>10</v>
      </c>
    </row>
    <row r="77" spans="2:10" x14ac:dyDescent="0.25">
      <c r="B77" s="41"/>
      <c r="C77" s="41"/>
      <c r="D77" s="41"/>
      <c r="E77" s="41"/>
      <c r="F77" s="41"/>
    </row>
    <row r="78" spans="2:10" ht="23" x14ac:dyDescent="0.25">
      <c r="B78" s="1"/>
      <c r="C78" s="1" t="s">
        <v>67</v>
      </c>
      <c r="D78" s="1" t="s">
        <v>68</v>
      </c>
      <c r="E78" s="1" t="s">
        <v>24</v>
      </c>
      <c r="F78" s="1" t="s">
        <v>23</v>
      </c>
    </row>
    <row r="79" spans="2:10" x14ac:dyDescent="0.25">
      <c r="B79" s="7" t="s">
        <v>58</v>
      </c>
      <c r="C79" s="33">
        <v>1234.56</v>
      </c>
      <c r="D79" s="34">
        <v>123.45</v>
      </c>
      <c r="E79" s="31">
        <v>1234.56</v>
      </c>
      <c r="F79" s="32">
        <v>123.45</v>
      </c>
    </row>
    <row r="80" spans="2:10" x14ac:dyDescent="0.25">
      <c r="B80" s="7" t="s">
        <v>59</v>
      </c>
      <c r="C80" s="33">
        <v>-1234.56</v>
      </c>
      <c r="D80" s="34">
        <v>-123.45</v>
      </c>
      <c r="E80" s="31">
        <v>-1234.56</v>
      </c>
      <c r="F80" s="32">
        <v>-123.45</v>
      </c>
    </row>
    <row r="81" spans="1:6" x14ac:dyDescent="0.25">
      <c r="B81" s="7" t="s">
        <v>60</v>
      </c>
      <c r="C81" s="33">
        <v>0</v>
      </c>
      <c r="D81" s="34">
        <v>0</v>
      </c>
      <c r="E81" s="31">
        <v>0</v>
      </c>
      <c r="F81" s="32">
        <v>0</v>
      </c>
    </row>
    <row r="82" spans="1:6" ht="12" thickBot="1" x14ac:dyDescent="0.3">
      <c r="B82" s="7" t="s">
        <v>10</v>
      </c>
      <c r="C82" s="33" t="s">
        <v>10</v>
      </c>
      <c r="D82" s="34" t="s">
        <v>10</v>
      </c>
      <c r="E82" s="31" t="s">
        <v>10</v>
      </c>
      <c r="F82" s="32" t="s">
        <v>10</v>
      </c>
    </row>
    <row r="83" spans="1:6" x14ac:dyDescent="0.25">
      <c r="B83" s="41"/>
      <c r="C83" s="41"/>
      <c r="D83" s="41"/>
      <c r="E83" s="41"/>
      <c r="F83" s="41"/>
    </row>
    <row r="84" spans="1:6" ht="23" x14ac:dyDescent="0.25">
      <c r="B84" s="1"/>
      <c r="C84" s="1" t="s">
        <v>15</v>
      </c>
      <c r="D84" s="1" t="s">
        <v>69</v>
      </c>
      <c r="E84" s="1" t="s">
        <v>70</v>
      </c>
    </row>
    <row r="85" spans="1:6" ht="12" thickBot="1" x14ac:dyDescent="0.3">
      <c r="B85" s="7" t="s">
        <v>15</v>
      </c>
      <c r="C85" s="25">
        <v>37591</v>
      </c>
      <c r="D85" s="73">
        <v>37591</v>
      </c>
      <c r="E85" s="35">
        <v>37591</v>
      </c>
    </row>
    <row r="86" spans="1:6" x14ac:dyDescent="0.25">
      <c r="B86" s="41"/>
      <c r="C86" s="41"/>
      <c r="D86" s="41"/>
      <c r="E86" s="41"/>
    </row>
    <row r="87" spans="1:6" ht="18" x14ac:dyDescent="0.25">
      <c r="A87" s="10" t="s">
        <v>84</v>
      </c>
    </row>
    <row r="88" spans="1:6" x14ac:dyDescent="0.25">
      <c r="A88" s="82" t="s">
        <v>83</v>
      </c>
      <c r="B88" s="46"/>
      <c r="C88" s="46"/>
      <c r="D88" s="46"/>
      <c r="E88" s="46"/>
    </row>
    <row r="89" spans="1:6" x14ac:dyDescent="0.25">
      <c r="A89" s="26" t="s">
        <v>44</v>
      </c>
    </row>
    <row r="90" spans="1:6" s="44" customFormat="1" x14ac:dyDescent="0.25">
      <c r="A90" s="26"/>
    </row>
    <row r="91" spans="1:6" s="44" customFormat="1" ht="28" x14ac:dyDescent="0.25">
      <c r="A91" s="26"/>
      <c r="B91" s="86" t="s">
        <v>153</v>
      </c>
      <c r="C91" s="86" t="s">
        <v>149</v>
      </c>
      <c r="D91" s="86"/>
      <c r="E91" s="44" t="s">
        <v>154</v>
      </c>
    </row>
    <row r="92" spans="1:6" s="44" customFormat="1" x14ac:dyDescent="0.25">
      <c r="A92" s="26"/>
    </row>
    <row r="93" spans="1:6" s="44" customFormat="1" ht="23" x14ac:dyDescent="0.25">
      <c r="A93" s="26"/>
      <c r="B93" s="87" t="s">
        <v>36</v>
      </c>
      <c r="C93" s="87" t="s">
        <v>47</v>
      </c>
      <c r="D93" s="87"/>
      <c r="E93" s="44" t="s">
        <v>40</v>
      </c>
    </row>
    <row r="95" spans="1:6" ht="18" x14ac:dyDescent="0.25">
      <c r="B95" s="10" t="s">
        <v>37</v>
      </c>
      <c r="C95" s="10" t="s">
        <v>47</v>
      </c>
      <c r="E95" t="s">
        <v>41</v>
      </c>
    </row>
    <row r="97" spans="1:9" ht="15.5" x14ac:dyDescent="0.25">
      <c r="B97" s="37" t="s">
        <v>38</v>
      </c>
      <c r="C97" s="37" t="s">
        <v>47</v>
      </c>
      <c r="E97" t="s">
        <v>42</v>
      </c>
    </row>
    <row r="99" spans="1:9" x14ac:dyDescent="0.25">
      <c r="B99" s="36" t="s">
        <v>39</v>
      </c>
      <c r="C99" s="36" t="s">
        <v>47</v>
      </c>
      <c r="E99" t="s">
        <v>43</v>
      </c>
    </row>
    <row r="101" spans="1:9" ht="18" x14ac:dyDescent="0.25">
      <c r="A101" s="10" t="s">
        <v>46</v>
      </c>
    </row>
    <row r="102" spans="1:9" x14ac:dyDescent="0.25">
      <c r="A102" s="82" t="s">
        <v>52</v>
      </c>
      <c r="B102" s="46"/>
      <c r="C102" s="46"/>
      <c r="D102" s="46"/>
      <c r="E102" s="46"/>
    </row>
    <row r="103" spans="1:9" x14ac:dyDescent="0.25">
      <c r="A103" s="26" t="s">
        <v>49</v>
      </c>
    </row>
    <row r="105" spans="1:9" ht="15.5" x14ac:dyDescent="0.25">
      <c r="A105" s="37" t="s">
        <v>95</v>
      </c>
    </row>
    <row r="106" spans="1:9" x14ac:dyDescent="0.25">
      <c r="B106" s="68" t="s">
        <v>125</v>
      </c>
      <c r="C106" s="1" t="s">
        <v>121</v>
      </c>
      <c r="D106" s="1" t="s">
        <v>121</v>
      </c>
      <c r="E106" s="1" t="s">
        <v>121</v>
      </c>
      <c r="F106" s="1" t="s">
        <v>121</v>
      </c>
    </row>
    <row r="107" spans="1:9" x14ac:dyDescent="0.25">
      <c r="B107" s="7" t="s">
        <v>29</v>
      </c>
    </row>
    <row r="108" spans="1:9" x14ac:dyDescent="0.25">
      <c r="B108" s="7" t="s">
        <v>29</v>
      </c>
    </row>
    <row r="109" spans="1:9" ht="12" thickBot="1" x14ac:dyDescent="0.3">
      <c r="B109" s="7" t="s">
        <v>29</v>
      </c>
    </row>
    <row r="110" spans="1:9" x14ac:dyDescent="0.25">
      <c r="B110" s="41" t="s">
        <v>33</v>
      </c>
      <c r="C110" s="41"/>
      <c r="D110" s="41"/>
      <c r="E110" s="41"/>
      <c r="F110" s="41"/>
    </row>
    <row r="112" spans="1:9" ht="15.5" x14ac:dyDescent="0.25">
      <c r="A112" s="37" t="s">
        <v>96</v>
      </c>
      <c r="I112" s="57"/>
    </row>
    <row r="113" spans="1:9" x14ac:dyDescent="0.25">
      <c r="B113" s="68"/>
      <c r="C113" s="72"/>
      <c r="D113" s="72" t="s">
        <v>134</v>
      </c>
      <c r="E113" s="72"/>
      <c r="F113" s="72" t="s">
        <v>134</v>
      </c>
      <c r="G113" s="72"/>
      <c r="I113" s="57"/>
    </row>
    <row r="114" spans="1:9" ht="23" x14ac:dyDescent="0.25">
      <c r="B114" s="68" t="s">
        <v>125</v>
      </c>
      <c r="C114" s="69" t="s">
        <v>126</v>
      </c>
      <c r="D114" s="1" t="s">
        <v>121</v>
      </c>
      <c r="E114" s="1" t="s">
        <v>121</v>
      </c>
      <c r="F114" s="1" t="s">
        <v>121</v>
      </c>
      <c r="G114" s="1" t="s">
        <v>121</v>
      </c>
      <c r="I114" s="57"/>
    </row>
    <row r="115" spans="1:9" x14ac:dyDescent="0.25">
      <c r="B115" s="7" t="s">
        <v>29</v>
      </c>
      <c r="D115" s="54" t="s">
        <v>79</v>
      </c>
      <c r="E115" s="54"/>
      <c r="F115" s="40" t="s">
        <v>48</v>
      </c>
      <c r="G115" s="40"/>
      <c r="I115" s="57"/>
    </row>
    <row r="116" spans="1:9" ht="12" thickBot="1" x14ac:dyDescent="0.3">
      <c r="B116" s="6" t="s">
        <v>30</v>
      </c>
      <c r="D116" s="54"/>
      <c r="E116" s="54"/>
      <c r="F116" s="40"/>
      <c r="G116" s="40"/>
      <c r="I116" s="57"/>
    </row>
    <row r="117" spans="1:9" ht="12" thickBot="1" x14ac:dyDescent="0.3">
      <c r="B117" s="9" t="s">
        <v>32</v>
      </c>
      <c r="C117" s="38"/>
      <c r="D117" s="38"/>
      <c r="E117" s="38"/>
      <c r="F117" s="83"/>
      <c r="G117" s="83"/>
      <c r="I117" s="57"/>
    </row>
    <row r="118" spans="1:9" x14ac:dyDescent="0.25">
      <c r="B118" s="8" t="s">
        <v>31</v>
      </c>
      <c r="C118" s="39"/>
      <c r="D118" s="39"/>
      <c r="E118" s="39"/>
      <c r="F118" s="39"/>
      <c r="G118" s="39"/>
      <c r="I118" s="57"/>
    </row>
    <row r="121" spans="1:9" x14ac:dyDescent="0.25">
      <c r="A121" s="44" t="s">
        <v>50</v>
      </c>
    </row>
    <row r="122" spans="1:9" x14ac:dyDescent="0.25">
      <c r="A122" s="26" t="s">
        <v>120</v>
      </c>
    </row>
    <row r="124" spans="1:9" ht="15.5" x14ac:dyDescent="0.25">
      <c r="A124" s="37" t="s">
        <v>93</v>
      </c>
    </row>
    <row r="125" spans="1:9" ht="12" x14ac:dyDescent="0.25">
      <c r="B125" s="68" t="s">
        <v>128</v>
      </c>
      <c r="C125" s="69" t="s">
        <v>129</v>
      </c>
      <c r="D125" s="69" t="s">
        <v>3</v>
      </c>
      <c r="E125" s="1">
        <v>2000</v>
      </c>
      <c r="F125" s="1">
        <v>2001</v>
      </c>
      <c r="G125" s="1">
        <v>2002</v>
      </c>
      <c r="H125" s="1">
        <v>2003</v>
      </c>
      <c r="I125" s="45" t="s">
        <v>127</v>
      </c>
    </row>
    <row r="126" spans="1:9" x14ac:dyDescent="0.25">
      <c r="B126" s="7" t="s">
        <v>92</v>
      </c>
      <c r="C126" t="s">
        <v>130</v>
      </c>
      <c r="D126" s="26" t="s">
        <v>133</v>
      </c>
      <c r="E126" s="92">
        <v>1000000</v>
      </c>
      <c r="F126" s="12">
        <f t="shared" ref="F126:G128" si="0">E126+($H126-$E126)/3</f>
        <v>1000000</v>
      </c>
      <c r="G126" s="12">
        <f t="shared" si="0"/>
        <v>1000000</v>
      </c>
      <c r="H126" s="11">
        <v>1000000</v>
      </c>
    </row>
    <row r="127" spans="1:9" x14ac:dyDescent="0.25">
      <c r="B127" s="7" t="s">
        <v>90</v>
      </c>
      <c r="C127" t="s">
        <v>130</v>
      </c>
      <c r="D127" s="26" t="s">
        <v>133</v>
      </c>
      <c r="E127" s="13">
        <v>100000</v>
      </c>
      <c r="F127" s="12">
        <f t="shared" si="0"/>
        <v>133333.33333333334</v>
      </c>
      <c r="G127" s="12">
        <f t="shared" si="0"/>
        <v>166666.66666666669</v>
      </c>
      <c r="H127" s="11">
        <v>200000</v>
      </c>
    </row>
    <row r="128" spans="1:9" x14ac:dyDescent="0.25">
      <c r="B128" s="7" t="s">
        <v>91</v>
      </c>
      <c r="C128" t="s">
        <v>130</v>
      </c>
      <c r="D128" s="26" t="s">
        <v>133</v>
      </c>
      <c r="E128" s="55">
        <v>50000</v>
      </c>
      <c r="F128" s="12">
        <f t="shared" si="0"/>
        <v>100000</v>
      </c>
      <c r="G128" s="12">
        <f t="shared" si="0"/>
        <v>150000</v>
      </c>
      <c r="H128" s="11">
        <v>200000</v>
      </c>
    </row>
    <row r="129" spans="1:9" x14ac:dyDescent="0.25">
      <c r="B129" s="8" t="s">
        <v>94</v>
      </c>
      <c r="C129" s="39" t="s">
        <v>130</v>
      </c>
      <c r="D129" s="39"/>
      <c r="E129" s="58">
        <f>SUM(E126:E128)</f>
        <v>1150000</v>
      </c>
      <c r="F129" s="58">
        <f>SUM(F126:F128)</f>
        <v>1233333.3333333333</v>
      </c>
      <c r="G129" s="58">
        <f>SUM(G126:G128)</f>
        <v>1316666.6666666667</v>
      </c>
      <c r="H129" s="58">
        <f>SUM(H126:H128)</f>
        <v>1400000</v>
      </c>
    </row>
    <row r="130" spans="1:9" x14ac:dyDescent="0.25">
      <c r="B130" s="57"/>
      <c r="D130" s="57"/>
      <c r="E130" s="57"/>
      <c r="F130" s="57"/>
      <c r="G130" s="57"/>
    </row>
    <row r="131" spans="1:9" ht="15.5" x14ac:dyDescent="0.25">
      <c r="A131" s="37" t="s">
        <v>93</v>
      </c>
    </row>
    <row r="132" spans="1:9" x14ac:dyDescent="0.25">
      <c r="B132" s="68" t="s">
        <v>128</v>
      </c>
      <c r="C132" s="69" t="s">
        <v>129</v>
      </c>
      <c r="D132" s="69" t="s">
        <v>3</v>
      </c>
      <c r="E132" s="1">
        <v>2000</v>
      </c>
      <c r="F132" s="1">
        <v>2001</v>
      </c>
      <c r="G132" s="1">
        <v>2002</v>
      </c>
      <c r="H132" s="1">
        <v>2003</v>
      </c>
    </row>
    <row r="133" spans="1:9" x14ac:dyDescent="0.25">
      <c r="B133" s="7" t="s">
        <v>92</v>
      </c>
      <c r="C133" t="s">
        <v>130</v>
      </c>
      <c r="D133" s="26" t="s">
        <v>131</v>
      </c>
      <c r="E133" s="14">
        <f t="array" ref="E133:H135">$E$126:$H$128</f>
        <v>1000000</v>
      </c>
      <c r="F133" s="14">
        <v>1000000</v>
      </c>
      <c r="G133" s="14">
        <v>1000000</v>
      </c>
      <c r="H133" s="14">
        <v>1000000</v>
      </c>
    </row>
    <row r="134" spans="1:9" x14ac:dyDescent="0.25">
      <c r="B134" s="7" t="s">
        <v>90</v>
      </c>
      <c r="C134" t="s">
        <v>130</v>
      </c>
      <c r="D134" s="26" t="s">
        <v>131</v>
      </c>
      <c r="E134" s="14">
        <v>100000</v>
      </c>
      <c r="F134" s="14">
        <v>133333.33333333334</v>
      </c>
      <c r="G134" s="14">
        <v>166666.66666666669</v>
      </c>
      <c r="H134" s="14">
        <v>200000</v>
      </c>
    </row>
    <row r="135" spans="1:9" x14ac:dyDescent="0.25">
      <c r="B135" s="7" t="s">
        <v>91</v>
      </c>
      <c r="C135" t="s">
        <v>130</v>
      </c>
      <c r="D135" s="26" t="s">
        <v>132</v>
      </c>
      <c r="E135" s="70">
        <v>50000</v>
      </c>
      <c r="F135" s="70">
        <v>100000</v>
      </c>
      <c r="G135" s="70">
        <v>150000</v>
      </c>
      <c r="H135" s="70">
        <v>200000</v>
      </c>
    </row>
    <row r="136" spans="1:9" x14ac:dyDescent="0.25">
      <c r="B136" s="8" t="s">
        <v>94</v>
      </c>
      <c r="C136" s="39" t="s">
        <v>130</v>
      </c>
      <c r="D136" s="39"/>
      <c r="E136" s="58">
        <f>SUM(E133:E135)</f>
        <v>1150000</v>
      </c>
      <c r="F136" s="58">
        <f>SUM(F133:F135)</f>
        <v>1233333.3333333333</v>
      </c>
      <c r="G136" s="58">
        <f>SUM(G133:G135)</f>
        <v>1316666.6666666667</v>
      </c>
      <c r="H136" s="58">
        <f>SUM(H133:H135)</f>
        <v>1400000</v>
      </c>
    </row>
    <row r="137" spans="1:9" x14ac:dyDescent="0.25">
      <c r="B137" s="57"/>
      <c r="C137" s="57"/>
      <c r="D137" s="57"/>
      <c r="E137" s="57"/>
      <c r="F137" s="57"/>
      <c r="G137" s="57"/>
    </row>
    <row r="139" spans="1:9" ht="15.5" x14ac:dyDescent="0.25">
      <c r="A139" s="37" t="s">
        <v>98</v>
      </c>
    </row>
    <row r="140" spans="1:9" x14ac:dyDescent="0.25">
      <c r="B140" s="68" t="s">
        <v>128</v>
      </c>
      <c r="C140" s="69" t="s">
        <v>129</v>
      </c>
      <c r="D140" s="69" t="s">
        <v>3</v>
      </c>
      <c r="E140" s="1">
        <v>2000</v>
      </c>
      <c r="F140" s="1">
        <v>2001</v>
      </c>
      <c r="G140" s="1">
        <v>2002</v>
      </c>
      <c r="H140" s="1">
        <v>2003</v>
      </c>
    </row>
    <row r="141" spans="1:9" x14ac:dyDescent="0.25">
      <c r="B141" s="7" t="s">
        <v>92</v>
      </c>
      <c r="C141" t="s">
        <v>130</v>
      </c>
      <c r="D141" s="26"/>
      <c r="E141" s="5"/>
      <c r="F141" s="15">
        <f t="shared" ref="F141:H143" si="1">(F133+E133)/2</f>
        <v>1000000</v>
      </c>
      <c r="G141" s="15">
        <f t="shared" si="1"/>
        <v>1000000</v>
      </c>
      <c r="H141" s="15">
        <f t="shared" si="1"/>
        <v>1000000</v>
      </c>
    </row>
    <row r="142" spans="1:9" x14ac:dyDescent="0.25">
      <c r="B142" s="7" t="s">
        <v>90</v>
      </c>
      <c r="C142" t="s">
        <v>130</v>
      </c>
      <c r="D142" s="26"/>
      <c r="E142" s="5"/>
      <c r="F142" s="15">
        <f t="shared" si="1"/>
        <v>116666.66666666667</v>
      </c>
      <c r="G142" s="15">
        <f t="shared" si="1"/>
        <v>150000</v>
      </c>
      <c r="H142" s="15">
        <f t="shared" si="1"/>
        <v>183333.33333333334</v>
      </c>
    </row>
    <row r="143" spans="1:9" x14ac:dyDescent="0.25">
      <c r="B143" s="7" t="s">
        <v>91</v>
      </c>
      <c r="C143" t="s">
        <v>130</v>
      </c>
      <c r="D143" s="26"/>
      <c r="E143" s="5"/>
      <c r="F143" s="15">
        <f t="shared" si="1"/>
        <v>75000</v>
      </c>
      <c r="G143" s="15">
        <f t="shared" si="1"/>
        <v>125000</v>
      </c>
      <c r="H143" s="15">
        <f t="shared" si="1"/>
        <v>175000</v>
      </c>
    </row>
    <row r="144" spans="1:9" ht="12" x14ac:dyDescent="0.25">
      <c r="B144" s="65" t="s">
        <v>94</v>
      </c>
      <c r="C144" s="74" t="s">
        <v>130</v>
      </c>
      <c r="D144" s="74"/>
      <c r="E144" s="64"/>
      <c r="F144" s="64">
        <f>SUM(F141:F143)</f>
        <v>1191666.6666666667</v>
      </c>
      <c r="G144" s="64">
        <f>SUM(G141:G143)</f>
        <v>1275000</v>
      </c>
      <c r="H144" s="64">
        <f>SUM(H141:H143)</f>
        <v>1358333.3333333333</v>
      </c>
      <c r="I144" s="45" t="s">
        <v>119</v>
      </c>
    </row>
    <row r="145" spans="2:6" x14ac:dyDescent="0.25">
      <c r="B145" s="57"/>
      <c r="C145" s="57"/>
      <c r="D145" s="57"/>
      <c r="E145" s="57"/>
      <c r="F145" s="57"/>
    </row>
  </sheetData>
  <phoneticPr fontId="0" type="noConversion"/>
  <conditionalFormatting sqref="C43">
    <cfRule type="cellIs" dxfId="748" priority="1" stopIfTrue="1" operator="notEqual">
      <formula>0</formula>
    </cfRule>
  </conditionalFormatting>
  <dataValidations count="2">
    <dataValidation type="list" showInputMessage="1" showErrorMessage="1" errorTitle="Input Parameter" error="Please select value from list" promptTitle="Input Parameter" prompt="Select from list" sqref="C16" xr:uid="{00000000-0002-0000-0200-000000000000}">
      <formula1>$C$17:$C$19</formula1>
    </dataValidation>
    <dataValidation type="decimal" showInputMessage="1" showErrorMessage="1" errorTitle="Input Parameter" error="Value must lie between 100 and 300" promptTitle="Input Parameter" prompt="Value must lie between 100 and 300" sqref="C12" xr:uid="{00000000-0002-0000-0200-000001000000}">
      <formula1>C13</formula1>
      <formula2>C14</formula2>
    </dataValidation>
  </dataValidations>
  <pageMargins left="0.74803149606299213" right="0.74803149606299213" top="0.51181102362204722" bottom="0.51181102362204722" header="0.51181102362204722" footer="0.35433070866141736"/>
  <pageSetup paperSize="9" fitToHeight="0" orientation="landscape" horizontalDpi="4294967292" verticalDpi="4294967292" r:id="rId1"/>
  <headerFooter alignWithMargins="0">
    <oddFooter xml:space="preserve">&amp;L&amp;F : &amp;A&amp;CPrinted at &amp;T on &amp;D&amp;RCommercial in confidence © Analysys Mason </oddFooter>
  </headerFooter>
  <rowBreaks count="3" manualBreakCount="3">
    <brk id="54" max="16383" man="1"/>
    <brk id="86" max="16383" man="1"/>
    <brk id="12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1">
    <pageSetUpPr autoPageBreaks="0"/>
  </sheetPr>
  <dimension ref="B1:AE157"/>
  <sheetViews>
    <sheetView showGridLines="0" defaultGridColor="0" colorId="22" zoomScaleNormal="100" workbookViewId="0">
      <pane ySplit="1" topLeftCell="A2" activePane="bottomLeft" state="frozen"/>
      <selection pane="bottomLeft" activeCell="C4" sqref="C4"/>
    </sheetView>
  </sheetViews>
  <sheetFormatPr baseColWidth="10" defaultColWidth="12.796875" defaultRowHeight="11.5" x14ac:dyDescent="0.25"/>
  <cols>
    <col min="1" max="1" width="6.796875" style="44" customWidth="1"/>
    <col min="2" max="3" width="12.796875" style="44"/>
    <col min="4" max="4" width="6.796875" style="263" customWidth="1"/>
    <col min="5" max="5" width="52.3984375" style="675" bestFit="1" customWidth="1"/>
    <col min="6" max="6" width="12.796875" style="44"/>
    <col min="7" max="7" width="6.796875" style="263" customWidth="1"/>
    <col min="8" max="8" width="52.3984375" style="675" bestFit="1" customWidth="1"/>
    <col min="9" max="9" width="12.796875" customWidth="1"/>
    <col min="10" max="10" width="6.796875" style="263" customWidth="1"/>
    <col min="11" max="11" width="52.3984375" style="675" bestFit="1" customWidth="1"/>
    <col min="12" max="12" width="12.796875" style="44"/>
    <col min="13" max="13" width="6.796875" style="263" customWidth="1"/>
    <col min="14" max="14" width="42" style="675" bestFit="1" customWidth="1"/>
    <col min="15" max="15" width="12.796875" style="44"/>
    <col min="16" max="16" width="6.796875" style="263" customWidth="1"/>
    <col min="17" max="17" width="34.796875" style="675" bestFit="1" customWidth="1"/>
    <col min="18" max="18" width="12.796875" style="44"/>
    <col min="19" max="19" width="23.796875" style="44" customWidth="1"/>
    <col min="20" max="20" width="12.796875" style="44"/>
    <col min="21" max="22" width="48.3984375" style="44" bestFit="1" customWidth="1"/>
    <col min="23" max="28" width="12.796875" style="44"/>
    <col min="29" max="30" width="48.3984375" style="44" bestFit="1" customWidth="1"/>
    <col min="31" max="16384" width="12.796875" style="44"/>
  </cols>
  <sheetData>
    <row r="1" spans="2:31" s="93" customFormat="1" ht="33.75" customHeight="1" x14ac:dyDescent="0.25">
      <c r="C1" s="94" t="s">
        <v>156</v>
      </c>
      <c r="D1" s="455"/>
      <c r="E1" s="674"/>
      <c r="G1" s="455"/>
      <c r="H1" s="674"/>
      <c r="I1"/>
      <c r="J1" s="455"/>
      <c r="K1" s="674"/>
      <c r="M1" s="455"/>
      <c r="N1" s="674"/>
      <c r="P1" s="455"/>
      <c r="Q1" s="674"/>
    </row>
    <row r="3" spans="2:31" ht="23" x14ac:dyDescent="0.25">
      <c r="B3" s="1" t="s">
        <v>157</v>
      </c>
      <c r="D3" s="232" t="s">
        <v>161</v>
      </c>
      <c r="E3" s="676" t="s">
        <v>163</v>
      </c>
      <c r="G3" s="232" t="s">
        <v>161</v>
      </c>
      <c r="H3" s="676" t="s">
        <v>212</v>
      </c>
      <c r="J3" s="232" t="s">
        <v>161</v>
      </c>
      <c r="K3" s="676" t="s">
        <v>227</v>
      </c>
      <c r="M3" s="232" t="s">
        <v>161</v>
      </c>
      <c r="N3" s="676" t="s">
        <v>236</v>
      </c>
      <c r="P3" s="232" t="s">
        <v>161</v>
      </c>
      <c r="Q3" s="676" t="s">
        <v>237</v>
      </c>
      <c r="S3" s="1" t="s">
        <v>784</v>
      </c>
    </row>
    <row r="4" spans="2:31" ht="12" x14ac:dyDescent="0.25">
      <c r="B4" s="98">
        <v>2017</v>
      </c>
      <c r="D4" s="272">
        <v>1</v>
      </c>
      <c r="E4" s="126" t="s">
        <v>225</v>
      </c>
      <c r="G4" s="272">
        <v>1</v>
      </c>
      <c r="H4" s="277" t="s">
        <v>1054</v>
      </c>
      <c r="J4" s="272">
        <v>1</v>
      </c>
      <c r="K4" s="277" t="s">
        <v>852</v>
      </c>
      <c r="M4" s="272">
        <v>1</v>
      </c>
      <c r="N4" s="277" t="s">
        <v>1054</v>
      </c>
      <c r="P4" s="272">
        <v>1</v>
      </c>
      <c r="Q4" s="277" t="s">
        <v>226</v>
      </c>
      <c r="S4" s="147">
        <v>1024</v>
      </c>
      <c r="V4" s="44" t="s">
        <v>852</v>
      </c>
      <c r="AD4" s="44" t="s">
        <v>415</v>
      </c>
      <c r="AE4" s="44">
        <f>COUNTIF($AC$4:$AC$77,AD4)</f>
        <v>0</v>
      </c>
    </row>
    <row r="5" spans="2:31" ht="12" x14ac:dyDescent="0.25">
      <c r="B5" s="95">
        <f>1+B4</f>
        <v>2018</v>
      </c>
      <c r="D5" s="99">
        <f>1+D4</f>
        <v>2</v>
      </c>
      <c r="E5" s="277" t="s">
        <v>226</v>
      </c>
      <c r="G5" s="99">
        <v>2</v>
      </c>
      <c r="H5" s="277" t="s">
        <v>1055</v>
      </c>
      <c r="J5" s="99">
        <f>1+J4</f>
        <v>2</v>
      </c>
      <c r="K5" s="277" t="s">
        <v>204</v>
      </c>
      <c r="M5" s="99">
        <f>1+M4</f>
        <v>2</v>
      </c>
      <c r="N5" s="277" t="s">
        <v>1055</v>
      </c>
      <c r="P5" s="99">
        <v>2</v>
      </c>
      <c r="Q5" s="277" t="s">
        <v>225</v>
      </c>
      <c r="S5" s="45" t="s">
        <v>785</v>
      </c>
      <c r="U5" s="262"/>
      <c r="V5" s="44" t="s">
        <v>204</v>
      </c>
      <c r="AC5" s="262"/>
      <c r="AD5" s="44" t="s">
        <v>815</v>
      </c>
      <c r="AE5" s="262">
        <f t="shared" ref="AE5:AE68" si="0">COUNTIF($AC$4:$AC$77,AD5)</f>
        <v>0</v>
      </c>
    </row>
    <row r="6" spans="2:31" ht="12" x14ac:dyDescent="0.25">
      <c r="B6" s="95">
        <f>1+B5</f>
        <v>2019</v>
      </c>
      <c r="D6" s="99">
        <f t="shared" ref="D6:D73" si="1">1+D5</f>
        <v>3</v>
      </c>
      <c r="E6" s="277" t="s">
        <v>1054</v>
      </c>
      <c r="G6" s="99">
        <v>3</v>
      </c>
      <c r="H6" s="277" t="s">
        <v>1056</v>
      </c>
      <c r="J6" s="99">
        <f t="shared" ref="J6:J69" si="2">1+J5</f>
        <v>3</v>
      </c>
      <c r="K6" s="277" t="s">
        <v>797</v>
      </c>
      <c r="M6" s="99">
        <f t="shared" ref="M6:M69" si="3">1+M5</f>
        <v>3</v>
      </c>
      <c r="N6" s="277" t="s">
        <v>1056</v>
      </c>
      <c r="P6" s="99">
        <v>3</v>
      </c>
      <c r="Q6" s="677"/>
      <c r="U6" s="262"/>
      <c r="V6" s="44" t="s">
        <v>797</v>
      </c>
      <c r="AC6" s="262"/>
      <c r="AD6" s="44" t="s">
        <v>816</v>
      </c>
      <c r="AE6" s="262">
        <f t="shared" si="0"/>
        <v>0</v>
      </c>
    </row>
    <row r="7" spans="2:31" ht="12" x14ac:dyDescent="0.25">
      <c r="B7" s="95">
        <f>1+B6</f>
        <v>2020</v>
      </c>
      <c r="D7" s="99">
        <f t="shared" si="1"/>
        <v>4</v>
      </c>
      <c r="E7" s="277" t="s">
        <v>1055</v>
      </c>
      <c r="G7" s="99">
        <v>4</v>
      </c>
      <c r="H7" s="277" t="s">
        <v>1057</v>
      </c>
      <c r="J7" s="99">
        <f t="shared" si="2"/>
        <v>4</v>
      </c>
      <c r="K7" s="277" t="s">
        <v>798</v>
      </c>
      <c r="M7" s="99">
        <f t="shared" si="3"/>
        <v>4</v>
      </c>
      <c r="N7" s="277" t="s">
        <v>1057</v>
      </c>
      <c r="P7" s="99">
        <v>4</v>
      </c>
      <c r="Q7" s="677"/>
      <c r="U7" s="262"/>
      <c r="V7" s="44" t="s">
        <v>798</v>
      </c>
      <c r="AC7" s="262"/>
      <c r="AD7" s="44" t="s">
        <v>848</v>
      </c>
      <c r="AE7" s="262">
        <f t="shared" si="0"/>
        <v>0</v>
      </c>
    </row>
    <row r="8" spans="2:31" ht="12" x14ac:dyDescent="0.25">
      <c r="B8" s="95">
        <f>1+B7</f>
        <v>2021</v>
      </c>
      <c r="D8" s="99">
        <f t="shared" si="1"/>
        <v>5</v>
      </c>
      <c r="E8" s="277" t="s">
        <v>1056</v>
      </c>
      <c r="G8" s="99">
        <v>5</v>
      </c>
      <c r="H8" s="277" t="s">
        <v>1058</v>
      </c>
      <c r="J8" s="99">
        <f t="shared" si="2"/>
        <v>5</v>
      </c>
      <c r="K8" s="277" t="s">
        <v>205</v>
      </c>
      <c r="M8" s="99">
        <f t="shared" si="3"/>
        <v>5</v>
      </c>
      <c r="N8" s="277" t="s">
        <v>1058</v>
      </c>
      <c r="P8" s="99">
        <v>5</v>
      </c>
      <c r="Q8" s="677"/>
      <c r="U8" s="262"/>
      <c r="V8" s="44" t="s">
        <v>205</v>
      </c>
      <c r="AC8" s="262"/>
      <c r="AD8" s="44" t="s">
        <v>948</v>
      </c>
      <c r="AE8" s="262">
        <f t="shared" si="0"/>
        <v>0</v>
      </c>
    </row>
    <row r="9" spans="2:31" ht="12" x14ac:dyDescent="0.25">
      <c r="B9" s="95">
        <f>1+B8</f>
        <v>2022</v>
      </c>
      <c r="D9" s="99">
        <f t="shared" si="1"/>
        <v>6</v>
      </c>
      <c r="E9" s="277" t="s">
        <v>1057</v>
      </c>
      <c r="G9" s="99">
        <v>6</v>
      </c>
      <c r="H9" s="277" t="s">
        <v>948</v>
      </c>
      <c r="J9" s="99">
        <f t="shared" si="2"/>
        <v>6</v>
      </c>
      <c r="K9" s="277" t="s">
        <v>708</v>
      </c>
      <c r="M9" s="99">
        <f t="shared" si="3"/>
        <v>6</v>
      </c>
      <c r="N9" s="277" t="s">
        <v>948</v>
      </c>
      <c r="P9" s="99">
        <v>6</v>
      </c>
      <c r="Q9" s="677"/>
      <c r="U9" s="262"/>
      <c r="V9" s="44" t="s">
        <v>708</v>
      </c>
      <c r="AC9" s="262"/>
      <c r="AD9" s="44" t="s">
        <v>949</v>
      </c>
      <c r="AE9" s="262">
        <f t="shared" si="0"/>
        <v>0</v>
      </c>
    </row>
    <row r="10" spans="2:31" ht="12" x14ac:dyDescent="0.25">
      <c r="B10" s="95"/>
      <c r="D10" s="99">
        <f t="shared" si="1"/>
        <v>7</v>
      </c>
      <c r="E10" s="277" t="s">
        <v>1058</v>
      </c>
      <c r="G10" s="99">
        <v>7</v>
      </c>
      <c r="H10" s="277" t="s">
        <v>949</v>
      </c>
      <c r="J10" s="99">
        <f t="shared" si="2"/>
        <v>7</v>
      </c>
      <c r="K10" s="277" t="s">
        <v>206</v>
      </c>
      <c r="M10" s="99">
        <f t="shared" si="3"/>
        <v>7</v>
      </c>
      <c r="N10" s="277" t="s">
        <v>949</v>
      </c>
      <c r="P10" s="99">
        <v>7</v>
      </c>
      <c r="Q10" s="677"/>
      <c r="U10" s="262"/>
      <c r="V10" s="44" t="s">
        <v>206</v>
      </c>
      <c r="AC10" s="262"/>
      <c r="AD10" s="44" t="s">
        <v>949</v>
      </c>
      <c r="AE10" s="262">
        <f t="shared" si="0"/>
        <v>0</v>
      </c>
    </row>
    <row r="11" spans="2:31" ht="12" x14ac:dyDescent="0.25">
      <c r="B11" s="45" t="s">
        <v>158</v>
      </c>
      <c r="D11" s="99">
        <f t="shared" si="1"/>
        <v>8</v>
      </c>
      <c r="E11" s="277" t="s">
        <v>948</v>
      </c>
      <c r="G11" s="99">
        <v>8</v>
      </c>
      <c r="H11" s="277" t="s">
        <v>949</v>
      </c>
      <c r="J11" s="99">
        <f t="shared" si="2"/>
        <v>8</v>
      </c>
      <c r="K11" s="277" t="s">
        <v>799</v>
      </c>
      <c r="M11" s="99">
        <f t="shared" si="3"/>
        <v>8</v>
      </c>
      <c r="N11" s="277" t="s">
        <v>949</v>
      </c>
      <c r="P11" s="99">
        <v>8</v>
      </c>
      <c r="Q11" s="677"/>
      <c r="U11" s="262"/>
      <c r="V11" s="44" t="s">
        <v>799</v>
      </c>
      <c r="AC11" s="262"/>
      <c r="AD11" s="44" t="s">
        <v>200</v>
      </c>
      <c r="AE11" s="262">
        <f t="shared" si="0"/>
        <v>0</v>
      </c>
    </row>
    <row r="12" spans="2:31" ht="12" x14ac:dyDescent="0.25">
      <c r="D12" s="99">
        <f t="shared" si="1"/>
        <v>9</v>
      </c>
      <c r="E12" s="277" t="s">
        <v>949</v>
      </c>
      <c r="G12" s="99">
        <v>9</v>
      </c>
      <c r="H12" s="277" t="s">
        <v>200</v>
      </c>
      <c r="J12" s="99">
        <f t="shared" si="2"/>
        <v>9</v>
      </c>
      <c r="K12" s="277" t="s">
        <v>853</v>
      </c>
      <c r="M12" s="99">
        <f t="shared" si="3"/>
        <v>9</v>
      </c>
      <c r="N12" s="277" t="s">
        <v>200</v>
      </c>
      <c r="P12" s="99">
        <v>9</v>
      </c>
      <c r="Q12" s="677"/>
      <c r="U12" s="262"/>
      <c r="V12" s="44" t="s">
        <v>853</v>
      </c>
      <c r="AC12" s="262"/>
      <c r="AD12" s="44" t="s">
        <v>849</v>
      </c>
      <c r="AE12" s="262">
        <f t="shared" si="0"/>
        <v>0</v>
      </c>
    </row>
    <row r="13" spans="2:31" ht="12" x14ac:dyDescent="0.25">
      <c r="D13" s="99">
        <f t="shared" si="1"/>
        <v>10</v>
      </c>
      <c r="E13" s="277" t="s">
        <v>949</v>
      </c>
      <c r="G13" s="99">
        <v>10</v>
      </c>
      <c r="H13" s="277" t="s">
        <v>1059</v>
      </c>
      <c r="J13" s="99">
        <f t="shared" si="2"/>
        <v>10</v>
      </c>
      <c r="K13" s="277" t="s">
        <v>207</v>
      </c>
      <c r="M13" s="99">
        <f t="shared" si="3"/>
        <v>10</v>
      </c>
      <c r="N13" s="277" t="s">
        <v>1059</v>
      </c>
      <c r="P13" s="99">
        <v>10</v>
      </c>
      <c r="Q13" s="677"/>
      <c r="U13" s="262"/>
      <c r="V13" s="44" t="s">
        <v>207</v>
      </c>
      <c r="AC13" s="262"/>
      <c r="AD13" s="44" t="s">
        <v>850</v>
      </c>
      <c r="AE13" s="262">
        <f t="shared" si="0"/>
        <v>0</v>
      </c>
    </row>
    <row r="14" spans="2:31" ht="12" x14ac:dyDescent="0.25">
      <c r="D14" s="99">
        <f t="shared" si="1"/>
        <v>11</v>
      </c>
      <c r="E14" s="277" t="s">
        <v>200</v>
      </c>
      <c r="G14" s="99">
        <v>11</v>
      </c>
      <c r="H14" s="277" t="s">
        <v>1060</v>
      </c>
      <c r="J14" s="99">
        <f t="shared" si="2"/>
        <v>11</v>
      </c>
      <c r="K14" s="277" t="s">
        <v>367</v>
      </c>
      <c r="M14" s="99">
        <f t="shared" si="3"/>
        <v>11</v>
      </c>
      <c r="N14" s="277" t="s">
        <v>1060</v>
      </c>
      <c r="P14" s="99">
        <v>11</v>
      </c>
      <c r="Q14" s="677"/>
      <c r="U14" s="262"/>
      <c r="V14" s="44" t="s">
        <v>367</v>
      </c>
      <c r="AC14" s="262"/>
      <c r="AD14" s="44" t="s">
        <v>851</v>
      </c>
      <c r="AE14" s="262">
        <f t="shared" si="0"/>
        <v>0</v>
      </c>
    </row>
    <row r="15" spans="2:31" ht="12" x14ac:dyDescent="0.25">
      <c r="D15" s="99">
        <f t="shared" si="1"/>
        <v>12</v>
      </c>
      <c r="E15" s="277" t="s">
        <v>1059</v>
      </c>
      <c r="G15" s="99">
        <v>12</v>
      </c>
      <c r="H15" s="277" t="s">
        <v>1061</v>
      </c>
      <c r="J15" s="99">
        <f t="shared" si="2"/>
        <v>12</v>
      </c>
      <c r="K15" s="277" t="s">
        <v>1067</v>
      </c>
      <c r="M15" s="99">
        <f t="shared" si="3"/>
        <v>12</v>
      </c>
      <c r="N15" s="277" t="s">
        <v>1061</v>
      </c>
      <c r="P15" s="99">
        <v>12</v>
      </c>
      <c r="Q15" s="677"/>
      <c r="U15" s="262"/>
      <c r="V15" s="44" t="s">
        <v>208</v>
      </c>
      <c r="AC15" s="262"/>
      <c r="AD15" s="44" t="s">
        <v>852</v>
      </c>
      <c r="AE15" s="262">
        <f t="shared" si="0"/>
        <v>0</v>
      </c>
    </row>
    <row r="16" spans="2:31" ht="12" x14ac:dyDescent="0.25">
      <c r="D16" s="99">
        <f t="shared" si="1"/>
        <v>13</v>
      </c>
      <c r="E16" s="277" t="s">
        <v>1060</v>
      </c>
      <c r="G16" s="99">
        <v>13</v>
      </c>
      <c r="H16" s="277" t="s">
        <v>852</v>
      </c>
      <c r="J16" s="99">
        <f t="shared" si="2"/>
        <v>13</v>
      </c>
      <c r="K16" s="277" t="s">
        <v>800</v>
      </c>
      <c r="M16" s="99">
        <f t="shared" si="3"/>
        <v>13</v>
      </c>
      <c r="N16" s="277" t="s">
        <v>201</v>
      </c>
      <c r="P16" s="99">
        <v>13</v>
      </c>
      <c r="Q16" s="677"/>
      <c r="U16" s="262"/>
      <c r="V16" s="44" t="s">
        <v>226</v>
      </c>
      <c r="AC16" s="262"/>
      <c r="AD16" s="44" t="s">
        <v>204</v>
      </c>
      <c r="AE16" s="262">
        <f t="shared" si="0"/>
        <v>0</v>
      </c>
    </row>
    <row r="17" spans="4:31" ht="12" x14ac:dyDescent="0.25">
      <c r="D17" s="99">
        <f t="shared" si="1"/>
        <v>14</v>
      </c>
      <c r="E17" s="277" t="s">
        <v>1061</v>
      </c>
      <c r="G17" s="99">
        <v>14</v>
      </c>
      <c r="H17" s="277" t="s">
        <v>204</v>
      </c>
      <c r="J17" s="99">
        <f t="shared" si="2"/>
        <v>14</v>
      </c>
      <c r="K17" s="277" t="s">
        <v>801</v>
      </c>
      <c r="M17" s="99">
        <f t="shared" si="3"/>
        <v>14</v>
      </c>
      <c r="N17" s="277" t="s">
        <v>202</v>
      </c>
      <c r="P17" s="99">
        <v>14</v>
      </c>
      <c r="Q17" s="677"/>
      <c r="U17" s="262"/>
      <c r="V17" s="44" t="s">
        <v>225</v>
      </c>
      <c r="AC17" s="262"/>
      <c r="AD17" s="44" t="s">
        <v>797</v>
      </c>
      <c r="AE17" s="262">
        <f t="shared" si="0"/>
        <v>0</v>
      </c>
    </row>
    <row r="18" spans="4:31" ht="12" x14ac:dyDescent="0.25">
      <c r="D18" s="99">
        <f t="shared" si="1"/>
        <v>15</v>
      </c>
      <c r="E18" s="277" t="s">
        <v>852</v>
      </c>
      <c r="G18" s="99">
        <v>15</v>
      </c>
      <c r="H18" s="277" t="s">
        <v>797</v>
      </c>
      <c r="J18" s="99">
        <f t="shared" si="2"/>
        <v>15</v>
      </c>
      <c r="K18" s="277" t="s">
        <v>830</v>
      </c>
      <c r="M18" s="99">
        <f t="shared" si="3"/>
        <v>15</v>
      </c>
      <c r="N18" s="277" t="s">
        <v>203</v>
      </c>
      <c r="P18" s="99">
        <v>15</v>
      </c>
      <c r="Q18" s="677"/>
      <c r="U18" s="262"/>
      <c r="V18" s="44" t="s">
        <v>209</v>
      </c>
      <c r="AC18" s="262"/>
      <c r="AD18" s="44" t="s">
        <v>798</v>
      </c>
      <c r="AE18" s="262">
        <f t="shared" si="0"/>
        <v>0</v>
      </c>
    </row>
    <row r="19" spans="4:31" ht="12" x14ac:dyDescent="0.25">
      <c r="D19" s="99">
        <f t="shared" si="1"/>
        <v>16</v>
      </c>
      <c r="E19" s="277" t="s">
        <v>204</v>
      </c>
      <c r="G19" s="99">
        <v>16</v>
      </c>
      <c r="H19" s="277" t="s">
        <v>798</v>
      </c>
      <c r="J19" s="99">
        <f t="shared" si="2"/>
        <v>16</v>
      </c>
      <c r="K19" s="277" t="s">
        <v>854</v>
      </c>
      <c r="M19" s="99">
        <f t="shared" si="3"/>
        <v>16</v>
      </c>
      <c r="N19" s="277" t="s">
        <v>1070</v>
      </c>
      <c r="P19" s="99">
        <v>16</v>
      </c>
      <c r="Q19" s="677"/>
      <c r="U19" s="262"/>
      <c r="V19" s="44" t="s">
        <v>210</v>
      </c>
      <c r="AC19" s="262"/>
      <c r="AD19" s="44" t="s">
        <v>205</v>
      </c>
      <c r="AE19" s="262">
        <f t="shared" si="0"/>
        <v>0</v>
      </c>
    </row>
    <row r="20" spans="4:31" ht="12" x14ac:dyDescent="0.25">
      <c r="D20" s="99">
        <f t="shared" si="1"/>
        <v>17</v>
      </c>
      <c r="E20" s="277" t="s">
        <v>797</v>
      </c>
      <c r="G20" s="99">
        <v>17</v>
      </c>
      <c r="H20" s="277" t="s">
        <v>205</v>
      </c>
      <c r="J20" s="99">
        <f t="shared" si="2"/>
        <v>17</v>
      </c>
      <c r="K20" s="277" t="s">
        <v>855</v>
      </c>
      <c r="M20" s="99">
        <f t="shared" si="3"/>
        <v>17</v>
      </c>
      <c r="N20" s="277" t="s">
        <v>1071</v>
      </c>
      <c r="P20" s="99">
        <v>17</v>
      </c>
      <c r="Q20" s="677"/>
      <c r="U20" s="262"/>
      <c r="V20" s="44" t="s">
        <v>211</v>
      </c>
      <c r="AC20" s="262"/>
      <c r="AD20" s="44" t="s">
        <v>708</v>
      </c>
      <c r="AE20" s="262">
        <f t="shared" si="0"/>
        <v>0</v>
      </c>
    </row>
    <row r="21" spans="4:31" ht="12" x14ac:dyDescent="0.25">
      <c r="D21" s="99">
        <f t="shared" si="1"/>
        <v>18</v>
      </c>
      <c r="E21" s="277" t="s">
        <v>798</v>
      </c>
      <c r="G21" s="99">
        <v>18</v>
      </c>
      <c r="H21" s="277" t="s">
        <v>708</v>
      </c>
      <c r="J21" s="99">
        <f t="shared" si="2"/>
        <v>18</v>
      </c>
      <c r="K21" s="277" t="s">
        <v>856</v>
      </c>
      <c r="M21" s="99">
        <f t="shared" si="3"/>
        <v>18</v>
      </c>
      <c r="N21" s="277" t="s">
        <v>1072</v>
      </c>
      <c r="P21" s="99">
        <v>18</v>
      </c>
      <c r="Q21" s="677"/>
      <c r="U21" s="262"/>
      <c r="V21" s="44" t="s">
        <v>854</v>
      </c>
      <c r="AC21" s="262"/>
      <c r="AD21" s="44" t="s">
        <v>206</v>
      </c>
      <c r="AE21" s="262">
        <f t="shared" si="0"/>
        <v>0</v>
      </c>
    </row>
    <row r="22" spans="4:31" ht="12" x14ac:dyDescent="0.25">
      <c r="D22" s="99">
        <f t="shared" si="1"/>
        <v>19</v>
      </c>
      <c r="E22" s="277" t="s">
        <v>205</v>
      </c>
      <c r="G22" s="99">
        <v>19</v>
      </c>
      <c r="H22" s="277" t="s">
        <v>206</v>
      </c>
      <c r="J22" s="99">
        <f t="shared" si="2"/>
        <v>19</v>
      </c>
      <c r="K22" s="277" t="s">
        <v>857</v>
      </c>
      <c r="M22" s="99">
        <f t="shared" si="3"/>
        <v>19</v>
      </c>
      <c r="N22" s="277" t="s">
        <v>1073</v>
      </c>
      <c r="P22" s="99">
        <v>19</v>
      </c>
      <c r="Q22" s="677"/>
      <c r="U22" s="262"/>
      <c r="V22" s="44" t="s">
        <v>855</v>
      </c>
      <c r="AC22" s="262"/>
      <c r="AD22" s="44" t="s">
        <v>799</v>
      </c>
      <c r="AE22" s="262">
        <f t="shared" si="0"/>
        <v>0</v>
      </c>
    </row>
    <row r="23" spans="4:31" ht="12" x14ac:dyDescent="0.25">
      <c r="D23" s="99">
        <f t="shared" si="1"/>
        <v>20</v>
      </c>
      <c r="E23" s="277" t="s">
        <v>708</v>
      </c>
      <c r="G23" s="99">
        <v>20</v>
      </c>
      <c r="H23" s="277" t="s">
        <v>799</v>
      </c>
      <c r="J23" s="99">
        <f t="shared" si="2"/>
        <v>20</v>
      </c>
      <c r="K23" s="277" t="s">
        <v>858</v>
      </c>
      <c r="M23" s="99">
        <f t="shared" si="3"/>
        <v>20</v>
      </c>
      <c r="N23" s="277" t="s">
        <v>1074</v>
      </c>
      <c r="P23" s="99">
        <v>20</v>
      </c>
      <c r="Q23" s="677"/>
      <c r="U23" s="262"/>
      <c r="V23" s="44" t="s">
        <v>856</v>
      </c>
      <c r="AC23" s="262"/>
      <c r="AD23" s="44" t="s">
        <v>853</v>
      </c>
      <c r="AE23" s="262">
        <f t="shared" si="0"/>
        <v>0</v>
      </c>
    </row>
    <row r="24" spans="4:31" ht="12" x14ac:dyDescent="0.25">
      <c r="D24" s="99">
        <f t="shared" si="1"/>
        <v>21</v>
      </c>
      <c r="E24" s="277" t="s">
        <v>206</v>
      </c>
      <c r="G24" s="99">
        <v>21</v>
      </c>
      <c r="H24" s="277" t="s">
        <v>853</v>
      </c>
      <c r="J24" s="99">
        <f t="shared" si="2"/>
        <v>21</v>
      </c>
      <c r="K24" s="277" t="s">
        <v>859</v>
      </c>
      <c r="M24" s="99">
        <f t="shared" si="3"/>
        <v>21</v>
      </c>
      <c r="N24" s="277" t="s">
        <v>1075</v>
      </c>
      <c r="P24" s="99">
        <v>21</v>
      </c>
      <c r="Q24" s="677"/>
      <c r="U24" s="262"/>
      <c r="V24" s="44" t="s">
        <v>857</v>
      </c>
      <c r="AC24" s="262"/>
      <c r="AD24" s="44" t="s">
        <v>207</v>
      </c>
      <c r="AE24" s="262">
        <f t="shared" si="0"/>
        <v>0</v>
      </c>
    </row>
    <row r="25" spans="4:31" ht="12" x14ac:dyDescent="0.25">
      <c r="D25" s="99">
        <f t="shared" si="1"/>
        <v>22</v>
      </c>
      <c r="E25" s="277" t="s">
        <v>799</v>
      </c>
      <c r="G25" s="99">
        <v>22</v>
      </c>
      <c r="H25" s="277" t="s">
        <v>207</v>
      </c>
      <c r="J25" s="99">
        <f t="shared" si="2"/>
        <v>22</v>
      </c>
      <c r="K25" s="277" t="s">
        <v>860</v>
      </c>
      <c r="M25" s="99">
        <f t="shared" si="3"/>
        <v>22</v>
      </c>
      <c r="N25" s="277" t="s">
        <v>1076</v>
      </c>
      <c r="P25" s="99">
        <v>22</v>
      </c>
      <c r="Q25" s="677"/>
      <c r="U25" s="262"/>
      <c r="V25" s="44" t="s">
        <v>858</v>
      </c>
      <c r="AC25" s="262"/>
      <c r="AD25" s="44" t="s">
        <v>367</v>
      </c>
      <c r="AE25" s="262">
        <f t="shared" si="0"/>
        <v>0</v>
      </c>
    </row>
    <row r="26" spans="4:31" ht="12" x14ac:dyDescent="0.25">
      <c r="D26" s="99">
        <f t="shared" si="1"/>
        <v>23</v>
      </c>
      <c r="E26" s="277" t="s">
        <v>853</v>
      </c>
      <c r="G26" s="99">
        <v>23</v>
      </c>
      <c r="H26" s="277" t="s">
        <v>367</v>
      </c>
      <c r="J26" s="99">
        <f t="shared" si="2"/>
        <v>23</v>
      </c>
      <c r="K26" s="277" t="s">
        <v>861</v>
      </c>
      <c r="M26" s="99">
        <f t="shared" si="3"/>
        <v>23</v>
      </c>
      <c r="N26" s="277" t="s">
        <v>1077</v>
      </c>
      <c r="P26" s="99">
        <v>23</v>
      </c>
      <c r="Q26" s="677"/>
      <c r="U26" s="262"/>
      <c r="V26" s="44" t="s">
        <v>859</v>
      </c>
      <c r="AC26" s="262"/>
      <c r="AD26" s="44" t="s">
        <v>208</v>
      </c>
      <c r="AE26" s="262">
        <f t="shared" si="0"/>
        <v>0</v>
      </c>
    </row>
    <row r="27" spans="4:31" ht="12" x14ac:dyDescent="0.25">
      <c r="D27" s="99">
        <f t="shared" si="1"/>
        <v>24</v>
      </c>
      <c r="E27" s="277" t="s">
        <v>207</v>
      </c>
      <c r="G27" s="99">
        <v>24</v>
      </c>
      <c r="H27" s="277" t="s">
        <v>1067</v>
      </c>
      <c r="J27" s="99">
        <f t="shared" si="2"/>
        <v>24</v>
      </c>
      <c r="K27" s="277" t="s">
        <v>862</v>
      </c>
      <c r="M27" s="99">
        <f t="shared" si="3"/>
        <v>24</v>
      </c>
      <c r="N27" s="277" t="s">
        <v>1078</v>
      </c>
      <c r="P27" s="99">
        <v>24</v>
      </c>
      <c r="Q27" s="677"/>
      <c r="U27" s="262"/>
      <c r="V27" s="44" t="s">
        <v>860</v>
      </c>
      <c r="AC27" s="262"/>
      <c r="AD27" s="44" t="s">
        <v>209</v>
      </c>
      <c r="AE27" s="262">
        <f t="shared" si="0"/>
        <v>0</v>
      </c>
    </row>
    <row r="28" spans="4:31" ht="12" x14ac:dyDescent="0.25">
      <c r="D28" s="99">
        <f t="shared" si="1"/>
        <v>25</v>
      </c>
      <c r="E28" s="277" t="s">
        <v>367</v>
      </c>
      <c r="G28" s="99">
        <v>25</v>
      </c>
      <c r="H28" s="277" t="s">
        <v>800</v>
      </c>
      <c r="J28" s="99">
        <f t="shared" si="2"/>
        <v>25</v>
      </c>
      <c r="K28" s="277" t="s">
        <v>1068</v>
      </c>
      <c r="M28" s="99">
        <f t="shared" si="3"/>
        <v>25</v>
      </c>
      <c r="N28" s="277" t="s">
        <v>1086</v>
      </c>
      <c r="P28" s="99">
        <v>25</v>
      </c>
      <c r="Q28" s="677"/>
      <c r="U28" s="262"/>
      <c r="V28" s="44" t="s">
        <v>861</v>
      </c>
      <c r="AC28" s="262"/>
      <c r="AD28" s="44" t="s">
        <v>210</v>
      </c>
      <c r="AE28" s="262">
        <f t="shared" si="0"/>
        <v>0</v>
      </c>
    </row>
    <row r="29" spans="4:31" ht="12" x14ac:dyDescent="0.25">
      <c r="D29" s="99">
        <f t="shared" si="1"/>
        <v>26</v>
      </c>
      <c r="E29" s="277" t="s">
        <v>1067</v>
      </c>
      <c r="G29" s="99">
        <v>26</v>
      </c>
      <c r="H29" s="277" t="s">
        <v>801</v>
      </c>
      <c r="J29" s="99">
        <f t="shared" si="2"/>
        <v>26</v>
      </c>
      <c r="K29" s="277" t="s">
        <v>1069</v>
      </c>
      <c r="M29" s="99">
        <f t="shared" si="3"/>
        <v>26</v>
      </c>
      <c r="N29" s="277" t="s">
        <v>1087</v>
      </c>
      <c r="P29" s="99">
        <v>26</v>
      </c>
      <c r="Q29" s="677"/>
      <c r="U29" s="262"/>
      <c r="V29" s="44" t="s">
        <v>862</v>
      </c>
      <c r="AC29" s="262"/>
      <c r="AD29" s="44" t="s">
        <v>211</v>
      </c>
      <c r="AE29" s="262">
        <f t="shared" si="0"/>
        <v>0</v>
      </c>
    </row>
    <row r="30" spans="4:31" ht="12" x14ac:dyDescent="0.25">
      <c r="D30" s="99">
        <f t="shared" si="1"/>
        <v>27</v>
      </c>
      <c r="E30" s="277" t="s">
        <v>800</v>
      </c>
      <c r="G30" s="99">
        <v>27</v>
      </c>
      <c r="H30" s="277" t="s">
        <v>830</v>
      </c>
      <c r="J30" s="99">
        <f t="shared" si="2"/>
        <v>27</v>
      </c>
      <c r="K30" s="277" t="s">
        <v>1079</v>
      </c>
      <c r="M30" s="99">
        <f t="shared" si="3"/>
        <v>27</v>
      </c>
      <c r="N30" s="277" t="s">
        <v>1088</v>
      </c>
      <c r="P30" s="99">
        <v>27</v>
      </c>
      <c r="Q30" s="677"/>
      <c r="U30" s="262"/>
      <c r="V30" s="44" t="s">
        <v>863</v>
      </c>
      <c r="AC30" s="262"/>
      <c r="AD30" s="44" t="s">
        <v>201</v>
      </c>
      <c r="AE30" s="262">
        <f t="shared" si="0"/>
        <v>0</v>
      </c>
    </row>
    <row r="31" spans="4:31" ht="12" x14ac:dyDescent="0.25">
      <c r="D31" s="99">
        <f t="shared" si="1"/>
        <v>28</v>
      </c>
      <c r="E31" s="277" t="s">
        <v>801</v>
      </c>
      <c r="G31" s="99">
        <v>28</v>
      </c>
      <c r="H31" s="277" t="s">
        <v>201</v>
      </c>
      <c r="J31" s="99">
        <f t="shared" si="2"/>
        <v>28</v>
      </c>
      <c r="K31" s="277" t="s">
        <v>1080</v>
      </c>
      <c r="M31" s="99">
        <f t="shared" si="3"/>
        <v>28</v>
      </c>
      <c r="N31" s="277" t="s">
        <v>1089</v>
      </c>
      <c r="P31" s="99">
        <v>28</v>
      </c>
      <c r="Q31" s="677"/>
      <c r="U31" s="262"/>
      <c r="V31" s="44" t="s">
        <v>864</v>
      </c>
      <c r="AC31" s="262"/>
      <c r="AD31" s="44" t="s">
        <v>202</v>
      </c>
      <c r="AE31" s="262">
        <f t="shared" si="0"/>
        <v>0</v>
      </c>
    </row>
    <row r="32" spans="4:31" ht="12" x14ac:dyDescent="0.25">
      <c r="D32" s="99">
        <f t="shared" si="1"/>
        <v>29</v>
      </c>
      <c r="E32" s="277" t="s">
        <v>830</v>
      </c>
      <c r="G32" s="99">
        <v>29</v>
      </c>
      <c r="H32" s="277" t="s">
        <v>202</v>
      </c>
      <c r="J32" s="99">
        <f t="shared" si="2"/>
        <v>29</v>
      </c>
      <c r="K32" s="277" t="s">
        <v>1081</v>
      </c>
      <c r="M32" s="99">
        <f t="shared" si="3"/>
        <v>29</v>
      </c>
      <c r="N32" s="277" t="s">
        <v>1090</v>
      </c>
      <c r="P32" s="99">
        <v>29</v>
      </c>
      <c r="Q32" s="677"/>
      <c r="U32" s="262"/>
      <c r="V32" s="44" t="s">
        <v>874</v>
      </c>
      <c r="AC32" s="262"/>
      <c r="AD32" s="44" t="s">
        <v>203</v>
      </c>
      <c r="AE32" s="262">
        <f t="shared" si="0"/>
        <v>0</v>
      </c>
    </row>
    <row r="33" spans="4:31" ht="12" x14ac:dyDescent="0.25">
      <c r="D33" s="99">
        <f t="shared" si="1"/>
        <v>30</v>
      </c>
      <c r="E33" s="277" t="s">
        <v>201</v>
      </c>
      <c r="G33" s="99">
        <v>30</v>
      </c>
      <c r="H33" s="277" t="s">
        <v>203</v>
      </c>
      <c r="J33" s="99">
        <f t="shared" si="2"/>
        <v>30</v>
      </c>
      <c r="K33" s="277" t="s">
        <v>1082</v>
      </c>
      <c r="M33" s="99">
        <f t="shared" si="3"/>
        <v>30</v>
      </c>
      <c r="N33" s="277" t="s">
        <v>1091</v>
      </c>
      <c r="P33" s="99">
        <v>30</v>
      </c>
      <c r="Q33" s="677"/>
      <c r="U33" s="262"/>
      <c r="V33" s="44" t="s">
        <v>875</v>
      </c>
      <c r="AC33" s="262"/>
      <c r="AD33" s="44" t="s">
        <v>854</v>
      </c>
      <c r="AE33" s="262">
        <f t="shared" si="0"/>
        <v>0</v>
      </c>
    </row>
    <row r="34" spans="4:31" ht="12" x14ac:dyDescent="0.25">
      <c r="D34" s="99">
        <f t="shared" si="1"/>
        <v>31</v>
      </c>
      <c r="E34" s="277" t="s">
        <v>202</v>
      </c>
      <c r="G34" s="99">
        <v>31</v>
      </c>
      <c r="H34" s="277" t="s">
        <v>854</v>
      </c>
      <c r="J34" s="99">
        <f t="shared" si="2"/>
        <v>31</v>
      </c>
      <c r="K34" s="277" t="s">
        <v>1083</v>
      </c>
      <c r="M34" s="99">
        <f t="shared" si="3"/>
        <v>31</v>
      </c>
      <c r="N34" s="277" t="s">
        <v>1092</v>
      </c>
      <c r="P34" s="99">
        <v>31</v>
      </c>
      <c r="Q34" s="677"/>
      <c r="U34" s="262"/>
      <c r="V34" s="44" t="s">
        <v>876</v>
      </c>
      <c r="AC34" s="262"/>
      <c r="AD34" s="44" t="s">
        <v>855</v>
      </c>
      <c r="AE34" s="262">
        <f t="shared" si="0"/>
        <v>0</v>
      </c>
    </row>
    <row r="35" spans="4:31" ht="12" x14ac:dyDescent="0.25">
      <c r="D35" s="99">
        <f t="shared" si="1"/>
        <v>32</v>
      </c>
      <c r="E35" s="277" t="s">
        <v>203</v>
      </c>
      <c r="G35" s="99">
        <v>32</v>
      </c>
      <c r="H35" s="277" t="s">
        <v>855</v>
      </c>
      <c r="J35" s="99">
        <f t="shared" si="2"/>
        <v>32</v>
      </c>
      <c r="K35" s="277" t="s">
        <v>1084</v>
      </c>
      <c r="M35" s="99">
        <f t="shared" si="3"/>
        <v>32</v>
      </c>
      <c r="N35" s="277" t="s">
        <v>1093</v>
      </c>
      <c r="P35" s="99">
        <v>32</v>
      </c>
      <c r="Q35" s="677"/>
      <c r="U35" s="262"/>
      <c r="V35" s="44" t="s">
        <v>877</v>
      </c>
      <c r="AC35" s="262"/>
      <c r="AD35" s="44" t="s">
        <v>856</v>
      </c>
      <c r="AE35" s="262">
        <f t="shared" si="0"/>
        <v>0</v>
      </c>
    </row>
    <row r="36" spans="4:31" ht="12" x14ac:dyDescent="0.25">
      <c r="D36" s="99">
        <f t="shared" si="1"/>
        <v>33</v>
      </c>
      <c r="E36" s="277" t="s">
        <v>854</v>
      </c>
      <c r="G36" s="99">
        <v>33</v>
      </c>
      <c r="H36" s="277" t="s">
        <v>856</v>
      </c>
      <c r="J36" s="99">
        <f t="shared" si="2"/>
        <v>33</v>
      </c>
      <c r="K36" s="277" t="s">
        <v>1085</v>
      </c>
      <c r="M36" s="99">
        <f t="shared" si="3"/>
        <v>33</v>
      </c>
      <c r="N36" s="277" t="s">
        <v>1094</v>
      </c>
      <c r="P36" s="99">
        <v>33</v>
      </c>
      <c r="Q36" s="677"/>
      <c r="U36" s="262"/>
      <c r="V36" s="44" t="s">
        <v>878</v>
      </c>
      <c r="AC36" s="262"/>
      <c r="AD36" s="44" t="s">
        <v>857</v>
      </c>
      <c r="AE36" s="262">
        <f t="shared" si="0"/>
        <v>0</v>
      </c>
    </row>
    <row r="37" spans="4:31" ht="12" x14ac:dyDescent="0.25">
      <c r="D37" s="99">
        <f t="shared" si="1"/>
        <v>34</v>
      </c>
      <c r="E37" s="277" t="s">
        <v>855</v>
      </c>
      <c r="G37" s="99">
        <v>34</v>
      </c>
      <c r="H37" s="277" t="s">
        <v>857</v>
      </c>
      <c r="J37" s="99">
        <f t="shared" si="2"/>
        <v>34</v>
      </c>
      <c r="K37" s="277" t="s">
        <v>1095</v>
      </c>
      <c r="M37" s="99">
        <f t="shared" si="3"/>
        <v>34</v>
      </c>
      <c r="N37" s="277" t="s">
        <v>1100</v>
      </c>
      <c r="P37" s="99">
        <v>34</v>
      </c>
      <c r="Q37" s="677"/>
      <c r="U37" s="262"/>
      <c r="V37" s="44" t="s">
        <v>879</v>
      </c>
      <c r="AC37" s="262"/>
      <c r="AD37" s="44" t="s">
        <v>858</v>
      </c>
      <c r="AE37" s="262">
        <f t="shared" si="0"/>
        <v>0</v>
      </c>
    </row>
    <row r="38" spans="4:31" ht="12" x14ac:dyDescent="0.25">
      <c r="D38" s="99">
        <f t="shared" si="1"/>
        <v>35</v>
      </c>
      <c r="E38" s="277" t="s">
        <v>856</v>
      </c>
      <c r="G38" s="99">
        <v>35</v>
      </c>
      <c r="H38" s="277" t="s">
        <v>858</v>
      </c>
      <c r="J38" s="99">
        <f t="shared" si="2"/>
        <v>35</v>
      </c>
      <c r="K38" s="277" t="s">
        <v>1096</v>
      </c>
      <c r="M38" s="99">
        <f t="shared" si="3"/>
        <v>35</v>
      </c>
      <c r="N38" s="277" t="s">
        <v>1101</v>
      </c>
      <c r="P38" s="99">
        <v>35</v>
      </c>
      <c r="Q38" s="677"/>
      <c r="U38" s="262"/>
      <c r="V38" s="44" t="s">
        <v>880</v>
      </c>
      <c r="AC38" s="262"/>
      <c r="AD38" s="44" t="s">
        <v>859</v>
      </c>
      <c r="AE38" s="262">
        <f t="shared" si="0"/>
        <v>0</v>
      </c>
    </row>
    <row r="39" spans="4:31" ht="12" x14ac:dyDescent="0.25">
      <c r="D39" s="99">
        <f t="shared" si="1"/>
        <v>36</v>
      </c>
      <c r="E39" s="277" t="s">
        <v>857</v>
      </c>
      <c r="G39" s="99">
        <v>36</v>
      </c>
      <c r="H39" s="277" t="s">
        <v>859</v>
      </c>
      <c r="J39" s="99">
        <f t="shared" si="2"/>
        <v>36</v>
      </c>
      <c r="K39" s="277" t="s">
        <v>1097</v>
      </c>
      <c r="M39" s="99">
        <f t="shared" si="3"/>
        <v>36</v>
      </c>
      <c r="N39" s="277" t="s">
        <v>1102</v>
      </c>
      <c r="P39" s="99">
        <v>36</v>
      </c>
      <c r="Q39" s="677"/>
      <c r="U39" s="262"/>
      <c r="V39" s="44" t="s">
        <v>955</v>
      </c>
      <c r="AC39" s="262"/>
      <c r="AD39" s="44" t="s">
        <v>860</v>
      </c>
      <c r="AE39" s="262">
        <f t="shared" si="0"/>
        <v>0</v>
      </c>
    </row>
    <row r="40" spans="4:31" ht="12" x14ac:dyDescent="0.25">
      <c r="D40" s="99">
        <f t="shared" si="1"/>
        <v>37</v>
      </c>
      <c r="E40" s="277" t="s">
        <v>858</v>
      </c>
      <c r="G40" s="99">
        <v>37</v>
      </c>
      <c r="H40" s="277" t="s">
        <v>860</v>
      </c>
      <c r="J40" s="99">
        <f t="shared" si="2"/>
        <v>37</v>
      </c>
      <c r="K40" s="277" t="s">
        <v>1098</v>
      </c>
      <c r="M40" s="99">
        <f t="shared" si="3"/>
        <v>37</v>
      </c>
      <c r="N40" s="277" t="s">
        <v>1103</v>
      </c>
      <c r="P40" s="99">
        <v>37</v>
      </c>
      <c r="Q40" s="677"/>
      <c r="U40" s="262"/>
      <c r="V40" s="44" t="s">
        <v>956</v>
      </c>
      <c r="AC40" s="262"/>
      <c r="AD40" s="44" t="s">
        <v>861</v>
      </c>
      <c r="AE40" s="262">
        <f t="shared" si="0"/>
        <v>0</v>
      </c>
    </row>
    <row r="41" spans="4:31" ht="12" x14ac:dyDescent="0.25">
      <c r="D41" s="99">
        <f t="shared" si="1"/>
        <v>38</v>
      </c>
      <c r="E41" s="277" t="s">
        <v>859</v>
      </c>
      <c r="G41" s="99">
        <v>38</v>
      </c>
      <c r="H41" s="277" t="s">
        <v>861</v>
      </c>
      <c r="J41" s="99">
        <f t="shared" si="2"/>
        <v>38</v>
      </c>
      <c r="K41" s="277" t="s">
        <v>1099</v>
      </c>
      <c r="M41" s="99">
        <f t="shared" si="3"/>
        <v>38</v>
      </c>
      <c r="N41" s="277" t="s">
        <v>1115</v>
      </c>
      <c r="P41" s="99">
        <v>38</v>
      </c>
      <c r="Q41" s="677"/>
      <c r="U41" s="262"/>
      <c r="V41" s="44" t="s">
        <v>957</v>
      </c>
      <c r="AC41" s="262"/>
      <c r="AD41" s="44" t="s">
        <v>862</v>
      </c>
      <c r="AE41" s="262">
        <f t="shared" si="0"/>
        <v>0</v>
      </c>
    </row>
    <row r="42" spans="4:31" ht="12" x14ac:dyDescent="0.25">
      <c r="D42" s="99">
        <f t="shared" si="1"/>
        <v>39</v>
      </c>
      <c r="E42" s="277" t="s">
        <v>860</v>
      </c>
      <c r="G42" s="99">
        <v>39</v>
      </c>
      <c r="H42" s="277" t="s">
        <v>862</v>
      </c>
      <c r="J42" s="99">
        <f t="shared" si="2"/>
        <v>39</v>
      </c>
      <c r="K42" s="277" t="s">
        <v>1104</v>
      </c>
      <c r="M42" s="99">
        <f t="shared" si="3"/>
        <v>39</v>
      </c>
      <c r="N42" s="277" t="s">
        <v>1116</v>
      </c>
      <c r="P42" s="99">
        <v>39</v>
      </c>
      <c r="Q42" s="677"/>
      <c r="U42" s="262"/>
      <c r="V42" s="44" t="s">
        <v>958</v>
      </c>
      <c r="AC42" s="262"/>
      <c r="AD42" s="44" t="s">
        <v>863</v>
      </c>
      <c r="AE42" s="262">
        <f t="shared" si="0"/>
        <v>0</v>
      </c>
    </row>
    <row r="43" spans="4:31" s="262" customFormat="1" ht="12" x14ac:dyDescent="0.25">
      <c r="D43" s="99">
        <f t="shared" si="1"/>
        <v>40</v>
      </c>
      <c r="E43" s="277" t="s">
        <v>861</v>
      </c>
      <c r="G43" s="99">
        <v>40</v>
      </c>
      <c r="H43" s="277" t="s">
        <v>1068</v>
      </c>
      <c r="J43" s="99">
        <f t="shared" si="2"/>
        <v>40</v>
      </c>
      <c r="K43" s="277" t="s">
        <v>1105</v>
      </c>
      <c r="M43" s="99">
        <f t="shared" si="3"/>
        <v>40</v>
      </c>
      <c r="N43" s="277" t="s">
        <v>1117</v>
      </c>
      <c r="P43" s="99">
        <f>1+P42</f>
        <v>40</v>
      </c>
      <c r="Q43" s="679"/>
      <c r="V43" s="262" t="s">
        <v>959</v>
      </c>
      <c r="AD43" s="262" t="s">
        <v>864</v>
      </c>
      <c r="AE43" s="262">
        <f t="shared" si="0"/>
        <v>0</v>
      </c>
    </row>
    <row r="44" spans="4:31" s="262" customFormat="1" ht="12" x14ac:dyDescent="0.25">
      <c r="D44" s="99">
        <f t="shared" si="1"/>
        <v>41</v>
      </c>
      <c r="E44" s="277" t="s">
        <v>862</v>
      </c>
      <c r="G44" s="99">
        <v>41</v>
      </c>
      <c r="H44" s="277" t="s">
        <v>1069</v>
      </c>
      <c r="J44" s="99">
        <f t="shared" si="2"/>
        <v>41</v>
      </c>
      <c r="K44" s="277" t="s">
        <v>1106</v>
      </c>
      <c r="M44" s="99">
        <f t="shared" si="3"/>
        <v>41</v>
      </c>
      <c r="N44" s="277" t="s">
        <v>1118</v>
      </c>
      <c r="P44" s="99">
        <f t="shared" ref="P44:P107" si="4">1+P43</f>
        <v>41</v>
      </c>
      <c r="Q44" s="679"/>
      <c r="AD44" s="262" t="s">
        <v>865</v>
      </c>
      <c r="AE44" s="262">
        <f t="shared" si="0"/>
        <v>0</v>
      </c>
    </row>
    <row r="45" spans="4:31" s="262" customFormat="1" ht="12" x14ac:dyDescent="0.25">
      <c r="D45" s="99">
        <f t="shared" si="1"/>
        <v>42</v>
      </c>
      <c r="E45" s="277" t="s">
        <v>1068</v>
      </c>
      <c r="G45" s="99">
        <v>42</v>
      </c>
      <c r="H45" s="277" t="s">
        <v>1070</v>
      </c>
      <c r="J45" s="99">
        <f t="shared" si="2"/>
        <v>42</v>
      </c>
      <c r="K45" s="277" t="s">
        <v>1107</v>
      </c>
      <c r="M45" s="99">
        <f t="shared" si="3"/>
        <v>42</v>
      </c>
      <c r="N45" s="277" t="s">
        <v>1119</v>
      </c>
      <c r="P45" s="99">
        <f t="shared" si="4"/>
        <v>42</v>
      </c>
      <c r="Q45" s="679"/>
      <c r="AD45" s="262" t="s">
        <v>866</v>
      </c>
      <c r="AE45" s="262">
        <f t="shared" si="0"/>
        <v>0</v>
      </c>
    </row>
    <row r="46" spans="4:31" s="262" customFormat="1" ht="12" x14ac:dyDescent="0.25">
      <c r="D46" s="99">
        <f t="shared" si="1"/>
        <v>43</v>
      </c>
      <c r="E46" s="277" t="s">
        <v>1069</v>
      </c>
      <c r="G46" s="99">
        <v>43</v>
      </c>
      <c r="H46" s="277" t="s">
        <v>1071</v>
      </c>
      <c r="J46" s="99">
        <f t="shared" si="2"/>
        <v>43</v>
      </c>
      <c r="K46" s="277" t="s">
        <v>1108</v>
      </c>
      <c r="M46" s="99">
        <f t="shared" si="3"/>
        <v>43</v>
      </c>
      <c r="N46" s="277" t="s">
        <v>1120</v>
      </c>
      <c r="P46" s="99">
        <f t="shared" si="4"/>
        <v>43</v>
      </c>
      <c r="Q46" s="679"/>
      <c r="AD46" s="262" t="s">
        <v>867</v>
      </c>
      <c r="AE46" s="262">
        <f t="shared" si="0"/>
        <v>0</v>
      </c>
    </row>
    <row r="47" spans="4:31" s="262" customFormat="1" ht="12" x14ac:dyDescent="0.25">
      <c r="D47" s="99">
        <f t="shared" si="1"/>
        <v>44</v>
      </c>
      <c r="E47" s="277" t="s">
        <v>1070</v>
      </c>
      <c r="G47" s="99">
        <v>44</v>
      </c>
      <c r="H47" s="277" t="s">
        <v>1072</v>
      </c>
      <c r="J47" s="99">
        <f t="shared" si="2"/>
        <v>44</v>
      </c>
      <c r="K47" s="277" t="s">
        <v>1109</v>
      </c>
      <c r="M47" s="99">
        <f t="shared" si="3"/>
        <v>44</v>
      </c>
      <c r="N47" s="277" t="s">
        <v>1121</v>
      </c>
      <c r="P47" s="99">
        <f t="shared" si="4"/>
        <v>44</v>
      </c>
      <c r="Q47" s="679"/>
      <c r="AD47" s="262" t="s">
        <v>868</v>
      </c>
      <c r="AE47" s="262">
        <f t="shared" si="0"/>
        <v>0</v>
      </c>
    </row>
    <row r="48" spans="4:31" s="262" customFormat="1" ht="12" x14ac:dyDescent="0.25">
      <c r="D48" s="99">
        <f t="shared" si="1"/>
        <v>45</v>
      </c>
      <c r="E48" s="277" t="s">
        <v>1071</v>
      </c>
      <c r="G48" s="99">
        <v>45</v>
      </c>
      <c r="H48" s="277" t="s">
        <v>1073</v>
      </c>
      <c r="J48" s="99">
        <f t="shared" si="2"/>
        <v>45</v>
      </c>
      <c r="K48" s="277" t="s">
        <v>1110</v>
      </c>
      <c r="M48" s="99">
        <f t="shared" si="3"/>
        <v>45</v>
      </c>
      <c r="N48" s="277" t="s">
        <v>1122</v>
      </c>
      <c r="P48" s="99">
        <f t="shared" si="4"/>
        <v>45</v>
      </c>
      <c r="Q48" s="679"/>
      <c r="AD48" s="262" t="s">
        <v>869</v>
      </c>
      <c r="AE48" s="262">
        <f t="shared" si="0"/>
        <v>0</v>
      </c>
    </row>
    <row r="49" spans="4:31" s="262" customFormat="1" ht="12" x14ac:dyDescent="0.25">
      <c r="D49" s="99">
        <f t="shared" si="1"/>
        <v>46</v>
      </c>
      <c r="E49" s="277" t="s">
        <v>1072</v>
      </c>
      <c r="G49" s="99">
        <v>46</v>
      </c>
      <c r="H49" s="277" t="s">
        <v>1074</v>
      </c>
      <c r="J49" s="99">
        <f t="shared" si="2"/>
        <v>46</v>
      </c>
      <c r="K49" s="277" t="s">
        <v>1111</v>
      </c>
      <c r="M49" s="99">
        <f t="shared" si="3"/>
        <v>46</v>
      </c>
      <c r="N49" s="277" t="s">
        <v>1123</v>
      </c>
      <c r="P49" s="99">
        <f t="shared" si="4"/>
        <v>46</v>
      </c>
      <c r="Q49" s="679"/>
      <c r="AD49" s="262" t="s">
        <v>870</v>
      </c>
      <c r="AE49" s="262">
        <f t="shared" si="0"/>
        <v>0</v>
      </c>
    </row>
    <row r="50" spans="4:31" ht="12" x14ac:dyDescent="0.25">
      <c r="D50" s="99">
        <f t="shared" si="1"/>
        <v>47</v>
      </c>
      <c r="E50" s="277" t="s">
        <v>1073</v>
      </c>
      <c r="G50" s="99">
        <v>47</v>
      </c>
      <c r="H50" s="277" t="s">
        <v>1075</v>
      </c>
      <c r="J50" s="99">
        <f t="shared" si="2"/>
        <v>47</v>
      </c>
      <c r="K50" s="277" t="s">
        <v>1112</v>
      </c>
      <c r="M50" s="99">
        <f t="shared" si="3"/>
        <v>47</v>
      </c>
      <c r="N50" s="677"/>
      <c r="P50" s="99">
        <f t="shared" si="4"/>
        <v>47</v>
      </c>
      <c r="Q50" s="679"/>
      <c r="AC50" s="262"/>
      <c r="AD50" s="44" t="s">
        <v>871</v>
      </c>
      <c r="AE50" s="262">
        <f t="shared" si="0"/>
        <v>0</v>
      </c>
    </row>
    <row r="51" spans="4:31" ht="12" x14ac:dyDescent="0.25">
      <c r="D51" s="99">
        <f t="shared" si="1"/>
        <v>48</v>
      </c>
      <c r="E51" s="277" t="s">
        <v>1074</v>
      </c>
      <c r="G51" s="99">
        <v>48</v>
      </c>
      <c r="H51" s="277" t="s">
        <v>1076</v>
      </c>
      <c r="J51" s="99">
        <f t="shared" si="2"/>
        <v>48</v>
      </c>
      <c r="K51" s="277" t="s">
        <v>1113</v>
      </c>
      <c r="M51" s="99">
        <f t="shared" si="3"/>
        <v>48</v>
      </c>
      <c r="N51" s="677"/>
      <c r="P51" s="99">
        <f t="shared" si="4"/>
        <v>48</v>
      </c>
      <c r="Q51" s="679"/>
      <c r="AC51" s="262"/>
      <c r="AD51" s="44" t="s">
        <v>872</v>
      </c>
      <c r="AE51" s="262">
        <f t="shared" si="0"/>
        <v>0</v>
      </c>
    </row>
    <row r="52" spans="4:31" ht="12" x14ac:dyDescent="0.25">
      <c r="D52" s="99">
        <f t="shared" si="1"/>
        <v>49</v>
      </c>
      <c r="E52" s="277" t="s">
        <v>1075</v>
      </c>
      <c r="G52" s="99">
        <v>49</v>
      </c>
      <c r="H52" s="277" t="s">
        <v>1077</v>
      </c>
      <c r="J52" s="99">
        <f t="shared" si="2"/>
        <v>49</v>
      </c>
      <c r="K52" s="277" t="s">
        <v>1114</v>
      </c>
      <c r="M52" s="99">
        <f t="shared" si="3"/>
        <v>49</v>
      </c>
      <c r="N52" s="677"/>
      <c r="P52" s="99">
        <f t="shared" si="4"/>
        <v>49</v>
      </c>
      <c r="Q52" s="679"/>
      <c r="AC52" s="262"/>
      <c r="AD52" s="44" t="s">
        <v>873</v>
      </c>
      <c r="AE52" s="262">
        <f t="shared" si="0"/>
        <v>0</v>
      </c>
    </row>
    <row r="53" spans="4:31" ht="12" x14ac:dyDescent="0.25">
      <c r="D53" s="99">
        <f t="shared" si="1"/>
        <v>50</v>
      </c>
      <c r="E53" s="277" t="s">
        <v>1076</v>
      </c>
      <c r="G53" s="99">
        <v>50</v>
      </c>
      <c r="H53" s="277" t="s">
        <v>1078</v>
      </c>
      <c r="J53" s="99">
        <f t="shared" si="2"/>
        <v>50</v>
      </c>
      <c r="K53" s="277" t="s">
        <v>817</v>
      </c>
      <c r="M53" s="99">
        <f t="shared" si="3"/>
        <v>50</v>
      </c>
      <c r="N53" s="677"/>
      <c r="P53" s="99">
        <f t="shared" si="4"/>
        <v>50</v>
      </c>
      <c r="Q53" s="679"/>
      <c r="AC53" s="262"/>
      <c r="AD53" s="44" t="s">
        <v>874</v>
      </c>
      <c r="AE53" s="262">
        <f t="shared" si="0"/>
        <v>0</v>
      </c>
    </row>
    <row r="54" spans="4:31" ht="12" x14ac:dyDescent="0.25">
      <c r="D54" s="99">
        <f t="shared" si="1"/>
        <v>51</v>
      </c>
      <c r="E54" s="277" t="s">
        <v>1077</v>
      </c>
      <c r="G54" s="99">
        <v>51</v>
      </c>
      <c r="H54" s="277" t="s">
        <v>1079</v>
      </c>
      <c r="J54" s="99">
        <f t="shared" si="2"/>
        <v>51</v>
      </c>
      <c r="K54" s="277" t="s">
        <v>818</v>
      </c>
      <c r="M54" s="99">
        <f t="shared" si="3"/>
        <v>51</v>
      </c>
      <c r="N54" s="677"/>
      <c r="P54" s="99">
        <f t="shared" si="4"/>
        <v>51</v>
      </c>
      <c r="Q54" s="679"/>
      <c r="AC54" s="262"/>
      <c r="AD54" s="44" t="s">
        <v>875</v>
      </c>
      <c r="AE54" s="262">
        <f t="shared" si="0"/>
        <v>0</v>
      </c>
    </row>
    <row r="55" spans="4:31" ht="12" x14ac:dyDescent="0.25">
      <c r="D55" s="99">
        <f t="shared" si="1"/>
        <v>52</v>
      </c>
      <c r="E55" s="277" t="s">
        <v>1078</v>
      </c>
      <c r="G55" s="99">
        <v>52</v>
      </c>
      <c r="H55" s="277" t="s">
        <v>1080</v>
      </c>
      <c r="J55" s="99">
        <f t="shared" si="2"/>
        <v>52</v>
      </c>
      <c r="K55" s="277" t="s">
        <v>1043</v>
      </c>
      <c r="M55" s="99">
        <f t="shared" si="3"/>
        <v>52</v>
      </c>
      <c r="N55" s="677"/>
      <c r="P55" s="99">
        <f t="shared" si="4"/>
        <v>52</v>
      </c>
      <c r="Q55" s="679"/>
      <c r="AC55" s="262"/>
      <c r="AD55" s="44" t="s">
        <v>876</v>
      </c>
      <c r="AE55" s="262">
        <f t="shared" si="0"/>
        <v>0</v>
      </c>
    </row>
    <row r="56" spans="4:31" ht="12" x14ac:dyDescent="0.25">
      <c r="D56" s="99">
        <f t="shared" si="1"/>
        <v>53</v>
      </c>
      <c r="E56" s="277" t="s">
        <v>1079</v>
      </c>
      <c r="G56" s="99">
        <v>53</v>
      </c>
      <c r="H56" s="277" t="s">
        <v>1081</v>
      </c>
      <c r="J56" s="99">
        <f t="shared" si="2"/>
        <v>53</v>
      </c>
      <c r="K56" s="277" t="s">
        <v>844</v>
      </c>
      <c r="M56" s="99">
        <f t="shared" si="3"/>
        <v>53</v>
      </c>
      <c r="N56" s="677"/>
      <c r="P56" s="99">
        <f t="shared" si="4"/>
        <v>53</v>
      </c>
      <c r="Q56" s="679"/>
      <c r="AC56" s="262"/>
      <c r="AD56" s="44" t="s">
        <v>877</v>
      </c>
      <c r="AE56" s="262">
        <f t="shared" si="0"/>
        <v>0</v>
      </c>
    </row>
    <row r="57" spans="4:31" ht="12" x14ac:dyDescent="0.25">
      <c r="D57" s="99">
        <f t="shared" si="1"/>
        <v>54</v>
      </c>
      <c r="E57" s="277" t="s">
        <v>1080</v>
      </c>
      <c r="G57" s="99">
        <v>54</v>
      </c>
      <c r="H57" s="277" t="s">
        <v>1082</v>
      </c>
      <c r="J57" s="99">
        <f t="shared" si="2"/>
        <v>54</v>
      </c>
      <c r="K57" s="277" t="s">
        <v>845</v>
      </c>
      <c r="M57" s="99">
        <f t="shared" si="3"/>
        <v>54</v>
      </c>
      <c r="N57" s="677"/>
      <c r="P57" s="99">
        <f t="shared" si="4"/>
        <v>54</v>
      </c>
      <c r="Q57" s="679"/>
      <c r="AC57" s="262"/>
      <c r="AD57" s="44" t="s">
        <v>878</v>
      </c>
      <c r="AE57" s="262">
        <f t="shared" si="0"/>
        <v>0</v>
      </c>
    </row>
    <row r="58" spans="4:31" ht="12" x14ac:dyDescent="0.25">
      <c r="D58" s="99">
        <f t="shared" si="1"/>
        <v>55</v>
      </c>
      <c r="E58" s="277" t="s">
        <v>1081</v>
      </c>
      <c r="G58" s="99">
        <v>55</v>
      </c>
      <c r="H58" s="277" t="s">
        <v>1083</v>
      </c>
      <c r="J58" s="99">
        <f t="shared" si="2"/>
        <v>55</v>
      </c>
      <c r="K58" s="277" t="s">
        <v>846</v>
      </c>
      <c r="M58" s="99">
        <f t="shared" si="3"/>
        <v>55</v>
      </c>
      <c r="N58" s="677"/>
      <c r="P58" s="99">
        <f t="shared" si="4"/>
        <v>55</v>
      </c>
      <c r="Q58" s="679"/>
      <c r="AC58" s="262"/>
      <c r="AD58" s="44" t="s">
        <v>879</v>
      </c>
      <c r="AE58" s="262">
        <f t="shared" si="0"/>
        <v>0</v>
      </c>
    </row>
    <row r="59" spans="4:31" ht="12" x14ac:dyDescent="0.25">
      <c r="D59" s="99">
        <f t="shared" si="1"/>
        <v>56</v>
      </c>
      <c r="E59" s="277" t="s">
        <v>1082</v>
      </c>
      <c r="G59" s="99">
        <v>56</v>
      </c>
      <c r="H59" s="277" t="s">
        <v>1084</v>
      </c>
      <c r="J59" s="99">
        <f t="shared" si="2"/>
        <v>56</v>
      </c>
      <c r="K59" s="277" t="s">
        <v>1044</v>
      </c>
      <c r="M59" s="99">
        <f t="shared" si="3"/>
        <v>56</v>
      </c>
      <c r="N59" s="677"/>
      <c r="P59" s="99">
        <f t="shared" si="4"/>
        <v>56</v>
      </c>
      <c r="Q59" s="679"/>
      <c r="AC59" s="262"/>
      <c r="AD59" s="44" t="s">
        <v>880</v>
      </c>
      <c r="AE59" s="262">
        <f t="shared" si="0"/>
        <v>0</v>
      </c>
    </row>
    <row r="60" spans="4:31" s="262" customFormat="1" ht="12" x14ac:dyDescent="0.25">
      <c r="D60" s="99">
        <f t="shared" si="1"/>
        <v>57</v>
      </c>
      <c r="E60" s="277" t="s">
        <v>1083</v>
      </c>
      <c r="G60" s="99">
        <v>57</v>
      </c>
      <c r="H60" s="277" t="s">
        <v>1085</v>
      </c>
      <c r="J60" s="99">
        <f t="shared" si="2"/>
        <v>57</v>
      </c>
      <c r="K60" s="277" t="s">
        <v>1045</v>
      </c>
      <c r="M60" s="99">
        <f t="shared" si="3"/>
        <v>57</v>
      </c>
      <c r="N60" s="677"/>
      <c r="P60" s="99">
        <f t="shared" si="4"/>
        <v>57</v>
      </c>
      <c r="Q60" s="679"/>
      <c r="AD60" s="262" t="s">
        <v>881</v>
      </c>
      <c r="AE60" s="262">
        <f t="shared" si="0"/>
        <v>0</v>
      </c>
    </row>
    <row r="61" spans="4:31" s="262" customFormat="1" ht="12" x14ac:dyDescent="0.25">
      <c r="D61" s="99">
        <f t="shared" si="1"/>
        <v>58</v>
      </c>
      <c r="E61" s="277" t="s">
        <v>1084</v>
      </c>
      <c r="G61" s="99">
        <v>58</v>
      </c>
      <c r="H61" s="277" t="s">
        <v>1086</v>
      </c>
      <c r="J61" s="99">
        <f t="shared" si="2"/>
        <v>58</v>
      </c>
      <c r="K61" s="277" t="s">
        <v>1046</v>
      </c>
      <c r="M61" s="99">
        <f t="shared" si="3"/>
        <v>58</v>
      </c>
      <c r="N61" s="677"/>
      <c r="P61" s="99">
        <f t="shared" si="4"/>
        <v>58</v>
      </c>
      <c r="Q61" s="679"/>
      <c r="AD61" s="262" t="s">
        <v>882</v>
      </c>
      <c r="AE61" s="262">
        <f t="shared" si="0"/>
        <v>0</v>
      </c>
    </row>
    <row r="62" spans="4:31" s="262" customFormat="1" ht="12" x14ac:dyDescent="0.25">
      <c r="D62" s="99">
        <f t="shared" si="1"/>
        <v>59</v>
      </c>
      <c r="E62" s="277" t="s">
        <v>1085</v>
      </c>
      <c r="G62" s="99">
        <v>59</v>
      </c>
      <c r="H62" s="277" t="s">
        <v>1087</v>
      </c>
      <c r="J62" s="99">
        <f t="shared" si="2"/>
        <v>59</v>
      </c>
      <c r="K62" s="277" t="s">
        <v>1047</v>
      </c>
      <c r="M62" s="99">
        <f t="shared" si="3"/>
        <v>59</v>
      </c>
      <c r="N62" s="677"/>
      <c r="P62" s="99">
        <f t="shared" si="4"/>
        <v>59</v>
      </c>
      <c r="Q62" s="679"/>
      <c r="AD62" s="262" t="s">
        <v>883</v>
      </c>
      <c r="AE62" s="262">
        <f t="shared" si="0"/>
        <v>0</v>
      </c>
    </row>
    <row r="63" spans="4:31" s="262" customFormat="1" ht="12" x14ac:dyDescent="0.25">
      <c r="D63" s="99">
        <f t="shared" si="1"/>
        <v>60</v>
      </c>
      <c r="E63" s="277" t="s">
        <v>1086</v>
      </c>
      <c r="G63" s="99">
        <v>60</v>
      </c>
      <c r="H63" s="277" t="s">
        <v>1088</v>
      </c>
      <c r="J63" s="99">
        <f t="shared" si="2"/>
        <v>60</v>
      </c>
      <c r="K63" s="277" t="s">
        <v>1048</v>
      </c>
      <c r="M63" s="99">
        <f t="shared" si="3"/>
        <v>60</v>
      </c>
      <c r="N63" s="677"/>
      <c r="P63" s="99">
        <f t="shared" si="4"/>
        <v>60</v>
      </c>
      <c r="Q63" s="679"/>
      <c r="AD63" s="262" t="s">
        <v>884</v>
      </c>
      <c r="AE63" s="262">
        <f t="shared" si="0"/>
        <v>0</v>
      </c>
    </row>
    <row r="64" spans="4:31" s="262" customFormat="1" ht="12" x14ac:dyDescent="0.25">
      <c r="D64" s="99">
        <f t="shared" si="1"/>
        <v>61</v>
      </c>
      <c r="E64" s="277" t="s">
        <v>1087</v>
      </c>
      <c r="G64" s="99">
        <v>61</v>
      </c>
      <c r="H64" s="277" t="s">
        <v>1089</v>
      </c>
      <c r="J64" s="99">
        <f t="shared" si="2"/>
        <v>61</v>
      </c>
      <c r="K64" s="277" t="s">
        <v>1049</v>
      </c>
      <c r="M64" s="99">
        <f t="shared" si="3"/>
        <v>61</v>
      </c>
      <c r="N64" s="677"/>
      <c r="P64" s="99">
        <f t="shared" si="4"/>
        <v>61</v>
      </c>
      <c r="Q64" s="679"/>
      <c r="AD64" s="262" t="s">
        <v>885</v>
      </c>
      <c r="AE64" s="262">
        <f t="shared" si="0"/>
        <v>0</v>
      </c>
    </row>
    <row r="65" spans="4:31" s="262" customFormat="1" ht="12" x14ac:dyDescent="0.25">
      <c r="D65" s="99">
        <f t="shared" si="1"/>
        <v>62</v>
      </c>
      <c r="E65" s="277" t="s">
        <v>1088</v>
      </c>
      <c r="G65" s="99">
        <v>62</v>
      </c>
      <c r="H65" s="277" t="s">
        <v>1090</v>
      </c>
      <c r="J65" s="99">
        <f t="shared" si="2"/>
        <v>62</v>
      </c>
      <c r="K65" s="277" t="s">
        <v>1050</v>
      </c>
      <c r="M65" s="99">
        <f t="shared" si="3"/>
        <v>62</v>
      </c>
      <c r="N65" s="677"/>
      <c r="P65" s="99">
        <f t="shared" si="4"/>
        <v>62</v>
      </c>
      <c r="Q65" s="679"/>
      <c r="AD65" s="262" t="s">
        <v>886</v>
      </c>
      <c r="AE65" s="262">
        <f t="shared" si="0"/>
        <v>0</v>
      </c>
    </row>
    <row r="66" spans="4:31" s="262" customFormat="1" ht="12" x14ac:dyDescent="0.25">
      <c r="D66" s="99">
        <f t="shared" si="1"/>
        <v>63</v>
      </c>
      <c r="E66" s="277" t="s">
        <v>1089</v>
      </c>
      <c r="G66" s="99">
        <v>63</v>
      </c>
      <c r="H66" s="277" t="s">
        <v>1091</v>
      </c>
      <c r="J66" s="99">
        <f t="shared" si="2"/>
        <v>63</v>
      </c>
      <c r="K66" s="126" t="s">
        <v>225</v>
      </c>
      <c r="M66" s="99">
        <f t="shared" si="3"/>
        <v>63</v>
      </c>
      <c r="N66" s="677"/>
      <c r="P66" s="99">
        <f t="shared" si="4"/>
        <v>63</v>
      </c>
      <c r="Q66" s="679"/>
      <c r="AD66" s="262" t="s">
        <v>887</v>
      </c>
      <c r="AE66" s="262">
        <f t="shared" si="0"/>
        <v>0</v>
      </c>
    </row>
    <row r="67" spans="4:31" s="262" customFormat="1" ht="12" x14ac:dyDescent="0.25">
      <c r="D67" s="99">
        <f t="shared" si="1"/>
        <v>64</v>
      </c>
      <c r="E67" s="277" t="s">
        <v>1090</v>
      </c>
      <c r="G67" s="99">
        <v>64</v>
      </c>
      <c r="H67" s="277" t="s">
        <v>1092</v>
      </c>
      <c r="J67" s="99">
        <f t="shared" si="2"/>
        <v>64</v>
      </c>
      <c r="K67" s="277" t="s">
        <v>226</v>
      </c>
      <c r="M67" s="99">
        <f t="shared" si="3"/>
        <v>64</v>
      </c>
      <c r="N67" s="677"/>
      <c r="P67" s="99">
        <f t="shared" si="4"/>
        <v>64</v>
      </c>
      <c r="Q67" s="679"/>
      <c r="AD67" s="262" t="s">
        <v>888</v>
      </c>
      <c r="AE67" s="262">
        <f t="shared" si="0"/>
        <v>0</v>
      </c>
    </row>
    <row r="68" spans="4:31" s="262" customFormat="1" ht="12" x14ac:dyDescent="0.25">
      <c r="D68" s="99">
        <f t="shared" si="1"/>
        <v>65</v>
      </c>
      <c r="E68" s="277" t="s">
        <v>1091</v>
      </c>
      <c r="G68" s="99">
        <v>65</v>
      </c>
      <c r="H68" s="277" t="s">
        <v>1093</v>
      </c>
      <c r="J68" s="99">
        <f t="shared" si="2"/>
        <v>65</v>
      </c>
      <c r="K68" s="680"/>
      <c r="M68" s="99">
        <f t="shared" si="3"/>
        <v>65</v>
      </c>
      <c r="N68" s="677"/>
      <c r="P68" s="99">
        <f t="shared" si="4"/>
        <v>65</v>
      </c>
      <c r="Q68" s="679"/>
      <c r="AD68" s="262" t="s">
        <v>889</v>
      </c>
      <c r="AE68" s="262">
        <f t="shared" si="0"/>
        <v>0</v>
      </c>
    </row>
    <row r="69" spans="4:31" s="262" customFormat="1" ht="12" x14ac:dyDescent="0.25">
      <c r="D69" s="99">
        <f t="shared" si="1"/>
        <v>66</v>
      </c>
      <c r="E69" s="277" t="s">
        <v>1092</v>
      </c>
      <c r="G69" s="99">
        <v>66</v>
      </c>
      <c r="H69" s="277" t="s">
        <v>1094</v>
      </c>
      <c r="J69" s="99">
        <f t="shared" si="2"/>
        <v>66</v>
      </c>
      <c r="K69" s="680"/>
      <c r="M69" s="99">
        <f t="shared" si="3"/>
        <v>66</v>
      </c>
      <c r="N69" s="677"/>
      <c r="P69" s="99">
        <f t="shared" si="4"/>
        <v>66</v>
      </c>
      <c r="Q69" s="679"/>
      <c r="AD69" s="262" t="s">
        <v>955</v>
      </c>
      <c r="AE69" s="262">
        <f t="shared" ref="AE69:AE77" si="5">COUNTIF($AC$4:$AC$77,AD69)</f>
        <v>0</v>
      </c>
    </row>
    <row r="70" spans="4:31" s="262" customFormat="1" ht="12" x14ac:dyDescent="0.25">
      <c r="D70" s="99">
        <f t="shared" si="1"/>
        <v>67</v>
      </c>
      <c r="E70" s="277" t="s">
        <v>1093</v>
      </c>
      <c r="G70" s="99">
        <v>67</v>
      </c>
      <c r="H70" s="277" t="s">
        <v>1095</v>
      </c>
      <c r="J70" s="99">
        <f t="shared" ref="J70:J133" si="6">1+J69</f>
        <v>67</v>
      </c>
      <c r="K70" s="680"/>
      <c r="M70" s="99">
        <f t="shared" ref="M70:M133" si="7">1+M69</f>
        <v>67</v>
      </c>
      <c r="N70" s="677"/>
      <c r="P70" s="99">
        <f t="shared" si="4"/>
        <v>67</v>
      </c>
      <c r="Q70" s="679"/>
      <c r="AD70" s="262" t="s">
        <v>956</v>
      </c>
      <c r="AE70" s="262">
        <f t="shared" si="5"/>
        <v>0</v>
      </c>
    </row>
    <row r="71" spans="4:31" s="262" customFormat="1" ht="12" x14ac:dyDescent="0.25">
      <c r="D71" s="99">
        <f t="shared" si="1"/>
        <v>68</v>
      </c>
      <c r="E71" s="277" t="s">
        <v>1094</v>
      </c>
      <c r="G71" s="99">
        <v>68</v>
      </c>
      <c r="H71" s="277" t="s">
        <v>1096</v>
      </c>
      <c r="J71" s="99">
        <f t="shared" si="6"/>
        <v>68</v>
      </c>
      <c r="K71" s="680"/>
      <c r="M71" s="99">
        <f t="shared" si="7"/>
        <v>68</v>
      </c>
      <c r="N71" s="677"/>
      <c r="P71" s="99">
        <f t="shared" si="4"/>
        <v>68</v>
      </c>
      <c r="Q71" s="679"/>
      <c r="AD71" s="262" t="s">
        <v>957</v>
      </c>
      <c r="AE71" s="262">
        <f t="shared" si="5"/>
        <v>0</v>
      </c>
    </row>
    <row r="72" spans="4:31" s="262" customFormat="1" ht="12" x14ac:dyDescent="0.25">
      <c r="D72" s="99">
        <f t="shared" si="1"/>
        <v>69</v>
      </c>
      <c r="E72" s="277" t="s">
        <v>1095</v>
      </c>
      <c r="G72" s="99">
        <v>69</v>
      </c>
      <c r="H72" s="277" t="s">
        <v>1097</v>
      </c>
      <c r="J72" s="99">
        <f t="shared" si="6"/>
        <v>69</v>
      </c>
      <c r="K72" s="680"/>
      <c r="M72" s="99">
        <f t="shared" si="7"/>
        <v>69</v>
      </c>
      <c r="N72" s="677"/>
      <c r="P72" s="99">
        <f t="shared" si="4"/>
        <v>69</v>
      </c>
      <c r="Q72" s="679"/>
      <c r="AD72" s="262" t="s">
        <v>958</v>
      </c>
      <c r="AE72" s="262">
        <f t="shared" si="5"/>
        <v>0</v>
      </c>
    </row>
    <row r="73" spans="4:31" s="262" customFormat="1" ht="12" x14ac:dyDescent="0.25">
      <c r="D73" s="99">
        <f t="shared" si="1"/>
        <v>70</v>
      </c>
      <c r="E73" s="277" t="s">
        <v>1096</v>
      </c>
      <c r="G73" s="99">
        <f>G72+1</f>
        <v>70</v>
      </c>
      <c r="H73" s="277" t="s">
        <v>1098</v>
      </c>
      <c r="J73" s="99">
        <f t="shared" si="6"/>
        <v>70</v>
      </c>
      <c r="K73" s="680"/>
      <c r="M73" s="99">
        <f t="shared" si="7"/>
        <v>70</v>
      </c>
      <c r="N73" s="677"/>
      <c r="P73" s="99">
        <f t="shared" si="4"/>
        <v>70</v>
      </c>
      <c r="Q73" s="679"/>
      <c r="AD73" s="262" t="s">
        <v>959</v>
      </c>
      <c r="AE73" s="262">
        <f t="shared" si="5"/>
        <v>0</v>
      </c>
    </row>
    <row r="74" spans="4:31" s="262" customFormat="1" ht="12" x14ac:dyDescent="0.25">
      <c r="D74" s="99">
        <f t="shared" ref="D74:D137" si="8">1+D73</f>
        <v>71</v>
      </c>
      <c r="E74" s="277" t="s">
        <v>1097</v>
      </c>
      <c r="G74" s="99">
        <f t="shared" ref="G74:G137" si="9">G73+1</f>
        <v>71</v>
      </c>
      <c r="H74" s="277" t="s">
        <v>1099</v>
      </c>
      <c r="J74" s="99">
        <f t="shared" si="6"/>
        <v>71</v>
      </c>
      <c r="K74" s="680"/>
      <c r="M74" s="99">
        <f t="shared" si="7"/>
        <v>71</v>
      </c>
      <c r="N74" s="677"/>
      <c r="P74" s="99">
        <f t="shared" si="4"/>
        <v>71</v>
      </c>
      <c r="Q74" s="679"/>
      <c r="AD74" s="262" t="s">
        <v>960</v>
      </c>
      <c r="AE74" s="262">
        <f t="shared" si="5"/>
        <v>0</v>
      </c>
    </row>
    <row r="75" spans="4:31" s="262" customFormat="1" ht="12" x14ac:dyDescent="0.25">
      <c r="D75" s="99">
        <f t="shared" si="8"/>
        <v>72</v>
      </c>
      <c r="E75" s="277" t="s">
        <v>1098</v>
      </c>
      <c r="G75" s="99">
        <f t="shared" si="9"/>
        <v>72</v>
      </c>
      <c r="H75" s="277" t="s">
        <v>1100</v>
      </c>
      <c r="J75" s="99">
        <f t="shared" si="6"/>
        <v>72</v>
      </c>
      <c r="K75" s="680"/>
      <c r="M75" s="99">
        <f t="shared" si="7"/>
        <v>72</v>
      </c>
      <c r="N75" s="677"/>
      <c r="P75" s="99">
        <f t="shared" si="4"/>
        <v>72</v>
      </c>
      <c r="Q75" s="679"/>
      <c r="AD75" s="262" t="s">
        <v>961</v>
      </c>
      <c r="AE75" s="262">
        <f t="shared" si="5"/>
        <v>0</v>
      </c>
    </row>
    <row r="76" spans="4:31" s="262" customFormat="1" ht="12" x14ac:dyDescent="0.25">
      <c r="D76" s="99">
        <f t="shared" si="8"/>
        <v>73</v>
      </c>
      <c r="E76" s="277" t="s">
        <v>1099</v>
      </c>
      <c r="G76" s="99">
        <f t="shared" si="9"/>
        <v>73</v>
      </c>
      <c r="H76" s="277" t="s">
        <v>1101</v>
      </c>
      <c r="J76" s="99">
        <f t="shared" si="6"/>
        <v>73</v>
      </c>
      <c r="K76" s="680"/>
      <c r="M76" s="99">
        <f t="shared" si="7"/>
        <v>73</v>
      </c>
      <c r="N76" s="677"/>
      <c r="P76" s="99">
        <f t="shared" si="4"/>
        <v>73</v>
      </c>
      <c r="Q76" s="679"/>
      <c r="AD76" s="262" t="s">
        <v>962</v>
      </c>
      <c r="AE76" s="262">
        <f t="shared" si="5"/>
        <v>0</v>
      </c>
    </row>
    <row r="77" spans="4:31" s="262" customFormat="1" ht="12" x14ac:dyDescent="0.25">
      <c r="D77" s="99">
        <f t="shared" si="8"/>
        <v>74</v>
      </c>
      <c r="E77" s="277" t="s">
        <v>1100</v>
      </c>
      <c r="G77" s="99">
        <f t="shared" si="9"/>
        <v>74</v>
      </c>
      <c r="H77" s="277" t="s">
        <v>1102</v>
      </c>
      <c r="J77" s="99">
        <f t="shared" si="6"/>
        <v>74</v>
      </c>
      <c r="K77" s="680"/>
      <c r="M77" s="99">
        <f t="shared" si="7"/>
        <v>74</v>
      </c>
      <c r="N77" s="677"/>
      <c r="P77" s="99">
        <f t="shared" si="4"/>
        <v>74</v>
      </c>
      <c r="Q77" s="679"/>
      <c r="AD77" s="262" t="s">
        <v>963</v>
      </c>
      <c r="AE77" s="262">
        <f t="shared" si="5"/>
        <v>0</v>
      </c>
    </row>
    <row r="78" spans="4:31" s="262" customFormat="1" ht="12" x14ac:dyDescent="0.25">
      <c r="D78" s="99">
        <f t="shared" si="8"/>
        <v>75</v>
      </c>
      <c r="E78" s="277" t="s">
        <v>1101</v>
      </c>
      <c r="G78" s="99">
        <f t="shared" si="9"/>
        <v>75</v>
      </c>
      <c r="H78" s="277" t="s">
        <v>1103</v>
      </c>
      <c r="J78" s="99">
        <f t="shared" si="6"/>
        <v>75</v>
      </c>
      <c r="K78" s="680"/>
      <c r="M78" s="99">
        <f t="shared" si="7"/>
        <v>75</v>
      </c>
      <c r="N78" s="677"/>
      <c r="P78" s="99">
        <f t="shared" si="4"/>
        <v>75</v>
      </c>
      <c r="Q78" s="679"/>
    </row>
    <row r="79" spans="4:31" s="262" customFormat="1" ht="12" x14ac:dyDescent="0.25">
      <c r="D79" s="99">
        <f t="shared" si="8"/>
        <v>76</v>
      </c>
      <c r="E79" s="277" t="s">
        <v>1102</v>
      </c>
      <c r="G79" s="99">
        <f t="shared" si="9"/>
        <v>76</v>
      </c>
      <c r="H79" s="277" t="s">
        <v>1104</v>
      </c>
      <c r="J79" s="99">
        <f t="shared" si="6"/>
        <v>76</v>
      </c>
      <c r="K79" s="680"/>
      <c r="M79" s="99">
        <f t="shared" si="7"/>
        <v>76</v>
      </c>
      <c r="N79" s="677"/>
      <c r="P79" s="99">
        <f t="shared" si="4"/>
        <v>76</v>
      </c>
      <c r="Q79" s="679"/>
    </row>
    <row r="80" spans="4:31" s="262" customFormat="1" ht="12" x14ac:dyDescent="0.25">
      <c r="D80" s="99">
        <f t="shared" si="8"/>
        <v>77</v>
      </c>
      <c r="E80" s="277" t="s">
        <v>1103</v>
      </c>
      <c r="G80" s="99">
        <f t="shared" si="9"/>
        <v>77</v>
      </c>
      <c r="H80" s="277" t="s">
        <v>1105</v>
      </c>
      <c r="J80" s="99">
        <f t="shared" si="6"/>
        <v>77</v>
      </c>
      <c r="K80" s="680"/>
      <c r="M80" s="99">
        <f t="shared" si="7"/>
        <v>77</v>
      </c>
      <c r="N80" s="677"/>
      <c r="P80" s="99">
        <f t="shared" si="4"/>
        <v>77</v>
      </c>
      <c r="Q80" s="679"/>
    </row>
    <row r="81" spans="4:17" s="262" customFormat="1" ht="12" x14ac:dyDescent="0.25">
      <c r="D81" s="99">
        <f t="shared" si="8"/>
        <v>78</v>
      </c>
      <c r="E81" s="277" t="s">
        <v>1104</v>
      </c>
      <c r="G81" s="99">
        <f t="shared" si="9"/>
        <v>78</v>
      </c>
      <c r="H81" s="277" t="s">
        <v>1106</v>
      </c>
      <c r="J81" s="99">
        <f t="shared" si="6"/>
        <v>78</v>
      </c>
      <c r="K81" s="680"/>
      <c r="M81" s="99">
        <f t="shared" si="7"/>
        <v>78</v>
      </c>
      <c r="N81" s="677"/>
      <c r="P81" s="99">
        <f t="shared" si="4"/>
        <v>78</v>
      </c>
      <c r="Q81" s="679"/>
    </row>
    <row r="82" spans="4:17" s="262" customFormat="1" ht="12" x14ac:dyDescent="0.25">
      <c r="D82" s="99">
        <f t="shared" si="8"/>
        <v>79</v>
      </c>
      <c r="E82" s="277" t="s">
        <v>1105</v>
      </c>
      <c r="G82" s="99">
        <f t="shared" si="9"/>
        <v>79</v>
      </c>
      <c r="H82" s="277" t="s">
        <v>1107</v>
      </c>
      <c r="J82" s="99">
        <f t="shared" si="6"/>
        <v>79</v>
      </c>
      <c r="K82" s="680"/>
      <c r="M82" s="99">
        <f t="shared" si="7"/>
        <v>79</v>
      </c>
      <c r="N82" s="677"/>
      <c r="P82" s="99">
        <f t="shared" si="4"/>
        <v>79</v>
      </c>
      <c r="Q82" s="679"/>
    </row>
    <row r="83" spans="4:17" s="262" customFormat="1" ht="12" x14ac:dyDescent="0.25">
      <c r="D83" s="99">
        <f t="shared" si="8"/>
        <v>80</v>
      </c>
      <c r="E83" s="277" t="s">
        <v>1106</v>
      </c>
      <c r="G83" s="99">
        <f t="shared" si="9"/>
        <v>80</v>
      </c>
      <c r="H83" s="277" t="s">
        <v>1108</v>
      </c>
      <c r="J83" s="99">
        <f t="shared" si="6"/>
        <v>80</v>
      </c>
      <c r="K83" s="680"/>
      <c r="M83" s="99">
        <f t="shared" si="7"/>
        <v>80</v>
      </c>
      <c r="N83" s="677"/>
      <c r="P83" s="99">
        <f t="shared" si="4"/>
        <v>80</v>
      </c>
      <c r="Q83" s="679"/>
    </row>
    <row r="84" spans="4:17" s="262" customFormat="1" ht="12" x14ac:dyDescent="0.25">
      <c r="D84" s="99">
        <f t="shared" si="8"/>
        <v>81</v>
      </c>
      <c r="E84" s="277" t="s">
        <v>1107</v>
      </c>
      <c r="G84" s="99">
        <f t="shared" si="9"/>
        <v>81</v>
      </c>
      <c r="H84" s="277" t="s">
        <v>1109</v>
      </c>
      <c r="J84" s="99">
        <f t="shared" si="6"/>
        <v>81</v>
      </c>
      <c r="K84" s="680"/>
      <c r="M84" s="99">
        <f t="shared" si="7"/>
        <v>81</v>
      </c>
      <c r="N84" s="677"/>
      <c r="P84" s="99">
        <f t="shared" si="4"/>
        <v>81</v>
      </c>
      <c r="Q84" s="679"/>
    </row>
    <row r="85" spans="4:17" s="262" customFormat="1" ht="12" x14ac:dyDescent="0.25">
      <c r="D85" s="99">
        <f t="shared" si="8"/>
        <v>82</v>
      </c>
      <c r="E85" s="277" t="s">
        <v>1108</v>
      </c>
      <c r="G85" s="99">
        <f t="shared" si="9"/>
        <v>82</v>
      </c>
      <c r="H85" s="277" t="s">
        <v>1110</v>
      </c>
      <c r="J85" s="99">
        <f t="shared" si="6"/>
        <v>82</v>
      </c>
      <c r="K85" s="680"/>
      <c r="M85" s="99">
        <f t="shared" si="7"/>
        <v>82</v>
      </c>
      <c r="N85" s="677"/>
      <c r="P85" s="99">
        <f t="shared" si="4"/>
        <v>82</v>
      </c>
      <c r="Q85" s="679"/>
    </row>
    <row r="86" spans="4:17" s="262" customFormat="1" ht="12" x14ac:dyDescent="0.25">
      <c r="D86" s="99">
        <f t="shared" si="8"/>
        <v>83</v>
      </c>
      <c r="E86" s="277" t="s">
        <v>1109</v>
      </c>
      <c r="G86" s="99">
        <f t="shared" si="9"/>
        <v>83</v>
      </c>
      <c r="H86" s="277" t="s">
        <v>1111</v>
      </c>
      <c r="J86" s="99">
        <f t="shared" si="6"/>
        <v>83</v>
      </c>
      <c r="K86" s="680"/>
      <c r="M86" s="99">
        <f t="shared" si="7"/>
        <v>83</v>
      </c>
      <c r="N86" s="677"/>
      <c r="P86" s="99">
        <f t="shared" si="4"/>
        <v>83</v>
      </c>
      <c r="Q86" s="679"/>
    </row>
    <row r="87" spans="4:17" s="262" customFormat="1" ht="12" x14ac:dyDescent="0.25">
      <c r="D87" s="99">
        <f t="shared" si="8"/>
        <v>84</v>
      </c>
      <c r="E87" s="277" t="s">
        <v>1110</v>
      </c>
      <c r="G87" s="99">
        <f t="shared" si="9"/>
        <v>84</v>
      </c>
      <c r="H87" s="277" t="s">
        <v>1112</v>
      </c>
      <c r="J87" s="99">
        <f t="shared" si="6"/>
        <v>84</v>
      </c>
      <c r="K87" s="680"/>
      <c r="M87" s="99">
        <f t="shared" si="7"/>
        <v>84</v>
      </c>
      <c r="N87" s="677"/>
      <c r="P87" s="99">
        <f t="shared" si="4"/>
        <v>84</v>
      </c>
      <c r="Q87" s="679"/>
    </row>
    <row r="88" spans="4:17" s="262" customFormat="1" ht="12" x14ac:dyDescent="0.25">
      <c r="D88" s="99">
        <f t="shared" si="8"/>
        <v>85</v>
      </c>
      <c r="E88" s="277" t="s">
        <v>1111</v>
      </c>
      <c r="G88" s="99">
        <f t="shared" si="9"/>
        <v>85</v>
      </c>
      <c r="H88" s="277" t="s">
        <v>1113</v>
      </c>
      <c r="J88" s="99">
        <f t="shared" si="6"/>
        <v>85</v>
      </c>
      <c r="K88" s="680"/>
      <c r="M88" s="99">
        <f t="shared" si="7"/>
        <v>85</v>
      </c>
      <c r="N88" s="677"/>
      <c r="P88" s="99">
        <f t="shared" si="4"/>
        <v>85</v>
      </c>
      <c r="Q88" s="679"/>
    </row>
    <row r="89" spans="4:17" s="262" customFormat="1" ht="12" x14ac:dyDescent="0.25">
      <c r="D89" s="99">
        <f t="shared" si="8"/>
        <v>86</v>
      </c>
      <c r="E89" s="277" t="s">
        <v>1112</v>
      </c>
      <c r="G89" s="99">
        <f t="shared" si="9"/>
        <v>86</v>
      </c>
      <c r="H89" s="277" t="s">
        <v>1114</v>
      </c>
      <c r="J89" s="99">
        <f t="shared" si="6"/>
        <v>86</v>
      </c>
      <c r="K89" s="680"/>
      <c r="M89" s="99">
        <f t="shared" si="7"/>
        <v>86</v>
      </c>
      <c r="N89" s="677"/>
      <c r="P89" s="99">
        <f t="shared" si="4"/>
        <v>86</v>
      </c>
      <c r="Q89" s="679"/>
    </row>
    <row r="90" spans="4:17" s="262" customFormat="1" ht="12" x14ac:dyDescent="0.25">
      <c r="D90" s="99">
        <f t="shared" si="8"/>
        <v>87</v>
      </c>
      <c r="E90" s="277" t="s">
        <v>1113</v>
      </c>
      <c r="G90" s="99">
        <f t="shared" si="9"/>
        <v>87</v>
      </c>
      <c r="H90" s="277" t="s">
        <v>1115</v>
      </c>
      <c r="J90" s="99">
        <f t="shared" si="6"/>
        <v>87</v>
      </c>
      <c r="K90" s="680"/>
      <c r="M90" s="99">
        <f t="shared" si="7"/>
        <v>87</v>
      </c>
      <c r="N90" s="677"/>
      <c r="P90" s="99">
        <f t="shared" si="4"/>
        <v>87</v>
      </c>
      <c r="Q90" s="679"/>
    </row>
    <row r="91" spans="4:17" s="262" customFormat="1" ht="12" x14ac:dyDescent="0.25">
      <c r="D91" s="99">
        <f t="shared" si="8"/>
        <v>88</v>
      </c>
      <c r="E91" s="277" t="s">
        <v>1114</v>
      </c>
      <c r="G91" s="99">
        <f t="shared" si="9"/>
        <v>88</v>
      </c>
      <c r="H91" s="277" t="s">
        <v>1116</v>
      </c>
      <c r="J91" s="99">
        <f t="shared" si="6"/>
        <v>88</v>
      </c>
      <c r="K91" s="680"/>
      <c r="M91" s="99">
        <f t="shared" si="7"/>
        <v>88</v>
      </c>
      <c r="N91" s="677"/>
      <c r="P91" s="99">
        <f t="shared" si="4"/>
        <v>88</v>
      </c>
      <c r="Q91" s="679"/>
    </row>
    <row r="92" spans="4:17" s="262" customFormat="1" ht="12" x14ac:dyDescent="0.25">
      <c r="D92" s="99">
        <f t="shared" si="8"/>
        <v>89</v>
      </c>
      <c r="E92" s="277" t="s">
        <v>1115</v>
      </c>
      <c r="G92" s="99">
        <f t="shared" si="9"/>
        <v>89</v>
      </c>
      <c r="H92" s="277" t="s">
        <v>1117</v>
      </c>
      <c r="J92" s="99">
        <f t="shared" si="6"/>
        <v>89</v>
      </c>
      <c r="K92" s="680"/>
      <c r="M92" s="99">
        <f t="shared" si="7"/>
        <v>89</v>
      </c>
      <c r="N92" s="677"/>
      <c r="P92" s="99">
        <f t="shared" si="4"/>
        <v>89</v>
      </c>
      <c r="Q92" s="679"/>
    </row>
    <row r="93" spans="4:17" s="262" customFormat="1" ht="12" x14ac:dyDescent="0.25">
      <c r="D93" s="99">
        <f t="shared" si="8"/>
        <v>90</v>
      </c>
      <c r="E93" s="277" t="s">
        <v>1116</v>
      </c>
      <c r="G93" s="99">
        <f t="shared" si="9"/>
        <v>90</v>
      </c>
      <c r="H93" s="277" t="s">
        <v>1118</v>
      </c>
      <c r="J93" s="99">
        <f t="shared" si="6"/>
        <v>90</v>
      </c>
      <c r="K93" s="680"/>
      <c r="M93" s="99">
        <f t="shared" si="7"/>
        <v>90</v>
      </c>
      <c r="N93" s="677"/>
      <c r="P93" s="99">
        <f t="shared" si="4"/>
        <v>90</v>
      </c>
      <c r="Q93" s="679"/>
    </row>
    <row r="94" spans="4:17" s="262" customFormat="1" ht="12" x14ac:dyDescent="0.25">
      <c r="D94" s="99">
        <f t="shared" si="8"/>
        <v>91</v>
      </c>
      <c r="E94" s="277" t="s">
        <v>1117</v>
      </c>
      <c r="G94" s="99">
        <f t="shared" si="9"/>
        <v>91</v>
      </c>
      <c r="H94" s="277" t="s">
        <v>1119</v>
      </c>
      <c r="J94" s="99">
        <f t="shared" si="6"/>
        <v>91</v>
      </c>
      <c r="K94" s="680"/>
      <c r="M94" s="99">
        <f t="shared" si="7"/>
        <v>91</v>
      </c>
      <c r="N94" s="677"/>
      <c r="P94" s="99">
        <f t="shared" si="4"/>
        <v>91</v>
      </c>
      <c r="Q94" s="679"/>
    </row>
    <row r="95" spans="4:17" s="262" customFormat="1" ht="12" x14ac:dyDescent="0.25">
      <c r="D95" s="99">
        <f t="shared" si="8"/>
        <v>92</v>
      </c>
      <c r="E95" s="277" t="s">
        <v>1118</v>
      </c>
      <c r="G95" s="99">
        <f t="shared" si="9"/>
        <v>92</v>
      </c>
      <c r="H95" s="277" t="s">
        <v>1120</v>
      </c>
      <c r="J95" s="99">
        <f t="shared" si="6"/>
        <v>92</v>
      </c>
      <c r="K95" s="680"/>
      <c r="M95" s="99">
        <f t="shared" si="7"/>
        <v>92</v>
      </c>
      <c r="N95" s="677"/>
      <c r="P95" s="99">
        <f t="shared" si="4"/>
        <v>92</v>
      </c>
      <c r="Q95" s="679"/>
    </row>
    <row r="96" spans="4:17" s="262" customFormat="1" ht="12" x14ac:dyDescent="0.25">
      <c r="D96" s="99">
        <f t="shared" si="8"/>
        <v>93</v>
      </c>
      <c r="E96" s="277" t="s">
        <v>1119</v>
      </c>
      <c r="G96" s="99">
        <f t="shared" si="9"/>
        <v>93</v>
      </c>
      <c r="H96" s="277" t="s">
        <v>1121</v>
      </c>
      <c r="J96" s="99">
        <f t="shared" si="6"/>
        <v>93</v>
      </c>
      <c r="K96" s="680"/>
      <c r="M96" s="99">
        <f t="shared" si="7"/>
        <v>93</v>
      </c>
      <c r="N96" s="677"/>
      <c r="P96" s="99">
        <f t="shared" si="4"/>
        <v>93</v>
      </c>
      <c r="Q96" s="679"/>
    </row>
    <row r="97" spans="4:17" s="262" customFormat="1" ht="12" x14ac:dyDescent="0.25">
      <c r="D97" s="99">
        <f t="shared" si="8"/>
        <v>94</v>
      </c>
      <c r="E97" s="277" t="s">
        <v>1120</v>
      </c>
      <c r="G97" s="99">
        <f t="shared" si="9"/>
        <v>94</v>
      </c>
      <c r="H97" s="277" t="s">
        <v>1122</v>
      </c>
      <c r="J97" s="99">
        <f t="shared" si="6"/>
        <v>94</v>
      </c>
      <c r="K97" s="680"/>
      <c r="M97" s="99">
        <f t="shared" si="7"/>
        <v>94</v>
      </c>
      <c r="N97" s="677"/>
      <c r="P97" s="99">
        <f t="shared" si="4"/>
        <v>94</v>
      </c>
      <c r="Q97" s="679"/>
    </row>
    <row r="98" spans="4:17" s="262" customFormat="1" ht="12" x14ac:dyDescent="0.25">
      <c r="D98" s="99">
        <f t="shared" si="8"/>
        <v>95</v>
      </c>
      <c r="E98" s="277" t="s">
        <v>1121</v>
      </c>
      <c r="G98" s="99">
        <f t="shared" si="9"/>
        <v>95</v>
      </c>
      <c r="H98" s="277" t="s">
        <v>1123</v>
      </c>
      <c r="J98" s="99">
        <f t="shared" si="6"/>
        <v>95</v>
      </c>
      <c r="K98" s="680"/>
      <c r="M98" s="99">
        <f t="shared" si="7"/>
        <v>95</v>
      </c>
      <c r="N98" s="677"/>
      <c r="P98" s="99">
        <f t="shared" si="4"/>
        <v>95</v>
      </c>
      <c r="Q98" s="679"/>
    </row>
    <row r="99" spans="4:17" s="262" customFormat="1" ht="12" x14ac:dyDescent="0.25">
      <c r="D99" s="99">
        <f t="shared" si="8"/>
        <v>96</v>
      </c>
      <c r="E99" s="277" t="s">
        <v>1122</v>
      </c>
      <c r="G99" s="99">
        <f t="shared" si="9"/>
        <v>96</v>
      </c>
      <c r="H99" s="277" t="s">
        <v>817</v>
      </c>
      <c r="J99" s="99">
        <f t="shared" si="6"/>
        <v>96</v>
      </c>
      <c r="K99" s="680"/>
      <c r="M99" s="99">
        <f t="shared" si="7"/>
        <v>96</v>
      </c>
      <c r="N99" s="677"/>
      <c r="P99" s="99">
        <f t="shared" si="4"/>
        <v>96</v>
      </c>
      <c r="Q99" s="679"/>
    </row>
    <row r="100" spans="4:17" s="262" customFormat="1" ht="12" x14ac:dyDescent="0.25">
      <c r="D100" s="99">
        <f t="shared" si="8"/>
        <v>97</v>
      </c>
      <c r="E100" s="277" t="s">
        <v>1123</v>
      </c>
      <c r="G100" s="99">
        <f t="shared" si="9"/>
        <v>97</v>
      </c>
      <c r="H100" s="277" t="s">
        <v>818</v>
      </c>
      <c r="J100" s="99">
        <f t="shared" si="6"/>
        <v>97</v>
      </c>
      <c r="K100" s="680"/>
      <c r="M100" s="99">
        <f t="shared" si="7"/>
        <v>97</v>
      </c>
      <c r="N100" s="677"/>
      <c r="P100" s="99">
        <f t="shared" si="4"/>
        <v>97</v>
      </c>
      <c r="Q100" s="679"/>
    </row>
    <row r="101" spans="4:17" s="262" customFormat="1" ht="12" x14ac:dyDescent="0.25">
      <c r="D101" s="99">
        <f t="shared" si="8"/>
        <v>98</v>
      </c>
      <c r="E101" s="277" t="s">
        <v>817</v>
      </c>
      <c r="G101" s="99">
        <f t="shared" si="9"/>
        <v>98</v>
      </c>
      <c r="H101" s="277" t="s">
        <v>1043</v>
      </c>
      <c r="J101" s="99">
        <f t="shared" si="6"/>
        <v>98</v>
      </c>
      <c r="K101" s="680"/>
      <c r="M101" s="99">
        <f t="shared" si="7"/>
        <v>98</v>
      </c>
      <c r="N101" s="677"/>
      <c r="P101" s="99">
        <f t="shared" si="4"/>
        <v>98</v>
      </c>
      <c r="Q101" s="679"/>
    </row>
    <row r="102" spans="4:17" s="262" customFormat="1" ht="12" x14ac:dyDescent="0.25">
      <c r="D102" s="99">
        <f t="shared" si="8"/>
        <v>99</v>
      </c>
      <c r="E102" s="277" t="s">
        <v>818</v>
      </c>
      <c r="G102" s="99">
        <f t="shared" si="9"/>
        <v>99</v>
      </c>
      <c r="H102" s="277" t="s">
        <v>844</v>
      </c>
      <c r="J102" s="99">
        <f t="shared" si="6"/>
        <v>99</v>
      </c>
      <c r="K102" s="680"/>
      <c r="M102" s="99">
        <f t="shared" si="7"/>
        <v>99</v>
      </c>
      <c r="N102" s="677"/>
      <c r="P102" s="99">
        <f t="shared" si="4"/>
        <v>99</v>
      </c>
      <c r="Q102" s="679"/>
    </row>
    <row r="103" spans="4:17" s="262" customFormat="1" ht="12" x14ac:dyDescent="0.25">
      <c r="D103" s="99">
        <f t="shared" si="8"/>
        <v>100</v>
      </c>
      <c r="E103" s="277" t="s">
        <v>1043</v>
      </c>
      <c r="G103" s="99">
        <f t="shared" si="9"/>
        <v>100</v>
      </c>
      <c r="H103" s="277" t="s">
        <v>845</v>
      </c>
      <c r="J103" s="99">
        <f t="shared" si="6"/>
        <v>100</v>
      </c>
      <c r="K103" s="680"/>
      <c r="M103" s="99">
        <f t="shared" si="7"/>
        <v>100</v>
      </c>
      <c r="N103" s="677"/>
      <c r="P103" s="99">
        <f t="shared" si="4"/>
        <v>100</v>
      </c>
      <c r="Q103" s="679"/>
    </row>
    <row r="104" spans="4:17" s="262" customFormat="1" ht="12" x14ac:dyDescent="0.25">
      <c r="D104" s="99">
        <f t="shared" si="8"/>
        <v>101</v>
      </c>
      <c r="E104" s="277" t="s">
        <v>844</v>
      </c>
      <c r="G104" s="99">
        <f t="shared" si="9"/>
        <v>101</v>
      </c>
      <c r="H104" s="277" t="s">
        <v>846</v>
      </c>
      <c r="J104" s="99">
        <f t="shared" si="6"/>
        <v>101</v>
      </c>
      <c r="K104" s="680"/>
      <c r="M104" s="99">
        <f t="shared" si="7"/>
        <v>101</v>
      </c>
      <c r="N104" s="677"/>
      <c r="P104" s="99">
        <f t="shared" si="4"/>
        <v>101</v>
      </c>
      <c r="Q104" s="679"/>
    </row>
    <row r="105" spans="4:17" s="262" customFormat="1" ht="12" x14ac:dyDescent="0.25">
      <c r="D105" s="99">
        <f t="shared" si="8"/>
        <v>102</v>
      </c>
      <c r="E105" s="277" t="s">
        <v>845</v>
      </c>
      <c r="G105" s="99">
        <f t="shared" si="9"/>
        <v>102</v>
      </c>
      <c r="H105" s="277" t="s">
        <v>1044</v>
      </c>
      <c r="J105" s="99">
        <f t="shared" si="6"/>
        <v>102</v>
      </c>
      <c r="K105" s="680"/>
      <c r="M105" s="99">
        <f t="shared" si="7"/>
        <v>102</v>
      </c>
      <c r="N105" s="677"/>
      <c r="P105" s="99">
        <f t="shared" si="4"/>
        <v>102</v>
      </c>
      <c r="Q105" s="679"/>
    </row>
    <row r="106" spans="4:17" s="262" customFormat="1" ht="12" x14ac:dyDescent="0.25">
      <c r="D106" s="99">
        <f t="shared" si="8"/>
        <v>103</v>
      </c>
      <c r="E106" s="277" t="s">
        <v>846</v>
      </c>
      <c r="G106" s="99">
        <f t="shared" si="9"/>
        <v>103</v>
      </c>
      <c r="H106" s="277" t="s">
        <v>1045</v>
      </c>
      <c r="J106" s="99">
        <f t="shared" si="6"/>
        <v>103</v>
      </c>
      <c r="K106" s="680"/>
      <c r="M106" s="99">
        <f t="shared" si="7"/>
        <v>103</v>
      </c>
      <c r="N106" s="677"/>
      <c r="P106" s="99">
        <f t="shared" si="4"/>
        <v>103</v>
      </c>
      <c r="Q106" s="679"/>
    </row>
    <row r="107" spans="4:17" s="262" customFormat="1" ht="12" x14ac:dyDescent="0.25">
      <c r="D107" s="99">
        <f t="shared" si="8"/>
        <v>104</v>
      </c>
      <c r="E107" s="277" t="s">
        <v>1044</v>
      </c>
      <c r="G107" s="99">
        <f t="shared" si="9"/>
        <v>104</v>
      </c>
      <c r="H107" s="277" t="s">
        <v>1046</v>
      </c>
      <c r="J107" s="99">
        <f t="shared" si="6"/>
        <v>104</v>
      </c>
      <c r="K107" s="680"/>
      <c r="M107" s="99">
        <f t="shared" si="7"/>
        <v>104</v>
      </c>
      <c r="N107" s="677"/>
      <c r="P107" s="99">
        <f t="shared" si="4"/>
        <v>104</v>
      </c>
      <c r="Q107" s="679"/>
    </row>
    <row r="108" spans="4:17" s="262" customFormat="1" ht="12" x14ac:dyDescent="0.25">
      <c r="D108" s="99">
        <f t="shared" si="8"/>
        <v>105</v>
      </c>
      <c r="E108" s="277" t="s">
        <v>1045</v>
      </c>
      <c r="G108" s="99">
        <f t="shared" si="9"/>
        <v>105</v>
      </c>
      <c r="H108" s="277" t="s">
        <v>1047</v>
      </c>
      <c r="J108" s="99">
        <f t="shared" si="6"/>
        <v>105</v>
      </c>
      <c r="K108" s="680"/>
      <c r="M108" s="99">
        <f t="shared" si="7"/>
        <v>105</v>
      </c>
      <c r="N108" s="677"/>
      <c r="P108" s="99">
        <f t="shared" ref="P108:P156" si="10">1+P107</f>
        <v>105</v>
      </c>
      <c r="Q108" s="679"/>
    </row>
    <row r="109" spans="4:17" s="262" customFormat="1" ht="12" x14ac:dyDescent="0.25">
      <c r="D109" s="99">
        <f t="shared" si="8"/>
        <v>106</v>
      </c>
      <c r="E109" s="277" t="s">
        <v>1046</v>
      </c>
      <c r="G109" s="99">
        <f t="shared" si="9"/>
        <v>106</v>
      </c>
      <c r="H109" s="277" t="s">
        <v>1048</v>
      </c>
      <c r="J109" s="99">
        <f t="shared" si="6"/>
        <v>106</v>
      </c>
      <c r="K109" s="680"/>
      <c r="M109" s="99">
        <f t="shared" si="7"/>
        <v>106</v>
      </c>
      <c r="N109" s="677"/>
      <c r="P109" s="99">
        <f t="shared" si="10"/>
        <v>106</v>
      </c>
      <c r="Q109" s="679"/>
    </row>
    <row r="110" spans="4:17" s="262" customFormat="1" ht="12" x14ac:dyDescent="0.25">
      <c r="D110" s="99">
        <f t="shared" si="8"/>
        <v>107</v>
      </c>
      <c r="E110" s="277" t="s">
        <v>1047</v>
      </c>
      <c r="G110" s="99">
        <f t="shared" si="9"/>
        <v>107</v>
      </c>
      <c r="H110" s="277" t="s">
        <v>1049</v>
      </c>
      <c r="J110" s="99">
        <f t="shared" si="6"/>
        <v>107</v>
      </c>
      <c r="K110" s="680"/>
      <c r="M110" s="99">
        <f t="shared" si="7"/>
        <v>107</v>
      </c>
      <c r="N110" s="677"/>
      <c r="P110" s="99">
        <f t="shared" si="10"/>
        <v>107</v>
      </c>
      <c r="Q110" s="679"/>
    </row>
    <row r="111" spans="4:17" s="262" customFormat="1" ht="12" x14ac:dyDescent="0.25">
      <c r="D111" s="99">
        <f t="shared" si="8"/>
        <v>108</v>
      </c>
      <c r="E111" s="277" t="s">
        <v>1048</v>
      </c>
      <c r="G111" s="99">
        <f t="shared" si="9"/>
        <v>108</v>
      </c>
      <c r="H111" s="277" t="s">
        <v>1050</v>
      </c>
      <c r="J111" s="99">
        <f t="shared" si="6"/>
        <v>108</v>
      </c>
      <c r="K111" s="680"/>
      <c r="M111" s="99">
        <f t="shared" si="7"/>
        <v>108</v>
      </c>
      <c r="N111" s="677"/>
      <c r="P111" s="99">
        <f t="shared" si="10"/>
        <v>108</v>
      </c>
      <c r="Q111" s="679"/>
    </row>
    <row r="112" spans="4:17" s="262" customFormat="1" ht="12" x14ac:dyDescent="0.25">
      <c r="D112" s="99">
        <f t="shared" si="8"/>
        <v>109</v>
      </c>
      <c r="E112" s="277" t="s">
        <v>1049</v>
      </c>
      <c r="G112" s="99">
        <f t="shared" si="9"/>
        <v>109</v>
      </c>
      <c r="H112" s="680"/>
      <c r="J112" s="99">
        <f t="shared" si="6"/>
        <v>109</v>
      </c>
      <c r="K112" s="680"/>
      <c r="M112" s="99">
        <f t="shared" si="7"/>
        <v>109</v>
      </c>
      <c r="N112" s="677"/>
      <c r="P112" s="99">
        <f t="shared" si="10"/>
        <v>109</v>
      </c>
      <c r="Q112" s="679"/>
    </row>
    <row r="113" spans="4:17" s="262" customFormat="1" ht="12" x14ac:dyDescent="0.25">
      <c r="D113" s="99">
        <f t="shared" si="8"/>
        <v>110</v>
      </c>
      <c r="E113" s="277" t="s">
        <v>1050</v>
      </c>
      <c r="G113" s="99">
        <f t="shared" si="9"/>
        <v>110</v>
      </c>
      <c r="H113" s="680"/>
      <c r="J113" s="99">
        <f t="shared" si="6"/>
        <v>110</v>
      </c>
      <c r="K113" s="680"/>
      <c r="M113" s="99">
        <f t="shared" si="7"/>
        <v>110</v>
      </c>
      <c r="N113" s="677"/>
      <c r="P113" s="99">
        <f t="shared" si="10"/>
        <v>110</v>
      </c>
      <c r="Q113" s="679"/>
    </row>
    <row r="114" spans="4:17" s="262" customFormat="1" ht="12" x14ac:dyDescent="0.25">
      <c r="D114" s="99">
        <f t="shared" si="8"/>
        <v>111</v>
      </c>
      <c r="E114" s="277"/>
      <c r="G114" s="99">
        <f t="shared" si="9"/>
        <v>111</v>
      </c>
      <c r="H114" s="680"/>
      <c r="J114" s="99">
        <f t="shared" si="6"/>
        <v>111</v>
      </c>
      <c r="K114" s="680"/>
      <c r="M114" s="99">
        <f t="shared" si="7"/>
        <v>111</v>
      </c>
      <c r="N114" s="677"/>
      <c r="P114" s="99">
        <f t="shared" si="10"/>
        <v>111</v>
      </c>
      <c r="Q114" s="679"/>
    </row>
    <row r="115" spans="4:17" s="262" customFormat="1" ht="12" x14ac:dyDescent="0.25">
      <c r="D115" s="99">
        <f t="shared" si="8"/>
        <v>112</v>
      </c>
      <c r="E115" s="277"/>
      <c r="G115" s="99">
        <f t="shared" si="9"/>
        <v>112</v>
      </c>
      <c r="H115" s="680"/>
      <c r="J115" s="99">
        <f t="shared" si="6"/>
        <v>112</v>
      </c>
      <c r="K115" s="680"/>
      <c r="M115" s="99">
        <f t="shared" si="7"/>
        <v>112</v>
      </c>
      <c r="N115" s="677"/>
      <c r="P115" s="99">
        <f t="shared" si="10"/>
        <v>112</v>
      </c>
      <c r="Q115" s="679"/>
    </row>
    <row r="116" spans="4:17" s="262" customFormat="1" ht="12" x14ac:dyDescent="0.25">
      <c r="D116" s="99">
        <f t="shared" si="8"/>
        <v>113</v>
      </c>
      <c r="E116" s="277"/>
      <c r="G116" s="99">
        <f t="shared" si="9"/>
        <v>113</v>
      </c>
      <c r="H116" s="680"/>
      <c r="J116" s="99">
        <f t="shared" si="6"/>
        <v>113</v>
      </c>
      <c r="K116" s="680"/>
      <c r="M116" s="99">
        <f t="shared" si="7"/>
        <v>113</v>
      </c>
      <c r="N116" s="677"/>
      <c r="P116" s="99">
        <f t="shared" si="10"/>
        <v>113</v>
      </c>
      <c r="Q116" s="679"/>
    </row>
    <row r="117" spans="4:17" s="262" customFormat="1" ht="12" x14ac:dyDescent="0.25">
      <c r="D117" s="99">
        <f t="shared" si="8"/>
        <v>114</v>
      </c>
      <c r="E117" s="277"/>
      <c r="G117" s="99">
        <f t="shared" si="9"/>
        <v>114</v>
      </c>
      <c r="H117" s="680"/>
      <c r="J117" s="99">
        <f t="shared" si="6"/>
        <v>114</v>
      </c>
      <c r="K117" s="680"/>
      <c r="M117" s="99">
        <f t="shared" si="7"/>
        <v>114</v>
      </c>
      <c r="N117" s="677"/>
      <c r="P117" s="99">
        <f t="shared" si="10"/>
        <v>114</v>
      </c>
      <c r="Q117" s="679"/>
    </row>
    <row r="118" spans="4:17" s="262" customFormat="1" ht="12" x14ac:dyDescent="0.25">
      <c r="D118" s="99">
        <f t="shared" si="8"/>
        <v>115</v>
      </c>
      <c r="E118" s="277"/>
      <c r="G118" s="99">
        <f t="shared" si="9"/>
        <v>115</v>
      </c>
      <c r="H118" s="680"/>
      <c r="J118" s="99">
        <f t="shared" si="6"/>
        <v>115</v>
      </c>
      <c r="K118" s="680"/>
      <c r="M118" s="99">
        <f t="shared" si="7"/>
        <v>115</v>
      </c>
      <c r="N118" s="677"/>
      <c r="P118" s="99">
        <f t="shared" si="10"/>
        <v>115</v>
      </c>
      <c r="Q118" s="679"/>
    </row>
    <row r="119" spans="4:17" s="262" customFormat="1" ht="12" x14ac:dyDescent="0.25">
      <c r="D119" s="99">
        <f t="shared" si="8"/>
        <v>116</v>
      </c>
      <c r="E119" s="277"/>
      <c r="G119" s="99">
        <f t="shared" si="9"/>
        <v>116</v>
      </c>
      <c r="H119" s="680"/>
      <c r="J119" s="99">
        <f t="shared" si="6"/>
        <v>116</v>
      </c>
      <c r="K119" s="680"/>
      <c r="M119" s="99">
        <f t="shared" si="7"/>
        <v>116</v>
      </c>
      <c r="N119" s="677"/>
      <c r="P119" s="99">
        <f t="shared" si="10"/>
        <v>116</v>
      </c>
      <c r="Q119" s="679"/>
    </row>
    <row r="120" spans="4:17" s="262" customFormat="1" ht="12" x14ac:dyDescent="0.25">
      <c r="D120" s="99">
        <f t="shared" si="8"/>
        <v>117</v>
      </c>
      <c r="E120" s="277"/>
      <c r="G120" s="99">
        <f t="shared" si="9"/>
        <v>117</v>
      </c>
      <c r="H120" s="680"/>
      <c r="J120" s="99">
        <f t="shared" si="6"/>
        <v>117</v>
      </c>
      <c r="K120" s="680"/>
      <c r="M120" s="99">
        <f t="shared" si="7"/>
        <v>117</v>
      </c>
      <c r="N120" s="677"/>
      <c r="P120" s="99">
        <f t="shared" si="10"/>
        <v>117</v>
      </c>
      <c r="Q120" s="679"/>
    </row>
    <row r="121" spans="4:17" s="262" customFormat="1" ht="12" x14ac:dyDescent="0.25">
      <c r="D121" s="99">
        <f t="shared" si="8"/>
        <v>118</v>
      </c>
      <c r="E121" s="277"/>
      <c r="G121" s="99">
        <f t="shared" si="9"/>
        <v>118</v>
      </c>
      <c r="H121" s="680"/>
      <c r="J121" s="99">
        <f t="shared" si="6"/>
        <v>118</v>
      </c>
      <c r="K121" s="680"/>
      <c r="M121" s="99">
        <f t="shared" si="7"/>
        <v>118</v>
      </c>
      <c r="N121" s="677"/>
      <c r="P121" s="99">
        <f t="shared" si="10"/>
        <v>118</v>
      </c>
      <c r="Q121" s="679"/>
    </row>
    <row r="122" spans="4:17" s="262" customFormat="1" ht="12" x14ac:dyDescent="0.25">
      <c r="D122" s="99">
        <f t="shared" si="8"/>
        <v>119</v>
      </c>
      <c r="E122" s="277"/>
      <c r="G122" s="99">
        <f t="shared" si="9"/>
        <v>119</v>
      </c>
      <c r="H122" s="680"/>
      <c r="J122" s="99">
        <f t="shared" si="6"/>
        <v>119</v>
      </c>
      <c r="K122" s="680"/>
      <c r="M122" s="99">
        <f t="shared" si="7"/>
        <v>119</v>
      </c>
      <c r="N122" s="677"/>
      <c r="P122" s="99">
        <f t="shared" si="10"/>
        <v>119</v>
      </c>
      <c r="Q122" s="679"/>
    </row>
    <row r="123" spans="4:17" s="262" customFormat="1" ht="12" x14ac:dyDescent="0.25">
      <c r="D123" s="99">
        <f t="shared" si="8"/>
        <v>120</v>
      </c>
      <c r="E123" s="277"/>
      <c r="G123" s="99">
        <f t="shared" si="9"/>
        <v>120</v>
      </c>
      <c r="H123" s="680"/>
      <c r="J123" s="99">
        <f t="shared" si="6"/>
        <v>120</v>
      </c>
      <c r="K123" s="680"/>
      <c r="M123" s="99">
        <f t="shared" si="7"/>
        <v>120</v>
      </c>
      <c r="N123" s="677"/>
      <c r="P123" s="99">
        <f t="shared" si="10"/>
        <v>120</v>
      </c>
      <c r="Q123" s="679"/>
    </row>
    <row r="124" spans="4:17" s="262" customFormat="1" ht="12" x14ac:dyDescent="0.25">
      <c r="D124" s="99">
        <f t="shared" si="8"/>
        <v>121</v>
      </c>
      <c r="E124" s="277"/>
      <c r="G124" s="99">
        <f t="shared" si="9"/>
        <v>121</v>
      </c>
      <c r="H124" s="680"/>
      <c r="J124" s="99">
        <f t="shared" si="6"/>
        <v>121</v>
      </c>
      <c r="K124" s="680"/>
      <c r="M124" s="99">
        <f t="shared" si="7"/>
        <v>121</v>
      </c>
      <c r="N124" s="677"/>
      <c r="P124" s="99">
        <f t="shared" si="10"/>
        <v>121</v>
      </c>
      <c r="Q124" s="679"/>
    </row>
    <row r="125" spans="4:17" s="262" customFormat="1" ht="12" x14ac:dyDescent="0.25">
      <c r="D125" s="99">
        <f t="shared" si="8"/>
        <v>122</v>
      </c>
      <c r="E125" s="277"/>
      <c r="G125" s="99">
        <f t="shared" si="9"/>
        <v>122</v>
      </c>
      <c r="H125" s="680"/>
      <c r="J125" s="99">
        <f t="shared" si="6"/>
        <v>122</v>
      </c>
      <c r="K125" s="680"/>
      <c r="M125" s="99">
        <f t="shared" si="7"/>
        <v>122</v>
      </c>
      <c r="N125" s="677"/>
      <c r="P125" s="99">
        <f t="shared" si="10"/>
        <v>122</v>
      </c>
      <c r="Q125" s="679"/>
    </row>
    <row r="126" spans="4:17" s="262" customFormat="1" ht="12" x14ac:dyDescent="0.25">
      <c r="D126" s="99">
        <f t="shared" si="8"/>
        <v>123</v>
      </c>
      <c r="E126" s="277"/>
      <c r="G126" s="99">
        <f t="shared" si="9"/>
        <v>123</v>
      </c>
      <c r="H126" s="680"/>
      <c r="J126" s="99">
        <f t="shared" si="6"/>
        <v>123</v>
      </c>
      <c r="K126" s="680"/>
      <c r="M126" s="99">
        <f t="shared" si="7"/>
        <v>123</v>
      </c>
      <c r="N126" s="677"/>
      <c r="P126" s="99">
        <f t="shared" si="10"/>
        <v>123</v>
      </c>
      <c r="Q126" s="679"/>
    </row>
    <row r="127" spans="4:17" s="262" customFormat="1" ht="12" x14ac:dyDescent="0.25">
      <c r="D127" s="99">
        <f t="shared" si="8"/>
        <v>124</v>
      </c>
      <c r="E127" s="277"/>
      <c r="G127" s="99">
        <f t="shared" si="9"/>
        <v>124</v>
      </c>
      <c r="H127" s="680"/>
      <c r="J127" s="99">
        <f t="shared" si="6"/>
        <v>124</v>
      </c>
      <c r="K127" s="680"/>
      <c r="M127" s="99">
        <f t="shared" si="7"/>
        <v>124</v>
      </c>
      <c r="N127" s="677"/>
      <c r="P127" s="99">
        <f t="shared" si="10"/>
        <v>124</v>
      </c>
      <c r="Q127" s="679"/>
    </row>
    <row r="128" spans="4:17" s="262" customFormat="1" ht="12" x14ac:dyDescent="0.25">
      <c r="D128" s="99">
        <f t="shared" si="8"/>
        <v>125</v>
      </c>
      <c r="E128" s="277"/>
      <c r="G128" s="99">
        <f t="shared" si="9"/>
        <v>125</v>
      </c>
      <c r="H128" s="680"/>
      <c r="J128" s="99">
        <f t="shared" si="6"/>
        <v>125</v>
      </c>
      <c r="K128" s="680"/>
      <c r="M128" s="99">
        <f t="shared" si="7"/>
        <v>125</v>
      </c>
      <c r="N128" s="677"/>
      <c r="P128" s="99">
        <f t="shared" si="10"/>
        <v>125</v>
      </c>
      <c r="Q128" s="679"/>
    </row>
    <row r="129" spans="4:17" s="262" customFormat="1" ht="12" x14ac:dyDescent="0.25">
      <c r="D129" s="99">
        <f t="shared" si="8"/>
        <v>126</v>
      </c>
      <c r="E129" s="277"/>
      <c r="G129" s="99">
        <f t="shared" si="9"/>
        <v>126</v>
      </c>
      <c r="H129" s="680"/>
      <c r="J129" s="99">
        <f t="shared" si="6"/>
        <v>126</v>
      </c>
      <c r="K129" s="680"/>
      <c r="M129" s="99">
        <f t="shared" si="7"/>
        <v>126</v>
      </c>
      <c r="N129" s="677"/>
      <c r="P129" s="99">
        <f t="shared" si="10"/>
        <v>126</v>
      </c>
      <c r="Q129" s="679"/>
    </row>
    <row r="130" spans="4:17" s="262" customFormat="1" ht="12" x14ac:dyDescent="0.25">
      <c r="D130" s="99">
        <f t="shared" si="8"/>
        <v>127</v>
      </c>
      <c r="E130" s="277"/>
      <c r="G130" s="99">
        <f t="shared" si="9"/>
        <v>127</v>
      </c>
      <c r="H130" s="680"/>
      <c r="J130" s="99">
        <f t="shared" si="6"/>
        <v>127</v>
      </c>
      <c r="K130" s="680"/>
      <c r="M130" s="99">
        <f t="shared" si="7"/>
        <v>127</v>
      </c>
      <c r="N130" s="677"/>
      <c r="P130" s="99">
        <f t="shared" si="10"/>
        <v>127</v>
      </c>
      <c r="Q130" s="679"/>
    </row>
    <row r="131" spans="4:17" s="262" customFormat="1" ht="12" x14ac:dyDescent="0.25">
      <c r="D131" s="99">
        <f t="shared" si="8"/>
        <v>128</v>
      </c>
      <c r="E131" s="277"/>
      <c r="G131" s="99">
        <f t="shared" si="9"/>
        <v>128</v>
      </c>
      <c r="H131" s="680"/>
      <c r="J131" s="99">
        <f t="shared" si="6"/>
        <v>128</v>
      </c>
      <c r="K131" s="680"/>
      <c r="M131" s="99">
        <f t="shared" si="7"/>
        <v>128</v>
      </c>
      <c r="N131" s="677"/>
      <c r="P131" s="99">
        <f t="shared" si="10"/>
        <v>128</v>
      </c>
      <c r="Q131" s="679"/>
    </row>
    <row r="132" spans="4:17" s="262" customFormat="1" ht="12" x14ac:dyDescent="0.25">
      <c r="D132" s="99">
        <f t="shared" si="8"/>
        <v>129</v>
      </c>
      <c r="E132" s="277"/>
      <c r="G132" s="99">
        <f t="shared" si="9"/>
        <v>129</v>
      </c>
      <c r="H132" s="680"/>
      <c r="J132" s="99">
        <f t="shared" si="6"/>
        <v>129</v>
      </c>
      <c r="K132" s="680"/>
      <c r="M132" s="99">
        <f t="shared" si="7"/>
        <v>129</v>
      </c>
      <c r="N132" s="677"/>
      <c r="P132" s="99">
        <f t="shared" si="10"/>
        <v>129</v>
      </c>
      <c r="Q132" s="679"/>
    </row>
    <row r="133" spans="4:17" s="262" customFormat="1" ht="12" x14ac:dyDescent="0.25">
      <c r="D133" s="99">
        <f t="shared" si="8"/>
        <v>130</v>
      </c>
      <c r="E133" s="277"/>
      <c r="G133" s="99">
        <f t="shared" si="9"/>
        <v>130</v>
      </c>
      <c r="H133" s="680"/>
      <c r="J133" s="99">
        <f t="shared" si="6"/>
        <v>130</v>
      </c>
      <c r="K133" s="680"/>
      <c r="M133" s="99">
        <f t="shared" si="7"/>
        <v>130</v>
      </c>
      <c r="N133" s="677"/>
      <c r="P133" s="99">
        <f t="shared" si="10"/>
        <v>130</v>
      </c>
      <c r="Q133" s="679"/>
    </row>
    <row r="134" spans="4:17" s="262" customFormat="1" ht="12" x14ac:dyDescent="0.25">
      <c r="D134" s="99">
        <f t="shared" si="8"/>
        <v>131</v>
      </c>
      <c r="E134" s="277"/>
      <c r="G134" s="99">
        <f t="shared" si="9"/>
        <v>131</v>
      </c>
      <c r="H134" s="680"/>
      <c r="J134" s="99">
        <f t="shared" ref="J134:J156" si="11">1+J133</f>
        <v>131</v>
      </c>
      <c r="K134" s="680"/>
      <c r="M134" s="99">
        <f t="shared" ref="M134:M156" si="12">1+M133</f>
        <v>131</v>
      </c>
      <c r="N134" s="677"/>
      <c r="P134" s="99">
        <f t="shared" si="10"/>
        <v>131</v>
      </c>
      <c r="Q134" s="679"/>
    </row>
    <row r="135" spans="4:17" s="262" customFormat="1" ht="12" x14ac:dyDescent="0.25">
      <c r="D135" s="99">
        <f t="shared" si="8"/>
        <v>132</v>
      </c>
      <c r="E135" s="277"/>
      <c r="G135" s="99">
        <f t="shared" si="9"/>
        <v>132</v>
      </c>
      <c r="H135" s="680"/>
      <c r="J135" s="99">
        <f t="shared" si="11"/>
        <v>132</v>
      </c>
      <c r="K135" s="680"/>
      <c r="M135" s="99">
        <f t="shared" si="12"/>
        <v>132</v>
      </c>
      <c r="N135" s="677"/>
      <c r="P135" s="99">
        <f t="shared" si="10"/>
        <v>132</v>
      </c>
      <c r="Q135" s="679"/>
    </row>
    <row r="136" spans="4:17" s="262" customFormat="1" ht="12" x14ac:dyDescent="0.25">
      <c r="D136" s="99">
        <f t="shared" si="8"/>
        <v>133</v>
      </c>
      <c r="E136" s="277"/>
      <c r="G136" s="99">
        <f t="shared" si="9"/>
        <v>133</v>
      </c>
      <c r="H136" s="680"/>
      <c r="J136" s="99">
        <f t="shared" si="11"/>
        <v>133</v>
      </c>
      <c r="K136" s="680"/>
      <c r="M136" s="99">
        <f t="shared" si="12"/>
        <v>133</v>
      </c>
      <c r="N136" s="677"/>
      <c r="P136" s="99">
        <f t="shared" si="10"/>
        <v>133</v>
      </c>
      <c r="Q136" s="679"/>
    </row>
    <row r="137" spans="4:17" s="262" customFormat="1" ht="12" x14ac:dyDescent="0.25">
      <c r="D137" s="99">
        <f t="shared" si="8"/>
        <v>134</v>
      </c>
      <c r="E137" s="277"/>
      <c r="G137" s="99">
        <f t="shared" si="9"/>
        <v>134</v>
      </c>
      <c r="H137" s="680"/>
      <c r="J137" s="99">
        <f t="shared" si="11"/>
        <v>134</v>
      </c>
      <c r="K137" s="680"/>
      <c r="M137" s="99">
        <f t="shared" si="12"/>
        <v>134</v>
      </c>
      <c r="N137" s="677"/>
      <c r="P137" s="99">
        <f t="shared" si="10"/>
        <v>134</v>
      </c>
      <c r="Q137" s="679"/>
    </row>
    <row r="138" spans="4:17" s="262" customFormat="1" ht="12" x14ac:dyDescent="0.25">
      <c r="D138" s="99">
        <f t="shared" ref="D138:D156" si="13">1+D137</f>
        <v>135</v>
      </c>
      <c r="E138" s="277"/>
      <c r="G138" s="99">
        <f t="shared" ref="G138:G156" si="14">G137+1</f>
        <v>135</v>
      </c>
      <c r="H138" s="680"/>
      <c r="J138" s="99">
        <f t="shared" si="11"/>
        <v>135</v>
      </c>
      <c r="K138" s="680"/>
      <c r="M138" s="99">
        <f t="shared" si="12"/>
        <v>135</v>
      </c>
      <c r="N138" s="677"/>
      <c r="P138" s="99">
        <f t="shared" si="10"/>
        <v>135</v>
      </c>
      <c r="Q138" s="679"/>
    </row>
    <row r="139" spans="4:17" s="262" customFormat="1" ht="12" x14ac:dyDescent="0.25">
      <c r="D139" s="99">
        <f t="shared" si="13"/>
        <v>136</v>
      </c>
      <c r="E139" s="277"/>
      <c r="G139" s="99">
        <f t="shared" si="14"/>
        <v>136</v>
      </c>
      <c r="H139" s="680"/>
      <c r="J139" s="99">
        <f t="shared" si="11"/>
        <v>136</v>
      </c>
      <c r="K139" s="680"/>
      <c r="M139" s="99">
        <f t="shared" si="12"/>
        <v>136</v>
      </c>
      <c r="N139" s="677"/>
      <c r="P139" s="99">
        <f t="shared" si="10"/>
        <v>136</v>
      </c>
      <c r="Q139" s="679"/>
    </row>
    <row r="140" spans="4:17" s="262" customFormat="1" ht="12" x14ac:dyDescent="0.25">
      <c r="D140" s="99">
        <f t="shared" si="13"/>
        <v>137</v>
      </c>
      <c r="E140" s="277"/>
      <c r="G140" s="99">
        <f t="shared" si="14"/>
        <v>137</v>
      </c>
      <c r="H140" s="680"/>
      <c r="J140" s="99">
        <f t="shared" si="11"/>
        <v>137</v>
      </c>
      <c r="K140" s="680"/>
      <c r="M140" s="99">
        <f t="shared" si="12"/>
        <v>137</v>
      </c>
      <c r="N140" s="677"/>
      <c r="P140" s="99">
        <f t="shared" si="10"/>
        <v>137</v>
      </c>
      <c r="Q140" s="679"/>
    </row>
    <row r="141" spans="4:17" s="262" customFormat="1" ht="12" x14ac:dyDescent="0.25">
      <c r="D141" s="99">
        <f t="shared" si="13"/>
        <v>138</v>
      </c>
      <c r="E141" s="277"/>
      <c r="G141" s="99">
        <f t="shared" si="14"/>
        <v>138</v>
      </c>
      <c r="H141" s="680"/>
      <c r="J141" s="99">
        <f t="shared" si="11"/>
        <v>138</v>
      </c>
      <c r="K141" s="680"/>
      <c r="M141" s="99">
        <f t="shared" si="12"/>
        <v>138</v>
      </c>
      <c r="N141" s="677"/>
      <c r="P141" s="99">
        <f t="shared" si="10"/>
        <v>138</v>
      </c>
      <c r="Q141" s="679"/>
    </row>
    <row r="142" spans="4:17" s="262" customFormat="1" ht="12" x14ac:dyDescent="0.25">
      <c r="D142" s="99">
        <f t="shared" si="13"/>
        <v>139</v>
      </c>
      <c r="E142" s="277"/>
      <c r="G142" s="99">
        <f t="shared" si="14"/>
        <v>139</v>
      </c>
      <c r="H142" s="680"/>
      <c r="J142" s="99">
        <f t="shared" si="11"/>
        <v>139</v>
      </c>
      <c r="K142" s="680"/>
      <c r="M142" s="99">
        <f t="shared" si="12"/>
        <v>139</v>
      </c>
      <c r="N142" s="677"/>
      <c r="P142" s="99">
        <f t="shared" si="10"/>
        <v>139</v>
      </c>
      <c r="Q142" s="679"/>
    </row>
    <row r="143" spans="4:17" s="262" customFormat="1" ht="12" x14ac:dyDescent="0.25">
      <c r="D143" s="99">
        <f t="shared" si="13"/>
        <v>140</v>
      </c>
      <c r="E143" s="277"/>
      <c r="G143" s="99">
        <f t="shared" si="14"/>
        <v>140</v>
      </c>
      <c r="H143" s="680"/>
      <c r="J143" s="99">
        <f t="shared" si="11"/>
        <v>140</v>
      </c>
      <c r="K143" s="680"/>
      <c r="M143" s="99">
        <f t="shared" si="12"/>
        <v>140</v>
      </c>
      <c r="N143" s="677"/>
      <c r="P143" s="99">
        <f t="shared" si="10"/>
        <v>140</v>
      </c>
      <c r="Q143" s="679"/>
    </row>
    <row r="144" spans="4:17" s="262" customFormat="1" ht="12" x14ac:dyDescent="0.25">
      <c r="D144" s="99">
        <f t="shared" si="13"/>
        <v>141</v>
      </c>
      <c r="E144" s="277"/>
      <c r="G144" s="99">
        <f t="shared" si="14"/>
        <v>141</v>
      </c>
      <c r="H144" s="680"/>
      <c r="J144" s="99">
        <f t="shared" si="11"/>
        <v>141</v>
      </c>
      <c r="K144" s="680"/>
      <c r="M144" s="99">
        <f t="shared" si="12"/>
        <v>141</v>
      </c>
      <c r="N144" s="677"/>
      <c r="P144" s="99">
        <f t="shared" si="10"/>
        <v>141</v>
      </c>
      <c r="Q144" s="679"/>
    </row>
    <row r="145" spans="4:17" s="262" customFormat="1" ht="12" x14ac:dyDescent="0.25">
      <c r="D145" s="99">
        <f t="shared" si="13"/>
        <v>142</v>
      </c>
      <c r="E145" s="277"/>
      <c r="G145" s="99">
        <f t="shared" si="14"/>
        <v>142</v>
      </c>
      <c r="H145" s="680"/>
      <c r="J145" s="99">
        <f t="shared" si="11"/>
        <v>142</v>
      </c>
      <c r="K145" s="680"/>
      <c r="M145" s="99">
        <f t="shared" si="12"/>
        <v>142</v>
      </c>
      <c r="N145" s="677"/>
      <c r="P145" s="99">
        <f t="shared" si="10"/>
        <v>142</v>
      </c>
      <c r="Q145" s="679"/>
    </row>
    <row r="146" spans="4:17" s="262" customFormat="1" ht="12" x14ac:dyDescent="0.25">
      <c r="D146" s="99">
        <f t="shared" si="13"/>
        <v>143</v>
      </c>
      <c r="E146" s="277"/>
      <c r="G146" s="99">
        <f t="shared" si="14"/>
        <v>143</v>
      </c>
      <c r="H146" s="680"/>
      <c r="J146" s="99">
        <f t="shared" si="11"/>
        <v>143</v>
      </c>
      <c r="K146" s="680"/>
      <c r="M146" s="99">
        <f t="shared" si="12"/>
        <v>143</v>
      </c>
      <c r="N146" s="677"/>
      <c r="P146" s="99">
        <f t="shared" si="10"/>
        <v>143</v>
      </c>
      <c r="Q146" s="679"/>
    </row>
    <row r="147" spans="4:17" s="262" customFormat="1" ht="12" x14ac:dyDescent="0.25">
      <c r="D147" s="99">
        <f t="shared" si="13"/>
        <v>144</v>
      </c>
      <c r="E147" s="277"/>
      <c r="G147" s="99">
        <f t="shared" si="14"/>
        <v>144</v>
      </c>
      <c r="H147" s="680"/>
      <c r="J147" s="99">
        <f t="shared" si="11"/>
        <v>144</v>
      </c>
      <c r="K147" s="680"/>
      <c r="M147" s="99">
        <f t="shared" si="12"/>
        <v>144</v>
      </c>
      <c r="N147" s="677"/>
      <c r="P147" s="99">
        <f t="shared" si="10"/>
        <v>144</v>
      </c>
      <c r="Q147" s="679"/>
    </row>
    <row r="148" spans="4:17" s="262" customFormat="1" ht="12" x14ac:dyDescent="0.25">
      <c r="D148" s="99">
        <f t="shared" si="13"/>
        <v>145</v>
      </c>
      <c r="E148" s="277"/>
      <c r="G148" s="99">
        <f t="shared" si="14"/>
        <v>145</v>
      </c>
      <c r="H148" s="680"/>
      <c r="J148" s="99">
        <f t="shared" si="11"/>
        <v>145</v>
      </c>
      <c r="K148" s="680"/>
      <c r="M148" s="99">
        <f t="shared" si="12"/>
        <v>145</v>
      </c>
      <c r="N148" s="677"/>
      <c r="P148" s="99">
        <f t="shared" si="10"/>
        <v>145</v>
      </c>
      <c r="Q148" s="679"/>
    </row>
    <row r="149" spans="4:17" s="262" customFormat="1" ht="12" x14ac:dyDescent="0.25">
      <c r="D149" s="99">
        <f t="shared" si="13"/>
        <v>146</v>
      </c>
      <c r="E149" s="277"/>
      <c r="G149" s="99">
        <f t="shared" si="14"/>
        <v>146</v>
      </c>
      <c r="H149" s="680"/>
      <c r="J149" s="99">
        <f t="shared" si="11"/>
        <v>146</v>
      </c>
      <c r="K149" s="680"/>
      <c r="M149" s="99">
        <f t="shared" si="12"/>
        <v>146</v>
      </c>
      <c r="N149" s="677"/>
      <c r="P149" s="99">
        <f t="shared" si="10"/>
        <v>146</v>
      </c>
      <c r="Q149" s="679"/>
    </row>
    <row r="150" spans="4:17" s="262" customFormat="1" ht="12" x14ac:dyDescent="0.25">
      <c r="D150" s="99">
        <f t="shared" si="13"/>
        <v>147</v>
      </c>
      <c r="E150" s="277"/>
      <c r="G150" s="99">
        <f t="shared" si="14"/>
        <v>147</v>
      </c>
      <c r="H150" s="680"/>
      <c r="J150" s="99">
        <f t="shared" si="11"/>
        <v>147</v>
      </c>
      <c r="K150" s="680"/>
      <c r="M150" s="99">
        <f t="shared" si="12"/>
        <v>147</v>
      </c>
      <c r="N150" s="677"/>
      <c r="P150" s="99">
        <f t="shared" si="10"/>
        <v>147</v>
      </c>
      <c r="Q150" s="679"/>
    </row>
    <row r="151" spans="4:17" s="262" customFormat="1" ht="12" x14ac:dyDescent="0.25">
      <c r="D151" s="99">
        <f t="shared" si="13"/>
        <v>148</v>
      </c>
      <c r="E151" s="277"/>
      <c r="G151" s="99">
        <f t="shared" si="14"/>
        <v>148</v>
      </c>
      <c r="H151" s="680"/>
      <c r="J151" s="99">
        <f t="shared" si="11"/>
        <v>148</v>
      </c>
      <c r="K151" s="680"/>
      <c r="M151" s="99">
        <f t="shared" si="12"/>
        <v>148</v>
      </c>
      <c r="N151" s="677"/>
      <c r="P151" s="99">
        <f t="shared" si="10"/>
        <v>148</v>
      </c>
      <c r="Q151" s="679"/>
    </row>
    <row r="152" spans="4:17" s="262" customFormat="1" ht="12" x14ac:dyDescent="0.25">
      <c r="D152" s="99">
        <f t="shared" si="13"/>
        <v>149</v>
      </c>
      <c r="E152" s="277"/>
      <c r="G152" s="99">
        <f t="shared" si="14"/>
        <v>149</v>
      </c>
      <c r="H152" s="680"/>
      <c r="J152" s="99">
        <f t="shared" si="11"/>
        <v>149</v>
      </c>
      <c r="K152" s="680"/>
      <c r="M152" s="99">
        <f t="shared" si="12"/>
        <v>149</v>
      </c>
      <c r="N152" s="677"/>
      <c r="P152" s="99">
        <f t="shared" si="10"/>
        <v>149</v>
      </c>
      <c r="Q152" s="679"/>
    </row>
    <row r="153" spans="4:17" s="262" customFormat="1" ht="12" x14ac:dyDescent="0.25">
      <c r="D153" s="99">
        <f t="shared" si="13"/>
        <v>150</v>
      </c>
      <c r="E153" s="277"/>
      <c r="G153" s="99">
        <f t="shared" si="14"/>
        <v>150</v>
      </c>
      <c r="H153" s="680"/>
      <c r="J153" s="99">
        <f t="shared" si="11"/>
        <v>150</v>
      </c>
      <c r="K153" s="680"/>
      <c r="M153" s="99">
        <f t="shared" si="12"/>
        <v>150</v>
      </c>
      <c r="N153" s="677"/>
      <c r="P153" s="99">
        <f t="shared" si="10"/>
        <v>150</v>
      </c>
      <c r="Q153" s="679"/>
    </row>
    <row r="154" spans="4:17" s="262" customFormat="1" ht="12" x14ac:dyDescent="0.25">
      <c r="D154" s="99">
        <f t="shared" si="13"/>
        <v>151</v>
      </c>
      <c r="E154" s="277"/>
      <c r="G154" s="99">
        <f t="shared" si="14"/>
        <v>151</v>
      </c>
      <c r="H154" s="680"/>
      <c r="J154" s="99">
        <f t="shared" si="11"/>
        <v>151</v>
      </c>
      <c r="K154" s="680"/>
      <c r="M154" s="99">
        <f t="shared" si="12"/>
        <v>151</v>
      </c>
      <c r="N154" s="677"/>
      <c r="P154" s="99">
        <f t="shared" si="10"/>
        <v>151</v>
      </c>
      <c r="Q154" s="679"/>
    </row>
    <row r="155" spans="4:17" s="262" customFormat="1" ht="12" x14ac:dyDescent="0.25">
      <c r="D155" s="99">
        <f t="shared" si="13"/>
        <v>152</v>
      </c>
      <c r="E155" s="277"/>
      <c r="G155" s="99">
        <f t="shared" si="14"/>
        <v>152</v>
      </c>
      <c r="H155" s="680"/>
      <c r="J155" s="99">
        <f t="shared" si="11"/>
        <v>152</v>
      </c>
      <c r="K155" s="680"/>
      <c r="M155" s="99">
        <f t="shared" si="12"/>
        <v>152</v>
      </c>
      <c r="N155" s="677"/>
      <c r="P155" s="99">
        <f t="shared" si="10"/>
        <v>152</v>
      </c>
      <c r="Q155" s="679"/>
    </row>
    <row r="156" spans="4:17" s="262" customFormat="1" ht="12" x14ac:dyDescent="0.25">
      <c r="D156" s="99">
        <f t="shared" si="13"/>
        <v>153</v>
      </c>
      <c r="E156" s="277"/>
      <c r="G156" s="99">
        <f t="shared" si="14"/>
        <v>153</v>
      </c>
      <c r="H156" s="680"/>
      <c r="J156" s="99">
        <f t="shared" si="11"/>
        <v>153</v>
      </c>
      <c r="K156" s="680"/>
      <c r="M156" s="99">
        <f t="shared" si="12"/>
        <v>153</v>
      </c>
      <c r="N156" s="677"/>
      <c r="P156" s="99">
        <f t="shared" si="10"/>
        <v>153</v>
      </c>
      <c r="Q156" s="679"/>
    </row>
    <row r="157" spans="4:17" ht="12" x14ac:dyDescent="0.25">
      <c r="E157" s="678" t="s">
        <v>162</v>
      </c>
      <c r="H157" s="678" t="s">
        <v>179</v>
      </c>
      <c r="K157" s="678" t="s">
        <v>213</v>
      </c>
      <c r="N157" s="678" t="s">
        <v>238</v>
      </c>
      <c r="Q157" s="678" t="s">
        <v>239</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ignoredErrors>
    <ignoredError sqref="D157:E157 B50:C55 B5:D9 B14:D39 C56 B57:C59 B40:C42 F5:G41 F50:F59 F42 P5:P42 O50:O59 B13 D10:D13 D40:D78 M4:M78 P43:P78 J5:J78 G73:G78"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2"/>
  <dimension ref="A1:BA76"/>
  <sheetViews>
    <sheetView showGridLines="0" zoomScale="85" zoomScaleNormal="85" workbookViewId="0">
      <pane xSplit="7" ySplit="2" topLeftCell="H3" activePane="bottomRight" state="frozen"/>
      <selection pane="topRight" activeCell="H1" sqref="H1"/>
      <selection pane="bottomLeft" activeCell="A3" sqref="A3"/>
      <selection pane="bottomRight" sqref="A1:XFD1048576"/>
    </sheetView>
  </sheetViews>
  <sheetFormatPr baseColWidth="10" defaultRowHeight="11.5" outlineLevelCol="1" x14ac:dyDescent="0.25"/>
  <cols>
    <col min="1" max="1" width="6.796875" customWidth="1"/>
    <col min="2" max="2" width="5.59765625" customWidth="1"/>
    <col min="3" max="4" width="4.796875" customWidth="1"/>
    <col min="5" max="5" width="17.19921875" customWidth="1"/>
    <col min="6" max="6" width="18.19921875" customWidth="1"/>
    <col min="7" max="7" width="19.796875" customWidth="1"/>
    <col min="8" max="8" width="14.3984375" customWidth="1"/>
    <col min="9" max="9" width="10.19921875" customWidth="1"/>
    <col min="10" max="10" width="39.19921875" hidden="1" customWidth="1" outlineLevel="1"/>
    <col min="11" max="11" width="11.19921875" collapsed="1"/>
    <col min="12" max="12" width="12" customWidth="1"/>
  </cols>
  <sheetData>
    <row r="1" spans="1:53" s="93" customFormat="1" ht="33.75" customHeight="1" x14ac:dyDescent="0.25">
      <c r="C1" s="94" t="s">
        <v>553</v>
      </c>
      <c r="D1" s="94"/>
      <c r="E1" s="94"/>
      <c r="F1" s="94"/>
    </row>
    <row r="2" spans="1:53" s="44" customFormat="1" x14ac:dyDescent="0.25">
      <c r="C2" s="72"/>
      <c r="D2" s="72" t="s">
        <v>166</v>
      </c>
      <c r="E2" s="1"/>
      <c r="F2" s="1"/>
      <c r="G2" s="1"/>
      <c r="H2" s="1" t="s">
        <v>167</v>
      </c>
      <c r="I2" s="1"/>
      <c r="J2" s="1" t="s">
        <v>168</v>
      </c>
      <c r="K2" s="1"/>
      <c r="L2" s="1" t="s">
        <v>170</v>
      </c>
      <c r="M2" s="1"/>
      <c r="N2" s="1"/>
      <c r="O2" s="1"/>
      <c r="P2" s="1"/>
      <c r="Q2" s="1"/>
      <c r="R2" s="1"/>
      <c r="S2" s="1"/>
      <c r="T2" s="1"/>
      <c r="U2" s="1"/>
      <c r="V2" s="1"/>
      <c r="W2" s="1"/>
      <c r="X2" s="1"/>
      <c r="Y2" s="1"/>
      <c r="Z2" s="1"/>
      <c r="AA2" s="1"/>
      <c r="AB2" s="1"/>
      <c r="AC2" s="1"/>
    </row>
    <row r="3" spans="1:53" s="44" customFormat="1" x14ac:dyDescent="0.25">
      <c r="A3" s="100">
        <v>1</v>
      </c>
      <c r="B3" s="100" t="s">
        <v>551</v>
      </c>
      <c r="C3" s="40"/>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row>
    <row r="5" spans="1:53" s="44" customFormat="1" x14ac:dyDescent="0.25">
      <c r="C5" s="96">
        <v>1</v>
      </c>
      <c r="D5" s="102" t="s">
        <v>711</v>
      </c>
    </row>
    <row r="6" spans="1:53" s="44" customFormat="1" ht="12" x14ac:dyDescent="0.25">
      <c r="D6" s="104" t="s">
        <v>551</v>
      </c>
      <c r="H6" s="77" t="s">
        <v>552</v>
      </c>
      <c r="I6" s="98">
        <v>2022</v>
      </c>
      <c r="J6" s="45" t="s">
        <v>159</v>
      </c>
    </row>
    <row r="7" spans="1:53" s="44" customFormat="1" x14ac:dyDescent="0.25"/>
    <row r="8" spans="1:53" s="44" customFormat="1" x14ac:dyDescent="0.25">
      <c r="A8" s="100">
        <v>2</v>
      </c>
      <c r="B8" s="100" t="s">
        <v>447</v>
      </c>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row>
    <row r="9" spans="1:53" x14ac:dyDescent="0.25">
      <c r="A9" s="44"/>
      <c r="B9" s="44"/>
      <c r="C9" s="44"/>
      <c r="D9" s="44"/>
      <c r="E9" s="44"/>
      <c r="F9" s="44"/>
      <c r="G9" s="44"/>
      <c r="H9" s="44"/>
    </row>
    <row r="10" spans="1:53" x14ac:dyDescent="0.25">
      <c r="A10" s="44"/>
      <c r="B10" s="44"/>
      <c r="C10" s="96">
        <v>1</v>
      </c>
      <c r="D10" s="102" t="s">
        <v>429</v>
      </c>
      <c r="E10" s="44"/>
      <c r="F10" s="44"/>
      <c r="G10" s="44"/>
      <c r="H10" s="44"/>
    </row>
    <row r="11" spans="1:53" ht="12" x14ac:dyDescent="0.25">
      <c r="A11" s="44"/>
      <c r="B11" s="44"/>
      <c r="D11" s="104" t="s">
        <v>428</v>
      </c>
      <c r="E11" s="44"/>
      <c r="F11" s="44"/>
      <c r="G11" s="44"/>
      <c r="H11" s="77" t="s">
        <v>172</v>
      </c>
      <c r="I11" s="645">
        <v>1.3650000000000001E-2</v>
      </c>
      <c r="J11" s="45" t="s">
        <v>452</v>
      </c>
      <c r="L11" s="102" t="s">
        <v>1313</v>
      </c>
    </row>
    <row r="12" spans="1:53" x14ac:dyDescent="0.25">
      <c r="L12" s="142"/>
    </row>
    <row r="13" spans="1:53" x14ac:dyDescent="0.25">
      <c r="C13" s="95">
        <f>C10+1</f>
        <v>2</v>
      </c>
      <c r="D13" s="102" t="s">
        <v>430</v>
      </c>
    </row>
    <row r="14" spans="1:53" ht="12" x14ac:dyDescent="0.25">
      <c r="D14" s="104" t="s">
        <v>459</v>
      </c>
      <c r="H14" s="77" t="s">
        <v>172</v>
      </c>
      <c r="I14" s="645">
        <v>3.987524368094237E-2</v>
      </c>
      <c r="J14" s="45" t="s">
        <v>453</v>
      </c>
      <c r="L14" s="102" t="s">
        <v>1314</v>
      </c>
    </row>
    <row r="16" spans="1:53" x14ac:dyDescent="0.25">
      <c r="C16" s="95">
        <f>C13+1</f>
        <v>3</v>
      </c>
      <c r="D16" s="102" t="s">
        <v>431</v>
      </c>
      <c r="M16" s="142"/>
    </row>
    <row r="17" spans="3:13" ht="12" x14ac:dyDescent="0.25">
      <c r="D17" s="104" t="s">
        <v>458</v>
      </c>
      <c r="H17" s="77" t="s">
        <v>172</v>
      </c>
      <c r="I17" s="657">
        <v>1.8525572794216728E-2</v>
      </c>
      <c r="J17" s="45" t="s">
        <v>454</v>
      </c>
      <c r="L17" s="289" t="s">
        <v>982</v>
      </c>
      <c r="M17" s="221"/>
    </row>
    <row r="18" spans="3:13" x14ac:dyDescent="0.25">
      <c r="K18" s="221"/>
      <c r="L18" s="262"/>
      <c r="M18" s="221"/>
    </row>
    <row r="19" spans="3:13" x14ac:dyDescent="0.25">
      <c r="C19" s="95">
        <f>C16+1</f>
        <v>4</v>
      </c>
      <c r="D19" s="102" t="s">
        <v>437</v>
      </c>
      <c r="I19" s="44"/>
      <c r="J19" s="44"/>
    </row>
    <row r="20" spans="3:13" x14ac:dyDescent="0.25">
      <c r="D20" s="104" t="s">
        <v>432</v>
      </c>
      <c r="H20" s="44"/>
      <c r="I20" s="44"/>
      <c r="J20" s="44"/>
    </row>
    <row r="21" spans="3:13" s="44" customFormat="1" ht="12" x14ac:dyDescent="0.25">
      <c r="D21" s="140" t="s">
        <v>439</v>
      </c>
      <c r="H21" s="77" t="s">
        <v>435</v>
      </c>
      <c r="I21" s="224">
        <v>0</v>
      </c>
      <c r="J21" s="45" t="s">
        <v>457</v>
      </c>
      <c r="L21" s="44" t="s">
        <v>461</v>
      </c>
    </row>
    <row r="22" spans="3:13" s="44" customFormat="1" ht="12" x14ac:dyDescent="0.25">
      <c r="D22" s="140" t="s">
        <v>440</v>
      </c>
      <c r="H22" s="77" t="s">
        <v>435</v>
      </c>
      <c r="I22" s="224">
        <v>1800</v>
      </c>
      <c r="J22" s="45" t="s">
        <v>455</v>
      </c>
    </row>
    <row r="23" spans="3:13" x14ac:dyDescent="0.25">
      <c r="D23" s="44"/>
      <c r="E23" s="44"/>
      <c r="F23" s="44"/>
      <c r="G23" s="44"/>
      <c r="H23" s="44"/>
      <c r="I23" s="44"/>
      <c r="J23" s="44"/>
      <c r="K23" s="44"/>
    </row>
    <row r="24" spans="3:13" x14ac:dyDescent="0.25">
      <c r="D24" s="104" t="s">
        <v>460</v>
      </c>
      <c r="H24" s="77"/>
      <c r="I24" s="44"/>
      <c r="J24" s="44"/>
    </row>
    <row r="25" spans="3:13" s="44" customFormat="1" ht="12" x14ac:dyDescent="0.25">
      <c r="D25" s="140" t="s">
        <v>439</v>
      </c>
      <c r="H25" s="77" t="s">
        <v>172</v>
      </c>
      <c r="I25" s="137">
        <v>0</v>
      </c>
      <c r="J25" s="45" t="s">
        <v>462</v>
      </c>
      <c r="L25" s="44" t="s">
        <v>461</v>
      </c>
    </row>
    <row r="26" spans="3:13" s="44" customFormat="1" ht="12" x14ac:dyDescent="0.25">
      <c r="D26" s="140" t="s">
        <v>440</v>
      </c>
      <c r="H26" s="77" t="s">
        <v>172</v>
      </c>
      <c r="I26" s="657">
        <v>8.0786886704426977E-2</v>
      </c>
      <c r="J26" s="45" t="s">
        <v>456</v>
      </c>
      <c r="L26" s="289" t="s">
        <v>1315</v>
      </c>
    </row>
    <row r="27" spans="3:13" x14ac:dyDescent="0.25">
      <c r="I27" s="245"/>
      <c r="J27" s="179"/>
      <c r="L27" s="220"/>
      <c r="M27" s="413"/>
    </row>
    <row r="28" spans="3:13" s="44" customFormat="1" x14ac:dyDescent="0.25">
      <c r="C28" s="95">
        <f>C19+1</f>
        <v>5</v>
      </c>
      <c r="D28" s="102" t="s">
        <v>436</v>
      </c>
      <c r="J28" s="179"/>
      <c r="L28" s="220"/>
    </row>
    <row r="29" spans="3:13" s="44" customFormat="1" x14ac:dyDescent="0.25">
      <c r="D29" s="104" t="s">
        <v>450</v>
      </c>
      <c r="J29" s="179"/>
    </row>
    <row r="30" spans="3:13" s="44" customFormat="1" ht="12" x14ac:dyDescent="0.25">
      <c r="D30" s="140" t="s">
        <v>440</v>
      </c>
      <c r="H30" s="77" t="s">
        <v>438</v>
      </c>
      <c r="I30" s="224">
        <v>944.74650977260421</v>
      </c>
      <c r="J30" s="45" t="s">
        <v>441</v>
      </c>
      <c r="L30" s="44" t="s">
        <v>448</v>
      </c>
    </row>
    <row r="31" spans="3:13" s="44" customFormat="1" ht="12" x14ac:dyDescent="0.25">
      <c r="D31" s="140" t="s">
        <v>439</v>
      </c>
      <c r="H31" s="77" t="s">
        <v>438</v>
      </c>
      <c r="I31" s="225">
        <f>I30*5</f>
        <v>4723.7325488630213</v>
      </c>
      <c r="J31" s="45" t="s">
        <v>442</v>
      </c>
    </row>
    <row r="32" spans="3:13" s="44" customFormat="1" x14ac:dyDescent="0.25">
      <c r="D32" s="136"/>
      <c r="L32" s="102" t="s">
        <v>737</v>
      </c>
    </row>
    <row r="33" spans="3:17" s="44" customFormat="1" ht="12" x14ac:dyDescent="0.25">
      <c r="D33" s="104" t="s">
        <v>464</v>
      </c>
      <c r="H33" s="77" t="s">
        <v>443</v>
      </c>
      <c r="I33" s="192">
        <f>12000*(1+N33)*(1+N34)*(1+N35)*(1+N36)*(1+N37)*(1+N38)</f>
        <v>16097.514254491789</v>
      </c>
      <c r="J33" s="45" t="s">
        <v>444</v>
      </c>
      <c r="L33" s="231">
        <v>42850</v>
      </c>
      <c r="M33" s="221" t="s">
        <v>172</v>
      </c>
      <c r="N33" s="138">
        <v>5.8999999999999997E-2</v>
      </c>
      <c r="O33" s="221"/>
      <c r="P33" s="221" t="s">
        <v>738</v>
      </c>
      <c r="Q33" s="221"/>
    </row>
    <row r="34" spans="3:17" s="262" customFormat="1" ht="12" x14ac:dyDescent="0.25">
      <c r="D34" s="104"/>
      <c r="H34" s="263"/>
      <c r="I34" s="45"/>
      <c r="J34" s="45"/>
      <c r="L34" s="231">
        <v>43215</v>
      </c>
      <c r="M34" s="221" t="s">
        <v>172</v>
      </c>
      <c r="N34" s="138">
        <v>5.8999999999999997E-2</v>
      </c>
      <c r="P34" s="221" t="s">
        <v>1316</v>
      </c>
    </row>
    <row r="35" spans="3:17" s="262" customFormat="1" ht="12" x14ac:dyDescent="0.25">
      <c r="D35" s="104"/>
      <c r="H35" s="263"/>
      <c r="I35" s="45"/>
      <c r="J35" s="45"/>
      <c r="L35" s="231">
        <v>43581</v>
      </c>
      <c r="M35" s="262" t="s">
        <v>172</v>
      </c>
      <c r="N35" s="138">
        <f>0.04+0.0112</f>
        <v>5.1200000000000002E-2</v>
      </c>
      <c r="P35" t="s">
        <v>1317</v>
      </c>
    </row>
    <row r="36" spans="3:17" s="262" customFormat="1" ht="12" x14ac:dyDescent="0.25">
      <c r="D36" s="104"/>
      <c r="H36" s="263"/>
      <c r="I36" s="45"/>
      <c r="J36" s="45"/>
      <c r="L36" s="402">
        <v>44075</v>
      </c>
      <c r="M36"/>
      <c r="N36" s="138">
        <f>0.035+0.01</f>
        <v>4.5000000000000005E-2</v>
      </c>
      <c r="P36" s="262" t="s">
        <v>1318</v>
      </c>
    </row>
    <row r="37" spans="3:17" s="262" customFormat="1" ht="12" x14ac:dyDescent="0.25">
      <c r="D37" s="104"/>
      <c r="H37" s="263"/>
      <c r="I37" s="45"/>
      <c r="J37" s="45"/>
      <c r="L37" s="464">
        <v>44337</v>
      </c>
      <c r="M37" s="44" t="s">
        <v>172</v>
      </c>
      <c r="N37" s="138">
        <f>3.4%+0.8%</f>
        <v>4.2000000000000003E-2</v>
      </c>
      <c r="P37" s="262" t="s">
        <v>1319</v>
      </c>
    </row>
    <row r="38" spans="3:17" s="262" customFormat="1" ht="12" x14ac:dyDescent="0.25">
      <c r="D38" s="104"/>
      <c r="H38" s="263"/>
      <c r="I38" s="45"/>
      <c r="J38" s="45"/>
      <c r="L38" s="464">
        <v>44734</v>
      </c>
      <c r="M38" s="262" t="s">
        <v>172</v>
      </c>
      <c r="N38" s="138">
        <v>4.4999999999999998E-2</v>
      </c>
      <c r="P38" s="44" t="s">
        <v>1320</v>
      </c>
    </row>
    <row r="39" spans="3:17" s="44" customFormat="1" ht="12" x14ac:dyDescent="0.25">
      <c r="I39" s="262"/>
      <c r="J39" s="659"/>
      <c r="O39" s="221"/>
    </row>
    <row r="40" spans="3:17" x14ac:dyDescent="0.25">
      <c r="C40" s="95">
        <f>C28+1</f>
        <v>6</v>
      </c>
      <c r="D40" s="102" t="s">
        <v>445</v>
      </c>
      <c r="O40" s="231"/>
    </row>
    <row r="41" spans="3:17" ht="13.5" x14ac:dyDescent="0.25">
      <c r="D41" t="s">
        <v>469</v>
      </c>
      <c r="H41" s="77" t="s">
        <v>470</v>
      </c>
      <c r="I41" s="687">
        <v>9</v>
      </c>
      <c r="J41" s="45" t="s">
        <v>471</v>
      </c>
      <c r="K41" s="209">
        <v>8</v>
      </c>
      <c r="L41" s="262" t="s">
        <v>1321</v>
      </c>
    </row>
    <row r="42" spans="3:17" s="44" customFormat="1" x14ac:dyDescent="0.25">
      <c r="D42" s="104"/>
    </row>
    <row r="43" spans="3:17" s="44" customFormat="1" ht="13.5" x14ac:dyDescent="0.25">
      <c r="D43" s="104" t="s">
        <v>433</v>
      </c>
      <c r="E43"/>
      <c r="F43"/>
      <c r="G43"/>
      <c r="H43" s="77" t="s">
        <v>434</v>
      </c>
      <c r="I43" s="688">
        <v>520</v>
      </c>
      <c r="J43" s="45" t="s">
        <v>446</v>
      </c>
      <c r="K43" s="262">
        <v>520</v>
      </c>
      <c r="L43" s="262" t="s">
        <v>1321</v>
      </c>
    </row>
    <row r="44" spans="3:17" s="44" customFormat="1" x14ac:dyDescent="0.25">
      <c r="D44" s="104"/>
      <c r="H44" s="77"/>
      <c r="I44" s="77"/>
      <c r="J44" s="77"/>
    </row>
    <row r="45" spans="3:17" s="44" customFormat="1" ht="12" x14ac:dyDescent="0.25">
      <c r="D45" s="104" t="s">
        <v>468</v>
      </c>
      <c r="H45" s="77" t="s">
        <v>172</v>
      </c>
      <c r="I45" s="689">
        <v>0.1</v>
      </c>
      <c r="J45" s="45" t="s">
        <v>466</v>
      </c>
      <c r="K45" s="219"/>
      <c r="L45" s="262" t="s">
        <v>1321</v>
      </c>
    </row>
    <row r="46" spans="3:17" s="44" customFormat="1" x14ac:dyDescent="0.25">
      <c r="D46" s="104"/>
      <c r="H46" s="77"/>
      <c r="I46" s="116"/>
      <c r="K46" s="282"/>
      <c r="L46" s="218"/>
    </row>
    <row r="47" spans="3:17" s="44" customFormat="1" ht="12" x14ac:dyDescent="0.25">
      <c r="D47" t="s">
        <v>465</v>
      </c>
      <c r="H47" s="77" t="s">
        <v>172</v>
      </c>
      <c r="I47" s="689">
        <v>2.3699999999999999E-2</v>
      </c>
      <c r="J47" s="45" t="s">
        <v>467</v>
      </c>
      <c r="L47" s="262" t="s">
        <v>1321</v>
      </c>
    </row>
    <row r="48" spans="3:17" x14ac:dyDescent="0.25">
      <c r="K48" s="218"/>
      <c r="L48" s="218"/>
    </row>
    <row r="49" spans="1:53" x14ac:dyDescent="0.25">
      <c r="C49" s="95">
        <f>C40+1</f>
        <v>7</v>
      </c>
      <c r="D49" s="125" t="s">
        <v>736</v>
      </c>
      <c r="E49" s="44"/>
      <c r="L49" s="219"/>
    </row>
    <row r="50" spans="1:53" ht="12" x14ac:dyDescent="0.25">
      <c r="D50" s="104" t="s">
        <v>736</v>
      </c>
      <c r="E50" s="44"/>
      <c r="H50" s="77" t="s">
        <v>172</v>
      </c>
      <c r="I50" s="658">
        <v>8.9754971998106364E-2</v>
      </c>
      <c r="J50" s="45" t="s">
        <v>451</v>
      </c>
      <c r="L50" s="289" t="s">
        <v>981</v>
      </c>
    </row>
    <row r="51" spans="1:53" x14ac:dyDescent="0.25">
      <c r="L51" s="142"/>
    </row>
    <row r="52" spans="1:53" s="44" customFormat="1" x14ac:dyDescent="0.25">
      <c r="A52" s="100">
        <v>3</v>
      </c>
      <c r="B52" s="100" t="s">
        <v>554</v>
      </c>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row>
    <row r="53" spans="1:53" s="44" customFormat="1" x14ac:dyDescent="0.25"/>
    <row r="54" spans="1:53" s="44" customFormat="1" x14ac:dyDescent="0.25">
      <c r="C54" s="267">
        <v>1</v>
      </c>
      <c r="D54" s="102" t="s">
        <v>712</v>
      </c>
      <c r="L54" s="289"/>
    </row>
    <row r="55" spans="1:53" s="44" customFormat="1" ht="12" x14ac:dyDescent="0.25">
      <c r="D55" s="103" t="s">
        <v>712</v>
      </c>
      <c r="H55" s="77" t="s">
        <v>555</v>
      </c>
      <c r="I55" s="97">
        <v>5</v>
      </c>
      <c r="J55" s="45" t="s">
        <v>160</v>
      </c>
      <c r="L55" s="289" t="s">
        <v>463</v>
      </c>
    </row>
    <row r="56" spans="1:53" s="44" customFormat="1" x14ac:dyDescent="0.25">
      <c r="L56" s="289"/>
    </row>
    <row r="57" spans="1:53" s="44" customFormat="1" x14ac:dyDescent="0.25">
      <c r="C57" s="95">
        <f>1+C54</f>
        <v>2</v>
      </c>
      <c r="D57" s="102" t="s">
        <v>767</v>
      </c>
      <c r="L57" s="289"/>
      <c r="M57" s="221"/>
      <c r="N57" s="221"/>
      <c r="O57" s="221"/>
      <c r="P57" s="221"/>
      <c r="Q57" s="221"/>
    </row>
    <row r="58" spans="1:53" s="44" customFormat="1" ht="12" x14ac:dyDescent="0.25">
      <c r="D58" s="103" t="s">
        <v>556</v>
      </c>
      <c r="E58" s="103"/>
      <c r="H58" s="77" t="s">
        <v>558</v>
      </c>
      <c r="I58" s="97">
        <v>96.619670035495005</v>
      </c>
      <c r="J58" s="45" t="s">
        <v>559</v>
      </c>
      <c r="L58" s="289" t="s">
        <v>980</v>
      </c>
      <c r="M58" s="221"/>
      <c r="N58" s="221"/>
      <c r="O58" s="221"/>
      <c r="P58" s="221"/>
      <c r="Q58" s="221"/>
    </row>
    <row r="59" spans="1:53" s="44" customFormat="1" ht="12" x14ac:dyDescent="0.25">
      <c r="D59" s="103"/>
      <c r="E59" s="103"/>
      <c r="H59" s="77"/>
      <c r="I59" s="221"/>
      <c r="J59" s="45"/>
      <c r="L59" s="289"/>
      <c r="M59" s="221"/>
      <c r="N59" s="221"/>
      <c r="O59" s="221"/>
      <c r="P59" s="221"/>
      <c r="Q59" s="221"/>
    </row>
    <row r="60" spans="1:53" s="44" customFormat="1" ht="12" x14ac:dyDescent="0.25">
      <c r="D60" s="103" t="s">
        <v>557</v>
      </c>
      <c r="E60" s="103"/>
      <c r="H60" s="77" t="s">
        <v>558</v>
      </c>
      <c r="I60" s="97">
        <v>88.134491476903705</v>
      </c>
      <c r="J60" s="45" t="s">
        <v>560</v>
      </c>
      <c r="L60" s="289" t="s">
        <v>946</v>
      </c>
      <c r="M60" s="221"/>
      <c r="N60" s="221"/>
      <c r="O60" s="221"/>
      <c r="P60" s="221"/>
      <c r="Q60" s="221"/>
    </row>
    <row r="61" spans="1:53" s="44" customFormat="1" x14ac:dyDescent="0.25">
      <c r="D61" s="103"/>
      <c r="E61" s="103"/>
      <c r="F61" s="103"/>
      <c r="G61" s="103"/>
      <c r="H61" s="103"/>
      <c r="I61" s="103"/>
      <c r="J61" s="103"/>
      <c r="K61" s="103"/>
    </row>
    <row r="62" spans="1:53" s="44" customFormat="1" ht="12" x14ac:dyDescent="0.25">
      <c r="C62" s="95">
        <f>1+C57</f>
        <v>3</v>
      </c>
      <c r="D62" s="102" t="s">
        <v>713</v>
      </c>
      <c r="I62" s="103"/>
      <c r="J62" s="45"/>
    </row>
    <row r="63" spans="1:53" s="44" customFormat="1" ht="12" x14ac:dyDescent="0.25">
      <c r="D63" s="103" t="s">
        <v>576</v>
      </c>
      <c r="E63" s="103"/>
      <c r="H63" s="77" t="s">
        <v>558</v>
      </c>
      <c r="I63" s="213">
        <f>1149/12/(1+16%)</f>
        <v>82.543103448275872</v>
      </c>
      <c r="J63" s="45" t="s">
        <v>577</v>
      </c>
      <c r="L63" s="44" t="s">
        <v>714</v>
      </c>
    </row>
    <row r="64" spans="1:53" s="44" customFormat="1" ht="12" x14ac:dyDescent="0.25">
      <c r="D64" s="103"/>
      <c r="E64" s="103"/>
      <c r="H64" s="77"/>
      <c r="I64" s="77"/>
      <c r="J64" s="45"/>
      <c r="L64" s="142" t="s">
        <v>578</v>
      </c>
    </row>
    <row r="65" spans="1:53" s="221" customFormat="1" x14ac:dyDescent="0.25">
      <c r="C65" s="95">
        <f>1+C62</f>
        <v>4</v>
      </c>
      <c r="D65" s="102" t="s">
        <v>747</v>
      </c>
    </row>
    <row r="66" spans="1:53" s="221" customFormat="1" ht="12" x14ac:dyDescent="0.25">
      <c r="D66" s="103" t="str">
        <f>D65</f>
        <v>Parámetro de reposición de equipos terminales</v>
      </c>
      <c r="E66" s="103"/>
      <c r="H66" s="77" t="s">
        <v>172</v>
      </c>
      <c r="I66" s="238">
        <v>2E-3</v>
      </c>
      <c r="J66" s="45" t="s">
        <v>748</v>
      </c>
      <c r="L66" s="102"/>
    </row>
    <row r="67" spans="1:53" s="221" customFormat="1" x14ac:dyDescent="0.25"/>
    <row r="68" spans="1:53" s="221" customFormat="1" x14ac:dyDescent="0.25"/>
    <row r="69" spans="1:53" s="44" customFormat="1" x14ac:dyDescent="0.25">
      <c r="A69" s="100"/>
      <c r="B69" s="100" t="s">
        <v>400</v>
      </c>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row>
    <row r="73" spans="1:53" x14ac:dyDescent="0.25">
      <c r="I73" s="262"/>
    </row>
    <row r="74" spans="1:53" x14ac:dyDescent="0.25">
      <c r="I74" s="262"/>
    </row>
    <row r="75" spans="1:53" x14ac:dyDescent="0.25">
      <c r="I75" s="262"/>
    </row>
    <row r="76" spans="1:53" x14ac:dyDescent="0.25">
      <c r="I76" s="262"/>
    </row>
  </sheetData>
  <hyperlinks>
    <hyperlink ref="L64" r:id="rId1" xr:uid="{00000000-0004-0000-0400-000000000000}"/>
  </hyperlinks>
  <pageMargins left="0.7" right="0.7" top="0.75" bottom="0.75" header="0.3" footer="0.3"/>
  <pageSetup orientation="portrait" r:id="rId2"/>
  <ignoredErrors>
    <ignoredError sqref="C69:C107 C39:C53 C13:C33 C55:C64" unlockedFormula="1"/>
  </ignoredErrors>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3"/>
  <dimension ref="A1:BB628"/>
  <sheetViews>
    <sheetView showGridLines="0" zoomScale="85" zoomScaleNormal="85" workbookViewId="0">
      <selection sqref="A1:XFD1048576"/>
    </sheetView>
  </sheetViews>
  <sheetFormatPr baseColWidth="10" defaultRowHeight="11.5" outlineLevelRow="1" outlineLevelCol="1" x14ac:dyDescent="0.25"/>
  <cols>
    <col min="1" max="1" width="3.3984375" customWidth="1"/>
    <col min="2" max="3" width="4.796875" customWidth="1"/>
    <col min="4" max="4" width="4.796875" style="44" customWidth="1"/>
    <col min="5" max="5" width="52.5" style="44" bestFit="1" customWidth="1"/>
    <col min="6" max="6" width="13.19921875" bestFit="1" customWidth="1"/>
    <col min="7" max="7" width="25" customWidth="1"/>
    <col min="8" max="8" width="10" customWidth="1"/>
    <col min="9" max="9" width="20.19921875" hidden="1" customWidth="1" outlineLevel="1"/>
    <col min="10" max="11" width="14.796875" hidden="1" customWidth="1" outlineLevel="1"/>
    <col min="12" max="12" width="13.3984375" hidden="1" customWidth="1" outlineLevel="1"/>
    <col min="13" max="13" width="13.5" bestFit="1" customWidth="1" collapsed="1"/>
    <col min="14" max="14" width="16.19921875" customWidth="1"/>
    <col min="15" max="15" width="11.69921875" hidden="1" customWidth="1" outlineLevel="1"/>
    <col min="16" max="16" width="11.19921875" hidden="1" customWidth="1" outlineLevel="1"/>
    <col min="17" max="17" width="11.19921875" collapsed="1"/>
    <col min="22" max="22" width="12.09765625" bestFit="1" customWidth="1"/>
    <col min="23" max="23" width="15" bestFit="1" customWidth="1"/>
    <col min="25" max="25" width="12.09765625" bestFit="1" customWidth="1"/>
  </cols>
  <sheetData>
    <row r="1" spans="1:53" s="93" customFormat="1" ht="33.75" customHeight="1" x14ac:dyDescent="0.25">
      <c r="C1" s="94" t="s">
        <v>164</v>
      </c>
      <c r="D1" s="94"/>
      <c r="E1" s="94"/>
      <c r="F1" s="94"/>
    </row>
    <row r="2" spans="1:53" x14ac:dyDescent="0.25">
      <c r="C2" s="457" t="s">
        <v>166</v>
      </c>
      <c r="D2" s="1"/>
      <c r="E2" s="1"/>
      <c r="F2" s="1"/>
      <c r="G2" s="1"/>
      <c r="H2" s="1" t="s">
        <v>167</v>
      </c>
      <c r="I2" s="1">
        <f t="array" ref="I2:O2">TRANSPOSE(Years)</f>
        <v>2017</v>
      </c>
      <c r="J2" s="1">
        <v>2018</v>
      </c>
      <c r="K2" s="1">
        <v>2019</v>
      </c>
      <c r="L2" s="1">
        <v>2020</v>
      </c>
      <c r="M2" s="1">
        <v>2021</v>
      </c>
      <c r="N2" s="268">
        <v>2022</v>
      </c>
      <c r="O2" s="569" t="e">
        <v>#N/A</v>
      </c>
      <c r="P2" s="1" t="s">
        <v>168</v>
      </c>
      <c r="Q2" s="1"/>
      <c r="R2" s="1" t="s">
        <v>170</v>
      </c>
    </row>
    <row r="3" spans="1:53" s="44" customFormat="1" x14ac:dyDescent="0.25">
      <c r="A3" s="100">
        <v>1</v>
      </c>
      <c r="B3" s="100" t="s">
        <v>175</v>
      </c>
      <c r="C3" s="40"/>
      <c r="D3" s="40"/>
      <c r="E3" s="40"/>
      <c r="F3" s="40"/>
      <c r="G3" s="40"/>
      <c r="H3" s="40"/>
      <c r="I3" s="40"/>
      <c r="J3" s="40"/>
      <c r="K3" s="40"/>
      <c r="L3" s="40"/>
      <c r="M3" s="40"/>
      <c r="N3" s="265"/>
      <c r="O3" s="265"/>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row>
    <row r="4" spans="1:53" s="44" customFormat="1" x14ac:dyDescent="0.25">
      <c r="N4" s="262"/>
      <c r="O4" s="262"/>
    </row>
    <row r="5" spans="1:53" s="44" customFormat="1" x14ac:dyDescent="0.25">
      <c r="B5" s="100">
        <v>1.1000000000000001</v>
      </c>
      <c r="C5" s="100" t="s">
        <v>165</v>
      </c>
      <c r="D5" s="100"/>
      <c r="E5" s="40"/>
      <c r="F5" s="40"/>
      <c r="G5" s="40"/>
      <c r="H5" s="40"/>
      <c r="I5" s="40"/>
      <c r="J5" s="40"/>
      <c r="K5" s="40"/>
      <c r="L5" s="40"/>
      <c r="M5" s="40"/>
      <c r="N5" s="265"/>
      <c r="O5" s="265"/>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row>
    <row r="6" spans="1:53" s="44" customFormat="1" x14ac:dyDescent="0.25">
      <c r="L6" s="249"/>
      <c r="N6" s="262"/>
      <c r="O6" s="262"/>
    </row>
    <row r="7" spans="1:53" s="44" customFormat="1" x14ac:dyDescent="0.25">
      <c r="C7" s="102" t="s">
        <v>187</v>
      </c>
      <c r="D7" s="102"/>
      <c r="N7" s="262"/>
      <c r="O7" s="262"/>
    </row>
    <row r="8" spans="1:53" s="44" customFormat="1" ht="12" x14ac:dyDescent="0.25">
      <c r="C8" s="104" t="s">
        <v>190</v>
      </c>
      <c r="D8" s="104"/>
      <c r="H8" s="77" t="s">
        <v>188</v>
      </c>
      <c r="I8" s="118"/>
      <c r="J8" s="118"/>
      <c r="K8" s="118"/>
      <c r="L8" s="118"/>
      <c r="M8" s="454">
        <v>22509439</v>
      </c>
      <c r="N8" s="454">
        <v>24148800</v>
      </c>
      <c r="O8" s="454"/>
      <c r="P8" s="45" t="s">
        <v>186</v>
      </c>
      <c r="R8" s="221" t="s">
        <v>171</v>
      </c>
      <c r="T8" s="262"/>
    </row>
    <row r="9" spans="1:53" s="44" customFormat="1" x14ac:dyDescent="0.25">
      <c r="H9" s="77"/>
      <c r="L9" s="262"/>
      <c r="M9" s="262"/>
      <c r="N9" s="262"/>
      <c r="O9" s="262"/>
    </row>
    <row r="10" spans="1:53" s="44" customFormat="1" ht="12" x14ac:dyDescent="0.25">
      <c r="C10" s="104" t="s">
        <v>191</v>
      </c>
      <c r="D10" s="104"/>
      <c r="H10" s="77" t="s">
        <v>188</v>
      </c>
      <c r="I10" s="118"/>
      <c r="J10" s="118"/>
      <c r="K10" s="118"/>
      <c r="L10" s="118"/>
      <c r="M10" s="454">
        <v>10022554</v>
      </c>
      <c r="N10" s="454">
        <v>10036609</v>
      </c>
      <c r="O10" s="454"/>
      <c r="P10" s="45" t="s">
        <v>184</v>
      </c>
      <c r="R10" s="221" t="s">
        <v>171</v>
      </c>
      <c r="T10" s="262"/>
    </row>
    <row r="11" spans="1:53" s="44" customFormat="1" x14ac:dyDescent="0.25">
      <c r="C11" s="104"/>
      <c r="D11" s="104"/>
      <c r="H11" s="77"/>
      <c r="L11" s="262"/>
      <c r="N11" s="262"/>
      <c r="O11" s="262"/>
    </row>
    <row r="12" spans="1:53" s="44" customFormat="1" x14ac:dyDescent="0.25">
      <c r="C12" s="102" t="s">
        <v>173</v>
      </c>
      <c r="D12" s="102"/>
      <c r="H12" s="77"/>
      <c r="L12" s="262"/>
      <c r="N12" s="262"/>
      <c r="O12" s="262"/>
    </row>
    <row r="13" spans="1:53" s="44" customFormat="1" ht="12" x14ac:dyDescent="0.25">
      <c r="C13" s="104" t="s">
        <v>177</v>
      </c>
      <c r="D13" s="104"/>
      <c r="H13" s="77" t="s">
        <v>193</v>
      </c>
      <c r="I13" s="276" t="str">
        <f t="shared" ref="I13:O13" si="0">IFERROR(I10/I8,"")</f>
        <v/>
      </c>
      <c r="J13" s="276" t="str">
        <f t="shared" si="0"/>
        <v/>
      </c>
      <c r="K13" s="276" t="str">
        <f t="shared" si="0"/>
        <v/>
      </c>
      <c r="L13" s="276" t="str">
        <f t="shared" si="0"/>
        <v/>
      </c>
      <c r="M13" s="276">
        <f t="shared" si="0"/>
        <v>0.44526005290491694</v>
      </c>
      <c r="N13" s="276">
        <f t="shared" si="0"/>
        <v>0.41561522725766914</v>
      </c>
      <c r="O13" s="276" t="str">
        <f t="shared" si="0"/>
        <v/>
      </c>
      <c r="P13" s="45" t="s">
        <v>185</v>
      </c>
      <c r="R13" s="221" t="s">
        <v>171</v>
      </c>
      <c r="T13" s="262"/>
    </row>
    <row r="14" spans="1:53" s="44" customFormat="1" x14ac:dyDescent="0.25">
      <c r="C14" s="102"/>
      <c r="D14" s="102"/>
    </row>
    <row r="15" spans="1:53" s="44" customFormat="1" x14ac:dyDescent="0.25">
      <c r="B15" s="100">
        <v>1.2</v>
      </c>
      <c r="C15" s="100" t="s">
        <v>194</v>
      </c>
      <c r="D15" s="100"/>
      <c r="E15" s="40"/>
      <c r="F15" s="40"/>
      <c r="G15" s="40"/>
      <c r="H15" s="40"/>
      <c r="I15" s="40"/>
      <c r="J15" s="40"/>
      <c r="K15" s="40"/>
      <c r="L15" s="40"/>
      <c r="M15" s="40"/>
      <c r="N15" s="40"/>
      <c r="O15" s="40"/>
      <c r="P15" s="40"/>
      <c r="Q15" s="40"/>
      <c r="R15" s="40"/>
      <c r="S15" s="40"/>
      <c r="T15" s="40"/>
      <c r="U15" s="40"/>
      <c r="V15" s="40"/>
      <c r="W15" s="40"/>
      <c r="X15" s="40"/>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row>
    <row r="16" spans="1:53" s="44" customFormat="1" x14ac:dyDescent="0.25">
      <c r="C16" s="102"/>
      <c r="D16" s="102"/>
      <c r="M16" s="262"/>
    </row>
    <row r="17" spans="3:25" s="44" customFormat="1" x14ac:dyDescent="0.25">
      <c r="C17" s="102" t="s">
        <v>195</v>
      </c>
      <c r="D17" s="102"/>
    </row>
    <row r="18" spans="3:25" s="44" customFormat="1" x14ac:dyDescent="0.25">
      <c r="C18" s="102"/>
      <c r="D18" s="102"/>
      <c r="K18" s="262"/>
      <c r="L18" s="96">
        <v>5</v>
      </c>
      <c r="M18" s="95">
        <v>8</v>
      </c>
      <c r="N18" s="95">
        <v>11</v>
      </c>
      <c r="O18" s="95"/>
    </row>
    <row r="19" spans="3:25" s="44" customFormat="1" x14ac:dyDescent="0.25">
      <c r="E19" s="1" t="s">
        <v>180</v>
      </c>
      <c r="F19" s="1" t="s">
        <v>182</v>
      </c>
      <c r="G19" s="1" t="s">
        <v>181</v>
      </c>
      <c r="H19" s="1" t="s">
        <v>167</v>
      </c>
      <c r="I19" s="1">
        <f t="array" ref="I19:O19">TRANSPOSE(Years)</f>
        <v>2017</v>
      </c>
      <c r="J19" s="1">
        <v>2018</v>
      </c>
      <c r="K19" s="1">
        <v>2019</v>
      </c>
      <c r="L19" s="1">
        <v>2020</v>
      </c>
      <c r="M19" s="1">
        <v>2021</v>
      </c>
      <c r="N19" s="268">
        <v>2022</v>
      </c>
      <c r="O19" s="569" t="e">
        <v>#N/A</v>
      </c>
      <c r="P19" s="1" t="s">
        <v>168</v>
      </c>
      <c r="Q19" s="1"/>
      <c r="R19" s="1" t="s">
        <v>170</v>
      </c>
    </row>
    <row r="20" spans="3:25" s="44" customFormat="1" x14ac:dyDescent="0.25">
      <c r="I20" s="456">
        <f t="shared" ref="I20:N20" si="1">SUM(I21:I141)</f>
        <v>0</v>
      </c>
      <c r="J20" s="456">
        <f t="shared" si="1"/>
        <v>0</v>
      </c>
      <c r="K20" s="456">
        <f t="shared" si="1"/>
        <v>0</v>
      </c>
      <c r="L20" s="456">
        <f t="shared" si="1"/>
        <v>0</v>
      </c>
      <c r="M20" s="108">
        <f t="shared" si="1"/>
        <v>0.99999999999999978</v>
      </c>
      <c r="N20" s="108">
        <f t="shared" si="1"/>
        <v>0.99999999999999989</v>
      </c>
      <c r="O20" s="108"/>
    </row>
    <row r="21" spans="3:25" s="44" customFormat="1" ht="12" x14ac:dyDescent="0.25">
      <c r="C21" s="579" t="str">
        <f>E21&amp;F21</f>
        <v>Infinitum 50Residencial</v>
      </c>
      <c r="D21" s="96">
        <v>1</v>
      </c>
      <c r="E21" s="101" t="str">
        <f t="array" ref="E21:E128">vector.broadband.plans.names</f>
        <v>Infinitum 50</v>
      </c>
      <c r="F21" s="297" t="str">
        <f>IFERROR(VLOOKUP($E21,'Info planes y paquetes'!$C$595:$K$702,2,FALSE),"")</f>
        <v>Residencial</v>
      </c>
      <c r="G21" s="297" t="str">
        <f>IFERROR(VLOOKUP($E21,'Info planes y paquetes'!$C$593:$K$702,3,FALSE),"")</f>
        <v>Internet fijo</v>
      </c>
      <c r="H21" s="77" t="s">
        <v>172</v>
      </c>
      <c r="I21" s="132"/>
      <c r="J21" s="132"/>
      <c r="K21" s="132"/>
      <c r="L21" s="132"/>
      <c r="M21" s="343">
        <f>IFERROR(VLOOKUP($E21&amp;$F21,'Info planes y paquetes'!$A$595:$L$702,M$18,FALSE),0)/(SUMIFS('Info planes y paquetes'!$H$595:$H$702,'Info planes y paquetes'!$E$595:$E$702,"Telefonía fija + Internet fijo")+SUMIFS('Info planes y paquetes'!$H$595:$H$702,'Info planes y paquetes'!$E$595:$E$702,"Internet fijo"))</f>
        <v>5.8503208684097717E-2</v>
      </c>
      <c r="N21" s="343">
        <f>IFERROR(VLOOKUP($E21&amp;$F21,'Info planes y paquetes'!$A$595:$L$702,N$18,FALSE),0)/(SUMIFS('Info planes y paquetes'!$K$595:$K$702,'Info planes y paquetes'!$E$595:$E$702,"Telefonía fija + Internet fijo")+SUMIFS('Info planes y paquetes'!$K$595:$K$702,'Info planes y paquetes'!$E$595:$E$702,"Internet fijo"))</f>
        <v>9.8095792781628333E-2</v>
      </c>
      <c r="O21" s="343"/>
      <c r="R21" s="102" t="s">
        <v>189</v>
      </c>
      <c r="V21" s="57"/>
      <c r="W21" s="567"/>
      <c r="X21" s="568"/>
      <c r="Y21" s="57"/>
    </row>
    <row r="22" spans="3:25" s="44" customFormat="1" ht="12" x14ac:dyDescent="0.25">
      <c r="C22" s="579" t="str">
        <f t="shared" ref="C22:C85" si="2">E22&amp;F22</f>
        <v>Infinitum 500Residencial</v>
      </c>
      <c r="D22" s="95">
        <f>1+D21</f>
        <v>2</v>
      </c>
      <c r="E22" s="101" t="str">
        <v>Infinitum 500</v>
      </c>
      <c r="F22" s="297" t="str">
        <f>IFERROR(VLOOKUP($E22,'Info planes y paquetes'!$C$595:$K$702,2,FALSE),"")</f>
        <v>Residencial</v>
      </c>
      <c r="G22" s="297" t="str">
        <f>IFERROR(VLOOKUP($E22,'Info planes y paquetes'!$C$593:$K$702,3,FALSE),"")</f>
        <v>Internet fijo</v>
      </c>
      <c r="H22" s="77" t="s">
        <v>172</v>
      </c>
      <c r="I22" s="132"/>
      <c r="J22" s="132"/>
      <c r="K22" s="132"/>
      <c r="L22" s="132"/>
      <c r="M22" s="343">
        <f>IFERROR(VLOOKUP($E22&amp;$F22,'Info planes y paquetes'!$A$595:$L$702,M$18,FALSE),0)/(SUMIFS('Info planes y paquetes'!$H$595:$H$702,'Info planes y paquetes'!$E$595:$E$702,"Telefonía fija + Internet fijo")+SUMIFS('Info planes y paquetes'!$H$595:$H$702,'Info planes y paquetes'!$E$595:$E$702,"Internet fijo"))</f>
        <v>7.4271138790897194E-4</v>
      </c>
      <c r="N22" s="343">
        <f>IFERROR(VLOOKUP($E22&amp;$F22,'Info planes y paquetes'!$A$595:$L$702,N$18,FALSE),0)/(SUMIFS('Info planes y paquetes'!$K$595:$K$702,'Info planes y paquetes'!$E$595:$E$702,"Telefonía fija + Internet fijo")+SUMIFS('Info planes y paquetes'!$K$595:$K$702,'Info planes y paquetes'!$E$595:$E$702,"Internet fijo"))</f>
        <v>6.0260228524781066E-4</v>
      </c>
      <c r="O22" s="343"/>
      <c r="P22" s="282"/>
      <c r="R22" s="102" t="s">
        <v>189</v>
      </c>
      <c r="U22" s="262"/>
      <c r="V22" s="57"/>
      <c r="W22" s="567"/>
      <c r="X22" s="568"/>
      <c r="Y22" s="57"/>
    </row>
    <row r="23" spans="3:25" s="44" customFormat="1" ht="12" x14ac:dyDescent="0.25">
      <c r="C23" s="579" t="str">
        <f t="shared" si="2"/>
        <v>Infinitum 60Residencial</v>
      </c>
      <c r="D23" s="95">
        <f t="shared" ref="D23:D86" si="3">1+D22</f>
        <v>3</v>
      </c>
      <c r="E23" s="101" t="str">
        <v>Infinitum 60</v>
      </c>
      <c r="F23" s="297" t="str">
        <f>IFERROR(VLOOKUP($E23,'Info planes y paquetes'!$C$595:$K$702,2,FALSE),"")</f>
        <v>Residencial</v>
      </c>
      <c r="G23" s="297" t="str">
        <f>IFERROR(VLOOKUP($E23,'Info planes y paquetes'!$C$593:$K$702,3,FALSE),"")</f>
        <v>Internet fijo</v>
      </c>
      <c r="H23" s="77" t="s">
        <v>172</v>
      </c>
      <c r="I23" s="132"/>
      <c r="J23" s="132"/>
      <c r="K23" s="132"/>
      <c r="L23" s="132"/>
      <c r="M23" s="343">
        <f>IFERROR(VLOOKUP($E23&amp;$F23,'Info planes y paquetes'!$A$595:$L$702,M$18,FALSE),0)/(SUMIFS('Info planes y paquetes'!$H$595:$H$702,'Info planes y paquetes'!$E$595:$E$702,"Telefonía fija + Internet fijo")+SUMIFS('Info planes y paquetes'!$H$595:$H$702,'Info planes y paquetes'!$E$595:$E$702,"Internet fijo"))</f>
        <v>1.4170797983926672E-2</v>
      </c>
      <c r="N23" s="343">
        <f>IFERROR(VLOOKUP($E23&amp;$F23,'Info planes y paquetes'!$A$595:$L$702,N$18,FALSE),0)/(SUMIFS('Info planes y paquetes'!$K$595:$K$702,'Info planes y paquetes'!$E$595:$E$702,"Telefonía fija + Internet fijo")+SUMIFS('Info planes y paquetes'!$K$595:$K$702,'Info planes y paquetes'!$E$595:$E$702,"Internet fijo"))</f>
        <v>1.693349761906307E-2</v>
      </c>
      <c r="O23" s="343"/>
      <c r="P23" s="282"/>
      <c r="R23" s="102" t="s">
        <v>189</v>
      </c>
      <c r="U23" s="262"/>
      <c r="V23" s="57"/>
      <c r="W23" s="567"/>
      <c r="X23" s="568"/>
      <c r="Y23" s="57"/>
    </row>
    <row r="24" spans="3:25" s="44" customFormat="1" ht="12" x14ac:dyDescent="0.25">
      <c r="C24" s="579" t="str">
        <f t="shared" si="2"/>
        <v>Infinitum 100Residencial</v>
      </c>
      <c r="D24" s="95">
        <f t="shared" si="3"/>
        <v>4</v>
      </c>
      <c r="E24" s="101" t="str">
        <v>Infinitum 100</v>
      </c>
      <c r="F24" s="297" t="str">
        <f>IFERROR(VLOOKUP($E24,'Info planes y paquetes'!$C$595:$K$702,2,FALSE),"")</f>
        <v>Residencial</v>
      </c>
      <c r="G24" s="297" t="str">
        <f>IFERROR(VLOOKUP($E24,'Info planes y paquetes'!$C$593:$K$702,3,FALSE),"")</f>
        <v>Internet fijo</v>
      </c>
      <c r="H24" s="77" t="s">
        <v>172</v>
      </c>
      <c r="I24" s="132"/>
      <c r="J24" s="132"/>
      <c r="K24" s="132"/>
      <c r="L24" s="132"/>
      <c r="M24" s="343">
        <f>IFERROR(VLOOKUP($E24&amp;$F24,'Info planes y paquetes'!$A$595:$L$702,M$18,FALSE),0)/(SUMIFS('Info planes y paquetes'!$H$595:$H$702,'Info planes y paquetes'!$E$595:$E$702,"Telefonía fija + Internet fijo")+SUMIFS('Info planes y paquetes'!$H$595:$H$702,'Info planes y paquetes'!$E$595:$E$702,"Internet fijo"))</f>
        <v>0</v>
      </c>
      <c r="N24" s="343">
        <f>IFERROR(VLOOKUP($E24&amp;$F24,'Info planes y paquetes'!$A$595:$L$702,N$18,FALSE),0)/(SUMIFS('Info planes y paquetes'!$K$595:$K$702,'Info planes y paquetes'!$E$595:$E$702,"Telefonía fija + Internet fijo")+SUMIFS('Info planes y paquetes'!$K$595:$K$702,'Info planes y paquetes'!$E$595:$E$702,"Internet fijo"))</f>
        <v>4.9458195822271625E-4</v>
      </c>
      <c r="O24" s="343"/>
      <c r="P24" s="282"/>
      <c r="R24" s="102" t="s">
        <v>189</v>
      </c>
      <c r="U24" s="262"/>
      <c r="V24" s="57"/>
      <c r="W24" s="567"/>
      <c r="X24" s="568"/>
      <c r="Y24" s="57"/>
    </row>
    <row r="25" spans="3:25" s="44" customFormat="1" ht="12" x14ac:dyDescent="0.25">
      <c r="C25" s="579" t="str">
        <f t="shared" si="2"/>
        <v>Infinitum 200Residencial</v>
      </c>
      <c r="D25" s="95">
        <f t="shared" si="3"/>
        <v>5</v>
      </c>
      <c r="E25" s="101" t="str">
        <v>Infinitum 200</v>
      </c>
      <c r="F25" s="297" t="str">
        <f>IFERROR(VLOOKUP($E25,'Info planes y paquetes'!$C$595:$K$702,2,FALSE),"")</f>
        <v>Residencial</v>
      </c>
      <c r="G25" s="297" t="str">
        <f>IFERROR(VLOOKUP($E25,'Info planes y paquetes'!$C$593:$K$702,3,FALSE),"")</f>
        <v>Internet fijo</v>
      </c>
      <c r="H25" s="77" t="s">
        <v>172</v>
      </c>
      <c r="I25" s="132"/>
      <c r="J25" s="132"/>
      <c r="K25" s="132"/>
      <c r="L25" s="132"/>
      <c r="M25" s="343">
        <f>IFERROR(VLOOKUP($E25&amp;$F25,'Info planes y paquetes'!$A$595:$L$702,M$18,FALSE),0)/(SUMIFS('Info planes y paquetes'!$H$595:$H$702,'Info planes y paquetes'!$E$595:$E$702,"Telefonía fija + Internet fijo")+SUMIFS('Info planes y paquetes'!$H$595:$H$702,'Info planes y paquetes'!$E$595:$E$702,"Internet fijo"))</f>
        <v>6.1538943569600527E-3</v>
      </c>
      <c r="N25" s="343">
        <f>IFERROR(VLOOKUP($E25&amp;$F25,'Info planes y paquetes'!$A$595:$L$702,N$18,FALSE),0)/(SUMIFS('Info planes y paquetes'!$K$595:$K$702,'Info planes y paquetes'!$E$595:$E$702,"Telefonía fija + Internet fijo")+SUMIFS('Info planes y paquetes'!$K$595:$K$702,'Info planes y paquetes'!$E$595:$E$702,"Internet fijo"))</f>
        <v>6.6765452663403412E-3</v>
      </c>
      <c r="O25" s="343"/>
      <c r="P25" s="282"/>
      <c r="R25" s="102" t="s">
        <v>189</v>
      </c>
      <c r="U25" s="262"/>
      <c r="V25" s="57"/>
      <c r="W25" s="567"/>
      <c r="X25" s="568"/>
      <c r="Y25" s="57"/>
    </row>
    <row r="26" spans="3:25" s="44" customFormat="1" ht="12" x14ac:dyDescent="0.25">
      <c r="C26" s="579" t="str">
        <f t="shared" si="2"/>
        <v>Infinitum 279Residencial</v>
      </c>
      <c r="D26" s="95">
        <f t="shared" si="3"/>
        <v>6</v>
      </c>
      <c r="E26" s="101" t="str">
        <v>Infinitum 279</v>
      </c>
      <c r="F26" s="297" t="str">
        <f>IFERROR(VLOOKUP($E26,'Info planes y paquetes'!$C$595:$K$702,2,FALSE),"")</f>
        <v>Residencial</v>
      </c>
      <c r="G26" s="297" t="str">
        <f>IFERROR(VLOOKUP($E26,'Info planes y paquetes'!$C$593:$K$702,3,FALSE),"")</f>
        <v>Internet fijo</v>
      </c>
      <c r="H26" s="77" t="s">
        <v>172</v>
      </c>
      <c r="I26" s="132"/>
      <c r="J26" s="132"/>
      <c r="K26" s="132"/>
      <c r="L26" s="132"/>
      <c r="M26" s="343">
        <f>IFERROR(VLOOKUP($E26&amp;$F26,'Info planes y paquetes'!$A$595:$L$702,M$18,FALSE),0)/(SUMIFS('Info planes y paquetes'!$H$595:$H$702,'Info planes y paquetes'!$E$595:$E$702,"Telefonía fija + Internet fijo")+SUMIFS('Info planes y paquetes'!$H$595:$H$702,'Info planes y paquetes'!$E$595:$E$702,"Internet fijo"))</f>
        <v>2.1146445880337304E-3</v>
      </c>
      <c r="N26" s="343">
        <f>IFERROR(VLOOKUP($E26&amp;$F26,'Info planes y paquetes'!$A$595:$L$702,N$18,FALSE),0)/(SUMIFS('Info planes y paquetes'!$K$595:$K$702,'Info planes y paquetes'!$E$595:$E$702,"Telefonía fija + Internet fijo")+SUMIFS('Info planes y paquetes'!$K$595:$K$702,'Info planes y paquetes'!$E$595:$E$702,"Internet fijo"))</f>
        <v>1.607235779390664E-3</v>
      </c>
      <c r="O26" s="343"/>
      <c r="P26" s="282"/>
      <c r="R26" s="102" t="s">
        <v>189</v>
      </c>
      <c r="U26" s="262"/>
      <c r="V26" s="57"/>
      <c r="W26" s="567"/>
      <c r="X26" s="568"/>
      <c r="Y26" s="57"/>
    </row>
    <row r="27" spans="3:25" s="44" customFormat="1" ht="12" x14ac:dyDescent="0.25">
      <c r="C27" s="579" t="str">
        <f t="shared" si="2"/>
        <v>Infinitum 299Residencial</v>
      </c>
      <c r="D27" s="95">
        <f t="shared" si="3"/>
        <v>7</v>
      </c>
      <c r="E27" s="101" t="str">
        <v>Infinitum 299</v>
      </c>
      <c r="F27" s="297" t="str">
        <f>IFERROR(VLOOKUP($E27,'Info planes y paquetes'!$C$595:$K$702,2,FALSE),"")</f>
        <v>Residencial</v>
      </c>
      <c r="G27" s="297" t="str">
        <f>IFERROR(VLOOKUP($E27,'Info planes y paquetes'!$C$593:$K$702,3,FALSE),"")</f>
        <v>Internet fijo</v>
      </c>
      <c r="H27" s="77" t="s">
        <v>172</v>
      </c>
      <c r="I27" s="132"/>
      <c r="J27" s="132"/>
      <c r="K27" s="132"/>
      <c r="L27" s="132"/>
      <c r="M27" s="343">
        <f>IFERROR(VLOOKUP($E27&amp;$F27,'Info planes y paquetes'!$A$595:$L$702,M$18,FALSE),0)/(SUMIFS('Info planes y paquetes'!$H$595:$H$702,'Info planes y paquetes'!$E$595:$E$702,"Telefonía fija + Internet fijo")+SUMIFS('Info planes y paquetes'!$H$595:$H$702,'Info planes y paquetes'!$E$595:$E$702,"Internet fijo"))</f>
        <v>1.6022057744920296E-5</v>
      </c>
      <c r="N27" s="343">
        <f>IFERROR(VLOOKUP($E27&amp;$F27,'Info planes y paquetes'!$A$595:$L$702,N$18,FALSE),0)/(SUMIFS('Info planes y paquetes'!$K$595:$K$702,'Info planes y paquetes'!$E$595:$E$702,"Telefonía fija + Internet fijo")+SUMIFS('Info planes y paquetes'!$K$595:$K$702,'Info planes y paquetes'!$E$595:$E$702,"Internet fijo"))</f>
        <v>2.5693723876750851E-5</v>
      </c>
      <c r="O27" s="343"/>
      <c r="P27" s="282"/>
      <c r="R27" s="102" t="s">
        <v>189</v>
      </c>
      <c r="U27" s="262"/>
      <c r="V27" s="57"/>
      <c r="W27" s="567"/>
      <c r="X27" s="568"/>
      <c r="Y27" s="57"/>
    </row>
    <row r="28" spans="3:25" s="44" customFormat="1" ht="12" x14ac:dyDescent="0.25">
      <c r="C28" s="579" t="str">
        <f t="shared" si="2"/>
        <v>Infinitum 299No Residencial</v>
      </c>
      <c r="D28" s="95">
        <f t="shared" si="3"/>
        <v>8</v>
      </c>
      <c r="E28" s="101" t="str">
        <v>Infinitum 299</v>
      </c>
      <c r="F28" s="364" t="s">
        <v>242</v>
      </c>
      <c r="G28" s="297" t="str">
        <f>IFERROR(VLOOKUP($E28,'Info planes y paquetes'!$C$593:$K$702,3,FALSE),"")</f>
        <v>Internet fijo</v>
      </c>
      <c r="H28" s="77" t="s">
        <v>172</v>
      </c>
      <c r="I28" s="132"/>
      <c r="J28" s="132"/>
      <c r="K28" s="132"/>
      <c r="L28" s="132"/>
      <c r="M28" s="343">
        <f>IFERROR(VLOOKUP($E28&amp;$F28,'Info planes y paquetes'!$A$595:$L$702,M$18,FALSE),0)/(SUMIFS('Info planes y paquetes'!$H$595:$H$702,'Info planes y paquetes'!$E$595:$E$702,"Telefonía fija + Internet fijo")+SUMIFS('Info planes y paquetes'!$H$595:$H$702,'Info planes y paquetes'!$E$595:$E$702,"Internet fijo"))</f>
        <v>1.3351714787433579E-4</v>
      </c>
      <c r="N28" s="343">
        <f>IFERROR(VLOOKUP($E28&amp;$F28,'Info planes y paquetes'!$A$595:$L$702,N$18,FALSE),0)/(SUMIFS('Info planes y paquetes'!$K$595:$K$702,'Info planes y paquetes'!$E$595:$E$702,"Telefonía fija + Internet fijo")+SUMIFS('Info planes y paquetes'!$K$595:$K$702,'Info planes y paquetes'!$E$595:$E$702,"Internet fijo"))</f>
        <v>1.0668674274083398E-4</v>
      </c>
      <c r="O28" s="343"/>
      <c r="P28" s="282"/>
      <c r="R28" s="102" t="s">
        <v>189</v>
      </c>
      <c r="U28" s="262"/>
      <c r="V28" s="57"/>
      <c r="W28" s="567"/>
      <c r="X28" s="568"/>
      <c r="Y28" s="57"/>
    </row>
    <row r="29" spans="3:25" s="44" customFormat="1" ht="12" x14ac:dyDescent="0.25">
      <c r="C29" s="579" t="str">
        <f t="shared" si="2"/>
        <v>Infinitum Negocio 20 MbNo Residencial</v>
      </c>
      <c r="D29" s="95">
        <f t="shared" si="3"/>
        <v>9</v>
      </c>
      <c r="E29" s="101" t="str">
        <v>Infinitum Negocio 20 Mb</v>
      </c>
      <c r="F29" s="297" t="str">
        <f>IFERROR(VLOOKUP($E29,'Info planes y paquetes'!$C$595:$K$702,2,FALSE),"")</f>
        <v>No Residencial</v>
      </c>
      <c r="G29" s="297" t="str">
        <f>IFERROR(VLOOKUP($E29,'Info planes y paquetes'!$C$593:$K$702,3,FALSE),"")</f>
        <v>Internet fijo</v>
      </c>
      <c r="H29" s="77" t="s">
        <v>172</v>
      </c>
      <c r="I29" s="132"/>
      <c r="J29" s="132"/>
      <c r="K29" s="132"/>
      <c r="L29" s="132"/>
      <c r="M29" s="343">
        <f>IFERROR(VLOOKUP($E29&amp;$F29,'Info planes y paquetes'!$A$595:$L$702,M$18,FALSE),0)/(SUMIFS('Info planes y paquetes'!$H$595:$H$702,'Info planes y paquetes'!$E$595:$E$702,"Telefonía fija + Internet fijo")+SUMIFS('Info planes y paquetes'!$H$595:$H$702,'Info planes y paquetes'!$E$595:$E$702,"Internet fijo"))</f>
        <v>1.7463152827643959E-3</v>
      </c>
      <c r="N29" s="343">
        <f>IFERROR(VLOOKUP($E29&amp;$F29,'Info planes y paquetes'!$A$595:$L$702,N$18,FALSE),0)/(SUMIFS('Info planes y paquetes'!$K$595:$K$702,'Info planes y paquetes'!$E$595:$E$702,"Telefonía fija + Internet fijo")+SUMIFS('Info planes y paquetes'!$K$595:$K$702,'Info planes y paquetes'!$E$595:$E$702,"Internet fijo"))</f>
        <v>3.7081644608145375E-3</v>
      </c>
      <c r="O29" s="343"/>
      <c r="P29" s="282"/>
      <c r="R29" s="102" t="s">
        <v>189</v>
      </c>
      <c r="U29" s="262"/>
      <c r="V29" s="57"/>
      <c r="W29" s="567"/>
      <c r="X29" s="568"/>
      <c r="Y29" s="57"/>
    </row>
    <row r="30" spans="3:25" s="44" customFormat="1" ht="12" x14ac:dyDescent="0.25">
      <c r="C30" s="579" t="str">
        <f t="shared" si="2"/>
        <v>Infinitum Negocio 60No Residencial</v>
      </c>
      <c r="D30" s="95">
        <f t="shared" si="3"/>
        <v>10</v>
      </c>
      <c r="E30" s="101" t="str">
        <v>Infinitum Negocio 60</v>
      </c>
      <c r="F30" s="297" t="str">
        <f>IFERROR(VLOOKUP($E30,'Info planes y paquetes'!$C$595:$K$702,2,FALSE),"")</f>
        <v>No Residencial</v>
      </c>
      <c r="G30" s="297" t="str">
        <f>IFERROR(VLOOKUP($E30,'Info planes y paquetes'!$C$593:$K$702,3,FALSE),"")</f>
        <v>Internet fijo</v>
      </c>
      <c r="H30" s="77" t="s">
        <v>172</v>
      </c>
      <c r="I30" s="132"/>
      <c r="J30" s="132"/>
      <c r="K30" s="132"/>
      <c r="L30" s="132"/>
      <c r="M30" s="343">
        <f>IFERROR(VLOOKUP($E30&amp;$F30,'Info planes y paquetes'!$A$595:$L$702,M$18,FALSE),0)/(SUMIFS('Info planes y paquetes'!$H$595:$H$702,'Info planes y paquetes'!$E$595:$E$702,"Telefonía fija + Internet fijo")+SUMIFS('Info planes y paquetes'!$H$595:$H$702,'Info planes y paquetes'!$E$595:$E$702,"Internet fijo"))</f>
        <v>1.1538551919300099E-3</v>
      </c>
      <c r="N30" s="343">
        <f>IFERROR(VLOOKUP($E30&amp;$F30,'Info planes y paquetes'!$A$595:$L$702,N$18,FALSE),0)/(SUMIFS('Info planes y paquetes'!$K$595:$K$702,'Info planes y paquetes'!$E$595:$E$702,"Telefonía fija + Internet fijo")+SUMIFS('Info planes y paquetes'!$K$595:$K$702,'Info planes y paquetes'!$E$595:$E$702,"Internet fijo"))</f>
        <v>1.053442678946785E-3</v>
      </c>
      <c r="O30" s="343"/>
      <c r="P30" s="282"/>
      <c r="R30" s="102" t="s">
        <v>189</v>
      </c>
      <c r="U30" s="262"/>
      <c r="V30" s="57"/>
      <c r="W30" s="567"/>
      <c r="X30" s="568"/>
      <c r="Y30" s="57"/>
    </row>
    <row r="31" spans="3:25" s="44" customFormat="1" ht="12" x14ac:dyDescent="0.25">
      <c r="C31" s="579" t="str">
        <f t="shared" si="2"/>
        <v>Infinitum Negocio 200No Residencial</v>
      </c>
      <c r="D31" s="95">
        <f t="shared" si="3"/>
        <v>11</v>
      </c>
      <c r="E31" s="101" t="str">
        <v>Infinitum Negocio 200</v>
      </c>
      <c r="F31" s="297" t="str">
        <f>IFERROR(VLOOKUP($E31,'Info planes y paquetes'!$C$595:$K$702,2,FALSE),"")</f>
        <v>No Residencial</v>
      </c>
      <c r="G31" s="297" t="str">
        <f>IFERROR(VLOOKUP($E31,'Info planes y paquetes'!$C$593:$K$702,3,FALSE),"")</f>
        <v>Internet fijo</v>
      </c>
      <c r="H31" s="77" t="s">
        <v>172</v>
      </c>
      <c r="I31" s="132"/>
      <c r="J31" s="132"/>
      <c r="K31" s="132"/>
      <c r="L31" s="132"/>
      <c r="M31" s="343">
        <f>IFERROR(VLOOKUP($E31&amp;$F31,'Info planes y paquetes'!$A$595:$L$702,M$18,FALSE),0)/(SUMIFS('Info planes y paquetes'!$H$595:$H$702,'Info planes y paquetes'!$E$595:$E$702,"Telefonía fija + Internet fijo")+SUMIFS('Info planes y paquetes'!$H$595:$H$702,'Info planes y paquetes'!$E$595:$E$702,"Internet fijo"))</f>
        <v>5.987799025004379E-4</v>
      </c>
      <c r="N31" s="343">
        <f>IFERROR(VLOOKUP($E31&amp;$F31,'Info planes y paquetes'!$A$595:$L$702,N$18,FALSE),0)/(SUMIFS('Info planes y paquetes'!$K$595:$K$702,'Info planes y paquetes'!$E$595:$E$702,"Telefonía fija + Internet fijo")+SUMIFS('Info planes y paquetes'!$K$595:$K$702,'Info planes y paquetes'!$E$595:$E$702,"Internet fijo"))</f>
        <v>8.2948942480998427E-4</v>
      </c>
      <c r="O31" s="343"/>
      <c r="P31" s="282"/>
      <c r="R31" s="102" t="s">
        <v>189</v>
      </c>
      <c r="U31" s="262"/>
      <c r="V31" s="57"/>
      <c r="W31" s="567"/>
      <c r="X31" s="568"/>
      <c r="Y31" s="57"/>
    </row>
    <row r="32" spans="3:25" s="44" customFormat="1" ht="12" x14ac:dyDescent="0.25">
      <c r="C32" s="579" t="str">
        <f t="shared" si="2"/>
        <v>Infinitum Negocio 500No Residencial</v>
      </c>
      <c r="D32" s="95">
        <f t="shared" si="3"/>
        <v>12</v>
      </c>
      <c r="E32" s="101" t="str">
        <v>Infinitum Negocio 500</v>
      </c>
      <c r="F32" s="297" t="str">
        <f>IFERROR(VLOOKUP($E32,'Info planes y paquetes'!$C$595:$K$702,2,FALSE),"")</f>
        <v>No Residencial</v>
      </c>
      <c r="G32" s="297" t="str">
        <f>IFERROR(VLOOKUP($E32,'Info planes y paquetes'!$C$593:$K$702,3,FALSE),"")</f>
        <v>Internet fijo</v>
      </c>
      <c r="H32" s="77" t="s">
        <v>172</v>
      </c>
      <c r="I32" s="132"/>
      <c r="J32" s="132"/>
      <c r="K32" s="132"/>
      <c r="L32" s="132"/>
      <c r="M32" s="343">
        <f>IFERROR(VLOOKUP($E32&amp;$F32,'Info planes y paquetes'!$A$595:$L$702,M$18,FALSE),0)/(SUMIFS('Info planes y paquetes'!$H$595:$H$702,'Info planes y paquetes'!$E$595:$E$702,"Telefonía fija + Internet fijo")+SUMIFS('Info planes y paquetes'!$H$595:$H$702,'Info planes y paquetes'!$E$595:$E$702,"Internet fijo"))</f>
        <v>1.9849549317317922E-4</v>
      </c>
      <c r="N32" s="343">
        <f>IFERROR(VLOOKUP($E32&amp;$F32,'Info planes y paquetes'!$A$595:$L$702,N$18,FALSE),0)/(SUMIFS('Info planes y paquetes'!$K$595:$K$702,'Info planes y paquetes'!$E$595:$E$702,"Telefonía fija + Internet fijo")+SUMIFS('Info planes y paquetes'!$K$595:$K$702,'Info planes y paquetes'!$E$595:$E$702,"Internet fijo"))</f>
        <v>2.0608322472771099E-4</v>
      </c>
      <c r="O32" s="343"/>
      <c r="P32" s="282"/>
      <c r="R32" s="102" t="s">
        <v>189</v>
      </c>
      <c r="U32" s="262"/>
      <c r="V32" s="57"/>
      <c r="W32" s="567"/>
      <c r="X32" s="568"/>
      <c r="Y32" s="57"/>
    </row>
    <row r="33" spans="3:25" s="44" customFormat="1" ht="12" x14ac:dyDescent="0.25">
      <c r="C33" s="579" t="str">
        <f t="shared" si="2"/>
        <v>Paquete 249Residencial</v>
      </c>
      <c r="D33" s="95">
        <f t="shared" si="3"/>
        <v>13</v>
      </c>
      <c r="E33" s="101" t="str">
        <v>Paquete 249</v>
      </c>
      <c r="F33" s="297" t="str">
        <f>IFERROR(VLOOKUP($E33,'Info planes y paquetes'!$C$595:$K$702,2,FALSE),"")</f>
        <v>Residencial</v>
      </c>
      <c r="G33" s="297" t="str">
        <f>IFERROR(VLOOKUP($E33,'Info planes y paquetes'!$C$593:$K$702,3,FALSE),"")</f>
        <v>Telefonía fija + Internet fijo</v>
      </c>
      <c r="H33" s="77" t="s">
        <v>172</v>
      </c>
      <c r="I33" s="132"/>
      <c r="J33" s="132"/>
      <c r="K33" s="132"/>
      <c r="L33" s="132"/>
      <c r="M33" s="343">
        <f>IFERROR(VLOOKUP($E33&amp;$F33,'Info planes y paquetes'!$A$595:$L$702,M$18,FALSE),0)/(SUMIFS('Info planes y paquetes'!$H$595:$H$702,'Info planes y paquetes'!$E$595:$E$702,"Telefonía fija + Internet fijo")+SUMIFS('Info planes y paquetes'!$H$595:$H$702,'Info planes y paquetes'!$E$595:$E$702,"Internet fijo"))</f>
        <v>1.6501740351516827E-2</v>
      </c>
      <c r="N33" s="343">
        <f>IFERROR(VLOOKUP($E33&amp;$F33,'Info planes y paquetes'!$A$595:$L$702,N$18,FALSE),0)/(SUMIFS('Info planes y paquetes'!$K$595:$K$702,'Info planes y paquetes'!$E$595:$E$702,"Telefonía fija + Internet fijo")+SUMIFS('Info planes y paquetes'!$K$595:$K$702,'Info planes y paquetes'!$E$595:$E$702,"Internet fijo"))</f>
        <v>1.3930888150241251E-2</v>
      </c>
      <c r="O33" s="343"/>
      <c r="P33" s="282"/>
      <c r="R33" s="102" t="s">
        <v>189</v>
      </c>
      <c r="U33" s="262"/>
      <c r="V33" s="57"/>
      <c r="W33" s="567"/>
      <c r="X33" s="568"/>
      <c r="Y33" s="57"/>
    </row>
    <row r="34" spans="3:25" s="44" customFormat="1" ht="12" x14ac:dyDescent="0.25">
      <c r="C34" s="579" t="str">
        <f t="shared" si="2"/>
        <v>Paquete 289Residencial</v>
      </c>
      <c r="D34" s="95">
        <f t="shared" si="3"/>
        <v>14</v>
      </c>
      <c r="E34" s="101" t="str">
        <v>Paquete 289</v>
      </c>
      <c r="F34" s="297" t="str">
        <f>IFERROR(VLOOKUP($E34,'Info planes y paquetes'!$C$595:$K$702,2,FALSE),"")</f>
        <v>Residencial</v>
      </c>
      <c r="G34" s="297" t="str">
        <f>IFERROR(VLOOKUP($E34,'Info planes y paquetes'!$C$593:$K$702,3,FALSE),"")</f>
        <v>Telefonía fija + Internet fijo</v>
      </c>
      <c r="H34" s="77" t="s">
        <v>172</v>
      </c>
      <c r="I34" s="132"/>
      <c r="J34" s="132"/>
      <c r="K34" s="132"/>
      <c r="L34" s="132"/>
      <c r="M34" s="343">
        <f>IFERROR(VLOOKUP($E34&amp;$F34,'Info planes y paquetes'!$A$595:$L$702,M$18,FALSE),0)/(SUMIFS('Info planes y paquetes'!$H$595:$H$702,'Info planes y paquetes'!$E$595:$E$702,"Telefonía fija + Internet fijo")+SUMIFS('Info planes y paquetes'!$H$595:$H$702,'Info planes y paquetes'!$E$595:$E$702,"Internet fijo"))</f>
        <v>8.9367477643888752E-3</v>
      </c>
      <c r="N34" s="343">
        <f>IFERROR(VLOOKUP($E34&amp;$F34,'Info planes y paquetes'!$A$595:$L$702,N$18,FALSE),0)/(SUMIFS('Info planes y paquetes'!$K$595:$K$702,'Info planes y paquetes'!$E$595:$E$702,"Telefonía fija + Internet fijo")+SUMIFS('Info planes y paquetes'!$K$595:$K$702,'Info planes y paquetes'!$E$595:$E$702,"Internet fijo"))</f>
        <v>4.9788924724768211E-3</v>
      </c>
      <c r="O34" s="343"/>
      <c r="P34" s="282"/>
      <c r="R34" s="102" t="s">
        <v>189</v>
      </c>
      <c r="U34" s="262"/>
      <c r="V34" s="57"/>
      <c r="W34" s="567"/>
      <c r="X34" s="568"/>
      <c r="Y34" s="57"/>
    </row>
    <row r="35" spans="3:25" s="44" customFormat="1" ht="12" x14ac:dyDescent="0.25">
      <c r="C35" s="579" t="str">
        <f t="shared" si="2"/>
        <v>Paquete 435Residencial</v>
      </c>
      <c r="D35" s="95">
        <f t="shared" si="3"/>
        <v>15</v>
      </c>
      <c r="E35" s="101" t="str">
        <v>Paquete 435</v>
      </c>
      <c r="F35" s="297" t="str">
        <f>IFERROR(VLOOKUP($E35,'Info planes y paquetes'!$C$595:$K$702,2,FALSE),"")</f>
        <v>Residencial</v>
      </c>
      <c r="G35" s="297" t="str">
        <f>IFERROR(VLOOKUP($E35,'Info planes y paquetes'!$C$593:$K$702,3,FALSE),"")</f>
        <v>Telefonía fija + Internet fijo</v>
      </c>
      <c r="H35" s="77" t="s">
        <v>172</v>
      </c>
      <c r="I35" s="132"/>
      <c r="J35" s="132"/>
      <c r="K35" s="132"/>
      <c r="L35" s="132"/>
      <c r="M35" s="343">
        <f>IFERROR(VLOOKUP($E35&amp;$F35,'Info planes y paquetes'!$A$595:$L$702,M$18,FALSE),0)/(SUMIFS('Info planes y paquetes'!$H$595:$H$702,'Info planes y paquetes'!$E$595:$E$702,"Telefonía fija + Internet fijo")+SUMIFS('Info planes y paquetes'!$H$595:$H$702,'Info planes y paquetes'!$E$595:$E$702,"Internet fijo"))</f>
        <v>3.1672492761590357E-2</v>
      </c>
      <c r="N35" s="343">
        <f>IFERROR(VLOOKUP($E35&amp;$F35,'Info planes y paquetes'!$A$595:$L$702,N$18,FALSE),0)/(SUMIFS('Info planes y paquetes'!$K$595:$K$702,'Info planes y paquetes'!$E$595:$E$702,"Telefonía fija + Internet fijo")+SUMIFS('Info planes y paquetes'!$K$595:$K$702,'Info planes y paquetes'!$E$595:$E$702,"Internet fijo"))</f>
        <v>2.4120716760656205E-2</v>
      </c>
      <c r="O35" s="343"/>
      <c r="P35" s="282"/>
      <c r="R35" s="102" t="s">
        <v>189</v>
      </c>
      <c r="U35" s="262"/>
      <c r="V35" s="57"/>
      <c r="W35" s="567"/>
      <c r="X35" s="568"/>
      <c r="Y35" s="57"/>
    </row>
    <row r="36" spans="3:25" s="44" customFormat="1" ht="12" x14ac:dyDescent="0.25">
      <c r="C36" s="579" t="str">
        <f t="shared" si="2"/>
        <v>Paquete 499Residencial</v>
      </c>
      <c r="D36" s="95">
        <f t="shared" si="3"/>
        <v>16</v>
      </c>
      <c r="E36" s="101" t="str">
        <v>Paquete 499</v>
      </c>
      <c r="F36" s="297" t="str">
        <f>IFERROR(VLOOKUP($E36,'Info planes y paquetes'!$C$595:$K$702,2,FALSE),"")</f>
        <v>Residencial</v>
      </c>
      <c r="G36" s="297" t="str">
        <f>IFERROR(VLOOKUP($E36,'Info planes y paquetes'!$C$593:$K$702,3,FALSE),"")</f>
        <v>Telefonía fija + Internet fijo</v>
      </c>
      <c r="H36" s="77" t="s">
        <v>172</v>
      </c>
      <c r="I36" s="132"/>
      <c r="J36" s="132"/>
      <c r="K36" s="132"/>
      <c r="L36" s="132"/>
      <c r="M36" s="343">
        <f>IFERROR(VLOOKUP($E36&amp;$F36,'Info planes y paquetes'!$A$595:$L$702,M$18,FALSE),0)/(SUMIFS('Info planes y paquetes'!$H$595:$H$702,'Info planes y paquetes'!$E$595:$E$702,"Telefonía fija + Internet fijo")+SUMIFS('Info planes y paquetes'!$H$595:$H$702,'Info planes y paquetes'!$E$595:$E$702,"Internet fijo"))</f>
        <v>1.5237778018306447E-2</v>
      </c>
      <c r="N36" s="343">
        <f>IFERROR(VLOOKUP($E36&amp;$F36,'Info planes y paquetes'!$A$595:$L$702,N$18,FALSE),0)/(SUMIFS('Info planes y paquetes'!$K$595:$K$702,'Info planes y paquetes'!$E$595:$E$702,"Telefonía fija + Internet fijo")+SUMIFS('Info planes y paquetes'!$K$595:$K$702,'Info planes y paquetes'!$E$595:$E$702,"Internet fijo"))</f>
        <v>1.8862305022198399E-2</v>
      </c>
      <c r="O36" s="343"/>
      <c r="P36" s="282"/>
      <c r="R36" s="102" t="s">
        <v>189</v>
      </c>
      <c r="U36" s="262"/>
      <c r="V36" s="57"/>
      <c r="W36" s="567"/>
      <c r="X36" s="568"/>
      <c r="Y36" s="57"/>
    </row>
    <row r="37" spans="3:25" s="44" customFormat="1" ht="12" x14ac:dyDescent="0.25">
      <c r="C37" s="579" t="str">
        <f t="shared" si="2"/>
        <v>Paquete 599Residencial</v>
      </c>
      <c r="D37" s="95">
        <f t="shared" si="3"/>
        <v>17</v>
      </c>
      <c r="E37" s="101" t="str">
        <v>Paquete 599</v>
      </c>
      <c r="F37" s="297" t="str">
        <f>IFERROR(VLOOKUP($E37,'Info planes y paquetes'!$C$595:$K$702,2,FALSE),"")</f>
        <v>Residencial</v>
      </c>
      <c r="G37" s="297" t="str">
        <f>IFERROR(VLOOKUP($E37,'Info planes y paquetes'!$C$593:$K$702,3,FALSE),"")</f>
        <v>Telefonía fija + Internet fijo</v>
      </c>
      <c r="H37" s="77" t="s">
        <v>172</v>
      </c>
      <c r="I37" s="132"/>
      <c r="J37" s="132"/>
      <c r="K37" s="132"/>
      <c r="L37" s="132"/>
      <c r="M37" s="343">
        <f>IFERROR(VLOOKUP($E37&amp;$F37,'Info planes y paquetes'!$A$595:$L$702,M$18,FALSE),0)/(SUMIFS('Info planes y paquetes'!$H$595:$H$702,'Info planes y paquetes'!$E$595:$E$702,"Telefonía fija + Internet fijo")+SUMIFS('Info planes y paquetes'!$H$595:$H$702,'Info planes y paquetes'!$E$595:$E$702,"Internet fijo"))</f>
        <v>5.0029498388537035E-2</v>
      </c>
      <c r="N37" s="343">
        <f>IFERROR(VLOOKUP($E37&amp;$F37,'Info planes y paquetes'!$A$595:$L$702,N$18,FALSE),0)/(SUMIFS('Info planes y paquetes'!$K$595:$K$702,'Info planes y paquetes'!$E$595:$E$702,"Telefonía fija + Internet fijo")+SUMIFS('Info planes y paquetes'!$K$595:$K$702,'Info planes y paquetes'!$E$595:$E$702,"Internet fijo"))</f>
        <v>3.4500092150674046E-2</v>
      </c>
      <c r="O37" s="343"/>
      <c r="P37" s="282"/>
      <c r="R37" s="102" t="s">
        <v>189</v>
      </c>
      <c r="U37" s="262"/>
      <c r="V37" s="57"/>
      <c r="W37" s="567"/>
      <c r="X37" s="568"/>
      <c r="Y37" s="57"/>
    </row>
    <row r="38" spans="3:25" s="44" customFormat="1" ht="12" x14ac:dyDescent="0.25">
      <c r="C38" s="579" t="str">
        <f t="shared" si="2"/>
        <v>Paquete 389Residencial</v>
      </c>
      <c r="D38" s="95">
        <f t="shared" si="3"/>
        <v>18</v>
      </c>
      <c r="E38" s="101" t="str">
        <v>Paquete 389</v>
      </c>
      <c r="F38" s="297" t="str">
        <f>IFERROR(VLOOKUP($E38,'Info planes y paquetes'!$C$595:$K$702,2,FALSE),"")</f>
        <v>Residencial</v>
      </c>
      <c r="G38" s="297" t="str">
        <f>IFERROR(VLOOKUP($E38,'Info planes y paquetes'!$C$593:$K$702,3,FALSE),"")</f>
        <v>Telefonía fija + Internet fijo</v>
      </c>
      <c r="H38" s="77" t="s">
        <v>172</v>
      </c>
      <c r="I38" s="132"/>
      <c r="J38" s="132"/>
      <c r="K38" s="132"/>
      <c r="L38" s="132"/>
      <c r="M38" s="343">
        <f>IFERROR(VLOOKUP($E38&amp;$F38,'Info planes y paquetes'!$A$595:$L$702,M$18,FALSE),0)/(SUMIFS('Info planes y paquetes'!$H$595:$H$702,'Info planes y paquetes'!$E$595:$E$702,"Telefonía fija + Internet fijo")+SUMIFS('Info planes y paquetes'!$H$595:$H$702,'Info planes y paquetes'!$E$595:$E$702,"Internet fijo"))</f>
        <v>0.55084511013918536</v>
      </c>
      <c r="N38" s="343">
        <f>IFERROR(VLOOKUP($E38&amp;$F38,'Info planes y paquetes'!$A$595:$L$702,N$18,FALSE),0)/(SUMIFS('Info planes y paquetes'!$K$595:$K$702,'Info planes y paquetes'!$E$595:$E$702,"Telefonía fija + Internet fijo")+SUMIFS('Info planes y paquetes'!$K$595:$K$702,'Info planes y paquetes'!$E$595:$E$702,"Internet fijo"))</f>
        <v>0.48944499155974508</v>
      </c>
      <c r="O38" s="343"/>
      <c r="P38" s="282"/>
      <c r="R38" s="102" t="s">
        <v>189</v>
      </c>
      <c r="U38" s="262"/>
      <c r="V38" s="57"/>
      <c r="W38" s="567"/>
      <c r="X38" s="568"/>
      <c r="Y38" s="57"/>
    </row>
    <row r="39" spans="3:25" s="44" customFormat="1" ht="12" x14ac:dyDescent="0.25">
      <c r="C39" s="579" t="str">
        <f t="shared" si="2"/>
        <v>Paquete Conectes NegocioNo Residencial</v>
      </c>
      <c r="D39" s="95">
        <f t="shared" si="3"/>
        <v>19</v>
      </c>
      <c r="E39" s="101" t="str">
        <v>Paquete Conectes Negocio</v>
      </c>
      <c r="F39" s="297" t="str">
        <f>IFERROR(VLOOKUP($E39,'Info planes y paquetes'!$C$595:$K$702,2,FALSE),"")</f>
        <v>No Residencial</v>
      </c>
      <c r="G39" s="297" t="str">
        <f>IFERROR(VLOOKUP($E39,'Info planes y paquetes'!$C$593:$K$702,3,FALSE),"")</f>
        <v>Telefonía fija + Internet fijo</v>
      </c>
      <c r="H39" s="77" t="s">
        <v>172</v>
      </c>
      <c r="I39" s="132"/>
      <c r="J39" s="132"/>
      <c r="K39" s="132"/>
      <c r="L39" s="132"/>
      <c r="M39" s="343">
        <f>IFERROR(VLOOKUP($E39&amp;$F39,'Info planes y paquetes'!$A$595:$L$702,M$18,FALSE),0)/(SUMIFS('Info planes y paquetes'!$H$595:$H$702,'Info planes y paquetes'!$E$595:$E$702,"Telefonía fija + Internet fijo")+SUMIFS('Info planes y paquetes'!$H$595:$H$702,'Info planes y paquetes'!$E$595:$E$702,"Internet fijo"))</f>
        <v>5.368537592020018E-2</v>
      </c>
      <c r="N39" s="343">
        <f>IFERROR(VLOOKUP($E39&amp;$F39,'Info planes y paquetes'!$A$595:$L$702,N$18,FALSE),0)/(SUMIFS('Info planes y paquetes'!$K$595:$K$702,'Info planes y paquetes'!$E$595:$E$702,"Telefonía fija + Internet fijo")+SUMIFS('Info planes y paquetes'!$K$595:$K$702,'Info planes y paquetes'!$E$595:$E$702,"Internet fijo"))</f>
        <v>4.1063371658471196E-2</v>
      </c>
      <c r="O39" s="343"/>
      <c r="P39" s="282"/>
      <c r="R39" s="102" t="s">
        <v>189</v>
      </c>
      <c r="U39" s="262"/>
      <c r="V39" s="57"/>
      <c r="W39" s="567"/>
      <c r="X39" s="568"/>
      <c r="Y39" s="57"/>
    </row>
    <row r="40" spans="3:25" s="44" customFormat="1" ht="12" x14ac:dyDescent="0.25">
      <c r="C40" s="579" t="str">
        <f t="shared" si="2"/>
        <v>Paquete 1499Residencial</v>
      </c>
      <c r="D40" s="95">
        <f t="shared" si="3"/>
        <v>20</v>
      </c>
      <c r="E40" s="101" t="str">
        <v>Paquete 1499</v>
      </c>
      <c r="F40" s="297" t="str">
        <f>IFERROR(VLOOKUP($E40,'Info planes y paquetes'!$C$595:$K$702,2,FALSE),"")</f>
        <v>Residencial</v>
      </c>
      <c r="G40" s="297" t="str">
        <f>IFERROR(VLOOKUP($E40,'Info planes y paquetes'!$C$593:$K$702,3,FALSE),"")</f>
        <v>Telefonía fija + Internet fijo</v>
      </c>
      <c r="H40" s="77" t="s">
        <v>172</v>
      </c>
      <c r="I40" s="132"/>
      <c r="J40" s="132"/>
      <c r="K40" s="132"/>
      <c r="L40" s="132"/>
      <c r="M40" s="343">
        <f>IFERROR(VLOOKUP($E40&amp;$F40,'Info planes y paquetes'!$A$595:$L$702,M$18,FALSE),0)/(SUMIFS('Info planes y paquetes'!$H$595:$H$702,'Info planes y paquetes'!$E$595:$E$702,"Telefonía fija + Internet fijo")+SUMIFS('Info planes y paquetes'!$H$595:$H$702,'Info planes y paquetes'!$E$595:$E$702,"Internet fijo"))</f>
        <v>9.9870826610003183E-4</v>
      </c>
      <c r="N40" s="343">
        <f>IFERROR(VLOOKUP($E40&amp;$F40,'Info planes y paquetes'!$A$595:$L$702,N$18,FALSE),0)/(SUMIFS('Info planes y paquetes'!$K$595:$K$702,'Info planes y paquetes'!$E$595:$E$702,"Telefonía fija + Internet fijo")+SUMIFS('Info planes y paquetes'!$K$595:$K$702,'Info planes y paquetes'!$E$595:$E$702,"Internet fijo"))</f>
        <v>1.2544582833943062E-3</v>
      </c>
      <c r="O40" s="343"/>
      <c r="P40" s="282"/>
      <c r="R40" s="102" t="s">
        <v>189</v>
      </c>
      <c r="U40" s="262"/>
      <c r="V40" s="57"/>
      <c r="W40" s="567"/>
      <c r="X40" s="568"/>
      <c r="Y40" s="57"/>
    </row>
    <row r="41" spans="3:25" s="44" customFormat="1" ht="12" x14ac:dyDescent="0.25">
      <c r="C41" s="579" t="str">
        <f t="shared" si="2"/>
        <v>Paquete 333Residencial</v>
      </c>
      <c r="D41" s="95">
        <f t="shared" si="3"/>
        <v>21</v>
      </c>
      <c r="E41" s="101" t="str">
        <v>Paquete 333</v>
      </c>
      <c r="F41" s="297" t="str">
        <f>IFERROR(VLOOKUP($E41,'Info planes y paquetes'!$C$595:$K$702,2,FALSE),"")</f>
        <v>Residencial</v>
      </c>
      <c r="G41" s="297" t="str">
        <f>IFERROR(VLOOKUP($E41,'Info planes y paquetes'!$C$593:$K$702,3,FALSE),"")</f>
        <v>Telefonía fija + Internet fijo</v>
      </c>
      <c r="H41" s="77" t="s">
        <v>172</v>
      </c>
      <c r="I41" s="132"/>
      <c r="J41" s="132"/>
      <c r="K41" s="132"/>
      <c r="L41" s="132"/>
      <c r="M41" s="343">
        <f>IFERROR(VLOOKUP($E41&amp;$F41,'Info planes y paquetes'!$A$595:$L$702,M$18,FALSE),0)/(SUMIFS('Info planes y paquetes'!$H$595:$H$702,'Info planes y paquetes'!$E$595:$E$702,"Telefonía fija + Internet fijo")+SUMIFS('Info planes y paquetes'!$H$595:$H$702,'Info planes y paquetes'!$E$595:$E$702,"Internet fijo"))</f>
        <v>1.0814087874933953E-2</v>
      </c>
      <c r="N41" s="343">
        <f>IFERROR(VLOOKUP($E41&amp;$F41,'Info planes y paquetes'!$A$595:$L$702,N$18,FALSE),0)/(SUMIFS('Info planes y paquetes'!$K$595:$K$702,'Info planes y paquetes'!$E$595:$E$702,"Telefonía fija + Internet fijo")+SUMIFS('Info planes y paquetes'!$K$595:$K$702,'Info planes y paquetes'!$E$595:$E$702,"Internet fijo"))</f>
        <v>1.0380797879921048E-2</v>
      </c>
      <c r="O41" s="343"/>
      <c r="P41" s="282"/>
      <c r="R41" s="102" t="s">
        <v>189</v>
      </c>
      <c r="U41" s="262"/>
      <c r="V41" s="57"/>
      <c r="W41" s="567"/>
      <c r="X41" s="568"/>
      <c r="Y41" s="57"/>
    </row>
    <row r="42" spans="3:25" s="44" customFormat="1" ht="12" x14ac:dyDescent="0.25">
      <c r="C42" s="579" t="str">
        <f t="shared" si="2"/>
        <v>Paquete Mi NegocioNo Residencial</v>
      </c>
      <c r="D42" s="95">
        <f t="shared" si="3"/>
        <v>22</v>
      </c>
      <c r="E42" s="101" t="str">
        <v>Paquete Mi Negocio</v>
      </c>
      <c r="F42" s="297" t="str">
        <f>IFERROR(VLOOKUP($E42,'Info planes y paquetes'!$C$595:$K$702,2,FALSE),"")</f>
        <v>No Residencial</v>
      </c>
      <c r="G42" s="297" t="str">
        <f>IFERROR(VLOOKUP($E42,'Info planes y paquetes'!$C$593:$K$702,3,FALSE),"")</f>
        <v>Telefonía fija + Internet fijo</v>
      </c>
      <c r="H42" s="77" t="s">
        <v>172</v>
      </c>
      <c r="I42" s="132"/>
      <c r="J42" s="132"/>
      <c r="K42" s="132"/>
      <c r="L42" s="132"/>
      <c r="M42" s="343">
        <f>IFERROR(VLOOKUP($E42&amp;$F42,'Info planes y paquetes'!$A$595:$L$702,M$18,FALSE),0)/(SUMIFS('Info planes y paquetes'!$H$595:$H$702,'Info planes y paquetes'!$E$595:$E$702,"Telefonía fija + Internet fijo")+SUMIFS('Info planes y paquetes'!$H$595:$H$702,'Info planes y paquetes'!$E$595:$E$702,"Internet fijo"))</f>
        <v>4.411468873770396E-2</v>
      </c>
      <c r="N42" s="343">
        <f>IFERROR(VLOOKUP($E42&amp;$F42,'Info planes y paquetes'!$A$595:$L$702,N$18,FALSE),0)/(SUMIFS('Info planes y paquetes'!$K$595:$K$702,'Info planes y paquetes'!$E$595:$E$702,"Telefonía fija + Internet fijo")+SUMIFS('Info planes y paquetes'!$K$595:$K$702,'Info planes y paquetes'!$E$595:$E$702,"Internet fijo"))</f>
        <v>4.3637811666426475E-2</v>
      </c>
      <c r="O42" s="343"/>
      <c r="P42" s="282"/>
      <c r="R42" s="102" t="s">
        <v>189</v>
      </c>
      <c r="U42" s="262"/>
      <c r="V42" s="57"/>
      <c r="W42" s="567"/>
      <c r="X42" s="568"/>
      <c r="Y42" s="57"/>
    </row>
    <row r="43" spans="3:25" s="44" customFormat="1" ht="12" x14ac:dyDescent="0.25">
      <c r="C43" s="579" t="str">
        <f t="shared" si="2"/>
        <v>Paquete SuperNegocioNo Residencial</v>
      </c>
      <c r="D43" s="95">
        <f t="shared" si="3"/>
        <v>23</v>
      </c>
      <c r="E43" s="101" t="str">
        <v>Paquete SuperNegocio</v>
      </c>
      <c r="F43" s="297" t="str">
        <f>IFERROR(VLOOKUP($E43,'Info planes y paquetes'!$C$595:$K$702,2,FALSE),"")</f>
        <v>No Residencial</v>
      </c>
      <c r="G43" s="297" t="str">
        <f>IFERROR(VLOOKUP($E43,'Info planes y paquetes'!$C$593:$K$702,3,FALSE),"")</f>
        <v>Telefonía fija + Internet fijo</v>
      </c>
      <c r="H43" s="77" t="s">
        <v>172</v>
      </c>
      <c r="I43" s="132"/>
      <c r="J43" s="132"/>
      <c r="K43" s="132"/>
      <c r="L43" s="132"/>
      <c r="M43" s="343">
        <f>IFERROR(VLOOKUP($E43&amp;$F43,'Info planes y paquetes'!$A$595:$L$702,M$18,FALSE),0)/(SUMIFS('Info planes y paquetes'!$H$595:$H$702,'Info planes y paquetes'!$E$595:$E$702,"Telefonía fija + Internet fijo")+SUMIFS('Info planes y paquetes'!$H$595:$H$702,'Info planes y paquetes'!$E$595:$E$702,"Internet fijo"))</f>
        <v>2.1097044535623798E-2</v>
      </c>
      <c r="N43" s="343">
        <f>IFERROR(VLOOKUP($E43&amp;$F43,'Info planes y paquetes'!$A$595:$L$702,N$18,FALSE),0)/(SUMIFS('Info planes y paquetes'!$K$595:$K$702,'Info planes y paquetes'!$E$595:$E$702,"Telefonía fija + Internet fijo")+SUMIFS('Info planes y paquetes'!$K$595:$K$702,'Info planes y paquetes'!$E$595:$E$702,"Internet fijo"))</f>
        <v>2.185958015388318E-2</v>
      </c>
      <c r="O43" s="343"/>
      <c r="P43" s="282"/>
      <c r="R43" s="102" t="s">
        <v>189</v>
      </c>
      <c r="U43" s="262"/>
      <c r="V43" s="57"/>
      <c r="W43" s="567"/>
      <c r="X43" s="568"/>
      <c r="Y43" s="57"/>
    </row>
    <row r="44" spans="3:25" s="44" customFormat="1" ht="12" x14ac:dyDescent="0.25">
      <c r="C44" s="579" t="str">
        <f t="shared" si="2"/>
        <v>Paquete Infinitum 500Residencial</v>
      </c>
      <c r="D44" s="95">
        <f t="shared" si="3"/>
        <v>24</v>
      </c>
      <c r="E44" s="101" t="str">
        <v>Paquete Infinitum 500</v>
      </c>
      <c r="F44" s="297" t="str">
        <f>IFERROR(VLOOKUP($E44,'Info planes y paquetes'!$C$595:$K$702,2,FALSE),"")</f>
        <v>Residencial</v>
      </c>
      <c r="G44" s="297" t="str">
        <f>IFERROR(VLOOKUP($E44,'Info planes y paquetes'!$C$593:$K$702,3,FALSE),"")</f>
        <v>Telefonía fija + Internet fijo</v>
      </c>
      <c r="H44" s="77" t="s">
        <v>172</v>
      </c>
      <c r="I44" s="132"/>
      <c r="J44" s="132"/>
      <c r="K44" s="132"/>
      <c r="L44" s="132"/>
      <c r="M44" s="343">
        <f>IFERROR(VLOOKUP($E44&amp;$F44,'Info planes y paquetes'!$A$595:$L$702,M$18,FALSE),0)/(SUMIFS('Info planes y paquetes'!$H$595:$H$702,'Info planes y paquetes'!$E$595:$E$702,"Telefonía fija + Internet fijo")+SUMIFS('Info planes y paquetes'!$H$595:$H$702,'Info planes y paquetes'!$E$595:$E$702,"Internet fijo"))</f>
        <v>4.3530150664310117E-3</v>
      </c>
      <c r="N44" s="343">
        <f>IFERROR(VLOOKUP($E44&amp;$F44,'Info planes y paquetes'!$A$595:$L$702,N$18,FALSE),0)/(SUMIFS('Info planes y paquetes'!$K$595:$K$702,'Info planes y paquetes'!$E$595:$E$702,"Telefonía fija + Internet fijo")+SUMIFS('Info planes y paquetes'!$K$595:$K$702,'Info planes y paquetes'!$E$595:$E$702,"Internet fijo"))</f>
        <v>3.6148135609163075E-3</v>
      </c>
      <c r="O44" s="343"/>
      <c r="P44" s="282"/>
      <c r="R44" s="102" t="s">
        <v>189</v>
      </c>
      <c r="U44" s="262"/>
      <c r="V44" s="57"/>
      <c r="W44" s="567"/>
      <c r="X44" s="568"/>
      <c r="Y44" s="57"/>
    </row>
    <row r="45" spans="3:25" s="44" customFormat="1" ht="12" x14ac:dyDescent="0.25">
      <c r="C45" s="579" t="str">
        <f t="shared" si="2"/>
        <v>Paquete Telmex Negocio Sin Límites 1No Residencial</v>
      </c>
      <c r="D45" s="95">
        <f t="shared" si="3"/>
        <v>25</v>
      </c>
      <c r="E45" s="101" t="str">
        <v>Paquete Telmex Negocio Sin Límites 1</v>
      </c>
      <c r="F45" s="297" t="str">
        <f>IFERROR(VLOOKUP($E45,'Info planes y paquetes'!$C$595:$K$702,2,FALSE),"")</f>
        <v>No Residencial</v>
      </c>
      <c r="G45" s="297" t="str">
        <f>IFERROR(VLOOKUP($E45,'Info planes y paquetes'!$C$593:$K$702,3,FALSE),"")</f>
        <v>Telefonía fija + Internet fijo</v>
      </c>
      <c r="H45" s="77" t="s">
        <v>172</v>
      </c>
      <c r="I45" s="132"/>
      <c r="J45" s="132"/>
      <c r="K45" s="132"/>
      <c r="L45" s="132"/>
      <c r="M45" s="343">
        <f>IFERROR(VLOOKUP($E45&amp;$F45,'Info planes y paquetes'!$A$595:$L$702,M$18,FALSE),0)/(SUMIFS('Info planes y paquetes'!$H$595:$H$702,'Info planes y paquetes'!$E$595:$E$702,"Telefonía fija + Internet fijo")+SUMIFS('Info planes y paquetes'!$H$595:$H$702,'Info planes y paquetes'!$E$595:$E$702,"Internet fijo"))</f>
        <v>4.9898918617915936E-3</v>
      </c>
      <c r="N45" s="343">
        <f>IFERROR(VLOOKUP($E45&amp;$F45,'Info planes y paquetes'!$A$595:$L$702,N$18,FALSE),0)/(SUMIFS('Info planes y paquetes'!$K$595:$K$702,'Info planes y paquetes'!$E$595:$E$702,"Telefonía fija + Internet fijo")+SUMIFS('Info planes y paquetes'!$K$595:$K$702,'Info planes y paquetes'!$E$595:$E$702,"Internet fijo"))</f>
        <v>4.938084793378452E-3</v>
      </c>
      <c r="O45" s="343"/>
      <c r="P45" s="282"/>
      <c r="R45" s="102" t="s">
        <v>189</v>
      </c>
      <c r="U45" s="262"/>
      <c r="V45" s="57"/>
      <c r="W45" s="567"/>
      <c r="X45" s="568"/>
      <c r="Y45" s="57"/>
    </row>
    <row r="46" spans="3:25" s="44" customFormat="1" ht="12" x14ac:dyDescent="0.25">
      <c r="C46" s="579" t="str">
        <f t="shared" si="2"/>
        <v>Paquete Telmex Negocio Sin Límites 2No Residencial</v>
      </c>
      <c r="D46" s="95">
        <f t="shared" si="3"/>
        <v>26</v>
      </c>
      <c r="E46" s="101" t="str">
        <v>Paquete Telmex Negocio Sin Límites 2</v>
      </c>
      <c r="F46" s="297" t="str">
        <f>IFERROR(VLOOKUP($E46,'Info planes y paquetes'!$C$595:$K$702,2,FALSE),"")</f>
        <v>No Residencial</v>
      </c>
      <c r="G46" s="297" t="str">
        <f>IFERROR(VLOOKUP($E46,'Info planes y paquetes'!$C$593:$K$702,3,FALSE),"")</f>
        <v>Telefonía fija + Internet fijo</v>
      </c>
      <c r="H46" s="77" t="s">
        <v>172</v>
      </c>
      <c r="I46" s="132"/>
      <c r="J46" s="132"/>
      <c r="K46" s="132"/>
      <c r="L46" s="132"/>
      <c r="M46" s="343">
        <f>IFERROR(VLOOKUP($E46&amp;$F46,'Info planes y paquetes'!$A$595:$L$702,M$18,FALSE),0)/(SUMIFS('Info planes y paquetes'!$H$595:$H$702,'Info planes y paquetes'!$E$595:$E$702,"Telefonía fija + Internet fijo")+SUMIFS('Info planes y paquetes'!$H$595:$H$702,'Info planes y paquetes'!$E$595:$E$702,"Internet fijo"))</f>
        <v>1.6584609994630831E-3</v>
      </c>
      <c r="N46" s="343">
        <f>IFERROR(VLOOKUP($E46&amp;$F46,'Info planes y paquetes'!$A$595:$L$702,N$18,FALSE),0)/(SUMIFS('Info planes y paquetes'!$K$595:$K$702,'Info planes y paquetes'!$E$595:$E$702,"Telefonía fija + Internet fijo")+SUMIFS('Info planes y paquetes'!$K$595:$K$702,'Info planes y paquetes'!$E$595:$E$702,"Internet fijo"))</f>
        <v>2.6126694241040737E-3</v>
      </c>
      <c r="O46" s="343"/>
      <c r="P46" s="282"/>
      <c r="R46" s="102" t="s">
        <v>189</v>
      </c>
      <c r="U46" s="262"/>
      <c r="V46" s="57"/>
      <c r="W46" s="567"/>
      <c r="X46" s="568"/>
      <c r="Y46" s="57"/>
    </row>
    <row r="47" spans="3:25" s="44" customFormat="1" ht="12" x14ac:dyDescent="0.25">
      <c r="C47" s="579" t="str">
        <f t="shared" si="2"/>
        <v>Paquete Telmex Negocio Sin Límites 3No Residencial</v>
      </c>
      <c r="D47" s="95">
        <f t="shared" si="3"/>
        <v>27</v>
      </c>
      <c r="E47" s="101" t="str">
        <v>Paquete Telmex Negocio Sin Límites 3</v>
      </c>
      <c r="F47" s="297" t="str">
        <f>IFERROR(VLOOKUP($E47,'Info planes y paquetes'!$C$595:$K$702,2,FALSE),"")</f>
        <v>No Residencial</v>
      </c>
      <c r="G47" s="297" t="str">
        <f>IFERROR(VLOOKUP($E47,'Info planes y paquetes'!$C$593:$K$702,3,FALSE),"")</f>
        <v>Telefonía fija + Internet fijo</v>
      </c>
      <c r="H47" s="77" t="s">
        <v>172</v>
      </c>
      <c r="I47" s="132"/>
      <c r="J47" s="132"/>
      <c r="K47" s="132"/>
      <c r="L47" s="132"/>
      <c r="M47" s="343">
        <f>IFERROR(VLOOKUP($E47&amp;$F47,'Info planes y paquetes'!$A$595:$L$702,M$18,FALSE),0)/(SUMIFS('Info planes y paquetes'!$H$595:$H$702,'Info planes y paquetes'!$E$595:$E$702,"Telefonía fija + Internet fijo")+SUMIFS('Info planes y paquetes'!$H$595:$H$702,'Info planes y paquetes'!$E$595:$E$702,"Internet fijo"))</f>
        <v>1.6022947859239457E-3</v>
      </c>
      <c r="N47" s="343">
        <f>IFERROR(VLOOKUP($E47&amp;$F47,'Info planes y paquetes'!$A$595:$L$702,N$18,FALSE),0)/(SUMIFS('Info planes y paquetes'!$K$595:$K$702,'Info planes y paquetes'!$E$595:$E$702,"Telefonía fija + Internet fijo")+SUMIFS('Info planes y paquetes'!$K$595:$K$702,'Info planes y paquetes'!$E$595:$E$702,"Internet fijo"))</f>
        <v>1.8970680971699297E-3</v>
      </c>
      <c r="O47" s="343"/>
      <c r="P47" s="282"/>
      <c r="R47" s="102" t="s">
        <v>189</v>
      </c>
      <c r="U47" s="262"/>
      <c r="V47" s="57"/>
      <c r="W47" s="567"/>
      <c r="X47" s="568"/>
      <c r="Y47" s="57"/>
    </row>
    <row r="48" spans="3:25" s="44" customFormat="1" ht="12" x14ac:dyDescent="0.25">
      <c r="C48" s="579" t="str">
        <f t="shared" si="2"/>
        <v>Infinitum NegocioNo Residencial</v>
      </c>
      <c r="D48" s="95">
        <f t="shared" si="3"/>
        <v>28</v>
      </c>
      <c r="E48" s="101" t="str">
        <v>Infinitum Negocio</v>
      </c>
      <c r="F48" s="297" t="str">
        <f>IFERROR(VLOOKUP($E48,'Info planes y paquetes'!$C$595:$K$702,2,FALSE),"")</f>
        <v>No Residencial</v>
      </c>
      <c r="G48" s="297" t="str">
        <f>IFERROR(VLOOKUP($E48,'Info planes y paquetes'!$C$593:$K$702,3,FALSE),"")</f>
        <v>Internet fijo</v>
      </c>
      <c r="H48" s="77" t="s">
        <v>172</v>
      </c>
      <c r="I48" s="132"/>
      <c r="J48" s="132"/>
      <c r="K48" s="132"/>
      <c r="L48" s="132"/>
      <c r="M48" s="343">
        <f>IFERROR(VLOOKUP($E48&amp;$F48,'Info planes y paquetes'!$A$595:$L$702,M$18,FALSE),0)/(SUMIFS('Info planes y paquetes'!$H$595:$H$702,'Info planes y paquetes'!$E$595:$E$702,"Telefonía fija + Internet fijo")+SUMIFS('Info planes y paquetes'!$H$595:$H$702,'Info planes y paquetes'!$E$595:$E$702,"Internet fijo"))</f>
        <v>5.5793255639408276E-3</v>
      </c>
      <c r="N48" s="343">
        <f>IFERROR(VLOOKUP($E48&amp;$F48,'Info planes y paquetes'!$A$595:$L$702,N$18,FALSE),0)/(SUMIFS('Info planes y paquetes'!$K$595:$K$702,'Info planes y paquetes'!$E$595:$E$702,"Telefonía fija + Internet fijo")+SUMIFS('Info planes y paquetes'!$K$595:$K$702,'Info planes y paquetes'!$E$595:$E$702,"Internet fijo"))</f>
        <v>6.265801306788131E-3</v>
      </c>
      <c r="O48" s="343"/>
      <c r="P48" s="282"/>
      <c r="R48" s="102" t="s">
        <v>189</v>
      </c>
      <c r="U48" s="262"/>
      <c r="V48" s="57"/>
      <c r="W48" s="567"/>
      <c r="X48" s="568"/>
      <c r="Y48" s="57"/>
    </row>
    <row r="49" spans="3:25" s="44" customFormat="1" ht="12" x14ac:dyDescent="0.25">
      <c r="C49" s="579" t="str">
        <f t="shared" si="2"/>
        <v>Infinitum Negocio RedNo Residencial</v>
      </c>
      <c r="D49" s="95">
        <f t="shared" si="3"/>
        <v>29</v>
      </c>
      <c r="E49" s="101" t="str">
        <v>Infinitum Negocio Red</v>
      </c>
      <c r="F49" s="297" t="str">
        <f>IFERROR(VLOOKUP($E49,'Info planes y paquetes'!$C$595:$K$702,2,FALSE),"")</f>
        <v>No Residencial</v>
      </c>
      <c r="G49" s="297" t="str">
        <f>IFERROR(VLOOKUP($E49,'Info planes y paquetes'!$C$593:$K$702,3,FALSE),"")</f>
        <v>Internet fijo</v>
      </c>
      <c r="H49" s="77" t="s">
        <v>172</v>
      </c>
      <c r="I49" s="132"/>
      <c r="J49" s="132"/>
      <c r="K49" s="132"/>
      <c r="L49" s="132"/>
      <c r="M49" s="343">
        <f>IFERROR(VLOOKUP($E49&amp;$F49,'Info planes y paquetes'!$A$595:$L$702,M$18,FALSE),0)/(SUMIFS('Info planes y paquetes'!$H$595:$H$702,'Info planes y paquetes'!$E$595:$E$702,"Telefonía fija + Internet fijo")+SUMIFS('Info planes y paquetes'!$H$595:$H$702,'Info planes y paquetes'!$E$595:$E$702,"Internet fijo"))</f>
        <v>1.083892206443858E-3</v>
      </c>
      <c r="N49" s="343">
        <f>IFERROR(VLOOKUP($E49&amp;$F49,'Info planes y paquetes'!$A$595:$L$702,N$18,FALSE),0)/(SUMIFS('Info planes y paquetes'!$K$595:$K$702,'Info planes y paquetes'!$E$595:$E$702,"Telefonía fija + Internet fijo")+SUMIFS('Info planes y paquetes'!$K$595:$K$702,'Info planes y paquetes'!$E$595:$E$702,"Internet fijo"))</f>
        <v>1.5703399475261255E-3</v>
      </c>
      <c r="O49" s="343"/>
      <c r="P49" s="282"/>
      <c r="R49" s="102" t="s">
        <v>189</v>
      </c>
      <c r="U49" s="262"/>
      <c r="V49" s="57"/>
      <c r="W49" s="567"/>
      <c r="X49" s="568"/>
      <c r="Y49" s="57"/>
    </row>
    <row r="50" spans="3:25" s="44" customFormat="1" ht="12" x14ac:dyDescent="0.25">
      <c r="C50" s="579" t="str">
        <f t="shared" si="2"/>
        <v>Infinitum Negocio PremiumNo Residencial</v>
      </c>
      <c r="D50" s="95">
        <f t="shared" si="3"/>
        <v>30</v>
      </c>
      <c r="E50" s="101" t="str">
        <v>Infinitum Negocio Premium</v>
      </c>
      <c r="F50" s="297" t="str">
        <f>IFERROR(VLOOKUP($E50,'Info planes y paquetes'!$C$595:$K$702,2,FALSE),"")</f>
        <v>No Residencial</v>
      </c>
      <c r="G50" s="297" t="str">
        <f>IFERROR(VLOOKUP($E50,'Info planes y paquetes'!$C$593:$K$702,3,FALSE),"")</f>
        <v>Internet fijo</v>
      </c>
      <c r="H50" s="263" t="s">
        <v>172</v>
      </c>
      <c r="I50" s="132"/>
      <c r="J50" s="132"/>
      <c r="K50" s="132"/>
      <c r="L50" s="132"/>
      <c r="M50" s="343">
        <f>IFERROR(VLOOKUP($E50&amp;$F50,'Info planes y paquetes'!$A$595:$L$702,M$18,FALSE),0)/(SUMIFS('Info planes y paquetes'!$H$595:$H$702,'Info planes y paquetes'!$E$595:$E$702,"Telefonía fija + Internet fijo")+SUMIFS('Info planes y paquetes'!$H$595:$H$702,'Info planes y paquetes'!$E$595:$E$702,"Internet fijo"))</f>
        <v>1.2886184998511729E-3</v>
      </c>
      <c r="N50" s="343">
        <f>IFERROR(VLOOKUP($E50&amp;$F50,'Info planes y paquetes'!$A$595:$L$702,N$18,FALSE),0)/(SUMIFS('Info planes y paquetes'!$K$595:$K$702,'Info planes y paquetes'!$E$595:$E$702,"Telefonía fija + Internet fijo")+SUMIFS('Info planes y paquetes'!$K$595:$K$702,'Info planes y paquetes'!$E$595:$E$702,"Internet fijo"))</f>
        <v>1.1467935788450146E-3</v>
      </c>
      <c r="O50" s="343"/>
      <c r="P50" s="282"/>
      <c r="R50" s="102" t="s">
        <v>189</v>
      </c>
      <c r="U50" s="262"/>
      <c r="V50" s="57"/>
      <c r="W50" s="567"/>
      <c r="X50" s="568"/>
      <c r="Y50" s="57"/>
    </row>
    <row r="51" spans="3:25" s="44" customFormat="1" ht="12" x14ac:dyDescent="0.25">
      <c r="C51" s="579" t="str">
        <f t="shared" si="2"/>
        <v>Paquete Infinitum Play 20 (Netflix 1 dispositivo)Residencial</v>
      </c>
      <c r="D51" s="95">
        <f t="shared" si="3"/>
        <v>31</v>
      </c>
      <c r="E51" s="101" t="str">
        <v>Paquete Infinitum Play 20 (Netflix 1 dispositivo)</v>
      </c>
      <c r="F51" s="297" t="str">
        <f>IFERROR(VLOOKUP($E51,'Info planes y paquetes'!$C$595:$K$702,2,FALSE),"")</f>
        <v>Residencial</v>
      </c>
      <c r="G51" s="297" t="str">
        <f>IFERROR(VLOOKUP($E51,'Info planes y paquetes'!$C$593:$K$702,3,FALSE),"")</f>
        <v>Telefonía fija + Internet fijo</v>
      </c>
      <c r="H51" s="263" t="s">
        <v>172</v>
      </c>
      <c r="I51" s="132"/>
      <c r="J51" s="132"/>
      <c r="K51" s="132"/>
      <c r="L51" s="132"/>
      <c r="M51" s="343">
        <f>IFERROR(VLOOKUP($E51&amp;$F51,'Info planes y paquetes'!$A$595:$L$702,M$18,FALSE),0)/(SUMIFS('Info planes y paquetes'!$H$595:$H$702,'Info planes y paquetes'!$E$595:$E$702,"Telefonía fija + Internet fijo")+SUMIFS('Info planes y paquetes'!$H$595:$H$702,'Info planes y paquetes'!$E$595:$E$702,"Internet fijo"))</f>
        <v>1.7548781825147367E-2</v>
      </c>
      <c r="N51" s="343">
        <f>IFERROR(VLOOKUP($E51&amp;$F51,'Info planes y paquetes'!$A$595:$L$702,N$18,FALSE),0)/(SUMIFS('Info planes y paquetes'!$K$595:$K$702,'Info planes y paquetes'!$E$595:$E$702,"Telefonía fija + Internet fijo")+SUMIFS('Info planes y paquetes'!$K$595:$K$702,'Info planes y paquetes'!$E$595:$E$702,"Internet fijo"))</f>
        <v>1.3742674954922629E-2</v>
      </c>
      <c r="O51" s="343"/>
      <c r="P51" s="282"/>
      <c r="R51" s="102" t="s">
        <v>189</v>
      </c>
      <c r="U51" s="262"/>
      <c r="V51" s="57"/>
      <c r="W51" s="567"/>
      <c r="X51" s="568"/>
      <c r="Y51" s="57"/>
    </row>
    <row r="52" spans="3:25" s="44" customFormat="1" ht="12" x14ac:dyDescent="0.25">
      <c r="C52" s="579" t="str">
        <f t="shared" si="2"/>
        <v>Paquete Infinitum Play 20 (Netflix 2 dispositivos)Residencial</v>
      </c>
      <c r="D52" s="95">
        <f t="shared" si="3"/>
        <v>32</v>
      </c>
      <c r="E52" s="101" t="str">
        <v>Paquete Infinitum Play 20 (Netflix 2 dispositivos)</v>
      </c>
      <c r="F52" s="297" t="str">
        <f>IFERROR(VLOOKUP($E52,'Info planes y paquetes'!$C$595:$K$702,2,FALSE),"")</f>
        <v>Residencial</v>
      </c>
      <c r="G52" s="297" t="str">
        <f>IFERROR(VLOOKUP($E52,'Info planes y paquetes'!$C$593:$K$702,3,FALSE),"")</f>
        <v>Telefonía fija + Internet fijo</v>
      </c>
      <c r="H52" s="263" t="s">
        <v>172</v>
      </c>
      <c r="I52" s="132"/>
      <c r="J52" s="132"/>
      <c r="K52" s="132"/>
      <c r="L52" s="132"/>
      <c r="M52" s="343">
        <f>IFERROR(VLOOKUP($E52&amp;$F52,'Info planes y paquetes'!$A$595:$L$702,M$18,FALSE),0)/(SUMIFS('Info planes y paquetes'!$H$595:$H$702,'Info planes y paquetes'!$E$595:$E$702,"Telefonía fija + Internet fijo")+SUMIFS('Info planes y paquetes'!$H$595:$H$702,'Info planes y paquetes'!$E$595:$E$702,"Internet fijo"))</f>
        <v>2.1051114636755026E-2</v>
      </c>
      <c r="N52" s="343">
        <f>IFERROR(VLOOKUP($E52&amp;$F52,'Info planes y paquetes'!$A$595:$L$702,N$18,FALSE),0)/(SUMIFS('Info planes y paquetes'!$K$595:$K$702,'Info planes y paquetes'!$E$595:$E$702,"Telefonía fija + Internet fijo")+SUMIFS('Info planes y paquetes'!$K$595:$K$702,'Info planes y paquetes'!$E$595:$E$702,"Internet fijo"))</f>
        <v>1.0532648677088835E-2</v>
      </c>
      <c r="O52" s="343"/>
      <c r="P52" s="282"/>
      <c r="R52" s="102" t="s">
        <v>189</v>
      </c>
      <c r="U52" s="262"/>
      <c r="V52" s="57"/>
      <c r="W52" s="567"/>
      <c r="X52" s="568"/>
      <c r="Y52" s="57"/>
    </row>
    <row r="53" spans="3:25" s="44" customFormat="1" ht="12" x14ac:dyDescent="0.25">
      <c r="C53" s="579" t="str">
        <f t="shared" si="2"/>
        <v>Paquete Infinitum Play 20 (Netflix 4 dispositivos)Residencial</v>
      </c>
      <c r="D53" s="95">
        <f t="shared" si="3"/>
        <v>33</v>
      </c>
      <c r="E53" s="101" t="str">
        <v>Paquete Infinitum Play 20 (Netflix 4 dispositivos)</v>
      </c>
      <c r="F53" s="297" t="str">
        <f>IFERROR(VLOOKUP($E53,'Info planes y paquetes'!$C$595:$K$702,2,FALSE),"")</f>
        <v>Residencial</v>
      </c>
      <c r="G53" s="297" t="str">
        <f>IFERROR(VLOOKUP($E53,'Info planes y paquetes'!$C$593:$K$702,3,FALSE),"")</f>
        <v>Telefonía fija + Internet fijo</v>
      </c>
      <c r="H53" s="263" t="s">
        <v>172</v>
      </c>
      <c r="I53" s="132"/>
      <c r="J53" s="132"/>
      <c r="K53" s="132"/>
      <c r="L53" s="132"/>
      <c r="M53" s="343">
        <f>IFERROR(VLOOKUP($E53&amp;$F53,'Info planes y paquetes'!$A$595:$L$702,M$18,FALSE),0)/(SUMIFS('Info planes y paquetes'!$H$595:$H$702,'Info planes y paquetes'!$E$595:$E$702,"Telefonía fija + Internet fijo")+SUMIFS('Info planes y paquetes'!$H$595:$H$702,'Info planes y paquetes'!$E$595:$E$702,"Internet fijo"))</f>
        <v>7.0594966652757149E-3</v>
      </c>
      <c r="N53" s="343">
        <f>IFERROR(VLOOKUP($E53&amp;$F53,'Info planes y paquetes'!$A$595:$L$702,N$18,FALSE),0)/(SUMIFS('Info planes y paquetes'!$K$595:$K$702,'Info planes y paquetes'!$E$595:$E$702,"Telefonía fija + Internet fijo")+SUMIFS('Info planes y paquetes'!$K$595:$K$702,'Info planes y paquetes'!$E$595:$E$702,"Internet fijo"))</f>
        <v>6.0120646703028472E-3</v>
      </c>
      <c r="O53" s="343"/>
      <c r="P53" s="282"/>
      <c r="R53" s="102" t="s">
        <v>189</v>
      </c>
      <c r="U53" s="262"/>
      <c r="V53" s="57"/>
      <c r="W53" s="567"/>
      <c r="X53" s="568"/>
      <c r="Y53" s="57"/>
    </row>
    <row r="54" spans="3:25" s="44" customFormat="1" ht="12" x14ac:dyDescent="0.25">
      <c r="C54" s="579" t="str">
        <f t="shared" si="2"/>
        <v>Paquete Infinitum Play 30 (Netflix 2 dispositivos)Residencial</v>
      </c>
      <c r="D54" s="95">
        <f t="shared" si="3"/>
        <v>34</v>
      </c>
      <c r="E54" s="101" t="str">
        <v>Paquete Infinitum Play 30 (Netflix 2 dispositivos)</v>
      </c>
      <c r="F54" s="297" t="str">
        <f>IFERROR(VLOOKUP($E54,'Info planes y paquetes'!$C$595:$K$702,2,FALSE),"")</f>
        <v>Residencial</v>
      </c>
      <c r="G54" s="297" t="str">
        <f>IFERROR(VLOOKUP($E54,'Info planes y paquetes'!$C$593:$K$702,3,FALSE),"")</f>
        <v>Telefonía fija + Internet fijo</v>
      </c>
      <c r="H54" s="263" t="s">
        <v>172</v>
      </c>
      <c r="I54" s="132"/>
      <c r="J54" s="132"/>
      <c r="K54" s="132"/>
      <c r="L54" s="132"/>
      <c r="M54" s="343">
        <f>IFERROR(VLOOKUP($E54&amp;$F54,'Info planes y paquetes'!$A$595:$L$702,M$18,FALSE),0)/(SUMIFS('Info planes y paquetes'!$H$595:$H$702,'Info planes y paquetes'!$E$595:$E$702,"Telefonía fija + Internet fijo")+SUMIFS('Info planes y paquetes'!$H$595:$H$702,'Info planes y paquetes'!$E$595:$E$702,"Internet fijo"))</f>
        <v>3.780849582073525E-3</v>
      </c>
      <c r="N54" s="343">
        <f>IFERROR(VLOOKUP($E54&amp;$F54,'Info planes y paquetes'!$A$595:$L$702,N$18,FALSE),0)/(SUMIFS('Info planes y paquetes'!$K$595:$K$702,'Info planes y paquetes'!$E$595:$E$702,"Telefonía fija + Internet fijo")+SUMIFS('Info planes y paquetes'!$K$595:$K$702,'Info planes y paquetes'!$E$595:$E$702,"Internet fijo"))</f>
        <v>3.3530754187254615E-3</v>
      </c>
      <c r="O54" s="343"/>
      <c r="P54" s="282"/>
      <c r="R54" s="102" t="s">
        <v>189</v>
      </c>
      <c r="U54" s="262"/>
      <c r="V54" s="57"/>
      <c r="W54" s="567"/>
      <c r="X54" s="568"/>
      <c r="Y54" s="57"/>
    </row>
    <row r="55" spans="3:25" s="44" customFormat="1" ht="12" x14ac:dyDescent="0.25">
      <c r="C55" s="579" t="str">
        <f t="shared" si="2"/>
        <v>Paquete Infinitum Play 30 (Netflix 4 dispositivos)Residencial</v>
      </c>
      <c r="D55" s="95">
        <f t="shared" si="3"/>
        <v>35</v>
      </c>
      <c r="E55" s="101" t="str">
        <v>Paquete Infinitum Play 30 (Netflix 4 dispositivos)</v>
      </c>
      <c r="F55" s="297" t="str">
        <f>IFERROR(VLOOKUP($E55,'Info planes y paquetes'!$C$595:$K$702,2,FALSE),"")</f>
        <v>Residencial</v>
      </c>
      <c r="G55" s="297" t="str">
        <f>IFERROR(VLOOKUP($E55,'Info planes y paquetes'!$C$593:$K$702,3,FALSE),"")</f>
        <v>Telefonía fija + Internet fijo</v>
      </c>
      <c r="H55" s="263" t="s">
        <v>172</v>
      </c>
      <c r="I55" s="132"/>
      <c r="J55" s="132"/>
      <c r="K55" s="132"/>
      <c r="L55" s="132"/>
      <c r="M55" s="343">
        <f>IFERROR(VLOOKUP($E55&amp;$F55,'Info planes y paquetes'!$A$595:$L$702,M$18,FALSE),0)/(SUMIFS('Info planes y paquetes'!$H$595:$H$702,'Info planes y paquetes'!$E$595:$E$702,"Telefonía fija + Internet fijo")+SUMIFS('Info planes y paquetes'!$H$595:$H$702,'Info planes y paquetes'!$E$595:$E$702,"Internet fijo"))</f>
        <v>1.4199993733595192E-3</v>
      </c>
      <c r="N55" s="343">
        <f>IFERROR(VLOOKUP($E55&amp;$F55,'Info planes y paquetes'!$A$595:$L$702,N$18,FALSE),0)/(SUMIFS('Info planes y paquetes'!$K$595:$K$702,'Info planes y paquetes'!$E$595:$E$702,"Telefonía fija + Internet fijo")+SUMIFS('Info planes y paquetes'!$K$595:$K$702,'Info planes y paquetes'!$E$595:$E$702,"Internet fijo"))</f>
        <v>1.6288398447956828E-3</v>
      </c>
      <c r="O55" s="343"/>
      <c r="P55" s="282"/>
      <c r="R55" s="102" t="s">
        <v>189</v>
      </c>
      <c r="U55" s="262"/>
      <c r="V55" s="57"/>
      <c r="W55" s="567"/>
      <c r="X55" s="568"/>
      <c r="Y55" s="57"/>
    </row>
    <row r="56" spans="3:25" s="44" customFormat="1" ht="12" x14ac:dyDescent="0.25">
      <c r="C56" s="579" t="str">
        <f t="shared" si="2"/>
        <v>Paquete Infinitum Play 40 (Netflix 2 dispositivos)Residencial</v>
      </c>
      <c r="D56" s="95">
        <f t="shared" si="3"/>
        <v>36</v>
      </c>
      <c r="E56" s="101" t="str">
        <v>Paquete Infinitum Play 40 (Netflix 2 dispositivos)</v>
      </c>
      <c r="F56" s="297" t="str">
        <f>IFERROR(VLOOKUP($E56,'Info planes y paquetes'!$C$595:$K$702,2,FALSE),"")</f>
        <v>Residencial</v>
      </c>
      <c r="G56" s="297" t="str">
        <f>IFERROR(VLOOKUP($E56,'Info planes y paquetes'!$C$593:$K$702,3,FALSE),"")</f>
        <v>Telefonía fija + Internet fijo</v>
      </c>
      <c r="H56" s="263" t="s">
        <v>172</v>
      </c>
      <c r="I56" s="132"/>
      <c r="J56" s="132"/>
      <c r="K56" s="132"/>
      <c r="L56" s="132"/>
      <c r="M56" s="343">
        <f>IFERROR(VLOOKUP($E56&amp;$F56,'Info planes y paquetes'!$A$595:$L$702,M$18,FALSE),0)/(SUMIFS('Info planes y paquetes'!$H$595:$H$702,'Info planes y paquetes'!$E$595:$E$702,"Telefonía fija + Internet fijo")+SUMIFS('Info planes y paquetes'!$H$595:$H$702,'Info planes y paquetes'!$E$595:$E$702,"Internet fijo"))</f>
        <v>1.3631210683650522E-3</v>
      </c>
      <c r="N56" s="343">
        <f>IFERROR(VLOOKUP($E56&amp;$F56,'Info planes y paquetes'!$A$595:$L$702,N$18,FALSE),0)/(SUMIFS('Info planes y paquetes'!$K$595:$K$702,'Info planes y paquetes'!$E$595:$E$702,"Telefonía fija + Internet fijo")+SUMIFS('Info planes y paquetes'!$K$595:$K$702,'Info planes y paquetes'!$E$595:$E$702,"Internet fijo"))</f>
        <v>8.2042105167701336E-4</v>
      </c>
      <c r="O56" s="343"/>
      <c r="P56" s="282"/>
      <c r="R56" s="102" t="s">
        <v>189</v>
      </c>
      <c r="U56" s="262"/>
      <c r="V56" s="57"/>
      <c r="W56" s="567"/>
      <c r="X56" s="568"/>
      <c r="Y56" s="57"/>
    </row>
    <row r="57" spans="3:25" s="44" customFormat="1" ht="12" x14ac:dyDescent="0.25">
      <c r="C57" s="579" t="str">
        <f t="shared" si="2"/>
        <v>Paquete Infinitum Play 40 (Netflix 4 dispositivos)Residencial</v>
      </c>
      <c r="D57" s="95">
        <f t="shared" si="3"/>
        <v>37</v>
      </c>
      <c r="E57" s="101" t="str">
        <v>Paquete Infinitum Play 40 (Netflix 4 dispositivos)</v>
      </c>
      <c r="F57" s="297" t="str">
        <f>IFERROR(VLOOKUP($E57,'Info planes y paquetes'!$C$595:$K$702,2,FALSE),"")</f>
        <v>Residencial</v>
      </c>
      <c r="G57" s="297" t="str">
        <f>IFERROR(VLOOKUP($E57,'Info planes y paquetes'!$C$593:$K$702,3,FALSE),"")</f>
        <v>Telefonía fija + Internet fijo</v>
      </c>
      <c r="H57" s="263" t="s">
        <v>172</v>
      </c>
      <c r="I57" s="132"/>
      <c r="J57" s="132"/>
      <c r="K57" s="132"/>
      <c r="L57" s="132"/>
      <c r="M57" s="343">
        <f>IFERROR(VLOOKUP($E57&amp;$F57,'Info planes y paquetes'!$A$595:$L$702,M$18,FALSE),0)/(SUMIFS('Info planes y paquetes'!$H$595:$H$702,'Info planes y paquetes'!$E$595:$E$702,"Telefonía fija + Internet fijo")+SUMIFS('Info planes y paquetes'!$H$595:$H$702,'Info planes y paquetes'!$E$595:$E$702,"Internet fijo"))</f>
        <v>6.0812610285164144E-4</v>
      </c>
      <c r="N57" s="343">
        <f>IFERROR(VLOOKUP($E57&amp;$F57,'Info planes y paquetes'!$A$595:$L$702,N$18,FALSE),0)/(SUMIFS('Info planes y paquetes'!$K$595:$K$702,'Info planes y paquetes'!$E$595:$E$702,"Telefonía fija + Internet fijo")+SUMIFS('Info planes y paquetes'!$K$595:$K$702,'Info planes y paquetes'!$E$595:$E$702,"Internet fijo"))</f>
        <v>4.4017171942489091E-4</v>
      </c>
      <c r="O57" s="343"/>
      <c r="P57" s="282"/>
      <c r="R57" s="102" t="s">
        <v>189</v>
      </c>
      <c r="U57" s="262"/>
      <c r="V57" s="57"/>
      <c r="W57" s="567"/>
      <c r="X57" s="568"/>
      <c r="Y57" s="57"/>
    </row>
    <row r="58" spans="3:25" s="44" customFormat="1" ht="12" x14ac:dyDescent="0.25">
      <c r="C58" s="579" t="str">
        <f t="shared" si="2"/>
        <v>Paquete Infinitum Play 150 (Netflix 4 dispositivos)Residencial</v>
      </c>
      <c r="D58" s="95">
        <f t="shared" si="3"/>
        <v>38</v>
      </c>
      <c r="E58" s="101" t="str">
        <v>Paquete Infinitum Play 150 (Netflix 4 dispositivos)</v>
      </c>
      <c r="F58" s="297" t="str">
        <f>IFERROR(VLOOKUP($E58,'Info planes y paquetes'!$C$595:$K$702,2,FALSE),"")</f>
        <v>Residencial</v>
      </c>
      <c r="G58" s="297" t="str">
        <f>IFERROR(VLOOKUP($E58,'Info planes y paquetes'!$C$593:$K$702,3,FALSE),"")</f>
        <v>Telefonía fija + Internet fijo</v>
      </c>
      <c r="H58" s="263" t="s">
        <v>172</v>
      </c>
      <c r="I58" s="132"/>
      <c r="J58" s="132"/>
      <c r="K58" s="132"/>
      <c r="L58" s="132"/>
      <c r="M58" s="343">
        <f>IFERROR(VLOOKUP($E58&amp;$F58,'Info planes y paquetes'!$A$595:$L$702,M$18,FALSE),0)/(SUMIFS('Info planes y paquetes'!$H$595:$H$702,'Info planes y paquetes'!$E$595:$E$702,"Telefonía fija + Internet fijo")+SUMIFS('Info planes y paquetes'!$H$595:$H$702,'Info planes y paquetes'!$E$595:$E$702,"Internet fijo"))</f>
        <v>5.2867449872322E-3</v>
      </c>
      <c r="N58" s="343">
        <f>IFERROR(VLOOKUP($E58&amp;$F58,'Info planes y paquetes'!$A$595:$L$702,N$18,FALSE),0)/(SUMIFS('Info planes y paquetes'!$K$595:$K$702,'Info planes y paquetes'!$E$595:$E$702,"Telefonía fija + Internet fijo")+SUMIFS('Info planes y paquetes'!$K$595:$K$702,'Info planes y paquetes'!$E$595:$E$702,"Internet fijo"))</f>
        <v>3.5588030209773697E-3</v>
      </c>
      <c r="O58" s="343"/>
      <c r="R58" s="102" t="s">
        <v>189</v>
      </c>
      <c r="U58" s="262"/>
      <c r="V58" s="57"/>
      <c r="W58" s="567"/>
      <c r="X58" s="568"/>
      <c r="Y58" s="57"/>
    </row>
    <row r="59" spans="3:25" s="44" customFormat="1" ht="12" x14ac:dyDescent="0.25">
      <c r="C59" s="579" t="str">
        <f t="shared" si="2"/>
        <v>Paquete Infinitum Play 150 (Netflix 2 dispositivos)Residencial</v>
      </c>
      <c r="D59" s="95">
        <f t="shared" si="3"/>
        <v>39</v>
      </c>
      <c r="E59" s="101" t="str">
        <v>Paquete Infinitum Play 150 (Netflix 2 dispositivos)</v>
      </c>
      <c r="F59" s="297" t="str">
        <f>IFERROR(VLOOKUP($E59,'Info planes y paquetes'!$C$595:$K$702,2,FALSE),"")</f>
        <v>Residencial</v>
      </c>
      <c r="G59" s="297" t="str">
        <f>IFERROR(VLOOKUP($E59,'Info planes y paquetes'!$C$593:$K$702,3,FALSE),"")</f>
        <v>Telefonía fija + Internet fijo</v>
      </c>
      <c r="H59" s="263" t="s">
        <v>172</v>
      </c>
      <c r="I59" s="132"/>
      <c r="J59" s="132"/>
      <c r="K59" s="132"/>
      <c r="L59" s="132"/>
      <c r="M59" s="343">
        <f>IFERROR(VLOOKUP($E59&amp;$F59,'Info planes y paquetes'!$A$595:$L$702,M$18,FALSE),0)/(SUMIFS('Info planes y paquetes'!$H$595:$H$702,'Info planes y paquetes'!$E$595:$E$702,"Telefonía fija + Internet fijo")+SUMIFS('Info planes y paquetes'!$H$595:$H$702,'Info planes y paquetes'!$E$595:$E$702,"Internet fijo"))</f>
        <v>7.5570705696874059E-4</v>
      </c>
      <c r="N59" s="343">
        <f>IFERROR(VLOOKUP($E59&amp;$F59,'Info planes y paquetes'!$A$595:$L$702,N$18,FALSE),0)/(SUMIFS('Info planes y paquetes'!$K$595:$K$702,'Info planes y paquetes'!$E$595:$E$702,"Telefonía fija + Internet fijo")+SUMIFS('Info planes y paquetes'!$K$595:$K$702,'Info planes y paquetes'!$E$595:$E$702,"Internet fijo"))</f>
        <v>5.8624365136088273E-4</v>
      </c>
      <c r="O59" s="343"/>
      <c r="R59" s="102" t="s">
        <v>189</v>
      </c>
      <c r="U59" s="262"/>
      <c r="V59" s="57"/>
      <c r="W59" s="567"/>
      <c r="X59" s="568"/>
      <c r="Y59" s="57"/>
    </row>
    <row r="60" spans="3:25" s="44" customFormat="1" ht="12" x14ac:dyDescent="0.25">
      <c r="C60" s="579" t="str">
        <f t="shared" si="2"/>
        <v>Paquete Infinitum Netflix 500 (Netflix 4 dispositivos)Residencial</v>
      </c>
      <c r="D60" s="95">
        <f t="shared" si="3"/>
        <v>40</v>
      </c>
      <c r="E60" s="101" t="str">
        <v>Paquete Infinitum Netflix 500 (Netflix 4 dispositivos)</v>
      </c>
      <c r="F60" s="297" t="str">
        <f>IFERROR(VLOOKUP($E60,'Info planes y paquetes'!$C$595:$K$702,2,FALSE),"")</f>
        <v>Residencial</v>
      </c>
      <c r="G60" s="297" t="str">
        <f>IFERROR(VLOOKUP($E60,'Info planes y paquetes'!$C$593:$K$702,3,FALSE),"")</f>
        <v>Telefonía fija + Internet fijo</v>
      </c>
      <c r="H60" s="263" t="s">
        <v>172</v>
      </c>
      <c r="I60" s="132"/>
      <c r="J60" s="132"/>
      <c r="K60" s="132"/>
      <c r="L60" s="132"/>
      <c r="M60" s="343">
        <f>IFERROR(VLOOKUP($E60&amp;$F60,'Info planes y paquetes'!$A$595:$L$702,M$18,FALSE),0)/(SUMIFS('Info planes y paquetes'!$H$595:$H$702,'Info planes y paquetes'!$E$595:$E$702,"Telefonía fija + Internet fijo")+SUMIFS('Info planes y paquetes'!$H$595:$H$702,'Info planes y paquetes'!$E$595:$E$702,"Internet fijo"))</f>
        <v>2.9115639379796824E-4</v>
      </c>
      <c r="N60" s="343">
        <f>IFERROR(VLOOKUP($E60&amp;$F60,'Info planes y paquetes'!$A$595:$L$702,N$18,FALSE),0)/(SUMIFS('Info planes y paquetes'!$K$595:$K$702,'Info planes y paquetes'!$E$595:$E$702,"Telefonía fija + Internet fijo")+SUMIFS('Info planes y paquetes'!$K$595:$K$702,'Info planes y paquetes'!$E$595:$E$702,"Internet fijo"))</f>
        <v>2.7631866369876002E-4</v>
      </c>
      <c r="O60" s="343"/>
      <c r="R60" s="102" t="s">
        <v>189</v>
      </c>
      <c r="U60" s="262"/>
      <c r="V60" s="57"/>
      <c r="W60" s="567"/>
      <c r="X60" s="568"/>
      <c r="Y60" s="57"/>
    </row>
    <row r="61" spans="3:25" s="44" customFormat="1" ht="12" x14ac:dyDescent="0.25">
      <c r="C61" s="579" t="str">
        <f t="shared" si="2"/>
        <v>Paquete Infinitum Netflix 500 (Netflix 2 dispositivos)Residencial</v>
      </c>
      <c r="D61" s="95">
        <f t="shared" si="3"/>
        <v>41</v>
      </c>
      <c r="E61" s="101" t="str">
        <v>Paquete Infinitum Netflix 500 (Netflix 2 dispositivos)</v>
      </c>
      <c r="F61" s="297" t="str">
        <f>IFERROR(VLOOKUP($E61,'Info planes y paquetes'!$C$595:$K$702,2,FALSE),"")</f>
        <v>Residencial</v>
      </c>
      <c r="G61" s="297" t="str">
        <f>IFERROR(VLOOKUP($E61,'Info planes y paquetes'!$C$593:$K$702,3,FALSE),"")</f>
        <v>Telefonía fija + Internet fijo</v>
      </c>
      <c r="H61" s="263" t="s">
        <v>172</v>
      </c>
      <c r="I61" s="132"/>
      <c r="J61" s="132"/>
      <c r="K61" s="132"/>
      <c r="L61" s="132"/>
      <c r="M61" s="343">
        <f>IFERROR(VLOOKUP($E61&amp;$F61,'Info planes y paquetes'!$A$595:$L$702,M$18,FALSE),0)/(SUMIFS('Info planes y paquetes'!$H$595:$H$702,'Info planes y paquetes'!$E$595:$E$702,"Telefonía fija + Internet fijo")+SUMIFS('Info planes y paquetes'!$H$595:$H$702,'Info planes y paquetes'!$E$595:$E$702,"Internet fijo"))</f>
        <v>4.9134310417755574E-5</v>
      </c>
      <c r="N61" s="343">
        <f>IFERROR(VLOOKUP($E61&amp;$F61,'Info planes y paquetes'!$A$595:$L$702,N$18,FALSE),0)/(SUMIFS('Info planes y paquetes'!$K$595:$K$702,'Info planes y paquetes'!$E$595:$E$702,"Telefonía fija + Internet fijo")+SUMIFS('Info planes y paquetes'!$K$595:$K$702,'Info planes y paquetes'!$E$595:$E$702,"Internet fijo"))</f>
        <v>5.601053993893784E-5</v>
      </c>
      <c r="O61" s="343"/>
      <c r="R61" s="102" t="s">
        <v>189</v>
      </c>
      <c r="U61" s="262"/>
      <c r="V61" s="57"/>
      <c r="W61" s="567"/>
      <c r="X61" s="568"/>
      <c r="Y61" s="57"/>
    </row>
    <row r="62" spans="3:25" s="44" customFormat="1" ht="12" x14ac:dyDescent="0.25">
      <c r="C62" s="579" t="str">
        <f t="shared" si="2"/>
        <v>Infinitum Netflix 50 (Netflix 1 dispositivo)Residencial</v>
      </c>
      <c r="D62" s="95">
        <f t="shared" si="3"/>
        <v>42</v>
      </c>
      <c r="E62" s="101" t="str">
        <v>Infinitum Netflix 50 (Netflix 1 dispositivo)</v>
      </c>
      <c r="F62" s="297" t="str">
        <f>IFERROR(VLOOKUP($E62,'Info planes y paquetes'!$C$595:$K$702,2,FALSE),"")</f>
        <v>Residencial</v>
      </c>
      <c r="G62" s="297" t="str">
        <f>IFERROR(VLOOKUP($E62,'Info planes y paquetes'!$C$593:$K$702,3,FALSE),"")</f>
        <v>Internet fijo</v>
      </c>
      <c r="H62" s="263" t="s">
        <v>172</v>
      </c>
      <c r="I62" s="132"/>
      <c r="J62" s="132"/>
      <c r="K62" s="132"/>
      <c r="L62" s="132"/>
      <c r="M62" s="343">
        <f>IFERROR(VLOOKUP($E62&amp;$F62,'Info planes y paquetes'!$A$595:$L$702,M$18,FALSE),0)/(SUMIFS('Info planes y paquetes'!$H$595:$H$702,'Info planes y paquetes'!$E$595:$E$702,"Telefonía fija + Internet fijo")+SUMIFS('Info planes y paquetes'!$H$595:$H$702,'Info planes y paquetes'!$E$595:$E$702,"Internet fijo"))</f>
        <v>3.7762209876138811E-3</v>
      </c>
      <c r="N62" s="343">
        <f>IFERROR(VLOOKUP($E62&amp;$F62,'Info planes y paquetes'!$A$595:$L$702,N$18,FALSE),0)/(SUMIFS('Info planes y paquetes'!$K$595:$K$702,'Info planes y paquetes'!$E$595:$E$702,"Telefonía fija + Internet fijo")+SUMIFS('Info planes y paquetes'!$K$595:$K$702,'Info planes y paquetes'!$E$595:$E$702,"Internet fijo"))</f>
        <v>2.4800222406296366E-3</v>
      </c>
      <c r="O62" s="343"/>
      <c r="R62" s="102" t="s">
        <v>189</v>
      </c>
      <c r="U62" s="262"/>
      <c r="V62" s="57"/>
      <c r="W62" s="567"/>
      <c r="X62" s="568"/>
      <c r="Y62" s="57"/>
    </row>
    <row r="63" spans="3:25" s="44" customFormat="1" ht="12" x14ac:dyDescent="0.25">
      <c r="C63" s="579" t="str">
        <f t="shared" si="2"/>
        <v>Infinitum Netflix 50 (Netflix 2 dispositivos)Residencial</v>
      </c>
      <c r="D63" s="95">
        <f t="shared" si="3"/>
        <v>43</v>
      </c>
      <c r="E63" s="101" t="str">
        <v>Infinitum Netflix 50 (Netflix 2 dispositivos)</v>
      </c>
      <c r="F63" s="297" t="str">
        <f>IFERROR(VLOOKUP($E63,'Info planes y paquetes'!$C$595:$K$702,2,FALSE),"")</f>
        <v>Residencial</v>
      </c>
      <c r="G63" s="297" t="str">
        <f>IFERROR(VLOOKUP($E63,'Info planes y paquetes'!$C$593:$K$702,3,FALSE),"")</f>
        <v>Internet fijo</v>
      </c>
      <c r="H63" s="263" t="s">
        <v>172</v>
      </c>
      <c r="I63" s="132"/>
      <c r="J63" s="132"/>
      <c r="K63" s="132"/>
      <c r="L63" s="132"/>
      <c r="M63" s="343">
        <f>IFERROR(VLOOKUP($E63&amp;$F63,'Info planes y paquetes'!$A$595:$L$702,M$18,FALSE),0)/(SUMIFS('Info planes y paquetes'!$H$595:$H$702,'Info planes y paquetes'!$E$595:$E$702,"Telefonía fija + Internet fijo")+SUMIFS('Info planes y paquetes'!$H$595:$H$702,'Info planes y paquetes'!$E$595:$E$702,"Internet fijo"))</f>
        <v>3.6985140075510179E-3</v>
      </c>
      <c r="N63" s="343">
        <f>IFERROR(VLOOKUP($E63&amp;$F63,'Info planes y paquetes'!$A$595:$L$702,N$18,FALSE),0)/(SUMIFS('Info planes y paquetes'!$K$595:$K$702,'Info planes y paquetes'!$E$595:$E$702,"Telefonía fija + Internet fijo")+SUMIFS('Info planes y paquetes'!$K$595:$K$702,'Info planes y paquetes'!$E$595:$E$702,"Internet fijo"))</f>
        <v>2.6741032067990039E-3</v>
      </c>
      <c r="O63" s="343"/>
      <c r="R63" s="102" t="s">
        <v>189</v>
      </c>
      <c r="U63" s="262"/>
      <c r="V63" s="57"/>
      <c r="W63" s="567"/>
      <c r="X63" s="568"/>
      <c r="Y63" s="57"/>
    </row>
    <row r="64" spans="3:25" s="44" customFormat="1" ht="12" x14ac:dyDescent="0.25">
      <c r="C64" s="579" t="str">
        <f t="shared" si="2"/>
        <v>Infinitum Netflix 50 (Netflix 4 dispositivos)Residencial</v>
      </c>
      <c r="D64" s="95">
        <f t="shared" si="3"/>
        <v>44</v>
      </c>
      <c r="E64" s="101" t="str">
        <v>Infinitum Netflix 50 (Netflix 4 dispositivos)</v>
      </c>
      <c r="F64" s="297" t="str">
        <f>IFERROR(VLOOKUP($E64,'Info planes y paquetes'!$C$595:$K$702,2,FALSE),"")</f>
        <v>Residencial</v>
      </c>
      <c r="G64" s="297" t="str">
        <f>IFERROR(VLOOKUP($E64,'Info planes y paquetes'!$C$593:$K$702,3,FALSE),"")</f>
        <v>Internet fijo</v>
      </c>
      <c r="H64" s="263" t="s">
        <v>172</v>
      </c>
      <c r="I64" s="132"/>
      <c r="J64" s="132"/>
      <c r="K64" s="132"/>
      <c r="L64" s="132"/>
      <c r="M64" s="343">
        <f>IFERROR(VLOOKUP($E64&amp;$F64,'Info planes y paquetes'!$A$595:$L$702,M$18,FALSE),0)/(SUMIFS('Info planes y paquetes'!$H$595:$H$702,'Info planes y paquetes'!$E$595:$E$702,"Telefonía fija + Internet fijo")+SUMIFS('Info planes y paquetes'!$H$595:$H$702,'Info planes y paquetes'!$E$595:$E$702,"Internet fijo"))</f>
        <v>1.8624752014150682E-3</v>
      </c>
      <c r="N64" s="343">
        <f>IFERROR(VLOOKUP($E64&amp;$F64,'Info planes y paquetes'!$A$595:$L$702,N$18,FALSE),0)/(SUMIFS('Info planes y paquetes'!$K$595:$K$702,'Info planes y paquetes'!$E$595:$E$702,"Telefonía fija + Internet fijo")+SUMIFS('Info planes y paquetes'!$K$595:$K$702,'Info planes y paquetes'!$E$595:$E$702,"Internet fijo"))</f>
        <v>1.651866400103913E-3</v>
      </c>
      <c r="O64" s="343"/>
      <c r="R64" s="102" t="s">
        <v>189</v>
      </c>
      <c r="U64" s="262"/>
      <c r="V64" s="57"/>
      <c r="W64" s="567"/>
      <c r="X64" s="568"/>
      <c r="Y64" s="57"/>
    </row>
    <row r="65" spans="3:25" s="44" customFormat="1" ht="12" x14ac:dyDescent="0.25">
      <c r="C65" s="579" t="str">
        <f t="shared" si="2"/>
        <v>Infinitum Netflix 60 (Netflix 2 dispositivos)Residencial</v>
      </c>
      <c r="D65" s="95">
        <f t="shared" si="3"/>
        <v>45</v>
      </c>
      <c r="E65" s="101" t="str">
        <v>Infinitum Netflix 60 (Netflix 2 dispositivos)</v>
      </c>
      <c r="F65" s="297" t="str">
        <f>IFERROR(VLOOKUP($E65,'Info planes y paquetes'!$C$595:$K$702,2,FALSE),"")</f>
        <v>Residencial</v>
      </c>
      <c r="G65" s="297" t="str">
        <f>IFERROR(VLOOKUP($E65,'Info planes y paquetes'!$C$593:$K$702,3,FALSE),"")</f>
        <v>Internet fijo</v>
      </c>
      <c r="H65" s="263" t="s">
        <v>172</v>
      </c>
      <c r="I65" s="132"/>
      <c r="J65" s="132"/>
      <c r="K65" s="132"/>
      <c r="L65" s="132"/>
      <c r="M65" s="343">
        <f>IFERROR(VLOOKUP($E65&amp;$F65,'Info planes y paquetes'!$A$595:$L$702,M$18,FALSE),0)/(SUMIFS('Info planes y paquetes'!$H$595:$H$702,'Info planes y paquetes'!$E$595:$E$702,"Telefonía fija + Internet fijo")+SUMIFS('Info planes y paquetes'!$H$595:$H$702,'Info planes y paquetes'!$E$595:$E$702,"Internet fijo"))</f>
        <v>1.1751289241579874E-3</v>
      </c>
      <c r="N65" s="343">
        <f>IFERROR(VLOOKUP($E65&amp;$F65,'Info planes y paquetes'!$A$595:$L$702,N$18,FALSE),0)/(SUMIFS('Info planes y paquetes'!$K$595:$K$702,'Info planes y paquetes'!$E$595:$E$702,"Telefonía fija + Internet fijo")+SUMIFS('Info planes y paquetes'!$K$595:$K$702,'Info planes y paquetes'!$E$595:$E$702,"Internet fijo"))</f>
        <v>1.1377252057120438E-3</v>
      </c>
      <c r="O65" s="343"/>
      <c r="R65" s="102" t="s">
        <v>189</v>
      </c>
      <c r="U65" s="262"/>
      <c r="V65" s="57"/>
      <c r="W65" s="567"/>
      <c r="X65" s="568"/>
      <c r="Y65" s="57"/>
    </row>
    <row r="66" spans="3:25" s="44" customFormat="1" ht="12" x14ac:dyDescent="0.25">
      <c r="C66" s="579" t="str">
        <f t="shared" si="2"/>
        <v>Infinitum Netflix 60 (Netflix 4 dispositivos)Residencial</v>
      </c>
      <c r="D66" s="95">
        <f t="shared" si="3"/>
        <v>46</v>
      </c>
      <c r="E66" s="101" t="str">
        <v>Infinitum Netflix 60 (Netflix 4 dispositivos)</v>
      </c>
      <c r="F66" s="297" t="str">
        <f>IFERROR(VLOOKUP($E66,'Info planes y paquetes'!$C$595:$K$702,2,FALSE),"")</f>
        <v>Residencial</v>
      </c>
      <c r="G66" s="297" t="str">
        <f>IFERROR(VLOOKUP($E66,'Info planes y paquetes'!$C$593:$K$702,3,FALSE),"")</f>
        <v>Internet fijo</v>
      </c>
      <c r="H66" s="263" t="s">
        <v>172</v>
      </c>
      <c r="I66" s="132"/>
      <c r="J66" s="132"/>
      <c r="K66" s="132"/>
      <c r="L66" s="132"/>
      <c r="M66" s="343">
        <f>IFERROR(VLOOKUP($E66&amp;$F66,'Info planes y paquetes'!$A$595:$L$702,M$18,FALSE),0)/(SUMIFS('Info planes y paquetes'!$H$595:$H$702,'Info planes y paquetes'!$E$595:$E$702,"Telefonía fija + Internet fijo")+SUMIFS('Info planes y paquetes'!$H$595:$H$702,'Info planes y paquetes'!$E$595:$E$702,"Internet fijo"))</f>
        <v>7.5891146851772464E-4</v>
      </c>
      <c r="N66" s="343">
        <f>IFERROR(VLOOKUP($E66&amp;$F66,'Info planes y paquetes'!$A$595:$L$702,N$18,FALSE),0)/(SUMIFS('Info planes y paquetes'!$K$595:$K$702,'Info planes y paquetes'!$E$595:$E$702,"Telefonía fija + Internet fijo")+SUMIFS('Info planes y paquetes'!$K$595:$K$702,'Info planes y paquetes'!$E$595:$E$702,"Internet fijo"))</f>
        <v>4.8471343451918908E-4</v>
      </c>
      <c r="O66" s="343"/>
      <c r="R66" s="102" t="s">
        <v>189</v>
      </c>
      <c r="U66" s="262"/>
      <c r="V66" s="57"/>
      <c r="W66" s="567"/>
      <c r="X66" s="568"/>
      <c r="Y66" s="57"/>
    </row>
    <row r="67" spans="3:25" s="44" customFormat="1" ht="12" x14ac:dyDescent="0.25">
      <c r="C67" s="579" t="str">
        <f t="shared" si="2"/>
        <v>Infinitum Netflix 200 (Netflix 4 dispositivos)Residencial</v>
      </c>
      <c r="D67" s="95">
        <f t="shared" si="3"/>
        <v>47</v>
      </c>
      <c r="E67" s="101" t="str">
        <v>Infinitum Netflix 200 (Netflix 4 dispositivos)</v>
      </c>
      <c r="F67" s="297" t="str">
        <f>IFERROR(VLOOKUP($E67,'Info planes y paquetes'!$C$595:$K$702,2,FALSE),"")</f>
        <v>Residencial</v>
      </c>
      <c r="G67" s="297" t="str">
        <f>IFERROR(VLOOKUP($E67,'Info planes y paquetes'!$C$593:$K$702,3,FALSE),"")</f>
        <v>Internet fijo</v>
      </c>
      <c r="H67" s="263" t="s">
        <v>172</v>
      </c>
      <c r="I67" s="132"/>
      <c r="J67" s="132"/>
      <c r="K67" s="132"/>
      <c r="L67" s="132"/>
      <c r="M67" s="343">
        <f>IFERROR(VLOOKUP($E67&amp;$F67,'Info planes y paquetes'!$A$595:$L$702,M$18,FALSE),0)/(SUMIFS('Info planes y paquetes'!$H$595:$H$702,'Info planes y paquetes'!$E$595:$E$702,"Telefonía fija + Internet fijo")+SUMIFS('Info planes y paquetes'!$H$595:$H$702,'Info planes y paquetes'!$E$595:$E$702,"Internet fijo"))</f>
        <v>9.517992414801818E-4</v>
      </c>
      <c r="N67" s="343">
        <f>IFERROR(VLOOKUP($E67&amp;$F67,'Info planes y paquetes'!$A$595:$L$702,N$18,FALSE),0)/(SUMIFS('Info planes y paquetes'!$K$595:$K$702,'Info planes y paquetes'!$E$595:$E$702,"Telefonía fija + Internet fijo")+SUMIFS('Info planes y paquetes'!$K$595:$K$702,'Info planes y paquetes'!$E$595:$E$702,"Internet fijo"))</f>
        <v>4.7573396700516886E-4</v>
      </c>
      <c r="O67" s="343"/>
      <c r="R67" s="102" t="s">
        <v>189</v>
      </c>
      <c r="U67" s="262"/>
      <c r="V67" s="57"/>
      <c r="W67" s="567"/>
      <c r="X67" s="568"/>
      <c r="Y67" s="57"/>
    </row>
    <row r="68" spans="3:25" s="44" customFormat="1" ht="12" x14ac:dyDescent="0.25">
      <c r="C68" s="579" t="str">
        <f t="shared" si="2"/>
        <v>Infinitum Netflix 200 (Netflix 2 dispositivos)Residencial</v>
      </c>
      <c r="D68" s="95">
        <f t="shared" si="3"/>
        <v>48</v>
      </c>
      <c r="E68" s="101" t="str">
        <v>Infinitum Netflix 200 (Netflix 2 dispositivos)</v>
      </c>
      <c r="F68" s="297" t="str">
        <f>IFERROR(VLOOKUP($E68,'Info planes y paquetes'!$C$595:$K$702,2,FALSE),"")</f>
        <v>Residencial</v>
      </c>
      <c r="G68" s="297" t="str">
        <f>IFERROR(VLOOKUP($E68,'Info planes y paquetes'!$C$593:$K$702,3,FALSE),"")</f>
        <v>Internet fijo</v>
      </c>
      <c r="H68" s="263" t="s">
        <v>172</v>
      </c>
      <c r="I68" s="132"/>
      <c r="J68" s="132"/>
      <c r="K68" s="132"/>
      <c r="L68" s="132"/>
      <c r="M68" s="343">
        <f>IFERROR(VLOOKUP($E68&amp;$F68,'Info planes y paquetes'!$A$595:$L$702,M$18,FALSE),0)/(SUMIFS('Info planes y paquetes'!$H$595:$H$702,'Info planes y paquetes'!$E$595:$E$702,"Telefonía fija + Internet fijo")+SUMIFS('Info planes y paquetes'!$H$595:$H$702,'Info planes y paquetes'!$E$595:$E$702,"Internet fijo"))</f>
        <v>2.1175819652869657E-4</v>
      </c>
      <c r="N68" s="343">
        <f>IFERROR(VLOOKUP($E68&amp;$F68,'Info planes y paquetes'!$A$595:$L$702,N$18,FALSE),0)/(SUMIFS('Info planes y paquetes'!$K$595:$K$702,'Info planes y paquetes'!$E$595:$E$702,"Telefonía fija + Internet fijo")+SUMIFS('Info planes y paquetes'!$K$595:$K$702,'Info planes y paquetes'!$E$595:$E$702,"Internet fijo"))</f>
        <v>1.3638121947036612E-4</v>
      </c>
      <c r="O68" s="343"/>
      <c r="R68" s="102" t="s">
        <v>189</v>
      </c>
      <c r="U68" s="262"/>
      <c r="V68" s="57"/>
      <c r="W68" s="567"/>
      <c r="X68" s="568"/>
      <c r="Y68" s="57"/>
    </row>
    <row r="69" spans="3:25" s="44" customFormat="1" ht="12" x14ac:dyDescent="0.25">
      <c r="C69" s="579" t="str">
        <f t="shared" si="2"/>
        <v>Infinitum Netflix 500 (Netflix 4 dispositivos)Residencial</v>
      </c>
      <c r="D69" s="95">
        <f t="shared" si="3"/>
        <v>49</v>
      </c>
      <c r="E69" s="101" t="str">
        <v>Infinitum Netflix 500 (Netflix 4 dispositivos)</v>
      </c>
      <c r="F69" s="297" t="str">
        <f>IFERROR(VLOOKUP($E69,'Info planes y paquetes'!$C$595:$K$702,2,FALSE),"")</f>
        <v>Residencial</v>
      </c>
      <c r="G69" s="297" t="str">
        <f>IFERROR(VLOOKUP($E69,'Info planes y paquetes'!$C$593:$K$702,3,FALSE),"")</f>
        <v>Internet fijo</v>
      </c>
      <c r="H69" s="263" t="s">
        <v>172</v>
      </c>
      <c r="I69" s="132"/>
      <c r="J69" s="132"/>
      <c r="K69" s="132"/>
      <c r="L69" s="132"/>
      <c r="M69" s="343">
        <f>IFERROR(VLOOKUP($E69&amp;$F69,'Info planes y paquetes'!$A$595:$L$702,M$18,FALSE),0)/(SUMIFS('Info planes y paquetes'!$H$595:$H$702,'Info planes y paquetes'!$E$595:$E$702,"Telefonía fija + Internet fijo")+SUMIFS('Info planes y paquetes'!$H$595:$H$702,'Info planes y paquetes'!$E$595:$E$702,"Internet fijo"))</f>
        <v>8.0822380179931271E-5</v>
      </c>
      <c r="N69" s="343">
        <f>IFERROR(VLOOKUP($E69&amp;$F69,'Info planes y paquetes'!$A$595:$L$702,N$18,FALSE),0)/(SUMIFS('Info planes y paquetes'!$K$595:$K$702,'Info planes y paquetes'!$E$595:$E$702,"Telefonía fija + Internet fijo")+SUMIFS('Info planes y paquetes'!$K$595:$K$702,'Info planes y paquetes'!$E$595:$E$702,"Internet fijo"))</f>
        <v>5.2987748894614216E-5</v>
      </c>
      <c r="O69" s="343"/>
      <c r="R69" s="102" t="s">
        <v>189</v>
      </c>
      <c r="U69" s="262"/>
      <c r="V69" s="57"/>
      <c r="W69" s="567"/>
      <c r="X69" s="568"/>
      <c r="Y69" s="57"/>
    </row>
    <row r="70" spans="3:25" s="44" customFormat="1" ht="12" x14ac:dyDescent="0.25">
      <c r="C70" s="579" t="str">
        <f t="shared" si="2"/>
        <v>Infinitum Netflix 500 (Netflix 2 dispositivos)Residencial</v>
      </c>
      <c r="D70" s="95">
        <f t="shared" si="3"/>
        <v>50</v>
      </c>
      <c r="E70" s="101" t="str">
        <v>Infinitum Netflix 500 (Netflix 2 dispositivos)</v>
      </c>
      <c r="F70" s="297" t="str">
        <f>IFERROR(VLOOKUP($E70,'Info planes y paquetes'!$C$595:$K$702,2,FALSE),"")</f>
        <v>Residencial</v>
      </c>
      <c r="G70" s="297" t="str">
        <f>IFERROR(VLOOKUP($E70,'Info planes y paquetes'!$C$593:$K$702,3,FALSE),"")</f>
        <v>Internet fijo</v>
      </c>
      <c r="H70" s="263" t="s">
        <v>172</v>
      </c>
      <c r="I70" s="132"/>
      <c r="J70" s="132"/>
      <c r="K70" s="132"/>
      <c r="L70" s="132"/>
      <c r="M70" s="343">
        <f>IFERROR(VLOOKUP($E70&amp;$F70,'Info planes y paquetes'!$A$595:$L$702,M$18,FALSE),0)/(SUMIFS('Info planes y paquetes'!$H$595:$H$702,'Info planes y paquetes'!$E$595:$E$702,"Telefonía fija + Internet fijo")+SUMIFS('Info planes y paquetes'!$H$595:$H$702,'Info planes y paquetes'!$E$595:$E$702,"Internet fijo"))</f>
        <v>1.4597874834260714E-5</v>
      </c>
      <c r="N70" s="343">
        <f>IFERROR(VLOOKUP($E70&amp;$F70,'Info planes y paquetes'!$A$595:$L$702,N$18,FALSE),0)/(SUMIFS('Info planes y paquetes'!$K$595:$K$702,'Info planes y paquetes'!$E$595:$E$702,"Telefonía fija + Internet fijo")+SUMIFS('Info planes y paquetes'!$K$595:$K$702,'Info planes y paquetes'!$E$595:$E$702,"Internet fijo"))</f>
        <v>8.8016562761188041E-6</v>
      </c>
      <c r="O70" s="343"/>
      <c r="R70" s="102" t="s">
        <v>189</v>
      </c>
      <c r="U70" s="262"/>
      <c r="V70" s="57"/>
      <c r="W70" s="567"/>
      <c r="X70" s="568"/>
      <c r="Y70" s="57"/>
    </row>
    <row r="71" spans="3:25" s="262" customFormat="1" ht="12" x14ac:dyDescent="0.25">
      <c r="C71" s="579" t="str">
        <f t="shared" si="2"/>
        <v>Paquete Conectes Negocio Netflix (Netflix 1 dispositivo)No Residencial</v>
      </c>
      <c r="D71" s="95">
        <f t="shared" si="3"/>
        <v>51</v>
      </c>
      <c r="E71" s="101" t="str">
        <v>Paquete Conectes Negocio Netflix (Netflix 1 dispositivo)</v>
      </c>
      <c r="F71" s="297" t="str">
        <f>IFERROR(VLOOKUP($E71,'Info planes y paquetes'!$C$595:$K$702,2,FALSE),"")</f>
        <v>No Residencial</v>
      </c>
      <c r="G71" s="297" t="str">
        <f>IFERROR(VLOOKUP($E71,'Info planes y paquetes'!$C$593:$K$702,3,FALSE),"")</f>
        <v>Telefonía fija + Internet fijo</v>
      </c>
      <c r="H71" s="263" t="s">
        <v>172</v>
      </c>
      <c r="I71" s="132"/>
      <c r="J71" s="132"/>
      <c r="K71" s="132"/>
      <c r="L71" s="132"/>
      <c r="M71" s="343">
        <f>IFERROR(VLOOKUP($E71&amp;$F71,'Info planes y paquetes'!$A$595:$L$702,M$18,FALSE),0)/(SUMIFS('Info planes y paquetes'!$H$595:$H$702,'Info planes y paquetes'!$E$595:$E$702,"Telefonía fija + Internet fijo")+SUMIFS('Info planes y paquetes'!$H$595:$H$702,'Info planes y paquetes'!$E$595:$E$702,"Internet fijo"))</f>
        <v>2.0712960206905294E-4</v>
      </c>
      <c r="N71" s="343">
        <f>IFERROR(VLOOKUP($E71&amp;$F71,'Info planes y paquetes'!$A$595:$L$702,N$18,FALSE),0)/(SUMIFS('Info planes y paquetes'!$K$595:$K$702,'Info planes y paquetes'!$E$595:$E$702,"Telefonía fija + Internet fijo")+SUMIFS('Info planes y paquetes'!$K$595:$K$702,'Info planes y paquetes'!$E$595:$E$702,"Internet fijo"))</f>
        <v>2.2697604518112429E-4</v>
      </c>
      <c r="O71" s="343"/>
      <c r="R71" s="102" t="s">
        <v>189</v>
      </c>
      <c r="V71" s="57"/>
      <c r="W71" s="567"/>
      <c r="X71" s="568"/>
      <c r="Y71" s="57"/>
    </row>
    <row r="72" spans="3:25" s="262" customFormat="1" ht="12" x14ac:dyDescent="0.25">
      <c r="C72" s="579" t="str">
        <f t="shared" si="2"/>
        <v>Paquete Conectes Negocio Netflix (Netflix 2 dispositivos)No Residencial</v>
      </c>
      <c r="D72" s="95">
        <f t="shared" si="3"/>
        <v>52</v>
      </c>
      <c r="E72" s="101" t="str">
        <v>Paquete Conectes Negocio Netflix (Netflix 2 dispositivos)</v>
      </c>
      <c r="F72" s="297" t="str">
        <f>IFERROR(VLOOKUP($E72,'Info planes y paquetes'!$C$595:$K$702,2,FALSE),"")</f>
        <v>No Residencial</v>
      </c>
      <c r="G72" s="297" t="str">
        <f>IFERROR(VLOOKUP($E72,'Info planes y paquetes'!$C$593:$K$702,3,FALSE),"")</f>
        <v>Telefonía fija + Internet fijo</v>
      </c>
      <c r="H72" s="263" t="s">
        <v>172</v>
      </c>
      <c r="I72" s="132"/>
      <c r="J72" s="132"/>
      <c r="K72" s="132"/>
      <c r="L72" s="132"/>
      <c r="M72" s="343">
        <f>IFERROR(VLOOKUP($E72&amp;$F72,'Info planes y paquetes'!$A$595:$L$702,M$18,FALSE),0)/(SUMIFS('Info planes y paquetes'!$H$595:$H$702,'Info planes y paquetes'!$E$595:$E$702,"Telefonía fija + Internet fijo")+SUMIFS('Info planes y paquetes'!$H$595:$H$702,'Info planes y paquetes'!$E$595:$E$702,"Internet fijo"))</f>
        <v>1.1126428989527983E-4</v>
      </c>
      <c r="N72" s="343">
        <f>IFERROR(VLOOKUP($E72&amp;$F72,'Info planes y paquetes'!$A$595:$L$702,N$18,FALSE),0)/(SUMIFS('Info planes y paquetes'!$K$595:$K$702,'Info planes y paquetes'!$E$595:$E$702,"Telefonía fija + Internet fijo")+SUMIFS('Info planes y paquetes'!$K$595:$K$702,'Info planes y paquetes'!$E$595:$E$702,"Internet fijo"))</f>
        <v>1.2589035643418409E-4</v>
      </c>
      <c r="O72" s="343"/>
      <c r="R72" s="102" t="s">
        <v>189</v>
      </c>
      <c r="V72" s="57"/>
      <c r="W72" s="567"/>
      <c r="X72" s="568"/>
      <c r="Y72" s="57"/>
    </row>
    <row r="73" spans="3:25" s="262" customFormat="1" ht="12" x14ac:dyDescent="0.25">
      <c r="C73" s="579" t="str">
        <f t="shared" si="2"/>
        <v>Paquete Conectes Negocio Netflix (Netflix 4 dispositivos)No Residencial</v>
      </c>
      <c r="D73" s="95">
        <f t="shared" si="3"/>
        <v>53</v>
      </c>
      <c r="E73" s="101" t="str">
        <v>Paquete Conectes Negocio Netflix (Netflix 4 dispositivos)</v>
      </c>
      <c r="F73" s="297" t="str">
        <f>IFERROR(VLOOKUP($E73,'Info planes y paquetes'!$C$595:$K$702,2,FALSE),"")</f>
        <v>No Residencial</v>
      </c>
      <c r="G73" s="297" t="str">
        <f>IFERROR(VLOOKUP($E73,'Info planes y paquetes'!$C$593:$K$702,3,FALSE),"")</f>
        <v>Telefonía fija + Internet fijo</v>
      </c>
      <c r="H73" s="263" t="s">
        <v>172</v>
      </c>
      <c r="I73" s="132"/>
      <c r="J73" s="132"/>
      <c r="K73" s="132"/>
      <c r="L73" s="132"/>
      <c r="M73" s="343">
        <f>IFERROR(VLOOKUP($E73&amp;$F73,'Info planes y paquetes'!$A$595:$L$702,M$18,FALSE),0)/(SUMIFS('Info planes y paquetes'!$H$595:$H$702,'Info planes y paquetes'!$E$595:$E$702,"Telefonía fija + Internet fijo")+SUMIFS('Info planes y paquetes'!$H$595:$H$702,'Info planes y paquetes'!$E$595:$E$702,"Internet fijo"))</f>
        <v>6.3198116660518946E-5</v>
      </c>
      <c r="N73" s="343">
        <f>IFERROR(VLOOKUP($E73&amp;$F73,'Info planes y paquetes'!$A$595:$L$702,N$18,FALSE),0)/(SUMIFS('Info planes y paquetes'!$K$595:$K$702,'Info planes y paquetes'!$E$595:$E$702,"Telefonía fija + Internet fijo")+SUMIFS('Info planes y paquetes'!$K$595:$K$702,'Info planes y paquetes'!$E$595:$E$702,"Internet fijo"))</f>
        <v>7.050215582790113E-5</v>
      </c>
      <c r="O73" s="343"/>
      <c r="R73" s="102" t="s">
        <v>189</v>
      </c>
      <c r="V73" s="57"/>
      <c r="W73" s="567"/>
      <c r="X73" s="568"/>
      <c r="Y73" s="57"/>
    </row>
    <row r="74" spans="3:25" s="262" customFormat="1" ht="12" x14ac:dyDescent="0.25">
      <c r="C74" s="579" t="str">
        <f t="shared" si="2"/>
        <v>Paquete Mi Negocio Netflix (Netflix 2 dispositivos)No Residencial</v>
      </c>
      <c r="D74" s="95">
        <f t="shared" si="3"/>
        <v>54</v>
      </c>
      <c r="E74" s="101" t="str">
        <v>Paquete Mi Negocio Netflix (Netflix 2 dispositivos)</v>
      </c>
      <c r="F74" s="297" t="str">
        <f>IFERROR(VLOOKUP($E74,'Info planes y paquetes'!$C$595:$K$702,2,FALSE),"")</f>
        <v>No Residencial</v>
      </c>
      <c r="G74" s="297" t="str">
        <f>IFERROR(VLOOKUP($E74,'Info planes y paquetes'!$C$593:$K$702,3,FALSE),"")</f>
        <v>Telefonía fija + Internet fijo</v>
      </c>
      <c r="H74" s="263" t="s">
        <v>172</v>
      </c>
      <c r="I74" s="132"/>
      <c r="J74" s="132"/>
      <c r="K74" s="132"/>
      <c r="L74" s="132"/>
      <c r="M74" s="343">
        <f>IFERROR(VLOOKUP($E74&amp;$F74,'Info planes y paquetes'!$A$595:$L$702,M$18,FALSE),0)/(SUMIFS('Info planes y paquetes'!$H$595:$H$702,'Info planes y paquetes'!$E$595:$E$702,"Telefonía fija + Internet fijo")+SUMIFS('Info planes y paquetes'!$H$595:$H$702,'Info planes y paquetes'!$E$595:$E$702,"Internet fijo"))</f>
        <v>9.6666415061019123E-5</v>
      </c>
      <c r="N74" s="343">
        <f>IFERROR(VLOOKUP($E74&amp;$F74,'Info planes y paquetes'!$A$595:$L$702,N$18,FALSE),0)/(SUMIFS('Info planes y paquetes'!$K$595:$K$702,'Info planes y paquetes'!$E$595:$E$702,"Telefonía fija + Internet fijo")+SUMIFS('Info planes y paquetes'!$K$595:$K$702,'Info planes y paquetes'!$E$595:$E$702,"Internet fijo"))</f>
        <v>1.2348990472251534E-4</v>
      </c>
      <c r="O74" s="343"/>
      <c r="R74" s="102" t="s">
        <v>189</v>
      </c>
      <c r="V74" s="57"/>
      <c r="W74" s="567"/>
      <c r="X74" s="568"/>
      <c r="Y74" s="57"/>
    </row>
    <row r="75" spans="3:25" s="262" customFormat="1" ht="12" x14ac:dyDescent="0.25">
      <c r="C75" s="579" t="str">
        <f t="shared" si="2"/>
        <v>Paquete Mi Negocio Netflix (Netflix 4 dispositivos)No Residencial</v>
      </c>
      <c r="D75" s="95">
        <f t="shared" si="3"/>
        <v>55</v>
      </c>
      <c r="E75" s="101" t="str">
        <v>Paquete Mi Negocio Netflix (Netflix 4 dispositivos)</v>
      </c>
      <c r="F75" s="297" t="str">
        <f>IFERROR(VLOOKUP($E75,'Info planes y paquetes'!$C$595:$K$702,2,FALSE),"")</f>
        <v>No Residencial</v>
      </c>
      <c r="G75" s="297" t="str">
        <f>IFERROR(VLOOKUP($E75,'Info planes y paquetes'!$C$593:$K$702,3,FALSE),"")</f>
        <v>Telefonía fija + Internet fijo</v>
      </c>
      <c r="H75" s="263" t="s">
        <v>172</v>
      </c>
      <c r="I75" s="132"/>
      <c r="J75" s="132"/>
      <c r="K75" s="132"/>
      <c r="L75" s="132"/>
      <c r="M75" s="343">
        <f>IFERROR(VLOOKUP($E75&amp;$F75,'Info planes y paquetes'!$A$595:$L$702,M$18,FALSE),0)/(SUMIFS('Info planes y paquetes'!$H$595:$H$702,'Info planes y paquetes'!$E$595:$E$702,"Telefonía fija + Internet fijo")+SUMIFS('Info planes y paquetes'!$H$595:$H$702,'Info planes y paquetes'!$E$595:$E$702,"Internet fijo"))</f>
        <v>6.5779448186089432E-5</v>
      </c>
      <c r="N75" s="343">
        <f>IFERROR(VLOOKUP($E75&amp;$F75,'Info planes y paquetes'!$A$595:$L$702,N$18,FALSE),0)/(SUMIFS('Info planes y paquetes'!$K$595:$K$702,'Info planes y paquetes'!$E$595:$E$702,"Telefonía fija + Internet fijo")+SUMIFS('Info planes y paquetes'!$K$595:$K$702,'Info planes y paquetes'!$E$595:$E$702,"Internet fijo"))</f>
        <v>7.423619182383031E-5</v>
      </c>
      <c r="O75" s="343"/>
      <c r="R75" s="102" t="s">
        <v>189</v>
      </c>
      <c r="V75" s="57"/>
      <c r="W75" s="567"/>
      <c r="X75" s="568"/>
      <c r="Y75" s="57"/>
    </row>
    <row r="76" spans="3:25" s="262" customFormat="1" ht="12" x14ac:dyDescent="0.25">
      <c r="C76" s="579" t="str">
        <f t="shared" si="2"/>
        <v>Paquete Supernegocio Netflix (Netflix 2 dispositivos)No Residencial</v>
      </c>
      <c r="D76" s="95">
        <f t="shared" si="3"/>
        <v>56</v>
      </c>
      <c r="E76" s="101" t="str">
        <v>Paquete Supernegocio Netflix (Netflix 2 dispositivos)</v>
      </c>
      <c r="F76" s="297" t="str">
        <f>IFERROR(VLOOKUP($E76,'Info planes y paquetes'!$C$595:$K$702,2,FALSE),"")</f>
        <v>No Residencial</v>
      </c>
      <c r="G76" s="297" t="str">
        <f>IFERROR(VLOOKUP($E76,'Info planes y paquetes'!$C$593:$K$702,3,FALSE),"")</f>
        <v>Telefonía fija + Internet fijo</v>
      </c>
      <c r="H76" s="263" t="s">
        <v>172</v>
      </c>
      <c r="I76" s="132"/>
      <c r="J76" s="132"/>
      <c r="K76" s="132"/>
      <c r="L76" s="132"/>
      <c r="M76" s="343">
        <f>IFERROR(VLOOKUP($E76&amp;$F76,'Info planes y paquetes'!$A$595:$L$702,M$18,FALSE),0)/(SUMIFS('Info planes y paquetes'!$H$595:$H$702,'Info planes y paquetes'!$E$595:$E$702,"Telefonía fija + Internet fijo")+SUMIFS('Info planes y paquetes'!$H$595:$H$702,'Info planes y paquetes'!$E$595:$E$702,"Internet fijo"))</f>
        <v>1.2105554740606446E-4</v>
      </c>
      <c r="N76" s="343">
        <f>IFERROR(VLOOKUP($E76&amp;$F76,'Info planes y paquetes'!$A$595:$L$702,N$18,FALSE),0)/(SUMIFS('Info planes y paquetes'!$K$595:$K$702,'Info planes y paquetes'!$E$595:$E$702,"Telefonía fija + Internet fijo")+SUMIFS('Info planes y paquetes'!$K$595:$K$702,'Info planes y paquetes'!$E$595:$E$702,"Internet fijo"))</f>
        <v>1.1575511587380487E-4</v>
      </c>
      <c r="O76" s="343"/>
      <c r="R76" s="102" t="s">
        <v>189</v>
      </c>
      <c r="V76" s="57"/>
      <c r="W76" s="567"/>
      <c r="X76" s="568"/>
      <c r="Y76" s="57"/>
    </row>
    <row r="77" spans="3:25" s="262" customFormat="1" ht="12" x14ac:dyDescent="0.25">
      <c r="C77" s="579" t="str">
        <f t="shared" si="2"/>
        <v>Paquete Supernegocio Netflix (Netflix 4 dispositivos)No Residencial</v>
      </c>
      <c r="D77" s="95">
        <f t="shared" si="3"/>
        <v>57</v>
      </c>
      <c r="E77" s="101" t="str">
        <v>Paquete Supernegocio Netflix (Netflix 4 dispositivos)</v>
      </c>
      <c r="F77" s="297" t="str">
        <f>IFERROR(VLOOKUP($E77,'Info planes y paquetes'!$C$595:$K$702,2,FALSE),"")</f>
        <v>No Residencial</v>
      </c>
      <c r="G77" s="297" t="str">
        <f>IFERROR(VLOOKUP($E77,'Info planes y paquetes'!$C$593:$K$702,3,FALSE),"")</f>
        <v>Telefonía fija + Internet fijo</v>
      </c>
      <c r="H77" s="263" t="s">
        <v>172</v>
      </c>
      <c r="I77" s="132"/>
      <c r="J77" s="132"/>
      <c r="K77" s="132"/>
      <c r="L77" s="132"/>
      <c r="M77" s="343">
        <f>IFERROR(VLOOKUP($E77&amp;$F77,'Info planes y paquetes'!$A$595:$L$702,M$18,FALSE),0)/(SUMIFS('Info planes y paquetes'!$H$595:$H$702,'Info planes y paquetes'!$E$595:$E$702,"Telefonía fija + Internet fijo")+SUMIFS('Info planes y paquetes'!$H$595:$H$702,'Info planes y paquetes'!$E$595:$E$702,"Internet fijo"))</f>
        <v>1.2150060456564558E-4</v>
      </c>
      <c r="N77" s="343">
        <f>IFERROR(VLOOKUP($E77&amp;$F77,'Info planes y paquetes'!$A$595:$L$702,N$18,FALSE),0)/(SUMIFS('Info planes y paquetes'!$K$595:$K$702,'Info planes y paquetes'!$E$595:$E$702,"Telefonía fija + Internet fijo")+SUMIFS('Info planes y paquetes'!$K$595:$K$702,'Info planes y paquetes'!$E$595:$E$702,"Internet fijo"))</f>
        <v>9.7351652751011009E-5</v>
      </c>
      <c r="O77" s="343"/>
      <c r="R77" s="102" t="s">
        <v>189</v>
      </c>
      <c r="V77" s="57"/>
      <c r="W77" s="567"/>
      <c r="X77" s="568"/>
      <c r="Y77" s="57"/>
    </row>
    <row r="78" spans="3:25" s="262" customFormat="1" ht="12" x14ac:dyDescent="0.25">
      <c r="C78" s="579" t="str">
        <f t="shared" si="2"/>
        <v>Infinitum Netflix Negocio 50 (Netflix 1 dispositivo)No Residencial</v>
      </c>
      <c r="D78" s="95">
        <f t="shared" si="3"/>
        <v>58</v>
      </c>
      <c r="E78" s="101" t="str">
        <v>Infinitum Netflix Negocio 50 (Netflix 1 dispositivo)</v>
      </c>
      <c r="F78" s="297" t="str">
        <f>IFERROR(VLOOKUP($E78,'Info planes y paquetes'!$C$595:$K$702,2,FALSE),"")</f>
        <v>No Residencial</v>
      </c>
      <c r="G78" s="297" t="str">
        <f>IFERROR(VLOOKUP($E78,'Info planes y paquetes'!$C$593:$K$702,3,FALSE),"")</f>
        <v>Internet fijo</v>
      </c>
      <c r="H78" s="263" t="s">
        <v>172</v>
      </c>
      <c r="I78" s="132"/>
      <c r="J78" s="132"/>
      <c r="K78" s="132"/>
      <c r="L78" s="132"/>
      <c r="M78" s="343">
        <f>IFERROR(VLOOKUP($E78&amp;$F78,'Info planes y paquetes'!$A$595:$L$702,M$18,FALSE),0)/(SUMIFS('Info planes y paquetes'!$H$595:$H$702,'Info planes y paquetes'!$E$595:$E$702,"Telefonía fija + Internet fijo")+SUMIFS('Info planes y paquetes'!$H$595:$H$702,'Info planes y paquetes'!$E$595:$E$702,"Internet fijo"))</f>
        <v>3.7562824268646472E-5</v>
      </c>
      <c r="N78" s="343">
        <f>IFERROR(VLOOKUP($E78&amp;$F78,'Info planes y paquetes'!$A$595:$L$702,N$18,FALSE),0)/(SUMIFS('Info planes y paquetes'!$K$595:$K$702,'Info planes y paquetes'!$E$595:$E$702,"Telefonía fija + Internet fijo")+SUMIFS('Info planes y paquetes'!$K$595:$K$702,'Info planes y paquetes'!$E$595:$E$702,"Internet fijo"))</f>
        <v>4.3830470142692632E-5</v>
      </c>
      <c r="O78" s="343"/>
      <c r="R78" s="102" t="s">
        <v>189</v>
      </c>
      <c r="V78" s="57"/>
      <c r="W78" s="567"/>
      <c r="X78" s="568"/>
      <c r="Y78" s="57"/>
    </row>
    <row r="79" spans="3:25" s="262" customFormat="1" ht="12" x14ac:dyDescent="0.25">
      <c r="C79" s="579" t="str">
        <f t="shared" si="2"/>
        <v>Infinitum Netflix Negocio 50 (Netflix 2 dispositivos)No Residencial</v>
      </c>
      <c r="D79" s="95">
        <f t="shared" si="3"/>
        <v>59</v>
      </c>
      <c r="E79" s="101" t="str">
        <v>Infinitum Netflix Negocio 50 (Netflix 2 dispositivos)</v>
      </c>
      <c r="F79" s="297" t="str">
        <f>IFERROR(VLOOKUP($E79,'Info planes y paquetes'!$C$595:$K$702,2,FALSE),"")</f>
        <v>No Residencial</v>
      </c>
      <c r="G79" s="297" t="str">
        <f>IFERROR(VLOOKUP($E79,'Info planes y paquetes'!$C$593:$K$702,3,FALSE),"")</f>
        <v>Internet fijo</v>
      </c>
      <c r="H79" s="263" t="s">
        <v>172</v>
      </c>
      <c r="I79" s="132"/>
      <c r="J79" s="132"/>
      <c r="K79" s="132"/>
      <c r="L79" s="132"/>
      <c r="M79" s="343">
        <f>IFERROR(VLOOKUP($E79&amp;$F79,'Info planes y paquetes'!$A$595:$L$702,M$18,FALSE),0)/(SUMIFS('Info planes y paquetes'!$H$595:$H$702,'Info planes y paquetes'!$E$595:$E$702,"Telefonía fija + Internet fijo")+SUMIFS('Info planes y paquetes'!$H$595:$H$702,'Info planes y paquetes'!$E$595:$E$702,"Internet fijo"))</f>
        <v>1.7001183495998759E-5</v>
      </c>
      <c r="N79" s="343">
        <f>IFERROR(VLOOKUP($E79&amp;$F79,'Info planes y paquetes'!$A$595:$L$702,N$18,FALSE),0)/(SUMIFS('Info planes y paquetes'!$K$595:$K$702,'Info planes y paquetes'!$E$595:$E$702,"Telefonía fija + Internet fijo")+SUMIFS('Info planes y paquetes'!$K$595:$K$702,'Info planes y paquetes'!$E$595:$E$702,"Internet fijo"))</f>
        <v>2.0626103596561236E-5</v>
      </c>
      <c r="O79" s="343"/>
      <c r="R79" s="102" t="s">
        <v>189</v>
      </c>
      <c r="V79" s="57"/>
      <c r="W79" s="567"/>
      <c r="X79" s="568"/>
      <c r="Y79" s="57"/>
    </row>
    <row r="80" spans="3:25" s="262" customFormat="1" ht="12" x14ac:dyDescent="0.25">
      <c r="C80" s="579" t="str">
        <f t="shared" si="2"/>
        <v>Infinitum Netflix Negocio 50 (Netflix 4 dispositivos)No Residencial</v>
      </c>
      <c r="D80" s="95">
        <f t="shared" si="3"/>
        <v>60</v>
      </c>
      <c r="E80" s="101" t="str">
        <v>Infinitum Netflix Negocio 50 (Netflix 4 dispositivos)</v>
      </c>
      <c r="F80" s="297" t="str">
        <f>IFERROR(VLOOKUP($E80,'Info planes y paquetes'!$C$595:$K$702,2,FALSE),"")</f>
        <v>No Residencial</v>
      </c>
      <c r="G80" s="297" t="str">
        <f>IFERROR(VLOOKUP($E80,'Info planes y paquetes'!$C$593:$K$702,3,FALSE),"")</f>
        <v>Internet fijo</v>
      </c>
      <c r="H80" s="263" t="s">
        <v>172</v>
      </c>
      <c r="I80" s="132"/>
      <c r="J80" s="132"/>
      <c r="K80" s="132"/>
      <c r="L80" s="132"/>
      <c r="M80" s="343">
        <f>IFERROR(VLOOKUP($E80&amp;$F80,'Info planes y paquetes'!$A$595:$L$702,M$18,FALSE),0)/(SUMIFS('Info planes y paquetes'!$H$595:$H$702,'Info planes y paquetes'!$E$595:$E$702,"Telefonía fija + Internet fijo")+SUMIFS('Info planes y paquetes'!$H$595:$H$702,'Info planes y paquetes'!$E$595:$E$702,"Internet fijo"))</f>
        <v>7.8330060086277005E-6</v>
      </c>
      <c r="N80" s="343">
        <f>IFERROR(VLOOKUP($E80&amp;$F80,'Info planes y paquetes'!$A$595:$L$702,N$18,FALSE),0)/(SUMIFS('Info planes y paquetes'!$K$595:$K$702,'Info planes y paquetes'!$E$595:$E$702,"Telefonía fija + Internet fijo")+SUMIFS('Info planes y paquetes'!$K$595:$K$702,'Info planes y paquetes'!$E$595:$E$702,"Internet fijo"))</f>
        <v>1.0579768655132704E-5</v>
      </c>
      <c r="O80" s="343"/>
      <c r="R80" s="102" t="s">
        <v>189</v>
      </c>
      <c r="V80" s="57"/>
      <c r="W80" s="567"/>
      <c r="X80" s="568"/>
      <c r="Y80" s="57"/>
    </row>
    <row r="81" spans="3:25" s="262" customFormat="1" ht="12" x14ac:dyDescent="0.25">
      <c r="C81" s="579" t="str">
        <f t="shared" si="2"/>
        <v>Infinitum Netflix Negocio 60 (Netflix 2 dispositivos)No Residencial</v>
      </c>
      <c r="D81" s="95">
        <f t="shared" si="3"/>
        <v>61</v>
      </c>
      <c r="E81" s="101" t="str">
        <v>Infinitum Netflix Negocio 60 (Netflix 2 dispositivos)</v>
      </c>
      <c r="F81" s="297" t="str">
        <f>IFERROR(VLOOKUP($E81,'Info planes y paquetes'!$C$595:$K$702,2,FALSE),"")</f>
        <v>No Residencial</v>
      </c>
      <c r="G81" s="297" t="str">
        <f>IFERROR(VLOOKUP($E81,'Info planes y paquetes'!$C$593:$K$702,3,FALSE),"")</f>
        <v>Internet fijo</v>
      </c>
      <c r="H81" s="263" t="s">
        <v>172</v>
      </c>
      <c r="I81" s="132"/>
      <c r="J81" s="132"/>
      <c r="K81" s="132"/>
      <c r="L81" s="132"/>
      <c r="M81" s="343">
        <f>IFERROR(VLOOKUP($E81&amp;$F81,'Info planes y paquetes'!$A$595:$L$702,M$18,FALSE),0)/(SUMIFS('Info planes y paquetes'!$H$595:$H$702,'Info planes y paquetes'!$E$595:$E$702,"Telefonía fija + Internet fijo")+SUMIFS('Info planes y paquetes'!$H$595:$H$702,'Info planes y paquetes'!$E$595:$E$702,"Internet fijo"))</f>
        <v>1.0681371829946864E-5</v>
      </c>
      <c r="N81" s="343">
        <f>IFERROR(VLOOKUP($E81&amp;$F81,'Info planes y paquetes'!$A$595:$L$702,N$18,FALSE),0)/(SUMIFS('Info planes y paquetes'!$K$595:$K$702,'Info planes y paquetes'!$E$595:$E$702,"Telefonía fija + Internet fijo")+SUMIFS('Info planes y paquetes'!$K$595:$K$702,'Info planes y paquetes'!$E$595:$E$702,"Internet fijo"))</f>
        <v>1.3424748461554943E-5</v>
      </c>
      <c r="O81" s="343"/>
      <c r="R81" s="102" t="s">
        <v>189</v>
      </c>
      <c r="V81" s="57"/>
      <c r="W81" s="567"/>
      <c r="X81" s="568"/>
      <c r="Y81" s="57"/>
    </row>
    <row r="82" spans="3:25" s="262" customFormat="1" ht="12" x14ac:dyDescent="0.25">
      <c r="C82" s="579" t="str">
        <f t="shared" si="2"/>
        <v>Infinitum Netflix Negocio 60 (Netflix 4 dispositivos)No Residencial</v>
      </c>
      <c r="D82" s="95">
        <f t="shared" si="3"/>
        <v>62</v>
      </c>
      <c r="E82" s="101" t="str">
        <v>Infinitum Netflix Negocio 60 (Netflix 4 dispositivos)</v>
      </c>
      <c r="F82" s="297" t="str">
        <f>IFERROR(VLOOKUP($E82,'Info planes y paquetes'!$C$595:$K$702,2,FALSE),"")</f>
        <v>No Residencial</v>
      </c>
      <c r="G82" s="297" t="str">
        <f>IFERROR(VLOOKUP($E82,'Info planes y paquetes'!$C$593:$K$702,3,FALSE),"")</f>
        <v>Internet fijo</v>
      </c>
      <c r="H82" s="263" t="s">
        <v>172</v>
      </c>
      <c r="I82" s="132"/>
      <c r="J82" s="132"/>
      <c r="K82" s="132"/>
      <c r="L82" s="132"/>
      <c r="M82" s="343">
        <f>IFERROR(VLOOKUP($E82&amp;$F82,'Info planes y paquetes'!$A$595:$L$702,M$18,FALSE),0)/(SUMIFS('Info planes y paquetes'!$H$595:$H$702,'Info planes y paquetes'!$E$595:$E$702,"Telefonía fija + Internet fijo")+SUMIFS('Info planes y paquetes'!$H$595:$H$702,'Info planes y paquetes'!$E$595:$E$702,"Internet fijo"))</f>
        <v>3.1154001170678352E-6</v>
      </c>
      <c r="N82" s="343">
        <f>IFERROR(VLOOKUP($E82&amp;$F82,'Info planes y paquetes'!$A$595:$L$702,N$18,FALSE),0)/(SUMIFS('Info planes y paquetes'!$K$595:$K$702,'Info planes y paquetes'!$E$595:$E$702,"Telefonía fija + Internet fijo")+SUMIFS('Info planes y paquetes'!$K$595:$K$702,'Info planes y paquetes'!$E$595:$E$702,"Internet fijo"))</f>
        <v>3.1116966632743244E-6</v>
      </c>
      <c r="O82" s="343"/>
      <c r="R82" s="102" t="s">
        <v>189</v>
      </c>
      <c r="V82" s="57"/>
      <c r="W82" s="567"/>
      <c r="X82" s="568"/>
      <c r="Y82" s="57"/>
    </row>
    <row r="83" spans="3:25" s="262" customFormat="1" ht="12" x14ac:dyDescent="0.25">
      <c r="C83" s="579" t="str">
        <f t="shared" si="2"/>
        <v>Infinitum Netflix Negocio 200 (Netflix 4 dispositivos)No Residencial</v>
      </c>
      <c r="D83" s="95">
        <f t="shared" si="3"/>
        <v>63</v>
      </c>
      <c r="E83" s="101" t="str">
        <v>Infinitum Netflix Negocio 200 (Netflix 4 dispositivos)</v>
      </c>
      <c r="F83" s="297" t="str">
        <f>IFERROR(VLOOKUP($E83,'Info planes y paquetes'!$C$595:$K$702,2,FALSE),"")</f>
        <v>No Residencial</v>
      </c>
      <c r="G83" s="297" t="str">
        <f>IFERROR(VLOOKUP($E83,'Info planes y paquetes'!$C$593:$K$702,3,FALSE),"")</f>
        <v>Internet fijo</v>
      </c>
      <c r="H83" s="263" t="s">
        <v>172</v>
      </c>
      <c r="I83" s="132"/>
      <c r="J83" s="132"/>
      <c r="K83" s="132"/>
      <c r="L83" s="132"/>
      <c r="M83" s="343">
        <f>IFERROR(VLOOKUP($E83&amp;$F83,'Info planes y paquetes'!$A$595:$L$702,M$18,FALSE),0)/(SUMIFS('Info planes y paquetes'!$H$595:$H$702,'Info planes y paquetes'!$E$595:$E$702,"Telefonía fija + Internet fijo")+SUMIFS('Info planes y paquetes'!$H$595:$H$702,'Info planes y paquetes'!$E$595:$E$702,"Internet fijo"))</f>
        <v>1.1126428989527983E-5</v>
      </c>
      <c r="N83" s="343">
        <f>IFERROR(VLOOKUP($E83&amp;$F83,'Info planes y paquetes'!$A$595:$L$702,N$18,FALSE),0)/(SUMIFS('Info planes y paquetes'!$K$595:$K$702,'Info planes y paquetes'!$E$595:$E$702,"Telefonía fija + Internet fijo")+SUMIFS('Info planes y paquetes'!$K$595:$K$702,'Info planes y paquetes'!$E$595:$E$702,"Internet fijo"))</f>
        <v>1.5113955221618147E-5</v>
      </c>
      <c r="O83" s="343"/>
      <c r="R83" s="102" t="s">
        <v>189</v>
      </c>
      <c r="V83" s="57"/>
      <c r="W83" s="567"/>
      <c r="X83" s="568"/>
      <c r="Y83" s="57"/>
    </row>
    <row r="84" spans="3:25" s="262" customFormat="1" ht="12" x14ac:dyDescent="0.25">
      <c r="C84" s="579" t="str">
        <f t="shared" si="2"/>
        <v>Infinitum Netflix Negocio 200 (Netflix 2 dispositivos)No Residencial</v>
      </c>
      <c r="D84" s="95">
        <f t="shared" si="3"/>
        <v>64</v>
      </c>
      <c r="E84" s="101" t="str">
        <v>Infinitum Netflix Negocio 200 (Netflix 2 dispositivos)</v>
      </c>
      <c r="F84" s="297" t="str">
        <f>IFERROR(VLOOKUP($E84,'Info planes y paquetes'!$C$595:$K$702,2,FALSE),"")</f>
        <v>No Residencial</v>
      </c>
      <c r="G84" s="297" t="str">
        <f>IFERROR(VLOOKUP($E84,'Info planes y paquetes'!$C$593:$K$702,3,FALSE),"")</f>
        <v>Internet fijo</v>
      </c>
      <c r="H84" s="263" t="s">
        <v>172</v>
      </c>
      <c r="I84" s="132"/>
      <c r="J84" s="132"/>
      <c r="K84" s="132"/>
      <c r="L84" s="132"/>
      <c r="M84" s="343">
        <f>IFERROR(VLOOKUP($E84&amp;$F84,'Info planes y paquetes'!$A$595:$L$702,M$18,FALSE),0)/(SUMIFS('Info planes y paquetes'!$H$595:$H$702,'Info planes y paquetes'!$E$595:$E$702,"Telefonía fija + Internet fijo")+SUMIFS('Info planes y paquetes'!$H$595:$H$702,'Info planes y paquetes'!$E$595:$E$702,"Internet fijo"))</f>
        <v>5.6967316426383277E-6</v>
      </c>
      <c r="N84" s="343">
        <f>IFERROR(VLOOKUP($E84&amp;$F84,'Info planes y paquetes'!$A$595:$L$702,N$18,FALSE),0)/(SUMIFS('Info planes y paquetes'!$K$595:$K$702,'Info planes y paquetes'!$E$595:$E$702,"Telefonía fija + Internet fijo")+SUMIFS('Info planes y paquetes'!$K$595:$K$702,'Info planes y paquetes'!$E$595:$E$702,"Internet fijo"))</f>
        <v>8.8905618950694995E-6</v>
      </c>
      <c r="O84" s="343"/>
      <c r="R84" s="102" t="s">
        <v>189</v>
      </c>
      <c r="V84" s="57"/>
      <c r="W84" s="567"/>
      <c r="X84" s="568"/>
      <c r="Y84" s="57"/>
    </row>
    <row r="85" spans="3:25" s="262" customFormat="1" ht="12" x14ac:dyDescent="0.25">
      <c r="C85" s="579" t="str">
        <f t="shared" si="2"/>
        <v>Infinitum Netflix Negocio 500 (Netflix 4 dispositivos)No Residencial</v>
      </c>
      <c r="D85" s="95">
        <f t="shared" si="3"/>
        <v>65</v>
      </c>
      <c r="E85" s="101" t="str">
        <v>Infinitum Netflix Negocio 500 (Netflix 4 dispositivos)</v>
      </c>
      <c r="F85" s="297" t="str">
        <f>IFERROR(VLOOKUP($E85,'Info planes y paquetes'!$C$595:$K$702,2,FALSE),"")</f>
        <v>No Residencial</v>
      </c>
      <c r="G85" s="297" t="str">
        <f>IFERROR(VLOOKUP($E85,'Info planes y paquetes'!$C$593:$K$702,3,FALSE),"")</f>
        <v>Internet fijo</v>
      </c>
      <c r="H85" s="263" t="s">
        <v>172</v>
      </c>
      <c r="I85" s="132"/>
      <c r="J85" s="132"/>
      <c r="K85" s="132"/>
      <c r="L85" s="132"/>
      <c r="M85" s="343">
        <f>IFERROR(VLOOKUP($E85&amp;$F85,'Info planes y paquetes'!$A$595:$L$702,M$18,FALSE),0)/(SUMIFS('Info planes y paquetes'!$H$595:$H$702,'Info planes y paquetes'!$E$595:$E$702,"Telefonía fija + Internet fijo")+SUMIFS('Info planes y paquetes'!$H$595:$H$702,'Info planes y paquetes'!$E$595:$E$702,"Internet fijo"))</f>
        <v>8.1000403043763715E-6</v>
      </c>
      <c r="N85" s="343">
        <f>IFERROR(VLOOKUP($E85&amp;$F85,'Info planes y paquetes'!$A$595:$L$702,N$18,FALSE),0)/(SUMIFS('Info planes y paquetes'!$K$595:$K$702,'Info planes y paquetes'!$E$595:$E$702,"Telefonía fija + Internet fijo")+SUMIFS('Info planes y paquetes'!$K$595:$K$702,'Info planes y paquetes'!$E$595:$E$702,"Internet fijo"))</f>
        <v>1.6447539505878574E-5</v>
      </c>
      <c r="O85" s="343"/>
      <c r="R85" s="102" t="s">
        <v>189</v>
      </c>
      <c r="V85" s="57"/>
      <c r="W85" s="567"/>
      <c r="X85" s="568"/>
      <c r="Y85" s="57"/>
    </row>
    <row r="86" spans="3:25" s="262" customFormat="1" ht="12" x14ac:dyDescent="0.25">
      <c r="C86" s="579" t="str">
        <f t="shared" ref="C86:C128" si="4">E86&amp;F86</f>
        <v>Infinitum Netflix Negocio 500 (Netflix 2 dispositivos)No Residencial</v>
      </c>
      <c r="D86" s="95">
        <f t="shared" si="3"/>
        <v>66</v>
      </c>
      <c r="E86" s="101" t="str">
        <v>Infinitum Netflix Negocio 500 (Netflix 2 dispositivos)</v>
      </c>
      <c r="F86" s="297" t="str">
        <f>IFERROR(VLOOKUP($E86,'Info planes y paquetes'!$C$595:$K$702,2,FALSE),"")</f>
        <v>No Residencial</v>
      </c>
      <c r="G86" s="297" t="str">
        <f>IFERROR(VLOOKUP($E86,'Info planes y paquetes'!$C$593:$K$702,3,FALSE),"")</f>
        <v>Internet fijo</v>
      </c>
      <c r="H86" s="263" t="s">
        <v>172</v>
      </c>
      <c r="I86" s="132"/>
      <c r="J86" s="132"/>
      <c r="K86" s="132"/>
      <c r="L86" s="132"/>
      <c r="M86" s="343">
        <f>IFERROR(VLOOKUP($E86&amp;$F86,'Info planes y paquetes'!$A$595:$L$702,M$18,FALSE),0)/(SUMIFS('Info planes y paquetes'!$H$595:$H$702,'Info planes y paquetes'!$E$595:$E$702,"Telefonía fija + Internet fijo")+SUMIFS('Info planes y paquetes'!$H$595:$H$702,'Info planes y paquetes'!$E$595:$E$702,"Internet fijo"))</f>
        <v>3.0263886851516116E-6</v>
      </c>
      <c r="N86" s="343">
        <f>IFERROR(VLOOKUP($E86&amp;$F86,'Info planes y paquetes'!$A$595:$L$702,N$18,FALSE),0)/(SUMIFS('Info planes y paquetes'!$K$595:$K$702,'Info planes y paquetes'!$E$595:$E$702,"Telefonía fija + Internet fijo")+SUMIFS('Info planes y paquetes'!$K$595:$K$702,'Info planes y paquetes'!$E$595:$E$702,"Internet fijo"))</f>
        <v>4.711997804386834E-6</v>
      </c>
      <c r="O86" s="343"/>
      <c r="R86" s="102" t="s">
        <v>189</v>
      </c>
      <c r="V86" s="57"/>
      <c r="W86" s="567"/>
      <c r="X86" s="568"/>
      <c r="Y86" s="57"/>
    </row>
    <row r="87" spans="3:25" s="262" customFormat="1" ht="12" x14ac:dyDescent="0.25">
      <c r="C87" s="579" t="str">
        <f t="shared" si="4"/>
        <v>Paquete Infinitum Entretenimiento 30Residencial</v>
      </c>
      <c r="D87" s="95">
        <f t="shared" ref="D87:D92" si="5">1+D86</f>
        <v>67</v>
      </c>
      <c r="E87" s="101" t="str">
        <v>Paquete Infinitum Entretenimiento 30</v>
      </c>
      <c r="F87" s="297" t="str">
        <f>IFERROR(VLOOKUP($E87,'Info planes y paquetes'!$C$595:$K$702,2,FALSE),"")</f>
        <v>Residencial</v>
      </c>
      <c r="G87" s="297" t="str">
        <f>IFERROR(VLOOKUP($E87,'Info planes y paquetes'!$C$593:$K$702,3,FALSE),"")</f>
        <v>Telefonía fija + Internet fijo</v>
      </c>
      <c r="H87" s="263" t="s">
        <v>172</v>
      </c>
      <c r="I87" s="132"/>
      <c r="J87" s="132"/>
      <c r="K87" s="132"/>
      <c r="L87" s="132"/>
      <c r="M87" s="343">
        <f>IFERROR(VLOOKUP($E87&amp;$F87,'Info planes y paquetes'!$A$595:$L$702,M$18,FALSE),0)/(SUMIFS('Info planes y paquetes'!$H$595:$H$702,'Info planes y paquetes'!$E$595:$E$702,"Telefonía fija + Internet fijo")+SUMIFS('Info planes y paquetes'!$H$595:$H$702,'Info planes y paquetes'!$E$595:$E$702,"Internet fijo"))</f>
        <v>5.2480250143486428E-3</v>
      </c>
      <c r="N87" s="343">
        <f>IFERROR(VLOOKUP($E87&amp;$F87,'Info planes y paquetes'!$A$595:$L$702,N$18,FALSE),0)/(SUMIFS('Info planes y paquetes'!$K$595:$K$702,'Info planes y paquetes'!$E$595:$E$702,"Telefonía fija + Internet fijo")+SUMIFS('Info planes y paquetes'!$K$595:$K$702,'Info planes y paquetes'!$E$595:$E$702,"Internet fijo"))</f>
        <v>4.5723982015104532E-2</v>
      </c>
      <c r="O87" s="343"/>
      <c r="R87" s="102" t="s">
        <v>189</v>
      </c>
      <c r="V87" s="57"/>
      <c r="W87" s="567"/>
      <c r="X87" s="568"/>
      <c r="Y87" s="57"/>
    </row>
    <row r="88" spans="3:25" s="262" customFormat="1" ht="12" x14ac:dyDescent="0.25">
      <c r="C88" s="579" t="str">
        <f t="shared" si="4"/>
        <v>Paquete Infinitum  Entretenimiento 40Residencial</v>
      </c>
      <c r="D88" s="95">
        <f t="shared" si="5"/>
        <v>68</v>
      </c>
      <c r="E88" s="101" t="str">
        <v>Paquete Infinitum  Entretenimiento 40</v>
      </c>
      <c r="F88" s="297" t="str">
        <f>IFERROR(VLOOKUP($E88,'Info planes y paquetes'!$C$595:$K$702,2,FALSE),"")</f>
        <v>Residencial</v>
      </c>
      <c r="G88" s="297" t="str">
        <f>IFERROR(VLOOKUP($E88,'Info planes y paquetes'!$C$593:$K$702,3,FALSE),"")</f>
        <v>Telefonía fija + Internet fijo</v>
      </c>
      <c r="H88" s="263" t="s">
        <v>172</v>
      </c>
      <c r="I88" s="132"/>
      <c r="J88" s="132"/>
      <c r="K88" s="132"/>
      <c r="L88" s="132"/>
      <c r="M88" s="343">
        <f>IFERROR(VLOOKUP($E88&amp;$F88,'Info planes y paquetes'!$A$595:$L$702,M$18,FALSE),0)/(SUMIFS('Info planes y paquetes'!$H$595:$H$702,'Info planes y paquetes'!$E$595:$E$702,"Telefonía fija + Internet fijo")+SUMIFS('Info planes y paquetes'!$H$595:$H$702,'Info planes y paquetes'!$E$595:$E$702,"Internet fijo"))</f>
        <v>9.3399695509693696E-4</v>
      </c>
      <c r="N88" s="343">
        <f>IFERROR(VLOOKUP($E88&amp;$F88,'Info planes y paquetes'!$A$595:$L$702,N$18,FALSE),0)/(SUMIFS('Info planes y paquetes'!$K$595:$K$702,'Info planes y paquetes'!$E$595:$E$702,"Telefonía fija + Internet fijo")+SUMIFS('Info planes y paquetes'!$K$595:$K$702,'Info planes y paquetes'!$E$595:$E$702,"Internet fijo"))</f>
        <v>3.5897421763722115E-3</v>
      </c>
      <c r="O88" s="343"/>
      <c r="R88" s="102" t="s">
        <v>189</v>
      </c>
      <c r="V88" s="57"/>
      <c r="W88" s="567"/>
      <c r="X88" s="568"/>
      <c r="Y88" s="57"/>
    </row>
    <row r="89" spans="3:25" s="262" customFormat="1" ht="12" x14ac:dyDescent="0.25">
      <c r="C89" s="579" t="str">
        <f t="shared" si="4"/>
        <v>Paquete Infinitum Entretenimiento 50Residencial</v>
      </c>
      <c r="D89" s="95">
        <f t="shared" si="5"/>
        <v>69</v>
      </c>
      <c r="E89" s="101" t="str">
        <v>Paquete Infinitum Entretenimiento 50</v>
      </c>
      <c r="F89" s="297" t="str">
        <f>IFERROR(VLOOKUP($E89,'Info planes y paquetes'!$C$595:$K$702,2,FALSE),"")</f>
        <v>Residencial</v>
      </c>
      <c r="G89" s="297" t="str">
        <f>IFERROR(VLOOKUP($E89,'Info planes y paquetes'!$C$593:$K$702,3,FALSE),"")</f>
        <v>Telefonía fija + Internet fijo</v>
      </c>
      <c r="H89" s="263" t="s">
        <v>172</v>
      </c>
      <c r="I89" s="132"/>
      <c r="J89" s="132"/>
      <c r="K89" s="132"/>
      <c r="L89" s="132"/>
      <c r="M89" s="343">
        <f>IFERROR(VLOOKUP($E89&amp;$F89,'Info planes y paquetes'!$A$595:$L$702,M$18,FALSE),0)/(SUMIFS('Info planes y paquetes'!$H$595:$H$702,'Info planes y paquetes'!$E$595:$E$702,"Telefonía fija + Internet fijo")+SUMIFS('Info planes y paquetes'!$H$595:$H$702,'Info planes y paquetes'!$E$595:$E$702,"Internet fijo"))</f>
        <v>5.3754003734207592E-4</v>
      </c>
      <c r="N89" s="343">
        <f>IFERROR(VLOOKUP($E89&amp;$F89,'Info planes y paquetes'!$A$595:$L$702,N$18,FALSE),0)/(SUMIFS('Info planes y paquetes'!$K$595:$K$702,'Info planes y paquetes'!$E$595:$E$702,"Telefonía fija + Internet fijo")+SUMIFS('Info planes y paquetes'!$K$595:$K$702,'Info planes y paquetes'!$E$595:$E$702,"Internet fijo"))</f>
        <v>2.120221200736174E-3</v>
      </c>
      <c r="O89" s="343"/>
      <c r="R89" s="102" t="s">
        <v>189</v>
      </c>
      <c r="V89" s="57"/>
      <c r="W89" s="567"/>
      <c r="X89" s="568"/>
      <c r="Y89" s="57"/>
    </row>
    <row r="90" spans="3:25" s="262" customFormat="1" ht="12" x14ac:dyDescent="0.25">
      <c r="C90" s="579" t="str">
        <f t="shared" si="4"/>
        <v>Paquete Infinitum Entretenimiento 250Residencial</v>
      </c>
      <c r="D90" s="95">
        <f t="shared" si="5"/>
        <v>70</v>
      </c>
      <c r="E90" s="101" t="str">
        <v>Paquete Infinitum Entretenimiento 250</v>
      </c>
      <c r="F90" s="297" t="str">
        <f>IFERROR(VLOOKUP($E90,'Info planes y paquetes'!$C$595:$K$702,2,FALSE),"")</f>
        <v>Residencial</v>
      </c>
      <c r="G90" s="297" t="str">
        <f>IFERROR(VLOOKUP($E90,'Info planes y paquetes'!$C$593:$K$702,3,FALSE),"")</f>
        <v>Telefonía fija + Internet fijo</v>
      </c>
      <c r="H90" s="263" t="s">
        <v>172</v>
      </c>
      <c r="I90" s="132"/>
      <c r="J90" s="132"/>
      <c r="K90" s="132"/>
      <c r="L90" s="132"/>
      <c r="M90" s="343">
        <f>IFERROR(VLOOKUP($E90&amp;$F90,'Info planes y paquetes'!$A$595:$L$702,M$18,FALSE),0)/(SUMIFS('Info planes y paquetes'!$H$595:$H$702,'Info planes y paquetes'!$E$595:$E$702,"Telefonía fija + Internet fijo")+SUMIFS('Info planes y paquetes'!$H$595:$H$702,'Info planes y paquetes'!$E$595:$E$702,"Internet fijo"))</f>
        <v>1.3970344239251336E-3</v>
      </c>
      <c r="N90" s="343">
        <f>IFERROR(VLOOKUP($E90&amp;$F90,'Info planes y paquetes'!$A$595:$L$702,N$18,FALSE),0)/(SUMIFS('Info planes y paquetes'!$K$595:$K$702,'Info planes y paquetes'!$E$595:$E$702,"Telefonía fija + Internet fijo")+SUMIFS('Info planes y paquetes'!$K$595:$K$702,'Info planes y paquetes'!$E$595:$E$702,"Internet fijo"))</f>
        <v>6.9598874739362068E-3</v>
      </c>
      <c r="O90" s="343"/>
      <c r="R90" s="102" t="s">
        <v>189</v>
      </c>
      <c r="V90" s="57"/>
      <c r="W90" s="567"/>
      <c r="X90" s="568"/>
      <c r="Y90" s="57"/>
    </row>
    <row r="91" spans="3:25" s="262" customFormat="1" ht="12" x14ac:dyDescent="0.25">
      <c r="C91" s="579" t="str">
        <f t="shared" si="4"/>
        <v>Paquete Infinitum Entretenimiento 500Residencial</v>
      </c>
      <c r="D91" s="95">
        <f t="shared" si="5"/>
        <v>71</v>
      </c>
      <c r="E91" s="101" t="str">
        <v>Paquete Infinitum Entretenimiento 500</v>
      </c>
      <c r="F91" s="297" t="str">
        <f>IFERROR(VLOOKUP($E91,'Info planes y paquetes'!$C$595:$K$702,2,FALSE),"")</f>
        <v>Residencial</v>
      </c>
      <c r="G91" s="297" t="str">
        <f>IFERROR(VLOOKUP($E91,'Info planes y paquetes'!$C$593:$K$702,3,FALSE),"")</f>
        <v>Telefonía fija + Internet fijo</v>
      </c>
      <c r="H91" s="263" t="s">
        <v>172</v>
      </c>
      <c r="I91" s="132"/>
      <c r="J91" s="132"/>
      <c r="K91" s="132"/>
      <c r="L91" s="132"/>
      <c r="M91" s="343">
        <f>IFERROR(VLOOKUP($E91&amp;$F91,'Info planes y paquetes'!$A$595:$L$702,M$18,FALSE),0)/(SUMIFS('Info planes y paquetes'!$H$595:$H$702,'Info planes y paquetes'!$E$595:$E$702,"Telefonía fija + Internet fijo")+SUMIFS('Info planes y paquetes'!$H$595:$H$702,'Info planes y paquetes'!$E$595:$E$702,"Internet fijo"))</f>
        <v>2.3000554007152247E-4</v>
      </c>
      <c r="N91" s="343">
        <f>IFERROR(VLOOKUP($E91&amp;$F91,'Info planes y paquetes'!$A$595:$L$702,N$18,FALSE),0)/(SUMIFS('Info planes y paquetes'!$K$595:$K$702,'Info planes y paquetes'!$E$595:$E$702,"Telefonía fija + Internet fijo")+SUMIFS('Info planes y paquetes'!$K$595:$K$702,'Info planes y paquetes'!$E$595:$E$702,"Internet fijo"))</f>
        <v>8.0948566054607788E-4</v>
      </c>
      <c r="O91" s="343"/>
      <c r="R91" s="102" t="s">
        <v>189</v>
      </c>
      <c r="V91" s="57"/>
      <c r="W91" s="567"/>
      <c r="X91" s="568"/>
      <c r="Y91" s="57"/>
    </row>
    <row r="92" spans="3:25" s="262" customFormat="1" ht="12" x14ac:dyDescent="0.25">
      <c r="C92" s="579" t="str">
        <f t="shared" si="4"/>
        <v>Infinitum Entretenimiento 30Residencial</v>
      </c>
      <c r="D92" s="95">
        <f t="shared" si="5"/>
        <v>72</v>
      </c>
      <c r="E92" s="101" t="str">
        <v>Infinitum Entretenimiento 30</v>
      </c>
      <c r="F92" s="297" t="str">
        <f>IFERROR(VLOOKUP($E92,'Info planes y paquetes'!$C$595:$K$702,2,FALSE),"")</f>
        <v>Residencial</v>
      </c>
      <c r="G92" s="297" t="str">
        <f>IFERROR(VLOOKUP($E92,'Info planes y paquetes'!$C$593:$K$702,3,FALSE),"")</f>
        <v>Internet fijo</v>
      </c>
      <c r="H92" s="263" t="s">
        <v>172</v>
      </c>
      <c r="I92" s="132"/>
      <c r="J92" s="132"/>
      <c r="K92" s="132"/>
      <c r="L92" s="132"/>
      <c r="M92" s="343">
        <f>IFERROR(VLOOKUP($E92&amp;$F92,'Info planes y paquetes'!$A$595:$L$702,M$18,FALSE),0)/(SUMIFS('Info planes y paquetes'!$H$595:$H$702,'Info planes y paquetes'!$E$595:$E$702,"Telefonía fija + Internet fijo")+SUMIFS('Info planes y paquetes'!$H$595:$H$702,'Info planes y paquetes'!$E$595:$E$702,"Internet fijo"))</f>
        <v>1.1997850907987816E-3</v>
      </c>
      <c r="N92" s="343">
        <f>IFERROR(VLOOKUP($E92&amp;$F92,'Info planes y paquetes'!$A$595:$L$702,N$18,FALSE),0)/(SUMIFS('Info planes y paquetes'!$K$595:$K$702,'Info planes y paquetes'!$E$595:$E$702,"Telefonía fija + Internet fijo")+SUMIFS('Info planes y paquetes'!$K$595:$K$702,'Info planes y paquetes'!$E$595:$E$702,"Internet fijo"))</f>
        <v>8.3673523275446596E-3</v>
      </c>
      <c r="O92" s="343"/>
      <c r="R92" s="102" t="s">
        <v>189</v>
      </c>
      <c r="V92" s="57"/>
      <c r="W92" s="567"/>
      <c r="X92" s="568"/>
      <c r="Y92" s="57"/>
    </row>
    <row r="93" spans="3:25" s="262" customFormat="1" ht="12" x14ac:dyDescent="0.25">
      <c r="C93" s="579" t="str">
        <f t="shared" si="4"/>
        <v>Infinitum Entretenimiento 40Residencial</v>
      </c>
      <c r="D93" s="95">
        <f>1+D92</f>
        <v>73</v>
      </c>
      <c r="E93" s="101" t="str">
        <v>Infinitum Entretenimiento 40</v>
      </c>
      <c r="F93" s="297" t="str">
        <f>IFERROR(VLOOKUP($E93,'Info planes y paquetes'!$C$595:$K$702,2,FALSE),"")</f>
        <v>Residencial</v>
      </c>
      <c r="G93" s="297" t="str">
        <f>IFERROR(VLOOKUP($E93,'Info planes y paquetes'!$C$593:$K$702,3,FALSE),"")</f>
        <v>Internet fijo</v>
      </c>
      <c r="H93" s="263" t="s">
        <v>172</v>
      </c>
      <c r="I93" s="132"/>
      <c r="J93" s="132"/>
      <c r="K93" s="132"/>
      <c r="L93" s="132"/>
      <c r="M93" s="343">
        <f>IFERROR(VLOOKUP($E93&amp;$F93,'Info planes y paquetes'!$A$595:$L$702,M$18,FALSE),0)/(SUMIFS('Info planes y paquetes'!$H$595:$H$702,'Info planes y paquetes'!$E$595:$E$702,"Telefonía fija + Internet fijo")+SUMIFS('Info planes y paquetes'!$H$595:$H$702,'Info planes y paquetes'!$E$595:$E$702,"Internet fijo"))</f>
        <v>5.1252782497361702E-4</v>
      </c>
      <c r="N93" s="343">
        <f>IFERROR(VLOOKUP($E93&amp;$F93,'Info planes y paquetes'!$A$595:$L$702,N$18,FALSE),0)/(SUMIFS('Info planes y paquetes'!$K$595:$K$702,'Info planes y paquetes'!$E$595:$E$702,"Telefonía fija + Internet fijo")+SUMIFS('Info planes y paquetes'!$K$595:$K$702,'Info planes y paquetes'!$E$595:$E$702,"Internet fijo"))</f>
        <v>2.6777483371759822E-3</v>
      </c>
      <c r="O93" s="343"/>
      <c r="R93" s="102" t="s">
        <v>189</v>
      </c>
      <c r="V93" s="57"/>
      <c r="W93" s="567"/>
      <c r="X93" s="568"/>
      <c r="Y93" s="57"/>
    </row>
    <row r="94" spans="3:25" s="262" customFormat="1" ht="12" x14ac:dyDescent="0.25">
      <c r="C94" s="579" t="str">
        <f t="shared" si="4"/>
        <v>Infinitum Entretenimiento 200Residencial</v>
      </c>
      <c r="D94" s="95">
        <f>1+D93</f>
        <v>74</v>
      </c>
      <c r="E94" s="101" t="str">
        <v>Infinitum Entretenimiento 200</v>
      </c>
      <c r="F94" s="297" t="str">
        <f>IFERROR(VLOOKUP($E94,'Info planes y paquetes'!$C$595:$K$702,2,FALSE),"")</f>
        <v>Residencial</v>
      </c>
      <c r="G94" s="297" t="str">
        <f>IFERROR(VLOOKUP($E94,'Info planes y paquetes'!$C$593:$K$702,3,FALSE),"")</f>
        <v>Internet fijo</v>
      </c>
      <c r="H94" s="263" t="s">
        <v>172</v>
      </c>
      <c r="I94" s="132"/>
      <c r="J94" s="132"/>
      <c r="K94" s="132"/>
      <c r="L94" s="132"/>
      <c r="M94" s="343">
        <f>IFERROR(VLOOKUP($E94&amp;$F94,'Info planes y paquetes'!$A$595:$L$702,M$18,FALSE),0)/(SUMIFS('Info planes y paquetes'!$H$595:$H$702,'Info planes y paquetes'!$E$595:$E$702,"Telefonía fija + Internet fijo")+SUMIFS('Info planes y paquetes'!$H$595:$H$702,'Info planes y paquetes'!$E$595:$E$702,"Internet fijo"))</f>
        <v>3.5471055618615209E-4</v>
      </c>
      <c r="N94" s="343">
        <f>IFERROR(VLOOKUP($E94&amp;$F94,'Info planes y paquetes'!$A$595:$L$702,N$18,FALSE),0)/(SUMIFS('Info planes y paquetes'!$K$595:$K$702,'Info planes y paquetes'!$E$595:$E$702,"Telefonía fija + Internet fijo")+SUMIFS('Info planes y paquetes'!$K$595:$K$702,'Info planes y paquetes'!$E$595:$E$702,"Internet fijo"))</f>
        <v>1.8315446560032674E-3</v>
      </c>
      <c r="O94" s="343"/>
      <c r="R94" s="102" t="s">
        <v>189</v>
      </c>
      <c r="V94" s="57"/>
      <c r="W94" s="567"/>
      <c r="X94" s="568"/>
      <c r="Y94" s="57"/>
    </row>
    <row r="95" spans="3:25" s="262" customFormat="1" ht="12" x14ac:dyDescent="0.25">
      <c r="C95" s="579" t="str">
        <f t="shared" si="4"/>
        <v>Infinitum Entretenimiento 500Residencial</v>
      </c>
      <c r="D95" s="297">
        <f t="shared" ref="D95:D141" si="6">1+D94</f>
        <v>75</v>
      </c>
      <c r="E95" s="101" t="str">
        <v>Infinitum Entretenimiento 500</v>
      </c>
      <c r="F95" s="297" t="str">
        <f>IFERROR(VLOOKUP($E95,'Info planes y paquetes'!$C$595:$K$702,2,FALSE),"")</f>
        <v>Residencial</v>
      </c>
      <c r="G95" s="297" t="str">
        <f>IFERROR(VLOOKUP($E95,'Info planes y paquetes'!$C$593:$K$702,3,FALSE),"")</f>
        <v>Internet fijo</v>
      </c>
      <c r="H95" s="263" t="s">
        <v>172</v>
      </c>
      <c r="I95" s="132"/>
      <c r="J95" s="132"/>
      <c r="K95" s="132"/>
      <c r="L95" s="132"/>
      <c r="M95" s="343">
        <f>IFERROR(VLOOKUP($E95&amp;$F95,'Info planes y paquetes'!$A$595:$L$702,M$18,FALSE),0)/(SUMIFS('Info planes y paquetes'!$H$595:$H$702,'Info planes y paquetes'!$E$595:$E$702,"Telefonía fija + Internet fijo")+SUMIFS('Info planes y paquetes'!$H$595:$H$702,'Info planes y paquetes'!$E$595:$E$702,"Internet fijo"))</f>
        <v>8.5272951775742468E-5</v>
      </c>
      <c r="N95" s="343">
        <f>IFERROR(VLOOKUP($E95&amp;$F95,'Info planes y paquetes'!$A$595:$L$702,N$18,FALSE),0)/(SUMIFS('Info planes y paquetes'!$K$595:$K$702,'Info planes y paquetes'!$E$595:$E$702,"Telefonía fija + Internet fijo")+SUMIFS('Info planes y paquetes'!$K$595:$K$702,'Info planes y paquetes'!$E$595:$E$702,"Internet fijo"))</f>
        <v>2.1008397758049227E-4</v>
      </c>
      <c r="O95" s="343"/>
      <c r="R95" s="102" t="s">
        <v>189</v>
      </c>
      <c r="V95" s="57"/>
      <c r="W95" s="567"/>
      <c r="X95" s="568"/>
      <c r="Y95" s="57"/>
    </row>
    <row r="96" spans="3:25" s="262" customFormat="1" ht="12" x14ac:dyDescent="0.25">
      <c r="C96" s="579" t="str">
        <f t="shared" si="4"/>
        <v>Paquete infinitum Entretenimiento+ 30  (Netflix 1 dispositivo)Residencial</v>
      </c>
      <c r="D96" s="297">
        <f t="shared" si="6"/>
        <v>76</v>
      </c>
      <c r="E96" s="101" t="str">
        <v>Paquete infinitum Entretenimiento+ 30  (Netflix 1 dispositivo)</v>
      </c>
      <c r="F96" s="297" t="str">
        <f>IFERROR(VLOOKUP($E96,'Info planes y paquetes'!$C$595:$K$702,2,FALSE),"")</f>
        <v>Residencial</v>
      </c>
      <c r="G96" s="297" t="str">
        <f>IFERROR(VLOOKUP($E96,'Info planes y paquetes'!$C$593:$K$702,3,FALSE),"")</f>
        <v>Telefonía fija + Internet fijo</v>
      </c>
      <c r="H96" s="263" t="s">
        <v>172</v>
      </c>
      <c r="I96" s="132"/>
      <c r="J96" s="132"/>
      <c r="K96" s="132"/>
      <c r="L96" s="132"/>
      <c r="M96" s="343">
        <f>IFERROR(VLOOKUP($E96&amp;$F96,'Info planes y paquetes'!$A$595:$L$702,M$18,FALSE),0)/(SUMIFS('Info planes y paquetes'!$H$595:$H$702,'Info planes y paquetes'!$E$595:$E$702,"Telefonía fija + Internet fijo")+SUMIFS('Info planes y paquetes'!$H$595:$H$702,'Info planes y paquetes'!$E$595:$E$702,"Internet fijo"))</f>
        <v>7.536597940346675E-4</v>
      </c>
      <c r="N96" s="343">
        <f>IFERROR(VLOOKUP($E96&amp;$F96,'Info planes y paquetes'!$A$595:$L$702,N$18,FALSE),0)/(SUMIFS('Info planes y paquetes'!$K$595:$K$702,'Info planes y paquetes'!$E$595:$E$702,"Telefonía fija + Internet fijo")+SUMIFS('Info planes y paquetes'!$K$595:$K$702,'Info planes y paquetes'!$E$595:$E$702,"Internet fijo"))</f>
        <v>2.708776398189775E-3</v>
      </c>
      <c r="O96" s="343"/>
      <c r="R96" s="102" t="s">
        <v>189</v>
      </c>
      <c r="V96" s="57"/>
      <c r="W96" s="567"/>
      <c r="X96" s="568"/>
      <c r="Y96" s="57"/>
    </row>
    <row r="97" spans="3:25" s="262" customFormat="1" ht="12" x14ac:dyDescent="0.25">
      <c r="C97" s="579" t="str">
        <f t="shared" si="4"/>
        <v>Paquete infinitum Entretenimiento+ 30  (Netflix 2 dispositivos)Residencial</v>
      </c>
      <c r="D97" s="297">
        <f t="shared" si="6"/>
        <v>77</v>
      </c>
      <c r="E97" s="101" t="str">
        <v>Paquete infinitum Entretenimiento+ 30  (Netflix 2 dispositivos)</v>
      </c>
      <c r="F97" s="297" t="str">
        <f>IFERROR(VLOOKUP($E97,'Info planes y paquetes'!$C$595:$K$702,2,FALSE),"")</f>
        <v>Residencial</v>
      </c>
      <c r="G97" s="297" t="str">
        <f>IFERROR(VLOOKUP($E97,'Info planes y paquetes'!$C$593:$K$702,3,FALSE),"")</f>
        <v>Telefonía fija + Internet fijo</v>
      </c>
      <c r="H97" s="263" t="s">
        <v>172</v>
      </c>
      <c r="I97" s="132"/>
      <c r="J97" s="132"/>
      <c r="K97" s="132"/>
      <c r="L97" s="132"/>
      <c r="M97" s="343">
        <f>IFERROR(VLOOKUP($E97&amp;$F97,'Info planes y paquetes'!$A$595:$L$702,M$18,FALSE),0)/(SUMIFS('Info planes y paquetes'!$H$595:$H$702,'Info planes y paquetes'!$E$595:$E$702,"Telefonía fija + Internet fijo")+SUMIFS('Info planes y paquetes'!$H$595:$H$702,'Info planes y paquetes'!$E$595:$E$702,"Internet fijo"))</f>
        <v>7.5570705696874059E-4</v>
      </c>
      <c r="N97" s="343">
        <f>IFERROR(VLOOKUP($E97&amp;$F97,'Info planes y paquetes'!$A$595:$L$702,N$18,FALSE),0)/(SUMIFS('Info planes y paquetes'!$K$595:$K$702,'Info planes y paquetes'!$E$595:$E$702,"Telefonía fija + Internet fijo")+SUMIFS('Info planes y paquetes'!$K$595:$K$702,'Info planes y paquetes'!$E$595:$E$702,"Internet fijo"))</f>
        <v>3.4953244090465733E-3</v>
      </c>
      <c r="O97" s="343"/>
      <c r="R97" s="102" t="s">
        <v>189</v>
      </c>
      <c r="V97" s="57"/>
      <c r="W97" s="567"/>
      <c r="X97" s="568"/>
      <c r="Y97" s="57"/>
    </row>
    <row r="98" spans="3:25" s="262" customFormat="1" ht="12" x14ac:dyDescent="0.25">
      <c r="C98" s="579" t="str">
        <f t="shared" si="4"/>
        <v>Paquete infinitum Entretenimiento+ 30  (Netflix 4 dispositivos)Residencial</v>
      </c>
      <c r="D98" s="297">
        <f t="shared" si="6"/>
        <v>78</v>
      </c>
      <c r="E98" s="101" t="str">
        <v>Paquete infinitum Entretenimiento+ 30  (Netflix 4 dispositivos)</v>
      </c>
      <c r="F98" s="297" t="str">
        <f>IFERROR(VLOOKUP($E98,'Info planes y paquetes'!$C$595:$K$702,2,FALSE),"")</f>
        <v>Residencial</v>
      </c>
      <c r="G98" s="297" t="str">
        <f>IFERROR(VLOOKUP($E98,'Info planes y paquetes'!$C$593:$K$702,3,FALSE),"")</f>
        <v>Telefonía fija + Internet fijo</v>
      </c>
      <c r="H98" s="263" t="s">
        <v>172</v>
      </c>
      <c r="I98" s="132"/>
      <c r="J98" s="132"/>
      <c r="K98" s="132"/>
      <c r="L98" s="132"/>
      <c r="M98" s="343">
        <f>IFERROR(VLOOKUP($E98&amp;$F98,'Info planes y paquetes'!$A$595:$L$702,M$18,FALSE),0)/(SUMIFS('Info planes y paquetes'!$H$595:$H$702,'Info planes y paquetes'!$E$595:$E$702,"Telefonía fija + Internet fijo")+SUMIFS('Info planes y paquetes'!$H$595:$H$702,'Info planes y paquetes'!$E$595:$E$702,"Internet fijo"))</f>
        <v>5.3059714565261047E-4</v>
      </c>
      <c r="N98" s="343">
        <f>IFERROR(VLOOKUP($E98&amp;$F98,'Info planes y paquetes'!$A$595:$L$702,N$18,FALSE),0)/(SUMIFS('Info planes y paquetes'!$K$595:$K$702,'Info planes y paquetes'!$E$595:$E$702,"Telefonía fija + Internet fijo")+SUMIFS('Info planes y paquetes'!$K$595:$K$702,'Info planes y paquetes'!$E$595:$E$702,"Internet fijo"))</f>
        <v>2.7996379407573854E-3</v>
      </c>
      <c r="O98" s="343"/>
      <c r="R98" s="102" t="s">
        <v>189</v>
      </c>
      <c r="V98" s="57"/>
      <c r="W98" s="567"/>
      <c r="X98" s="568"/>
      <c r="Y98" s="57"/>
    </row>
    <row r="99" spans="3:25" s="262" customFormat="1" ht="12" x14ac:dyDescent="0.25">
      <c r="C99" s="579" t="str">
        <f t="shared" si="4"/>
        <v>Paquete Infinitum Entretenimiento+ 70   (Netflix 2 dispositivos)Residencial</v>
      </c>
      <c r="D99" s="297">
        <f t="shared" si="6"/>
        <v>79</v>
      </c>
      <c r="E99" s="101" t="str">
        <v>Paquete Infinitum Entretenimiento+ 70   (Netflix 2 dispositivos)</v>
      </c>
      <c r="F99" s="297" t="str">
        <f>IFERROR(VLOOKUP($E99,'Info planes y paquetes'!$C$595:$K$702,2,FALSE),"")</f>
        <v>Residencial</v>
      </c>
      <c r="G99" s="297" t="str">
        <f>IFERROR(VLOOKUP($E99,'Info planes y paquetes'!$C$593:$K$702,3,FALSE),"")</f>
        <v>Telefonía fija + Internet fijo</v>
      </c>
      <c r="H99" s="263" t="s">
        <v>172</v>
      </c>
      <c r="I99" s="132"/>
      <c r="J99" s="132"/>
      <c r="K99" s="132"/>
      <c r="L99" s="132"/>
      <c r="M99" s="343">
        <f>IFERROR(VLOOKUP($E99&amp;$F99,'Info planes y paquetes'!$A$595:$L$702,M$18,FALSE),0)/(SUMIFS('Info planes y paquetes'!$H$595:$H$702,'Info planes y paquetes'!$E$595:$E$702,"Telefonía fija + Internet fijo")+SUMIFS('Info planes y paquetes'!$H$595:$H$702,'Info planes y paquetes'!$E$595:$E$702,"Internet fijo"))</f>
        <v>3.4812371022435154E-4</v>
      </c>
      <c r="N99" s="343">
        <f>IFERROR(VLOOKUP($E99&amp;$F99,'Info planes y paquetes'!$A$595:$L$702,N$18,FALSE),0)/(SUMIFS('Info planes y paquetes'!$K$595:$K$702,'Info planes y paquetes'!$E$595:$E$702,"Telefonía fija + Internet fijo")+SUMIFS('Info planes y paquetes'!$K$595:$K$702,'Info planes y paquetes'!$E$595:$E$702,"Internet fijo"))</f>
        <v>1.06944569035791E-3</v>
      </c>
      <c r="O99" s="343"/>
      <c r="R99" s="102" t="s">
        <v>189</v>
      </c>
      <c r="V99" s="57"/>
      <c r="W99" s="567"/>
      <c r="X99" s="568"/>
      <c r="Y99" s="57"/>
    </row>
    <row r="100" spans="3:25" s="262" customFormat="1" ht="12" x14ac:dyDescent="0.25">
      <c r="C100" s="579" t="str">
        <f t="shared" si="4"/>
        <v>Paquete Infinitum Entretenimiento+ 70   (Netflix 4 dispositivos)Residencial</v>
      </c>
      <c r="D100" s="297">
        <f t="shared" si="6"/>
        <v>80</v>
      </c>
      <c r="E100" s="101" t="str">
        <v>Paquete Infinitum Entretenimiento+ 70   (Netflix 4 dispositivos)</v>
      </c>
      <c r="F100" s="297" t="str">
        <f>IFERROR(VLOOKUP($E100,'Info planes y paquetes'!$C$595:$K$702,2,FALSE),"")</f>
        <v>Residencial</v>
      </c>
      <c r="G100" s="297" t="str">
        <f>IFERROR(VLOOKUP($E100,'Info planes y paquetes'!$C$593:$K$702,3,FALSE),"")</f>
        <v>Telefonía fija + Internet fijo</v>
      </c>
      <c r="H100" s="263" t="s">
        <v>172</v>
      </c>
      <c r="I100" s="132"/>
      <c r="J100" s="132"/>
      <c r="K100" s="132"/>
      <c r="L100" s="132"/>
      <c r="M100" s="343">
        <f>IFERROR(VLOOKUP($E100&amp;$F100,'Info planes y paquetes'!$A$595:$L$702,M$18,FALSE),0)/(SUMIFS('Info planes y paquetes'!$H$595:$H$702,'Info planes y paquetes'!$E$595:$E$702,"Telefonía fija + Internet fijo")+SUMIFS('Info planes y paquetes'!$H$595:$H$702,'Info planes y paquetes'!$E$595:$E$702,"Internet fijo"))</f>
        <v>2.0374716765623641E-4</v>
      </c>
      <c r="N100" s="343">
        <f>IFERROR(VLOOKUP($E100&amp;$F100,'Info planes y paquetes'!$A$595:$L$702,N$18,FALSE),0)/(SUMIFS('Info planes y paquetes'!$K$595:$K$702,'Info planes y paquetes'!$E$595:$E$702,"Telefonía fija + Internet fijo")+SUMIFS('Info planes y paquetes'!$K$595:$K$702,'Info planes y paquetes'!$E$595:$E$702,"Internet fijo"))</f>
        <v>4.4426137789662284E-4</v>
      </c>
      <c r="O100" s="343"/>
      <c r="R100" s="102" t="s">
        <v>189</v>
      </c>
      <c r="V100" s="57"/>
      <c r="W100" s="567"/>
      <c r="X100" s="568"/>
      <c r="Y100" s="57"/>
    </row>
    <row r="101" spans="3:25" s="262" customFormat="1" ht="12" x14ac:dyDescent="0.25">
      <c r="C101" s="579" t="str">
        <f t="shared" si="4"/>
        <v>Paquete Infinitum Entretenimiento+ 120    (Netflix 2 dispositivos)Residencial</v>
      </c>
      <c r="D101" s="297">
        <f t="shared" si="6"/>
        <v>81</v>
      </c>
      <c r="E101" s="101" t="str">
        <v>Paquete Infinitum Entretenimiento+ 120    (Netflix 2 dispositivos)</v>
      </c>
      <c r="F101" s="297" t="str">
        <f>IFERROR(VLOOKUP($E101,'Info planes y paquetes'!$C$595:$K$702,2,FALSE),"")</f>
        <v>Residencial</v>
      </c>
      <c r="G101" s="297" t="str">
        <f>IFERROR(VLOOKUP($E101,'Info planes y paquetes'!$C$593:$K$702,3,FALSE),"")</f>
        <v>Telefonía fija + Internet fijo</v>
      </c>
      <c r="H101" s="263" t="s">
        <v>172</v>
      </c>
      <c r="I101" s="132"/>
      <c r="J101" s="132"/>
      <c r="K101" s="132"/>
      <c r="L101" s="132"/>
      <c r="M101" s="343">
        <f>IFERROR(VLOOKUP($E101&amp;$F101,'Info planes y paquetes'!$A$595:$L$702,M$18,FALSE),0)/(SUMIFS('Info planes y paquetes'!$H$595:$H$702,'Info planes y paquetes'!$E$595:$E$702,"Telefonía fija + Internet fijo")+SUMIFS('Info planes y paquetes'!$H$595:$H$702,'Info planes y paquetes'!$E$595:$E$702,"Internet fijo"))</f>
        <v>1.3182593066792754E-4</v>
      </c>
      <c r="N101" s="343">
        <f>IFERROR(VLOOKUP($E101&amp;$F101,'Info planes y paquetes'!$A$595:$L$702,N$18,FALSE),0)/(SUMIFS('Info planes y paquetes'!$K$595:$K$702,'Info planes y paquetes'!$E$595:$E$702,"Telefonía fija + Internet fijo")+SUMIFS('Info planes y paquetes'!$K$595:$K$702,'Info planes y paquetes'!$E$595:$E$702,"Internet fijo"))</f>
        <v>4.2559119791697693E-4</v>
      </c>
      <c r="O101" s="343"/>
      <c r="R101" s="102" t="s">
        <v>189</v>
      </c>
      <c r="V101" s="57"/>
      <c r="W101" s="567"/>
      <c r="X101" s="568"/>
      <c r="Y101" s="57"/>
    </row>
    <row r="102" spans="3:25" s="262" customFormat="1" ht="12" x14ac:dyDescent="0.25">
      <c r="C102" s="579" t="str">
        <f t="shared" si="4"/>
        <v>Paquete Infinitum Entretenimiento+ 120    (Netflix 4 dispositivos)Residencial</v>
      </c>
      <c r="D102" s="297">
        <f t="shared" si="6"/>
        <v>82</v>
      </c>
      <c r="E102" s="101" t="str">
        <v>Paquete Infinitum Entretenimiento+ 120    (Netflix 4 dispositivos)</v>
      </c>
      <c r="F102" s="297" t="str">
        <f>IFERROR(VLOOKUP($E102,'Info planes y paquetes'!$C$595:$K$702,2,FALSE),"")</f>
        <v>Residencial</v>
      </c>
      <c r="G102" s="297" t="str">
        <f>IFERROR(VLOOKUP($E102,'Info planes y paquetes'!$C$593:$K$702,3,FALSE),"")</f>
        <v>Telefonía fija + Internet fijo</v>
      </c>
      <c r="H102" s="263" t="s">
        <v>172</v>
      </c>
      <c r="I102" s="132"/>
      <c r="J102" s="132"/>
      <c r="K102" s="132"/>
      <c r="L102" s="132"/>
      <c r="M102" s="343">
        <f>IFERROR(VLOOKUP($E102&amp;$F102,'Info planes y paquetes'!$A$595:$L$702,M$18,FALSE),0)/(SUMIFS('Info planes y paquetes'!$H$595:$H$702,'Info planes y paquetes'!$E$595:$E$702,"Telefonía fija + Internet fijo")+SUMIFS('Info planes y paquetes'!$H$595:$H$702,'Info planes y paquetes'!$E$595:$E$702,"Internet fijo"))</f>
        <v>8.7676260437480506E-5</v>
      </c>
      <c r="N102" s="343">
        <f>IFERROR(VLOOKUP($E102&amp;$F102,'Info planes y paquetes'!$A$595:$L$702,N$18,FALSE),0)/(SUMIFS('Info planes y paquetes'!$K$595:$K$702,'Info planes y paquetes'!$E$595:$E$702,"Telefonía fija + Internet fijo")+SUMIFS('Info planes y paquetes'!$K$595:$K$702,'Info planes y paquetes'!$E$595:$E$702,"Internet fijo"))</f>
        <v>3.2157162374466376E-4</v>
      </c>
      <c r="O102" s="343"/>
      <c r="R102" s="102" t="s">
        <v>189</v>
      </c>
      <c r="V102" s="57"/>
      <c r="W102" s="567"/>
      <c r="X102" s="568"/>
      <c r="Y102" s="57"/>
    </row>
    <row r="103" spans="3:25" s="262" customFormat="1" ht="12" x14ac:dyDescent="0.25">
      <c r="C103" s="579" t="str">
        <f t="shared" si="4"/>
        <v>Paquete infinitum Entretenimiento+ 200  (Netflix 4 dispositivos)Residencial</v>
      </c>
      <c r="D103" s="297">
        <f t="shared" si="6"/>
        <v>83</v>
      </c>
      <c r="E103" s="101" t="str">
        <v>Paquete infinitum Entretenimiento+ 200  (Netflix 4 dispositivos)</v>
      </c>
      <c r="F103" s="297" t="str">
        <f>IFERROR(VLOOKUP($E103,'Info planes y paquetes'!$C$595:$K$702,2,FALSE),"")</f>
        <v>Residencial</v>
      </c>
      <c r="G103" s="297" t="str">
        <f>IFERROR(VLOOKUP($E103,'Info planes y paquetes'!$C$593:$K$702,3,FALSE),"")</f>
        <v>Telefonía fija + Internet fijo</v>
      </c>
      <c r="H103" s="263" t="s">
        <v>172</v>
      </c>
      <c r="I103" s="132"/>
      <c r="J103" s="132"/>
      <c r="K103" s="132"/>
      <c r="L103" s="132"/>
      <c r="M103" s="343">
        <f>IFERROR(VLOOKUP($E103&amp;$F103,'Info planes y paquetes'!$A$595:$L$702,M$18,FALSE),0)/(SUMIFS('Info planes y paquetes'!$H$595:$H$702,'Info planes y paquetes'!$E$595:$E$702,"Telefonía fija + Internet fijo")+SUMIFS('Info planes y paquetes'!$H$595:$H$702,'Info planes y paquetes'!$E$595:$E$702,"Internet fijo"))</f>
        <v>6.0056013113876238E-4</v>
      </c>
      <c r="N103" s="343">
        <f>IFERROR(VLOOKUP($E103&amp;$F103,'Info planes y paquetes'!$A$595:$L$702,N$18,FALSE),0)/(SUMIFS('Info planes y paquetes'!$K$595:$K$702,'Info planes y paquetes'!$E$595:$E$702,"Telefonía fija + Internet fijo")+SUMIFS('Info planes y paquetes'!$K$595:$K$702,'Info planes y paquetes'!$E$595:$E$702,"Internet fijo"))</f>
        <v>2.0152236647554035E-3</v>
      </c>
      <c r="O103" s="343"/>
      <c r="R103" s="102" t="s">
        <v>189</v>
      </c>
      <c r="V103" s="57"/>
      <c r="W103" s="567"/>
      <c r="X103" s="568"/>
      <c r="Y103" s="57"/>
    </row>
    <row r="104" spans="3:25" s="262" customFormat="1" ht="12" x14ac:dyDescent="0.25">
      <c r="C104" s="579" t="str">
        <f t="shared" si="4"/>
        <v>Paquete infinitum Entretenimiento+ 200  (Netflix 2 dispositivos)Residencial</v>
      </c>
      <c r="D104" s="297">
        <f t="shared" si="6"/>
        <v>84</v>
      </c>
      <c r="E104" s="101" t="str">
        <v>Paquete infinitum Entretenimiento+ 200  (Netflix 2 dispositivos)</v>
      </c>
      <c r="F104" s="297" t="str">
        <f>IFERROR(VLOOKUP($E104,'Info planes y paquetes'!$C$595:$K$702,2,FALSE),"")</f>
        <v>Residencial</v>
      </c>
      <c r="G104" s="297" t="str">
        <f>IFERROR(VLOOKUP($E104,'Info planes y paquetes'!$C$593:$K$702,3,FALSE),"")</f>
        <v>Telefonía fija + Internet fijo</v>
      </c>
      <c r="H104" s="263" t="s">
        <v>172</v>
      </c>
      <c r="I104" s="132"/>
      <c r="J104" s="132"/>
      <c r="K104" s="132"/>
      <c r="L104" s="132"/>
      <c r="M104" s="343">
        <f>IFERROR(VLOOKUP($E104&amp;$F104,'Info planes y paquetes'!$A$595:$L$702,M$18,FALSE),0)/(SUMIFS('Info planes y paquetes'!$H$595:$H$702,'Info planes y paquetes'!$E$595:$E$702,"Telefonía fija + Internet fijo")+SUMIFS('Info planes y paquetes'!$H$595:$H$702,'Info planes y paquetes'!$E$595:$E$702,"Internet fijo"))</f>
        <v>8.580702036723981E-5</v>
      </c>
      <c r="N104" s="343">
        <f>IFERROR(VLOOKUP($E104&amp;$F104,'Info planes y paquetes'!$A$595:$L$702,N$18,FALSE),0)/(SUMIFS('Info planes y paquetes'!$K$595:$K$702,'Info planes y paquetes'!$E$595:$E$702,"Telefonía fija + Internet fijo")+SUMIFS('Info planes y paquetes'!$K$595:$K$702,'Info planes y paquetes'!$E$595:$E$702,"Internet fijo"))</f>
        <v>3.014789538618067E-4</v>
      </c>
      <c r="O104" s="343"/>
      <c r="R104" s="102" t="s">
        <v>189</v>
      </c>
      <c r="V104" s="57"/>
      <c r="W104" s="567"/>
      <c r="X104" s="568"/>
      <c r="Y104" s="57"/>
    </row>
    <row r="105" spans="3:25" s="262" customFormat="1" ht="12" x14ac:dyDescent="0.25">
      <c r="C105" s="579" t="str">
        <f t="shared" si="4"/>
        <v>Paquete infinitum Entretenimiento+ 500 (Netflix 4 dispositivos)Residencial</v>
      </c>
      <c r="D105" s="297">
        <f t="shared" si="6"/>
        <v>85</v>
      </c>
      <c r="E105" s="101" t="str">
        <v>Paquete infinitum Entretenimiento+ 500 (Netflix 4 dispositivos)</v>
      </c>
      <c r="F105" s="297" t="str">
        <f>IFERROR(VLOOKUP($E105,'Info planes y paquetes'!$C$595:$K$702,2,FALSE),"")</f>
        <v>Residencial</v>
      </c>
      <c r="G105" s="297" t="str">
        <f>IFERROR(VLOOKUP($E105,'Info planes y paquetes'!$C$593:$K$702,3,FALSE),"")</f>
        <v>Telefonía fija + Internet fijo</v>
      </c>
      <c r="H105" s="263" t="s">
        <v>172</v>
      </c>
      <c r="I105" s="132"/>
      <c r="J105" s="132"/>
      <c r="K105" s="132"/>
      <c r="L105" s="132"/>
      <c r="M105" s="343">
        <f>IFERROR(VLOOKUP($E105&amp;$F105,'Info planes y paquetes'!$A$595:$L$702,M$18,FALSE),0)/(SUMIFS('Info planes y paquetes'!$H$595:$H$702,'Info planes y paquetes'!$E$595:$E$702,"Telefonía fija + Internet fijo")+SUMIFS('Info planes y paquetes'!$H$595:$H$702,'Info planes y paquetes'!$E$595:$E$702,"Internet fijo"))</f>
        <v>8.0466334452266377E-5</v>
      </c>
      <c r="N105" s="343">
        <f>IFERROR(VLOOKUP($E105&amp;$F105,'Info planes y paquetes'!$A$595:$L$702,N$18,FALSE),0)/(SUMIFS('Info planes y paquetes'!$K$595:$K$702,'Info planes y paquetes'!$E$595:$E$702,"Telefonía fija + Internet fijo")+SUMIFS('Info planes y paquetes'!$K$595:$K$702,'Info planes y paquetes'!$E$595:$E$702,"Internet fijo"))</f>
        <v>2.0795024272567559E-4</v>
      </c>
      <c r="O105" s="343"/>
      <c r="R105" s="102" t="s">
        <v>189</v>
      </c>
      <c r="V105" s="57"/>
      <c r="W105" s="567"/>
      <c r="X105" s="568"/>
      <c r="Y105" s="57"/>
    </row>
    <row r="106" spans="3:25" s="262" customFormat="1" ht="12" x14ac:dyDescent="0.25">
      <c r="C106" s="579" t="str">
        <f t="shared" si="4"/>
        <v>Paquete infinitum Entretenimiento+ 500  (Netflix 2 dispositivos)Residencial</v>
      </c>
      <c r="D106" s="297">
        <f t="shared" si="6"/>
        <v>86</v>
      </c>
      <c r="E106" s="101" t="str">
        <v>Paquete infinitum Entretenimiento+ 500  (Netflix 2 dispositivos)</v>
      </c>
      <c r="F106" s="297" t="str">
        <f>IFERROR(VLOOKUP($E106,'Info planes y paquetes'!$C$595:$K$702,2,FALSE),"")</f>
        <v>Residencial</v>
      </c>
      <c r="G106" s="297" t="str">
        <f>IFERROR(VLOOKUP($E106,'Info planes y paquetes'!$C$593:$K$702,3,FALSE),"")</f>
        <v>Telefonía fija + Internet fijo</v>
      </c>
      <c r="H106" s="263" t="s">
        <v>172</v>
      </c>
      <c r="I106" s="132"/>
      <c r="J106" s="132"/>
      <c r="K106" s="132"/>
      <c r="L106" s="132"/>
      <c r="M106" s="343">
        <f>IFERROR(VLOOKUP($E106&amp;$F106,'Info planes y paquetes'!$A$595:$L$702,M$18,FALSE),0)/(SUMIFS('Info planes y paquetes'!$H$595:$H$702,'Info planes y paquetes'!$E$595:$E$702,"Telefonía fija + Internet fijo")+SUMIFS('Info planes y paquetes'!$H$595:$H$702,'Info planes y paquetes'!$E$595:$E$702,"Internet fijo"))</f>
        <v>1.3351714787433579E-5</v>
      </c>
      <c r="N106" s="343">
        <f>IFERROR(VLOOKUP($E106&amp;$F106,'Info planes y paquetes'!$A$595:$L$702,N$18,FALSE),0)/(SUMIFS('Info planes y paquetes'!$K$595:$K$702,'Info planes y paquetes'!$E$595:$E$702,"Telefonía fija + Internet fijo")+SUMIFS('Info planes y paquetes'!$K$595:$K$702,'Info planes y paquetes'!$E$595:$E$702,"Internet fijo"))</f>
        <v>2.5427007019898767E-5</v>
      </c>
      <c r="O106" s="343"/>
      <c r="R106" s="102" t="s">
        <v>189</v>
      </c>
      <c r="V106" s="57"/>
      <c r="W106" s="567"/>
      <c r="X106" s="568"/>
      <c r="Y106" s="57"/>
    </row>
    <row r="107" spans="3:25" s="262" customFormat="1" ht="12" x14ac:dyDescent="0.25">
      <c r="C107" s="579" t="str">
        <f t="shared" si="4"/>
        <v>Infinitum Entretenimiento +30   (Netflix 1 dispositivo)Residencial</v>
      </c>
      <c r="D107" s="297">
        <f t="shared" si="6"/>
        <v>87</v>
      </c>
      <c r="E107" s="101" t="str">
        <v>Infinitum Entretenimiento +30   (Netflix 1 dispositivo)</v>
      </c>
      <c r="F107" s="297" t="str">
        <f>IFERROR(VLOOKUP($E107,'Info planes y paquetes'!$C$595:$K$702,2,FALSE),"")</f>
        <v>Residencial</v>
      </c>
      <c r="G107" s="297" t="str">
        <f>IFERROR(VLOOKUP($E107,'Info planes y paquetes'!$C$593:$K$702,3,FALSE),"")</f>
        <v>Internet fijo</v>
      </c>
      <c r="H107" s="263" t="s">
        <v>172</v>
      </c>
      <c r="I107" s="132"/>
      <c r="J107" s="132"/>
      <c r="K107" s="132"/>
      <c r="L107" s="132"/>
      <c r="M107" s="343">
        <f>IFERROR(VLOOKUP($E107&amp;$F107,'Info planes y paquetes'!$A$595:$L$702,M$18,FALSE),0)/(SUMIFS('Info planes y paquetes'!$H$595:$H$702,'Info planes y paquetes'!$E$595:$E$702,"Telefonía fija + Internet fijo")+SUMIFS('Info planes y paquetes'!$H$595:$H$702,'Info planes y paquetes'!$E$595:$E$702,"Internet fijo"))</f>
        <v>1.059236039803064E-4</v>
      </c>
      <c r="N107" s="343">
        <f>IFERROR(VLOOKUP($E107&amp;$F107,'Info planes y paquetes'!$A$595:$L$702,N$18,FALSE),0)/(SUMIFS('Info planes y paquetes'!$K$595:$K$702,'Info planes y paquetes'!$E$595:$E$702,"Telefonía fija + Internet fijo")+SUMIFS('Info planes y paquetes'!$K$595:$K$702,'Info planes y paquetes'!$E$595:$E$702,"Internet fijo"))</f>
        <v>4.6879932872701468E-4</v>
      </c>
      <c r="O107" s="343"/>
      <c r="R107" s="102" t="s">
        <v>189</v>
      </c>
      <c r="V107" s="57"/>
      <c r="W107" s="567"/>
      <c r="X107" s="568"/>
      <c r="Y107" s="57"/>
    </row>
    <row r="108" spans="3:25" s="262" customFormat="1" ht="12" x14ac:dyDescent="0.25">
      <c r="C108" s="579" t="str">
        <f t="shared" si="4"/>
        <v>Infinitum Entretenimiento +30   (Netflix 2 dispositivos)Residencial</v>
      </c>
      <c r="D108" s="297">
        <f t="shared" si="6"/>
        <v>88</v>
      </c>
      <c r="E108" s="101" t="str">
        <v>Infinitum Entretenimiento +30   (Netflix 2 dispositivos)</v>
      </c>
      <c r="F108" s="297" t="str">
        <f>IFERROR(VLOOKUP($E108,'Info planes y paquetes'!$C$595:$K$702,2,FALSE),"")</f>
        <v>Residencial</v>
      </c>
      <c r="G108" s="297" t="str">
        <f>IFERROR(VLOOKUP($E108,'Info planes y paquetes'!$C$593:$K$702,3,FALSE),"")</f>
        <v>Internet fijo</v>
      </c>
      <c r="H108" s="263" t="s">
        <v>172</v>
      </c>
      <c r="I108" s="132"/>
      <c r="J108" s="132"/>
      <c r="K108" s="132"/>
      <c r="L108" s="132"/>
      <c r="M108" s="343">
        <f>IFERROR(VLOOKUP($E108&amp;$F108,'Info planes y paquetes'!$A$595:$L$702,M$18,FALSE),0)/(SUMIFS('Info planes y paquetes'!$H$595:$H$702,'Info planes y paquetes'!$E$595:$E$702,"Telefonía fija + Internet fijo")+SUMIFS('Info planes y paquetes'!$H$595:$H$702,'Info planes y paquetes'!$E$595:$E$702,"Internet fijo"))</f>
        <v>7.9398197269271693E-5</v>
      </c>
      <c r="N108" s="343">
        <f>IFERROR(VLOOKUP($E108&amp;$F108,'Info planes y paquetes'!$A$595:$L$702,N$18,FALSE),0)/(SUMIFS('Info planes y paquetes'!$K$595:$K$702,'Info planes y paquetes'!$E$595:$E$702,"Telefonía fija + Internet fijo")+SUMIFS('Info planes y paquetes'!$K$595:$K$702,'Info planes y paquetes'!$E$595:$E$702,"Internet fijo"))</f>
        <v>7.775685433427784E-4</v>
      </c>
      <c r="O108" s="343"/>
      <c r="R108" s="102" t="s">
        <v>189</v>
      </c>
      <c r="V108" s="57"/>
      <c r="W108" s="567"/>
      <c r="X108" s="568"/>
      <c r="Y108" s="57"/>
    </row>
    <row r="109" spans="3:25" s="262" customFormat="1" ht="12" x14ac:dyDescent="0.25">
      <c r="C109" s="579" t="str">
        <f t="shared" si="4"/>
        <v>Infinitum Entretenimiento +30   (Netflix 4 dispositivos)Residencial</v>
      </c>
      <c r="D109" s="297">
        <f t="shared" si="6"/>
        <v>89</v>
      </c>
      <c r="E109" s="101" t="str">
        <v>Infinitum Entretenimiento +30   (Netflix 4 dispositivos)</v>
      </c>
      <c r="F109" s="297" t="str">
        <f>IFERROR(VLOOKUP($E109,'Info planes y paquetes'!$C$595:$K$702,2,FALSE),"")</f>
        <v>Residencial</v>
      </c>
      <c r="G109" s="297" t="str">
        <f>IFERROR(VLOOKUP($E109,'Info planes y paquetes'!$C$593:$K$702,3,FALSE),"")</f>
        <v>Internet fijo</v>
      </c>
      <c r="H109" s="263" t="s">
        <v>172</v>
      </c>
      <c r="I109" s="132"/>
      <c r="J109" s="132"/>
      <c r="K109" s="132"/>
      <c r="L109" s="132"/>
      <c r="M109" s="343">
        <f>IFERROR(VLOOKUP($E109&amp;$F109,'Info planes y paquetes'!$A$595:$L$702,M$18,FALSE),0)/(SUMIFS('Info planes y paquetes'!$H$595:$H$702,'Info planes y paquetes'!$E$595:$E$702,"Telefonía fija + Internet fijo")+SUMIFS('Info planes y paquetes'!$H$595:$H$702,'Info planes y paquetes'!$E$595:$E$702,"Internet fijo"))</f>
        <v>4.6196933164520187E-5</v>
      </c>
      <c r="N109" s="343">
        <f>IFERROR(VLOOKUP($E109&amp;$F109,'Info planes y paquetes'!$A$595:$L$702,N$18,FALSE),0)/(SUMIFS('Info planes y paquetes'!$K$595:$K$702,'Info planes y paquetes'!$E$595:$E$702,"Telefonía fija + Internet fijo")+SUMIFS('Info planes y paquetes'!$K$595:$K$702,'Info planes y paquetes'!$E$595:$E$702,"Internet fijo"))</f>
        <v>5.8544350079032647E-4</v>
      </c>
      <c r="O109" s="343"/>
      <c r="R109" s="102" t="s">
        <v>189</v>
      </c>
      <c r="V109" s="57"/>
      <c r="W109" s="567"/>
      <c r="X109" s="568"/>
      <c r="Y109" s="57"/>
    </row>
    <row r="110" spans="3:25" s="262" customFormat="1" ht="12" x14ac:dyDescent="0.25">
      <c r="C110" s="579" t="str">
        <f t="shared" si="4"/>
        <v>Infinitum Entretenimiento+ 70  (Netflix 2 dispositivos)Residencial</v>
      </c>
      <c r="D110" s="297">
        <f t="shared" si="6"/>
        <v>90</v>
      </c>
      <c r="E110" s="101" t="str">
        <v>Infinitum Entretenimiento+ 70  (Netflix 2 dispositivos)</v>
      </c>
      <c r="F110" s="297" t="str">
        <f>IFERROR(VLOOKUP($E110,'Info planes y paquetes'!$C$595:$K$702,2,FALSE),"")</f>
        <v>Residencial</v>
      </c>
      <c r="G110" s="297" t="str">
        <f>IFERROR(VLOOKUP($E110,'Info planes y paquetes'!$C$593:$K$702,3,FALSE),"")</f>
        <v>Internet fijo</v>
      </c>
      <c r="H110" s="263" t="s">
        <v>172</v>
      </c>
      <c r="I110" s="132"/>
      <c r="J110" s="132"/>
      <c r="K110" s="132"/>
      <c r="L110" s="132"/>
      <c r="M110" s="343">
        <f>IFERROR(VLOOKUP($E110&amp;$F110,'Info planes y paquetes'!$A$595:$L$702,M$18,FALSE),0)/(SUMIFS('Info planes y paquetes'!$H$595:$H$702,'Info planes y paquetes'!$E$595:$E$702,"Telefonía fija + Internet fijo")+SUMIFS('Info planes y paquetes'!$H$595:$H$702,'Info planes y paquetes'!$E$595:$E$702,"Internet fijo"))</f>
        <v>4.2369441592122563E-5</v>
      </c>
      <c r="N110" s="343">
        <f>IFERROR(VLOOKUP($E110&amp;$F110,'Info planes y paquetes'!$A$595:$L$702,N$18,FALSE),0)/(SUMIFS('Info planes y paquetes'!$K$595:$K$702,'Info planes y paquetes'!$E$595:$E$702,"Telefonía fija + Internet fijo")+SUMIFS('Info planes y paquetes'!$K$595:$K$702,'Info planes y paquetes'!$E$595:$E$702,"Internet fijo"))</f>
        <v>3.9056238405040308E-4</v>
      </c>
      <c r="O110" s="343"/>
      <c r="R110" s="102" t="s">
        <v>189</v>
      </c>
      <c r="V110" s="57"/>
      <c r="W110" s="567"/>
      <c r="X110" s="568"/>
      <c r="Y110" s="57"/>
    </row>
    <row r="111" spans="3:25" s="262" customFormat="1" ht="12" x14ac:dyDescent="0.25">
      <c r="C111" s="579" t="str">
        <f t="shared" si="4"/>
        <v>Infinitum Entretenimiento+ 70  (Netflix 4 dispositivos)Residencial</v>
      </c>
      <c r="D111" s="297">
        <f t="shared" si="6"/>
        <v>91</v>
      </c>
      <c r="E111" s="101" t="str">
        <v>Infinitum Entretenimiento+ 70  (Netflix 4 dispositivos)</v>
      </c>
      <c r="F111" s="297" t="str">
        <f>IFERROR(VLOOKUP($E111,'Info planes y paquetes'!$C$595:$K$702,2,FALSE),"")</f>
        <v>Residencial</v>
      </c>
      <c r="G111" s="297" t="str">
        <f>IFERROR(VLOOKUP($E111,'Info planes y paquetes'!$C$593:$K$702,3,FALSE),"")</f>
        <v>Internet fijo</v>
      </c>
      <c r="H111" s="263" t="s">
        <v>172</v>
      </c>
      <c r="I111" s="132"/>
      <c r="J111" s="132"/>
      <c r="K111" s="132"/>
      <c r="L111" s="132"/>
      <c r="M111" s="343">
        <f>IFERROR(VLOOKUP($E111&amp;$F111,'Info planes y paquetes'!$A$595:$L$702,M$18,FALSE),0)/(SUMIFS('Info planes y paquetes'!$H$595:$H$702,'Info planes y paquetes'!$E$595:$E$702,"Telefonía fija + Internet fijo")+SUMIFS('Info planes y paquetes'!$H$595:$H$702,'Info planes y paquetes'!$E$595:$E$702,"Internet fijo"))</f>
        <v>2.2964949434385758E-5</v>
      </c>
      <c r="N111" s="343">
        <f>IFERROR(VLOOKUP($E111&amp;$F111,'Info planes y paquetes'!$A$595:$L$702,N$18,FALSE),0)/(SUMIFS('Info planes y paquetes'!$K$595:$K$702,'Info planes y paquetes'!$E$595:$E$702,"Telefonía fija + Internet fijo")+SUMIFS('Info planes y paquetes'!$K$595:$K$702,'Info planes y paquetes'!$E$595:$E$702,"Internet fijo"))</f>
        <v>1.9123598636294493E-4</v>
      </c>
      <c r="O111" s="343"/>
      <c r="R111" s="102" t="s">
        <v>189</v>
      </c>
      <c r="V111" s="57"/>
      <c r="W111" s="567"/>
      <c r="X111" s="568"/>
      <c r="Y111" s="57"/>
    </row>
    <row r="112" spans="3:25" s="262" customFormat="1" ht="12" x14ac:dyDescent="0.25">
      <c r="C112" s="579" t="str">
        <f t="shared" si="4"/>
        <v>Infinitum Entretenimiento+ 250  (Netflix 4 dispositivos)Residencial</v>
      </c>
      <c r="D112" s="297">
        <f t="shared" si="6"/>
        <v>92</v>
      </c>
      <c r="E112" s="101" t="str">
        <v>Infinitum Entretenimiento+ 250  (Netflix 4 dispositivos)</v>
      </c>
      <c r="F112" s="297" t="str">
        <f>IFERROR(VLOOKUP($E112,'Info planes y paquetes'!$C$595:$K$702,2,FALSE),"")</f>
        <v>Residencial</v>
      </c>
      <c r="G112" s="297" t="str">
        <f>IFERROR(VLOOKUP($E112,'Info planes y paquetes'!$C$593:$K$702,3,FALSE),"")</f>
        <v>Internet fijo</v>
      </c>
      <c r="H112" s="263" t="s">
        <v>172</v>
      </c>
      <c r="I112" s="132"/>
      <c r="J112" s="132"/>
      <c r="K112" s="132"/>
      <c r="L112" s="132"/>
      <c r="M112" s="343">
        <f>IFERROR(VLOOKUP($E112&amp;$F112,'Info planes y paquetes'!$A$595:$L$702,M$18,FALSE),0)/(SUMIFS('Info planes y paquetes'!$H$595:$H$702,'Info planes y paquetes'!$E$595:$E$702,"Telefonía fija + Internet fijo")+SUMIFS('Info planes y paquetes'!$H$595:$H$702,'Info planes y paquetes'!$E$595:$E$702,"Internet fijo"))</f>
        <v>4.2013395864457661E-5</v>
      </c>
      <c r="N112" s="343">
        <f>IFERROR(VLOOKUP($E112&amp;$F112,'Info planes y paquetes'!$A$595:$L$702,N$18,FALSE),0)/(SUMIFS('Info planes y paquetes'!$K$595:$K$702,'Info planes y paquetes'!$E$595:$E$702,"Telefonía fija + Internet fijo")+SUMIFS('Info planes y paquetes'!$K$595:$K$702,'Info planes y paquetes'!$E$595:$E$702,"Internet fijo"))</f>
        <v>2.4635747011237584E-4</v>
      </c>
      <c r="O112" s="343"/>
      <c r="R112" s="102" t="s">
        <v>189</v>
      </c>
      <c r="V112" s="57"/>
      <c r="W112" s="567"/>
      <c r="X112" s="568"/>
      <c r="Y112" s="57"/>
    </row>
    <row r="113" spans="3:25" s="262" customFormat="1" ht="12" x14ac:dyDescent="0.25">
      <c r="C113" s="579" t="str">
        <f t="shared" si="4"/>
        <v>Infinitum Entretenimiento+ 250  (Netflix 2 dispositivos)Residencial</v>
      </c>
      <c r="D113" s="297">
        <f t="shared" si="6"/>
        <v>93</v>
      </c>
      <c r="E113" s="101" t="str">
        <v>Infinitum Entretenimiento+ 250  (Netflix 2 dispositivos)</v>
      </c>
      <c r="F113" s="297" t="str">
        <f>IFERROR(VLOOKUP($E113,'Info planes y paquetes'!$C$595:$K$702,2,FALSE),"")</f>
        <v>Residencial</v>
      </c>
      <c r="G113" s="297" t="str">
        <f>IFERROR(VLOOKUP($E113,'Info planes y paquetes'!$C$593:$K$702,3,FALSE),"")</f>
        <v>Internet fijo</v>
      </c>
      <c r="H113" s="263" t="s">
        <v>172</v>
      </c>
      <c r="I113" s="132"/>
      <c r="J113" s="132"/>
      <c r="K113" s="132"/>
      <c r="L113" s="132"/>
      <c r="M113" s="343">
        <f>IFERROR(VLOOKUP($E113&amp;$F113,'Info planes y paquetes'!$A$595:$L$702,M$18,FALSE),0)/(SUMIFS('Info planes y paquetes'!$H$595:$H$702,'Info planes y paquetes'!$E$595:$E$702,"Telefonía fija + Internet fijo")+SUMIFS('Info planes y paquetes'!$H$595:$H$702,'Info planes y paquetes'!$E$595:$E$702,"Internet fijo"))</f>
        <v>1.0770383261863088E-5</v>
      </c>
      <c r="N113" s="343">
        <f>IFERROR(VLOOKUP($E113&amp;$F113,'Info planes y paquetes'!$A$595:$L$702,N$18,FALSE),0)/(SUMIFS('Info planes y paquetes'!$K$595:$K$702,'Info planes y paquetes'!$E$595:$E$702,"Telefonía fija + Internet fijo")+SUMIFS('Info planes y paquetes'!$K$595:$K$702,'Info planes y paquetes'!$E$595:$E$702,"Internet fijo"))</f>
        <v>5.9122236602212168E-5</v>
      </c>
      <c r="O113" s="343"/>
      <c r="R113" s="102" t="s">
        <v>189</v>
      </c>
      <c r="V113" s="57"/>
      <c r="W113" s="567"/>
      <c r="X113" s="568"/>
      <c r="Y113" s="57"/>
    </row>
    <row r="114" spans="3:25" s="262" customFormat="1" ht="12" x14ac:dyDescent="0.25">
      <c r="C114" s="579" t="str">
        <f t="shared" si="4"/>
        <v>Infinitum Entretenimiento+ 500   (Netflix 4 dispositivos)Residencial</v>
      </c>
      <c r="D114" s="297">
        <f t="shared" si="6"/>
        <v>94</v>
      </c>
      <c r="E114" s="101" t="str">
        <v>Infinitum Entretenimiento+ 500   (Netflix 4 dispositivos)</v>
      </c>
      <c r="F114" s="297" t="str">
        <f>IFERROR(VLOOKUP($E114,'Info planes y paquetes'!$C$595:$K$702,2,FALSE),"")</f>
        <v>Residencial</v>
      </c>
      <c r="G114" s="297" t="str">
        <f>IFERROR(VLOOKUP($E114,'Info planes y paquetes'!$C$593:$K$702,3,FALSE),"")</f>
        <v>Internet fijo</v>
      </c>
      <c r="H114" s="263" t="s">
        <v>172</v>
      </c>
      <c r="I114" s="132"/>
      <c r="J114" s="132"/>
      <c r="K114" s="132"/>
      <c r="L114" s="132"/>
      <c r="M114" s="343">
        <f>IFERROR(VLOOKUP($E114&amp;$F114,'Info planes y paquetes'!$A$595:$L$702,M$18,FALSE),0)/(SUMIFS('Info planes y paquetes'!$H$595:$H$702,'Info planes y paquetes'!$E$595:$E$702,"Telefonía fija + Internet fijo")+SUMIFS('Info planes y paquetes'!$H$595:$H$702,'Info planes y paquetes'!$E$595:$E$702,"Internet fijo"))</f>
        <v>3.4714458447327307E-6</v>
      </c>
      <c r="N114" s="343">
        <f>IFERROR(VLOOKUP($E114&amp;$F114,'Info planes y paquetes'!$A$595:$L$702,N$18,FALSE),0)/(SUMIFS('Info planes y paquetes'!$K$595:$K$702,'Info planes y paquetes'!$E$595:$E$702,"Telefonía fija + Internet fijo")+SUMIFS('Info planes y paquetes'!$K$595:$K$702,'Info planes y paquetes'!$E$595:$E$702,"Internet fijo"))</f>
        <v>5.4943672511529503E-5</v>
      </c>
      <c r="O114" s="343"/>
      <c r="R114" s="102" t="s">
        <v>189</v>
      </c>
      <c r="V114" s="57"/>
      <c r="W114" s="567"/>
      <c r="X114" s="568"/>
      <c r="Y114" s="57"/>
    </row>
    <row r="115" spans="3:25" s="262" customFormat="1" ht="12" x14ac:dyDescent="0.25">
      <c r="C115" s="579" t="str">
        <f t="shared" si="4"/>
        <v>Infinitum Entretenimiento+ 500   (Netflix 2 dispositivos)Residencial</v>
      </c>
      <c r="D115" s="297">
        <f t="shared" si="6"/>
        <v>95</v>
      </c>
      <c r="E115" s="101" t="str">
        <v>Infinitum Entretenimiento+ 500   (Netflix 2 dispositivos)</v>
      </c>
      <c r="F115" s="297" t="str">
        <f>IFERROR(VLOOKUP($E115,'Info planes y paquetes'!$C$595:$K$702,2,FALSE),"")</f>
        <v>Residencial</v>
      </c>
      <c r="G115" s="297" t="str">
        <f>IFERROR(VLOOKUP($E115,'Info planes y paquetes'!$C$593:$K$702,3,FALSE),"")</f>
        <v>Internet fijo</v>
      </c>
      <c r="H115" s="263" t="s">
        <v>172</v>
      </c>
      <c r="I115" s="132"/>
      <c r="J115" s="132"/>
      <c r="K115" s="132"/>
      <c r="L115" s="132"/>
      <c r="M115" s="343">
        <f>IFERROR(VLOOKUP($E115&amp;$F115,'Info planes y paquetes'!$A$595:$L$702,M$18,FALSE),0)/(SUMIFS('Info planes y paquetes'!$H$595:$H$702,'Info planes y paquetes'!$E$595:$E$702,"Telefonía fija + Internet fijo")+SUMIFS('Info planes y paquetes'!$H$595:$H$702,'Info planes y paquetes'!$E$595:$E$702,"Internet fijo"))</f>
        <v>3.293422980900283E-6</v>
      </c>
      <c r="N115" s="343">
        <f>IFERROR(VLOOKUP($E115&amp;$F115,'Info planes y paquetes'!$A$595:$L$702,N$18,FALSE),0)/(SUMIFS('Info planes y paquetes'!$K$595:$K$702,'Info planes y paquetes'!$E$595:$E$702,"Telefonía fija + Internet fijo")+SUMIFS('Info planes y paquetes'!$K$595:$K$702,'Info planes y paquetes'!$E$595:$E$702,"Internet fijo"))</f>
        <v>7.2902607539569894E-6</v>
      </c>
      <c r="O115" s="343"/>
      <c r="R115" s="102" t="s">
        <v>189</v>
      </c>
      <c r="V115" s="57"/>
      <c r="W115" s="567"/>
      <c r="X115" s="568"/>
      <c r="Y115" s="57"/>
    </row>
    <row r="116" spans="3:25" s="262" customFormat="1" ht="12" x14ac:dyDescent="0.25">
      <c r="C116" s="579" t="str">
        <f t="shared" si="4"/>
        <v>Velocidad Simétrica Conectes NegocioNo Residencial</v>
      </c>
      <c r="D116" s="297">
        <f t="shared" si="6"/>
        <v>96</v>
      </c>
      <c r="E116" s="101" t="str">
        <v>Velocidad Simétrica Conectes Negocio</v>
      </c>
      <c r="F116" s="297" t="str">
        <f>IFERROR(VLOOKUP($E116,'Info planes y paquetes'!$C$595:$K$702,2,FALSE),"")</f>
        <v>No Residencial</v>
      </c>
      <c r="G116" s="297" t="str">
        <f>IFERROR(VLOOKUP($E116,'Info planes y paquetes'!$C$593:$K$702,3,FALSE),"")</f>
        <v>Telefonía fija + Internet fijo</v>
      </c>
      <c r="H116" s="263" t="s">
        <v>172</v>
      </c>
      <c r="I116" s="132"/>
      <c r="J116" s="132"/>
      <c r="K116" s="132"/>
      <c r="L116" s="132"/>
      <c r="M116" s="343">
        <f>IFERROR(VLOOKUP($E116&amp;$F116,'Info planes y paquetes'!$A$595:$L$702,M$18,FALSE),0)/(SUMIFS('Info planes y paquetes'!$H$595:$H$702,'Info planes y paquetes'!$E$595:$E$702,"Telefonía fija + Internet fijo")+SUMIFS('Info planes y paquetes'!$H$595:$H$702,'Info planes y paquetes'!$E$595:$E$702,"Internet fijo"))</f>
        <v>6.7719897401863111E-4</v>
      </c>
      <c r="N116" s="343">
        <f>IFERROR(VLOOKUP($E116&amp;$F116,'Info planes y paquetes'!$A$595:$L$702,N$18,FALSE),0)/(SUMIFS('Info planes y paquetes'!$K$595:$K$702,'Info planes y paquetes'!$E$595:$E$702,"Telefonía fija + Internet fijo")+SUMIFS('Info planes y paquetes'!$K$595:$K$702,'Info planes y paquetes'!$E$595:$E$702,"Internet fijo"))</f>
        <v>1.0266820876426257E-3</v>
      </c>
      <c r="O116" s="343"/>
      <c r="R116" s="102" t="s">
        <v>189</v>
      </c>
      <c r="V116" s="57"/>
      <c r="W116" s="567"/>
      <c r="X116" s="568"/>
      <c r="Y116" s="57"/>
    </row>
    <row r="117" spans="3:25" s="262" customFormat="1" ht="12" x14ac:dyDescent="0.25">
      <c r="C117" s="579" t="str">
        <f t="shared" si="4"/>
        <v>Velocidad Simétrica Mi NegocioNo Residencial</v>
      </c>
      <c r="D117" s="297">
        <f t="shared" si="6"/>
        <v>97</v>
      </c>
      <c r="E117" s="101" t="str">
        <v>Velocidad Simétrica Mi Negocio</v>
      </c>
      <c r="F117" s="297" t="str">
        <f>IFERROR(VLOOKUP($E117,'Info planes y paquetes'!$C$595:$K$702,2,FALSE),"")</f>
        <v>No Residencial</v>
      </c>
      <c r="G117" s="297" t="str">
        <f>IFERROR(VLOOKUP($E117,'Info planes y paquetes'!$C$593:$K$702,3,FALSE),"")</f>
        <v>Telefonía fija + Internet fijo</v>
      </c>
      <c r="H117" s="263" t="s">
        <v>172</v>
      </c>
      <c r="I117" s="132"/>
      <c r="J117" s="132"/>
      <c r="K117" s="132"/>
      <c r="L117" s="132"/>
      <c r="M117" s="343">
        <f>IFERROR(VLOOKUP($E117&amp;$F117,'Info planes y paquetes'!$A$595:$L$702,M$18,FALSE),0)/(SUMIFS('Info planes y paquetes'!$H$595:$H$702,'Info planes y paquetes'!$E$595:$E$702,"Telefonía fija + Internet fijo")+SUMIFS('Info planes y paquetes'!$H$595:$H$702,'Info planes y paquetes'!$E$595:$E$702,"Internet fijo"))</f>
        <v>8.8103515310678383E-4</v>
      </c>
      <c r="N117" s="343">
        <f>IFERROR(VLOOKUP($E117&amp;$F117,'Info planes y paquetes'!$A$595:$L$702,N$18,FALSE),0)/(SUMIFS('Info planes y paquetes'!$K$595:$K$702,'Info planes y paquetes'!$E$595:$E$702,"Telefonía fija + Internet fijo")+SUMIFS('Info planes y paquetes'!$K$595:$K$702,'Info planes y paquetes'!$E$595:$E$702,"Internet fijo"))</f>
        <v>1.0834038725331691E-3</v>
      </c>
      <c r="O117" s="343"/>
      <c r="R117" s="102" t="s">
        <v>189</v>
      </c>
      <c r="V117" s="57"/>
      <c r="W117" s="567"/>
      <c r="X117" s="568"/>
      <c r="Y117" s="57"/>
    </row>
    <row r="118" spans="3:25" s="262" customFormat="1" ht="12" x14ac:dyDescent="0.25">
      <c r="C118" s="579" t="str">
        <f t="shared" si="4"/>
        <v>Velocidad Simétrica SupernegocioNo Residencial</v>
      </c>
      <c r="D118" s="297">
        <f t="shared" si="6"/>
        <v>98</v>
      </c>
      <c r="E118" s="101" t="str">
        <v>Velocidad Simétrica Supernegocio</v>
      </c>
      <c r="F118" s="297" t="str">
        <f>IFERROR(VLOOKUP($E118,'Info planes y paquetes'!$C$595:$K$702,2,FALSE),"")</f>
        <v>No Residencial</v>
      </c>
      <c r="G118" s="297" t="str">
        <f>IFERROR(VLOOKUP($E118,'Info planes y paquetes'!$C$593:$K$702,3,FALSE),"")</f>
        <v>Telefonía fija + Internet fijo</v>
      </c>
      <c r="H118" s="263" t="s">
        <v>172</v>
      </c>
      <c r="I118" s="132"/>
      <c r="J118" s="132"/>
      <c r="K118" s="132"/>
      <c r="L118" s="132"/>
      <c r="M118" s="343">
        <f>IFERROR(VLOOKUP($E118&amp;$F118,'Info planes y paquetes'!$A$595:$L$702,M$18,FALSE),0)/(SUMIFS('Info planes y paquetes'!$H$595:$H$702,'Info planes y paquetes'!$E$595:$E$702,"Telefonía fija + Internet fijo")+SUMIFS('Info planes y paquetes'!$H$595:$H$702,'Info planes y paquetes'!$E$595:$E$702,"Internet fijo"))</f>
        <v>6.1595910886026912E-4</v>
      </c>
      <c r="N118" s="343">
        <f>IFERROR(VLOOKUP($E118&amp;$F118,'Info planes y paquetes'!$A$595:$L$702,N$18,FALSE),0)/(SUMIFS('Info planes y paquetes'!$K$595:$K$702,'Info planes y paquetes'!$E$595:$E$702,"Telefonía fija + Internet fijo")+SUMIFS('Info planes y paquetes'!$K$595:$K$702,'Info planes y paquetes'!$E$595:$E$702,"Internet fijo"))</f>
        <v>7.3356026196218433E-4</v>
      </c>
      <c r="O118" s="343"/>
      <c r="R118" s="102" t="s">
        <v>189</v>
      </c>
      <c r="V118" s="57"/>
      <c r="W118" s="567"/>
      <c r="X118" s="568"/>
      <c r="Y118" s="57"/>
    </row>
    <row r="119" spans="3:25" s="262" customFormat="1" ht="12" x14ac:dyDescent="0.25">
      <c r="C119" s="579" t="str">
        <f t="shared" si="4"/>
        <v>Velocidad Simétrica Telmex Negocio Sin Límites 1No Residencial</v>
      </c>
      <c r="D119" s="297">
        <f t="shared" si="6"/>
        <v>99</v>
      </c>
      <c r="E119" s="101" t="str">
        <v>Velocidad Simétrica Telmex Negocio Sin Límites 1</v>
      </c>
      <c r="F119" s="297" t="str">
        <f>IFERROR(VLOOKUP($E119,'Info planes y paquetes'!$C$595:$K$702,2,FALSE),"")</f>
        <v>No Residencial</v>
      </c>
      <c r="G119" s="297" t="str">
        <f>IFERROR(VLOOKUP($E119,'Info planes y paquetes'!$C$593:$K$702,3,FALSE),"")</f>
        <v>Telefonía fija + Internet fijo</v>
      </c>
      <c r="H119" s="263" t="s">
        <v>172</v>
      </c>
      <c r="I119" s="132"/>
      <c r="J119" s="132"/>
      <c r="K119" s="132"/>
      <c r="L119" s="132"/>
      <c r="M119" s="343">
        <f>IFERROR(VLOOKUP($E119&amp;$F119,'Info planes y paquetes'!$A$595:$L$702,M$18,FALSE),0)/(SUMIFS('Info planes y paquetes'!$H$595:$H$702,'Info planes y paquetes'!$E$595:$E$702,"Telefonía fija + Internet fijo")+SUMIFS('Info planes y paquetes'!$H$595:$H$702,'Info planes y paquetes'!$E$595:$E$702,"Internet fijo"))</f>
        <v>1.9876252746892789E-4</v>
      </c>
      <c r="N119" s="343">
        <f>IFERROR(VLOOKUP($E119&amp;$F119,'Info planes y paquetes'!$A$595:$L$702,N$18,FALSE),0)/(SUMIFS('Info planes y paquetes'!$K$595:$K$702,'Info planes y paquetes'!$E$595:$E$702,"Telefonía fija + Internet fijo")+SUMIFS('Info planes y paquetes'!$K$595:$K$702,'Info planes y paquetes'!$E$595:$E$702,"Internet fijo"))</f>
        <v>2.272427620379764E-4</v>
      </c>
      <c r="O119" s="343"/>
      <c r="R119" s="102" t="s">
        <v>189</v>
      </c>
      <c r="V119" s="57"/>
      <c r="W119" s="567"/>
      <c r="X119" s="568"/>
      <c r="Y119" s="57"/>
    </row>
    <row r="120" spans="3:25" s="262" customFormat="1" ht="12" x14ac:dyDescent="0.25">
      <c r="C120" s="579" t="str">
        <f t="shared" si="4"/>
        <v>Velocidad Simétrica Telmex Negocio Sin Límites 2No Residencial</v>
      </c>
      <c r="D120" s="297">
        <f t="shared" si="6"/>
        <v>100</v>
      </c>
      <c r="E120" s="101" t="str">
        <v>Velocidad Simétrica Telmex Negocio Sin Límites 2</v>
      </c>
      <c r="F120" s="297" t="str">
        <f>IFERROR(VLOOKUP($E120,'Info planes y paquetes'!$C$595:$K$702,2,FALSE),"")</f>
        <v>No Residencial</v>
      </c>
      <c r="G120" s="297" t="str">
        <f>IFERROR(VLOOKUP($E120,'Info planes y paquetes'!$C$593:$K$702,3,FALSE),"")</f>
        <v>Telefonía fija + Internet fijo</v>
      </c>
      <c r="H120" s="263" t="s">
        <v>172</v>
      </c>
      <c r="I120" s="132"/>
      <c r="J120" s="132"/>
      <c r="K120" s="132"/>
      <c r="L120" s="132"/>
      <c r="M120" s="343">
        <f>IFERROR(VLOOKUP($E120&amp;$F120,'Info planes y paquetes'!$A$595:$L$702,M$18,FALSE),0)/(SUMIFS('Info planes y paquetes'!$H$595:$H$702,'Info planes y paquetes'!$E$595:$E$702,"Telefonía fija + Internet fijo")+SUMIFS('Info planes y paquetes'!$H$595:$H$702,'Info planes y paquetes'!$E$595:$E$702,"Internet fijo"))</f>
        <v>2.5795512969321676E-4</v>
      </c>
      <c r="N120" s="343">
        <f>IFERROR(VLOOKUP($E120&amp;$F120,'Info planes y paquetes'!$A$595:$L$702,N$18,FALSE),0)/(SUMIFS('Info planes y paquetes'!$K$595:$K$702,'Info planes y paquetes'!$E$595:$E$702,"Telefonía fija + Internet fijo")+SUMIFS('Info planes y paquetes'!$K$595:$K$702,'Info planes y paquetes'!$E$595:$E$702,"Internet fijo"))</f>
        <v>3.3135124182924025E-4</v>
      </c>
      <c r="O120" s="343"/>
      <c r="R120" s="102" t="s">
        <v>189</v>
      </c>
      <c r="V120" s="57"/>
      <c r="W120" s="567"/>
      <c r="X120" s="568"/>
      <c r="Y120" s="57"/>
    </row>
    <row r="121" spans="3:25" s="262" customFormat="1" ht="12" x14ac:dyDescent="0.25">
      <c r="C121" s="579" t="str">
        <f t="shared" si="4"/>
        <v>Velocidad Simétrica Telmex Negocio Sin Límites 3No Residencial</v>
      </c>
      <c r="D121" s="297">
        <f t="shared" si="6"/>
        <v>101</v>
      </c>
      <c r="E121" s="101" t="str">
        <v>Velocidad Simétrica Telmex Negocio Sin Límites 3</v>
      </c>
      <c r="F121" s="297" t="str">
        <f>IFERROR(VLOOKUP($E121,'Info planes y paquetes'!$C$595:$K$702,2,FALSE),"")</f>
        <v>No Residencial</v>
      </c>
      <c r="G121" s="297" t="str">
        <f>IFERROR(VLOOKUP($E121,'Info planes y paquetes'!$C$593:$K$702,3,FALSE),"")</f>
        <v>Telefonía fija + Internet fijo</v>
      </c>
      <c r="H121" s="263" t="s">
        <v>172</v>
      </c>
      <c r="I121" s="132"/>
      <c r="J121" s="132"/>
      <c r="K121" s="132"/>
      <c r="L121" s="132"/>
      <c r="M121" s="343">
        <f>IFERROR(VLOOKUP($E121&amp;$F121,'Info planes y paquetes'!$A$595:$L$702,M$18,FALSE),0)/(SUMIFS('Info planes y paquetes'!$H$595:$H$702,'Info planes y paquetes'!$E$595:$E$702,"Telefonía fija + Internet fijo")+SUMIFS('Info planes y paquetes'!$H$595:$H$702,'Info planes y paquetes'!$E$595:$E$702,"Internet fijo"))</f>
        <v>2.6498703281459843E-4</v>
      </c>
      <c r="N121" s="343">
        <f>IFERROR(VLOOKUP($E121&amp;$F121,'Info planes y paquetes'!$A$595:$L$702,N$18,FALSE),0)/(SUMIFS('Info planes y paquetes'!$K$595:$K$702,'Info planes y paquetes'!$E$595:$E$702,"Telefonía fija + Internet fijo")+SUMIFS('Info planes y paquetes'!$K$595:$K$702,'Info planes y paquetes'!$E$595:$E$702,"Internet fijo"))</f>
        <v>2.0128232130437346E-4</v>
      </c>
      <c r="O121" s="343"/>
      <c r="R121" s="102" t="s">
        <v>189</v>
      </c>
      <c r="V121" s="57"/>
      <c r="W121" s="567"/>
      <c r="X121" s="568"/>
      <c r="Y121" s="57"/>
    </row>
    <row r="122" spans="3:25" s="262" customFormat="1" ht="12" x14ac:dyDescent="0.25">
      <c r="C122" s="579" t="str">
        <f t="shared" si="4"/>
        <v>Velocidad Simétrica Conectes Negocio Netflix (1 dispositivo)No Residencial</v>
      </c>
      <c r="D122" s="297">
        <f t="shared" si="6"/>
        <v>102</v>
      </c>
      <c r="E122" s="101" t="str">
        <v>Velocidad Simétrica Conectes Negocio Netflix (1 dispositivo)</v>
      </c>
      <c r="F122" s="297" t="str">
        <f>IFERROR(VLOOKUP($E122,'Info planes y paquetes'!$C$595:$K$702,2,FALSE),"")</f>
        <v>No Residencial</v>
      </c>
      <c r="G122" s="297" t="str">
        <f>IFERROR(VLOOKUP($E122,'Info planes y paquetes'!$C$593:$K$702,3,FALSE),"")</f>
        <v>Telefonía fija + Internet fijo</v>
      </c>
      <c r="H122" s="263" t="s">
        <v>172</v>
      </c>
      <c r="I122" s="132"/>
      <c r="J122" s="132"/>
      <c r="K122" s="132"/>
      <c r="L122" s="132"/>
      <c r="M122" s="343">
        <f>IFERROR(VLOOKUP($E122&amp;$F122,'Info planes y paquetes'!$A$595:$L$702,M$18,FALSE),0)/(SUMIFS('Info planes y paquetes'!$H$595:$H$702,'Info planes y paquetes'!$E$595:$E$702,"Telefonía fija + Internet fijo")+SUMIFS('Info planes y paquetes'!$H$595:$H$702,'Info planes y paquetes'!$E$595:$E$702,"Internet fijo"))</f>
        <v>0</v>
      </c>
      <c r="N122" s="343">
        <f>IFERROR(VLOOKUP($E122&amp;$F122,'Info planes y paquetes'!$A$595:$L$702,N$18,FALSE),0)/(SUMIFS('Info planes y paquetes'!$K$595:$K$702,'Info planes y paquetes'!$E$595:$E$702,"Telefonía fija + Internet fijo")+SUMIFS('Info planes y paquetes'!$K$595:$K$702,'Info planes y paquetes'!$E$595:$E$702,"Internet fijo"))</f>
        <v>4.4452809475347492E-7</v>
      </c>
      <c r="O122" s="343"/>
      <c r="R122" s="102" t="s">
        <v>189</v>
      </c>
      <c r="V122" s="57"/>
      <c r="W122" s="567"/>
      <c r="X122" s="568"/>
      <c r="Y122" s="57"/>
    </row>
    <row r="123" spans="3:25" s="262" customFormat="1" ht="12" x14ac:dyDescent="0.25">
      <c r="C123" s="579" t="str">
        <f t="shared" si="4"/>
        <v>Velocidad Simétrica Conectes Negocio Netflix (2 dispositivos)No Residencial</v>
      </c>
      <c r="D123" s="297">
        <f t="shared" si="6"/>
        <v>103</v>
      </c>
      <c r="E123" s="101" t="str">
        <v>Velocidad Simétrica Conectes Negocio Netflix (2 dispositivos)</v>
      </c>
      <c r="F123" s="297" t="str">
        <f>IFERROR(VLOOKUP($E123,'Info planes y paquetes'!$C$595:$K$702,2,FALSE),"")</f>
        <v>No Residencial</v>
      </c>
      <c r="G123" s="297" t="str">
        <f>IFERROR(VLOOKUP($E123,'Info planes y paquetes'!$C$593:$K$702,3,FALSE),"")</f>
        <v>Telefonía fija + Internet fijo</v>
      </c>
      <c r="H123" s="263" t="s">
        <v>172</v>
      </c>
      <c r="I123" s="132"/>
      <c r="J123" s="132"/>
      <c r="K123" s="132"/>
      <c r="L123" s="132"/>
      <c r="M123" s="343">
        <f>IFERROR(VLOOKUP($E123&amp;$F123,'Info planes y paquetes'!$A$595:$L$702,M$18,FALSE),0)/(SUMIFS('Info planes y paquetes'!$H$595:$H$702,'Info planes y paquetes'!$E$595:$E$702,"Telefonía fija + Internet fijo")+SUMIFS('Info planes y paquetes'!$H$595:$H$702,'Info planes y paquetes'!$E$595:$E$702,"Internet fijo"))</f>
        <v>0</v>
      </c>
      <c r="N123" s="343">
        <f>IFERROR(VLOOKUP($E123&amp;$F123,'Info planes y paquetes'!$A$595:$L$702,N$18,FALSE),0)/(SUMIFS('Info planes y paquetes'!$K$595:$K$702,'Info planes y paquetes'!$E$595:$E$702,"Telefonía fija + Internet fijo")+SUMIFS('Info planes y paquetes'!$K$595:$K$702,'Info planes y paquetes'!$E$595:$E$702,"Internet fijo"))</f>
        <v>4.4452809475347492E-7</v>
      </c>
      <c r="O123" s="343"/>
      <c r="R123" s="102" t="s">
        <v>189</v>
      </c>
      <c r="V123" s="57"/>
      <c r="W123" s="567"/>
      <c r="X123" s="568"/>
      <c r="Y123" s="57"/>
    </row>
    <row r="124" spans="3:25" s="262" customFormat="1" ht="12" x14ac:dyDescent="0.25">
      <c r="C124" s="579" t="str">
        <f t="shared" si="4"/>
        <v>Velocidad Simétrica Conectes Negocio Netflix (4 dispositivos)No Residencial</v>
      </c>
      <c r="D124" s="297">
        <f t="shared" si="6"/>
        <v>104</v>
      </c>
      <c r="E124" s="101" t="str">
        <v>Velocidad Simétrica Conectes Negocio Netflix (4 dispositivos)</v>
      </c>
      <c r="F124" s="297" t="str">
        <f>IFERROR(VLOOKUP($E124,'Info planes y paquetes'!$C$595:$K$702,2,FALSE),"")</f>
        <v>No Residencial</v>
      </c>
      <c r="G124" s="297" t="str">
        <f>IFERROR(VLOOKUP($E124,'Info planes y paquetes'!$C$593:$K$702,3,FALSE),"")</f>
        <v>Telefonía fija + Internet fijo</v>
      </c>
      <c r="H124" s="263" t="s">
        <v>172</v>
      </c>
      <c r="I124" s="132"/>
      <c r="J124" s="132"/>
      <c r="K124" s="132"/>
      <c r="L124" s="132"/>
      <c r="M124" s="343">
        <f>IFERROR(VLOOKUP($E124&amp;$F124,'Info planes y paquetes'!$A$595:$L$702,M$18,FALSE),0)/(SUMIFS('Info planes y paquetes'!$H$595:$H$702,'Info planes y paquetes'!$E$595:$E$702,"Telefonía fija + Internet fijo")+SUMIFS('Info planes y paquetes'!$H$595:$H$702,'Info planes y paquetes'!$E$595:$E$702,"Internet fijo"))</f>
        <v>0</v>
      </c>
      <c r="N124" s="343">
        <f>IFERROR(VLOOKUP($E124&amp;$F124,'Info planes y paquetes'!$A$595:$L$702,N$18,FALSE),0)/(SUMIFS('Info planes y paquetes'!$K$595:$K$702,'Info planes y paquetes'!$E$595:$E$702,"Telefonía fija + Internet fijo")+SUMIFS('Info planes y paquetes'!$K$595:$K$702,'Info planes y paquetes'!$E$595:$E$702,"Internet fijo"))</f>
        <v>3.5562247580277996E-7</v>
      </c>
      <c r="O124" s="343"/>
      <c r="R124" s="102" t="s">
        <v>189</v>
      </c>
      <c r="V124" s="57"/>
      <c r="W124" s="567"/>
      <c r="X124" s="568"/>
      <c r="Y124" s="57"/>
    </row>
    <row r="125" spans="3:25" s="262" customFormat="1" ht="12" x14ac:dyDescent="0.25">
      <c r="C125" s="579" t="str">
        <f t="shared" si="4"/>
        <v>Velocidad Simétrica Mi Negocio Netflix (2 dispositivos)No Residencial</v>
      </c>
      <c r="D125" s="297">
        <f t="shared" si="6"/>
        <v>105</v>
      </c>
      <c r="E125" s="101" t="str">
        <v>Velocidad Simétrica Mi Negocio Netflix (2 dispositivos)</v>
      </c>
      <c r="F125" s="297" t="str">
        <f>IFERROR(VLOOKUP($E125,'Info planes y paquetes'!$C$595:$K$702,2,FALSE),"")</f>
        <v>No Residencial</v>
      </c>
      <c r="G125" s="297" t="str">
        <f>IFERROR(VLOOKUP($E125,'Info planes y paquetes'!$C$593:$K$702,3,FALSE),"")</f>
        <v>Telefonía fija + Internet fijo</v>
      </c>
      <c r="H125" s="263" t="s">
        <v>172</v>
      </c>
      <c r="I125" s="132"/>
      <c r="J125" s="132"/>
      <c r="K125" s="132"/>
      <c r="L125" s="132"/>
      <c r="M125" s="343">
        <f>IFERROR(VLOOKUP($E125&amp;$F125,'Info planes y paquetes'!$A$595:$L$702,M$18,FALSE),0)/(SUMIFS('Info planes y paquetes'!$H$595:$H$702,'Info planes y paquetes'!$E$595:$E$702,"Telefonía fija + Internet fijo")+SUMIFS('Info planes y paquetes'!$H$595:$H$702,'Info planes y paquetes'!$E$595:$E$702,"Internet fijo"))</f>
        <v>8.901143191622387E-8</v>
      </c>
      <c r="N125" s="343">
        <f>IFERROR(VLOOKUP($E125&amp;$F125,'Info planes y paquetes'!$A$595:$L$702,N$18,FALSE),0)/(SUMIFS('Info planes y paquetes'!$K$595:$K$702,'Info planes y paquetes'!$E$595:$E$702,"Telefonía fija + Internet fijo")+SUMIFS('Info planes y paquetes'!$K$595:$K$702,'Info planes y paquetes'!$E$595:$E$702,"Internet fijo"))</f>
        <v>1.6003011411125099E-6</v>
      </c>
      <c r="O125" s="343"/>
      <c r="R125" s="102" t="s">
        <v>189</v>
      </c>
      <c r="V125" s="57"/>
      <c r="W125" s="567"/>
      <c r="X125" s="568"/>
      <c r="Y125" s="57"/>
    </row>
    <row r="126" spans="3:25" s="262" customFormat="1" ht="12" x14ac:dyDescent="0.25">
      <c r="C126" s="579" t="str">
        <f t="shared" si="4"/>
        <v>Velocidad Simétrica Mi Negocio Netflix (4 dispositivos)No Residencial</v>
      </c>
      <c r="D126" s="297">
        <f t="shared" si="6"/>
        <v>106</v>
      </c>
      <c r="E126" s="101" t="str">
        <v>Velocidad Simétrica Mi Negocio Netflix (4 dispositivos)</v>
      </c>
      <c r="F126" s="297" t="str">
        <f>IFERROR(VLOOKUP($E126,'Info planes y paquetes'!$C$595:$K$702,2,FALSE),"")</f>
        <v>No Residencial</v>
      </c>
      <c r="G126" s="297" t="str">
        <f>IFERROR(VLOOKUP($E126,'Info planes y paquetes'!$C$593:$K$702,3,FALSE),"")</f>
        <v>Telefonía fija + Internet fijo</v>
      </c>
      <c r="H126" s="263" t="s">
        <v>172</v>
      </c>
      <c r="I126" s="132"/>
      <c r="J126" s="132"/>
      <c r="K126" s="132"/>
      <c r="L126" s="132"/>
      <c r="M126" s="343">
        <f>IFERROR(VLOOKUP($E126&amp;$F126,'Info planes y paquetes'!$A$595:$L$702,M$18,FALSE),0)/(SUMIFS('Info planes y paquetes'!$H$595:$H$702,'Info planes y paquetes'!$E$595:$E$702,"Telefonía fija + Internet fijo")+SUMIFS('Info planes y paquetes'!$H$595:$H$702,'Info planes y paquetes'!$E$595:$E$702,"Internet fijo"))</f>
        <v>8.901143191622387E-8</v>
      </c>
      <c r="N126" s="343">
        <f>IFERROR(VLOOKUP($E126&amp;$F126,'Info planes y paquetes'!$A$595:$L$702,N$18,FALSE),0)/(SUMIFS('Info planes y paquetes'!$K$595:$K$702,'Info planes y paquetes'!$E$595:$E$702,"Telefonía fija + Internet fijo")+SUMIFS('Info planes y paquetes'!$K$595:$K$702,'Info planes y paquetes'!$E$595:$E$702,"Internet fijo"))</f>
        <v>3.5562247580277996E-7</v>
      </c>
      <c r="O126" s="343"/>
      <c r="R126" s="102" t="s">
        <v>189</v>
      </c>
      <c r="V126" s="57"/>
      <c r="W126" s="567"/>
      <c r="X126" s="568"/>
      <c r="Y126" s="57"/>
    </row>
    <row r="127" spans="3:25" s="262" customFormat="1" ht="12" x14ac:dyDescent="0.25">
      <c r="C127" s="579" t="str">
        <f t="shared" si="4"/>
        <v>Velocidad Simétrica Supernegocio Netflix (2 dispositivos)No Residencial</v>
      </c>
      <c r="D127" s="297">
        <f t="shared" si="6"/>
        <v>107</v>
      </c>
      <c r="E127" s="101" t="str">
        <v>Velocidad Simétrica Supernegocio Netflix (2 dispositivos)</v>
      </c>
      <c r="F127" s="297" t="str">
        <f>IFERROR(VLOOKUP($E127,'Info planes y paquetes'!$C$595:$K$702,2,FALSE),"")</f>
        <v>No Residencial</v>
      </c>
      <c r="G127" s="297" t="str">
        <f>IFERROR(VLOOKUP($E127,'Info planes y paquetes'!$C$593:$K$702,3,FALSE),"")</f>
        <v>Telefonía fija + Internet fijo</v>
      </c>
      <c r="H127" s="263" t="s">
        <v>172</v>
      </c>
      <c r="I127" s="132"/>
      <c r="J127" s="132"/>
      <c r="K127" s="132"/>
      <c r="L127" s="132"/>
      <c r="M127" s="343">
        <f>IFERROR(VLOOKUP($E127&amp;$F127,'Info planes y paquetes'!$A$595:$L$702,M$18,FALSE),0)/(SUMIFS('Info planes y paquetes'!$H$595:$H$702,'Info planes y paquetes'!$E$595:$E$702,"Telefonía fija + Internet fijo")+SUMIFS('Info planes y paquetes'!$H$595:$H$702,'Info planes y paquetes'!$E$595:$E$702,"Internet fijo"))</f>
        <v>5.3406859149734322E-7</v>
      </c>
      <c r="N127" s="343">
        <f>IFERROR(VLOOKUP($E127&amp;$F127,'Info planes y paquetes'!$A$595:$L$702,N$18,FALSE),0)/(SUMIFS('Info planes y paquetes'!$K$595:$K$702,'Info planes y paquetes'!$E$595:$E$702,"Telefonía fija + Internet fijo")+SUMIFS('Info planes y paquetes'!$K$595:$K$702,'Info planes y paquetes'!$E$595:$E$702,"Internet fijo"))</f>
        <v>3.3784135201264095E-6</v>
      </c>
      <c r="O127" s="343"/>
      <c r="R127" s="102" t="s">
        <v>189</v>
      </c>
      <c r="V127" s="57"/>
      <c r="W127" s="567"/>
      <c r="X127" s="568"/>
      <c r="Y127" s="57"/>
    </row>
    <row r="128" spans="3:25" s="262" customFormat="1" ht="12.5" thickBot="1" x14ac:dyDescent="0.3">
      <c r="C128" s="579" t="str">
        <f t="shared" si="4"/>
        <v>Velocidad Simétrica Supernegocio Netflix (4 dispositivos)No Residencial</v>
      </c>
      <c r="D128" s="297">
        <f t="shared" si="6"/>
        <v>108</v>
      </c>
      <c r="E128" s="101" t="str">
        <v>Velocidad Simétrica Supernegocio Netflix (4 dispositivos)</v>
      </c>
      <c r="F128" s="297" t="str">
        <f>IFERROR(VLOOKUP($E128,'Info planes y paquetes'!$C$595:$K$702,2,FALSE),"")</f>
        <v>No Residencial</v>
      </c>
      <c r="G128" s="297" t="str">
        <f>IFERROR(VLOOKUP($E128,'Info planes y paquetes'!$C$593:$K$702,3,FALSE),"")</f>
        <v>Telefonía fija + Internet fijo</v>
      </c>
      <c r="H128" s="263" t="s">
        <v>172</v>
      </c>
      <c r="I128" s="132"/>
      <c r="J128" s="132"/>
      <c r="K128" s="132"/>
      <c r="L128" s="132"/>
      <c r="M128" s="343">
        <f>IFERROR(VLOOKUP($E128&amp;$F128,'Info planes y paquetes'!$A$595:$L$702,M$18,FALSE),0)/(SUMIFS('Info planes y paquetes'!$H$595:$H$702,'Info planes y paquetes'!$E$595:$E$702,"Telefonía fija + Internet fijo")+SUMIFS('Info planes y paquetes'!$H$595:$H$702,'Info planes y paquetes'!$E$595:$E$702,"Internet fijo"))</f>
        <v>3.5604572766489548E-7</v>
      </c>
      <c r="N128" s="343">
        <f>IFERROR(VLOOKUP($E128&amp;$F128,'Info planes y paquetes'!$A$595:$L$702,N$18,FALSE),0)/(SUMIFS('Info planes y paquetes'!$K$595:$K$702,'Info planes y paquetes'!$E$595:$E$702,"Telefonía fija + Internet fijo")+SUMIFS('Info planes y paquetes'!$K$595:$K$702,'Info planes y paquetes'!$E$595:$E$702,"Internet fijo"))</f>
        <v>4.0007528527812748E-6</v>
      </c>
      <c r="O128" s="343"/>
      <c r="R128" s="102" t="s">
        <v>189</v>
      </c>
      <c r="V128" s="57"/>
      <c r="W128" s="567"/>
      <c r="X128" s="568"/>
      <c r="Y128" s="57"/>
    </row>
    <row r="129" spans="4:18" s="262" customFormat="1" hidden="1" outlineLevel="1" x14ac:dyDescent="0.25">
      <c r="D129" s="297">
        <f t="shared" si="6"/>
        <v>109</v>
      </c>
      <c r="E129" s="101"/>
      <c r="F129" s="95"/>
      <c r="G129" s="95"/>
      <c r="H129" s="263"/>
      <c r="I129" s="132"/>
      <c r="J129" s="132"/>
      <c r="K129" s="132"/>
      <c r="L129" s="132"/>
      <c r="M129" s="343"/>
      <c r="N129" s="343"/>
      <c r="O129" s="343"/>
      <c r="R129" s="102"/>
    </row>
    <row r="130" spans="4:18" s="262" customFormat="1" hidden="1" outlineLevel="1" x14ac:dyDescent="0.25">
      <c r="D130" s="297">
        <f t="shared" si="6"/>
        <v>110</v>
      </c>
      <c r="E130" s="101"/>
      <c r="F130" s="95"/>
      <c r="G130" s="95"/>
      <c r="H130" s="263"/>
      <c r="I130" s="132"/>
      <c r="J130" s="132"/>
      <c r="K130" s="132"/>
      <c r="L130" s="132"/>
      <c r="M130" s="343"/>
      <c r="N130" s="343"/>
      <c r="O130" s="343"/>
      <c r="R130" s="102"/>
    </row>
    <row r="131" spans="4:18" s="262" customFormat="1" hidden="1" outlineLevel="1" x14ac:dyDescent="0.25">
      <c r="D131" s="297">
        <f t="shared" si="6"/>
        <v>111</v>
      </c>
      <c r="E131" s="101"/>
      <c r="F131" s="95"/>
      <c r="G131" s="95"/>
      <c r="H131" s="263"/>
      <c r="I131" s="132"/>
      <c r="J131" s="132"/>
      <c r="K131" s="132"/>
      <c r="L131" s="132"/>
      <c r="M131" s="343"/>
      <c r="N131" s="343"/>
      <c r="O131" s="343"/>
      <c r="R131" s="102"/>
    </row>
    <row r="132" spans="4:18" s="262" customFormat="1" hidden="1" outlineLevel="1" x14ac:dyDescent="0.25">
      <c r="D132" s="297">
        <f t="shared" si="6"/>
        <v>112</v>
      </c>
      <c r="E132" s="101"/>
      <c r="F132" s="95"/>
      <c r="G132" s="95"/>
      <c r="H132" s="263"/>
      <c r="I132" s="132"/>
      <c r="J132" s="132"/>
      <c r="K132" s="132"/>
      <c r="L132" s="132"/>
      <c r="M132" s="343"/>
      <c r="N132" s="343"/>
      <c r="O132" s="343"/>
      <c r="R132" s="102"/>
    </row>
    <row r="133" spans="4:18" s="262" customFormat="1" hidden="1" outlineLevel="1" x14ac:dyDescent="0.25">
      <c r="D133" s="297">
        <f t="shared" si="6"/>
        <v>113</v>
      </c>
      <c r="E133" s="101"/>
      <c r="F133" s="95"/>
      <c r="G133" s="95"/>
      <c r="H133" s="263"/>
      <c r="I133" s="132"/>
      <c r="J133" s="132"/>
      <c r="K133" s="132"/>
      <c r="L133" s="132"/>
      <c r="M133" s="343"/>
      <c r="N133" s="343"/>
      <c r="O133" s="343"/>
      <c r="R133" s="102"/>
    </row>
    <row r="134" spans="4:18" s="262" customFormat="1" hidden="1" outlineLevel="1" x14ac:dyDescent="0.25">
      <c r="D134" s="297">
        <f t="shared" si="6"/>
        <v>114</v>
      </c>
      <c r="E134" s="101"/>
      <c r="F134" s="95"/>
      <c r="G134" s="95"/>
      <c r="H134" s="263"/>
      <c r="I134" s="132"/>
      <c r="J134" s="132"/>
      <c r="K134" s="132"/>
      <c r="L134" s="132"/>
      <c r="M134" s="343"/>
      <c r="N134" s="343"/>
      <c r="O134" s="343"/>
      <c r="R134" s="102"/>
    </row>
    <row r="135" spans="4:18" s="262" customFormat="1" hidden="1" outlineLevel="1" x14ac:dyDescent="0.25">
      <c r="D135" s="297">
        <f t="shared" si="6"/>
        <v>115</v>
      </c>
      <c r="E135" s="101"/>
      <c r="F135" s="95"/>
      <c r="G135" s="95"/>
      <c r="H135" s="263"/>
      <c r="I135" s="132"/>
      <c r="J135" s="132"/>
      <c r="K135" s="132"/>
      <c r="L135" s="132"/>
      <c r="M135" s="343"/>
      <c r="N135" s="343"/>
      <c r="O135" s="343"/>
      <c r="R135" s="102"/>
    </row>
    <row r="136" spans="4:18" s="262" customFormat="1" hidden="1" outlineLevel="1" x14ac:dyDescent="0.25">
      <c r="D136" s="297">
        <f t="shared" si="6"/>
        <v>116</v>
      </c>
      <c r="E136" s="101"/>
      <c r="F136" s="95"/>
      <c r="G136" s="95"/>
      <c r="H136" s="263"/>
      <c r="I136" s="132"/>
      <c r="J136" s="132"/>
      <c r="K136" s="132"/>
      <c r="L136" s="132"/>
      <c r="M136" s="343"/>
      <c r="N136" s="343"/>
      <c r="O136" s="343"/>
      <c r="R136" s="102"/>
    </row>
    <row r="137" spans="4:18" s="262" customFormat="1" hidden="1" outlineLevel="1" x14ac:dyDescent="0.25">
      <c r="D137" s="297">
        <f t="shared" si="6"/>
        <v>117</v>
      </c>
      <c r="E137" s="101"/>
      <c r="F137" s="95"/>
      <c r="G137" s="95"/>
      <c r="H137" s="263"/>
      <c r="I137" s="132"/>
      <c r="J137" s="132"/>
      <c r="K137" s="132"/>
      <c r="L137" s="132"/>
      <c r="M137" s="343"/>
      <c r="N137" s="343"/>
      <c r="O137" s="343"/>
      <c r="R137" s="102"/>
    </row>
    <row r="138" spans="4:18" s="262" customFormat="1" hidden="1" outlineLevel="1" x14ac:dyDescent="0.25">
      <c r="D138" s="297">
        <f t="shared" si="6"/>
        <v>118</v>
      </c>
      <c r="E138" s="101"/>
      <c r="F138" s="95"/>
      <c r="G138" s="95"/>
      <c r="H138" s="263"/>
      <c r="I138" s="132"/>
      <c r="J138" s="132"/>
      <c r="K138" s="132"/>
      <c r="L138" s="132"/>
      <c r="M138" s="343"/>
      <c r="N138" s="343"/>
      <c r="O138" s="343"/>
      <c r="R138" s="102"/>
    </row>
    <row r="139" spans="4:18" s="262" customFormat="1" hidden="1" outlineLevel="1" x14ac:dyDescent="0.25">
      <c r="D139" s="297">
        <f t="shared" si="6"/>
        <v>119</v>
      </c>
      <c r="E139" s="101"/>
      <c r="F139" s="95"/>
      <c r="G139" s="95"/>
      <c r="H139" s="263"/>
      <c r="I139" s="132"/>
      <c r="J139" s="132"/>
      <c r="K139" s="132"/>
      <c r="L139" s="132"/>
      <c r="M139" s="343"/>
      <c r="N139" s="343"/>
      <c r="O139" s="343"/>
      <c r="R139" s="102"/>
    </row>
    <row r="140" spans="4:18" s="262" customFormat="1" hidden="1" outlineLevel="1" x14ac:dyDescent="0.25">
      <c r="D140" s="297">
        <f t="shared" si="6"/>
        <v>120</v>
      </c>
      <c r="E140" s="101"/>
      <c r="F140" s="95"/>
      <c r="G140" s="95"/>
      <c r="H140" s="263"/>
      <c r="I140" s="132"/>
      <c r="J140" s="132"/>
      <c r="K140" s="132"/>
      <c r="L140" s="132"/>
      <c r="M140" s="343"/>
      <c r="N140" s="343"/>
      <c r="O140" s="343"/>
      <c r="R140" s="102"/>
    </row>
    <row r="141" spans="4:18" s="262" customFormat="1" ht="12" hidden="1" outlineLevel="1" thickBot="1" x14ac:dyDescent="0.3">
      <c r="D141" s="297">
        <f t="shared" si="6"/>
        <v>121</v>
      </c>
      <c r="E141" s="101"/>
      <c r="F141" s="95"/>
      <c r="G141" s="95"/>
      <c r="H141" s="263"/>
      <c r="I141" s="132"/>
      <c r="J141" s="132"/>
      <c r="K141" s="132"/>
      <c r="L141" s="132"/>
      <c r="M141" s="343"/>
      <c r="N141" s="343"/>
      <c r="O141" s="343"/>
      <c r="R141" s="102"/>
    </row>
    <row r="142" spans="4:18" s="44" customFormat="1" ht="12" collapsed="1" x14ac:dyDescent="0.25">
      <c r="E142" s="109"/>
      <c r="F142" s="41"/>
      <c r="G142" s="41"/>
      <c r="H142" s="270"/>
      <c r="I142" s="41"/>
      <c r="J142" s="41"/>
      <c r="K142" s="41"/>
      <c r="L142" s="270"/>
      <c r="M142" s="41"/>
      <c r="N142" s="270"/>
      <c r="O142" s="270"/>
      <c r="P142" s="458" t="s">
        <v>248</v>
      </c>
      <c r="Q142" s="41"/>
      <c r="R142" s="41"/>
    </row>
    <row r="143" spans="4:18" s="44" customFormat="1" x14ac:dyDescent="0.25">
      <c r="L143" s="262"/>
    </row>
    <row r="144" spans="4:18" s="44" customFormat="1" x14ac:dyDescent="0.25"/>
    <row r="145" spans="3:18" s="44" customFormat="1" x14ac:dyDescent="0.25">
      <c r="C145" s="102" t="s">
        <v>196</v>
      </c>
      <c r="D145" s="102"/>
    </row>
    <row r="146" spans="3:18" s="44" customFormat="1" x14ac:dyDescent="0.25">
      <c r="C146" s="102"/>
      <c r="D146" s="102"/>
    </row>
    <row r="147" spans="3:18" s="44" customFormat="1" x14ac:dyDescent="0.25">
      <c r="E147" s="1" t="s">
        <v>180</v>
      </c>
      <c r="F147" s="1" t="s">
        <v>182</v>
      </c>
      <c r="G147" s="1" t="s">
        <v>181</v>
      </c>
      <c r="H147" s="1" t="s">
        <v>167</v>
      </c>
      <c r="I147" s="1">
        <f t="array" ref="I147:O147">TRANSPOSE(Years)</f>
        <v>2017</v>
      </c>
      <c r="J147" s="1">
        <v>2018</v>
      </c>
      <c r="K147" s="1">
        <v>2019</v>
      </c>
      <c r="L147" s="1">
        <v>2020</v>
      </c>
      <c r="M147" s="1">
        <v>2021</v>
      </c>
      <c r="N147" s="268">
        <v>2022</v>
      </c>
      <c r="O147" s="569" t="e">
        <v>#N/A</v>
      </c>
      <c r="P147" s="1" t="s">
        <v>168</v>
      </c>
      <c r="Q147" s="1"/>
      <c r="R147" s="1" t="s">
        <v>170</v>
      </c>
    </row>
    <row r="148" spans="3:18" s="44" customFormat="1" x14ac:dyDescent="0.25">
      <c r="I148" s="112">
        <f>SUM(I149:I198)</f>
        <v>0</v>
      </c>
      <c r="J148" s="112">
        <f>SUM(J149:J198)</f>
        <v>0</v>
      </c>
      <c r="K148" s="112">
        <f>SUM(K149:K216)</f>
        <v>0</v>
      </c>
      <c r="L148" s="112">
        <f>SUM(L149:L274)</f>
        <v>0</v>
      </c>
      <c r="M148" s="112">
        <f>SUM(M149:M274)</f>
        <v>10022554.000000009</v>
      </c>
      <c r="N148" s="112">
        <f>SUM(N149:N274)</f>
        <v>10036608.999999998</v>
      </c>
      <c r="O148" s="112"/>
    </row>
    <row r="149" spans="3:18" s="44" customFormat="1" ht="12" x14ac:dyDescent="0.25">
      <c r="C149" s="579" t="str">
        <f>E149&amp;F149</f>
        <v>Infinitum 50Residencial</v>
      </c>
      <c r="D149" s="96">
        <v>1</v>
      </c>
      <c r="E149" s="101" t="str">
        <f t="array" ref="E149:E256">vector.broadband.plans.names</f>
        <v>Infinitum 50</v>
      </c>
      <c r="F149" s="101" t="str">
        <f>F21</f>
        <v>Residencial</v>
      </c>
      <c r="G149" s="101" t="str">
        <f>G21</f>
        <v>Internet fijo</v>
      </c>
      <c r="H149" s="77" t="s">
        <v>188</v>
      </c>
      <c r="I149" s="111"/>
      <c r="J149" s="111"/>
      <c r="K149" s="111"/>
      <c r="L149" s="111"/>
      <c r="M149" s="344">
        <f t="shared" ref="M149:N177" si="7">IFERROR(M$10*M21,"")</f>
        <v>586351.56820963835</v>
      </c>
      <c r="N149" s="344">
        <f t="shared" si="7"/>
        <v>984549.11669422593</v>
      </c>
      <c r="O149" s="344"/>
      <c r="R149" s="102"/>
    </row>
    <row r="150" spans="3:18" s="44" customFormat="1" ht="12" x14ac:dyDescent="0.25">
      <c r="C150" s="579" t="str">
        <f t="shared" ref="C150:C213" si="8">E150&amp;F150</f>
        <v>Infinitum 500Residencial</v>
      </c>
      <c r="D150" s="95">
        <f>1+D149</f>
        <v>2</v>
      </c>
      <c r="E150" s="101" t="str">
        <v>Infinitum 500</v>
      </c>
      <c r="F150" s="101" t="str">
        <f t="shared" ref="F150:G213" si="9">F22</f>
        <v>Residencial</v>
      </c>
      <c r="G150" s="101" t="str">
        <f t="shared" ref="G150:G177" si="10">G22</f>
        <v>Internet fijo</v>
      </c>
      <c r="H150" s="77" t="s">
        <v>188</v>
      </c>
      <c r="I150" s="111"/>
      <c r="J150" s="111"/>
      <c r="K150" s="111"/>
      <c r="L150" s="111"/>
      <c r="M150" s="344">
        <f t="shared" si="7"/>
        <v>7443.8649917326184</v>
      </c>
      <c r="N150" s="344">
        <f t="shared" ref="N150" si="11">IFERROR(N$10*N22,"")</f>
        <v>6048.0835195387435</v>
      </c>
      <c r="O150" s="344"/>
      <c r="R150" s="102"/>
    </row>
    <row r="151" spans="3:18" s="44" customFormat="1" ht="12" x14ac:dyDescent="0.25">
      <c r="C151" s="579" t="str">
        <f t="shared" si="8"/>
        <v>Infinitum 60Residencial</v>
      </c>
      <c r="D151" s="95">
        <f t="shared" ref="D151:D214" si="12">1+D150</f>
        <v>3</v>
      </c>
      <c r="E151" s="101" t="str">
        <v>Infinitum 60</v>
      </c>
      <c r="F151" s="101" t="str">
        <f t="shared" si="9"/>
        <v>Residencial</v>
      </c>
      <c r="G151" s="101" t="str">
        <f t="shared" si="10"/>
        <v>Internet fijo</v>
      </c>
      <c r="H151" s="77" t="s">
        <v>188</v>
      </c>
      <c r="I151" s="111"/>
      <c r="J151" s="111"/>
      <c r="K151" s="111"/>
      <c r="L151" s="111"/>
      <c r="M151" s="344">
        <f t="shared" si="7"/>
        <v>142027.58801699619</v>
      </c>
      <c r="N151" s="344">
        <f t="shared" ref="N151" si="13">IFERROR(N$10*N23,"")</f>
        <v>169954.89460496698</v>
      </c>
      <c r="O151" s="344"/>
      <c r="R151" s="102"/>
    </row>
    <row r="152" spans="3:18" s="44" customFormat="1" ht="12" x14ac:dyDescent="0.25">
      <c r="C152" s="579" t="str">
        <f t="shared" si="8"/>
        <v>Infinitum 100Residencial</v>
      </c>
      <c r="D152" s="95">
        <f t="shared" si="12"/>
        <v>4</v>
      </c>
      <c r="E152" s="101" t="str">
        <v>Infinitum 100</v>
      </c>
      <c r="F152" s="101" t="str">
        <f t="shared" si="9"/>
        <v>Residencial</v>
      </c>
      <c r="G152" s="101" t="str">
        <f t="shared" si="10"/>
        <v>Internet fijo</v>
      </c>
      <c r="H152" s="77" t="s">
        <v>188</v>
      </c>
      <c r="I152" s="111"/>
      <c r="J152" s="111"/>
      <c r="K152" s="111"/>
      <c r="L152" s="111"/>
      <c r="M152" s="344">
        <f t="shared" si="7"/>
        <v>0</v>
      </c>
      <c r="N152" s="344">
        <f t="shared" ref="N152" si="14">IFERROR(N$10*N24,"")</f>
        <v>4963.9257331357376</v>
      </c>
      <c r="O152" s="344"/>
      <c r="R152" s="102"/>
    </row>
    <row r="153" spans="3:18" s="44" customFormat="1" ht="12" x14ac:dyDescent="0.25">
      <c r="C153" s="579" t="str">
        <f t="shared" si="8"/>
        <v>Infinitum 200Residencial</v>
      </c>
      <c r="D153" s="95">
        <f t="shared" si="12"/>
        <v>5</v>
      </c>
      <c r="E153" s="101" t="str">
        <v>Infinitum 200</v>
      </c>
      <c r="F153" s="101" t="str">
        <f t="shared" si="9"/>
        <v>Residencial</v>
      </c>
      <c r="G153" s="101" t="str">
        <f t="shared" si="10"/>
        <v>Internet fijo</v>
      </c>
      <c r="H153" s="77" t="s">
        <v>188</v>
      </c>
      <c r="I153" s="111"/>
      <c r="J153" s="111"/>
      <c r="K153" s="111"/>
      <c r="L153" s="111"/>
      <c r="M153" s="344">
        <f t="shared" si="7"/>
        <v>61677.738502927401</v>
      </c>
      <c r="N153" s="344">
        <f t="shared" ref="N153" si="15">IFERROR(N$10*N25,"")</f>
        <v>67009.874309058869</v>
      </c>
      <c r="O153" s="344"/>
      <c r="R153" s="102"/>
    </row>
    <row r="154" spans="3:18" s="44" customFormat="1" ht="12" x14ac:dyDescent="0.25">
      <c r="C154" s="579" t="str">
        <f t="shared" si="8"/>
        <v>Infinitum 279Residencial</v>
      </c>
      <c r="D154" s="95">
        <f t="shared" si="12"/>
        <v>6</v>
      </c>
      <c r="E154" s="101" t="str">
        <v>Infinitum 279</v>
      </c>
      <c r="F154" s="101" t="str">
        <f t="shared" si="9"/>
        <v>Residencial</v>
      </c>
      <c r="G154" s="101" t="str">
        <f t="shared" si="10"/>
        <v>Internet fijo</v>
      </c>
      <c r="H154" s="77" t="s">
        <v>188</v>
      </c>
      <c r="I154" s="111"/>
      <c r="J154" s="111"/>
      <c r="K154" s="111"/>
      <c r="L154" s="111"/>
      <c r="M154" s="344">
        <f t="shared" si="7"/>
        <v>21194.139574375815</v>
      </c>
      <c r="N154" s="344">
        <f t="shared" ref="N154" si="16">IFERROR(N$10*N26,"")</f>
        <v>16131.197088554352</v>
      </c>
      <c r="O154" s="344"/>
      <c r="R154" s="102"/>
    </row>
    <row r="155" spans="3:18" s="44" customFormat="1" ht="12" x14ac:dyDescent="0.25">
      <c r="C155" s="579" t="str">
        <f t="shared" si="8"/>
        <v>Infinitum 299Residencial</v>
      </c>
      <c r="D155" s="95">
        <f t="shared" si="12"/>
        <v>7</v>
      </c>
      <c r="E155" s="101" t="str">
        <v>Infinitum 299</v>
      </c>
      <c r="F155" s="101" t="str">
        <f t="shared" si="9"/>
        <v>Residencial</v>
      </c>
      <c r="G155" s="101" t="str">
        <f t="shared" si="10"/>
        <v>Internet fijo</v>
      </c>
      <c r="H155" s="77" t="s">
        <v>188</v>
      </c>
      <c r="I155" s="111"/>
      <c r="J155" s="111"/>
      <c r="K155" s="111"/>
      <c r="L155" s="111"/>
      <c r="M155" s="344">
        <f t="shared" si="7"/>
        <v>160.5819389395819</v>
      </c>
      <c r="N155" s="344">
        <f t="shared" ref="N155" si="17">IFERROR(N$10*N27,"")</f>
        <v>257.87786030491247</v>
      </c>
      <c r="O155" s="344"/>
      <c r="R155" s="102"/>
    </row>
    <row r="156" spans="3:18" s="44" customFormat="1" ht="12" x14ac:dyDescent="0.25">
      <c r="C156" s="579" t="str">
        <f t="shared" si="8"/>
        <v>Infinitum 299No Residencial</v>
      </c>
      <c r="D156" s="95">
        <f t="shared" si="12"/>
        <v>8</v>
      </c>
      <c r="E156" s="101" t="str">
        <v>Infinitum 299</v>
      </c>
      <c r="F156" s="101" t="str">
        <f t="shared" si="9"/>
        <v>No Residencial</v>
      </c>
      <c r="G156" s="101" t="str">
        <f t="shared" si="10"/>
        <v>Internet fijo</v>
      </c>
      <c r="H156" s="77" t="s">
        <v>188</v>
      </c>
      <c r="I156" s="111"/>
      <c r="J156" s="111"/>
      <c r="K156" s="111"/>
      <c r="L156" s="111"/>
      <c r="M156" s="344">
        <f t="shared" si="7"/>
        <v>1338.1828244965157</v>
      </c>
      <c r="N156" s="344">
        <f t="shared" ref="N156" si="18">IFERROR(N$10*N28,"")</f>
        <v>1070.773122373339</v>
      </c>
      <c r="O156" s="344"/>
      <c r="R156" s="102"/>
    </row>
    <row r="157" spans="3:18" s="44" customFormat="1" ht="12" x14ac:dyDescent="0.25">
      <c r="C157" s="579" t="str">
        <f t="shared" si="8"/>
        <v>Infinitum Negocio 20 MbNo Residencial</v>
      </c>
      <c r="D157" s="95">
        <f t="shared" si="12"/>
        <v>9</v>
      </c>
      <c r="E157" s="101" t="str">
        <v>Infinitum Negocio 20 Mb</v>
      </c>
      <c r="F157" s="101" t="str">
        <f t="shared" si="9"/>
        <v>No Residencial</v>
      </c>
      <c r="G157" s="101" t="str">
        <f t="shared" si="10"/>
        <v>Internet fijo</v>
      </c>
      <c r="H157" s="77" t="s">
        <v>188</v>
      </c>
      <c r="I157" s="111"/>
      <c r="J157" s="111"/>
      <c r="K157" s="111"/>
      <c r="L157" s="111"/>
      <c r="M157" s="344">
        <f t="shared" si="7"/>
        <v>17502.539222531428</v>
      </c>
      <c r="N157" s="344">
        <f t="shared" ref="N157" si="19">IFERROR(N$10*N29,"")</f>
        <v>37217.396800891336</v>
      </c>
      <c r="O157" s="344"/>
      <c r="R157" s="102"/>
    </row>
    <row r="158" spans="3:18" s="44" customFormat="1" ht="12" x14ac:dyDescent="0.25">
      <c r="C158" s="579" t="str">
        <f t="shared" si="8"/>
        <v>Infinitum Negocio 60No Residencial</v>
      </c>
      <c r="D158" s="95">
        <f t="shared" si="12"/>
        <v>10</v>
      </c>
      <c r="E158" s="101" t="str">
        <v>Infinitum Negocio 60</v>
      </c>
      <c r="F158" s="101" t="str">
        <f t="shared" si="9"/>
        <v>No Residencial</v>
      </c>
      <c r="G158" s="101" t="str">
        <f t="shared" si="10"/>
        <v>Internet fijo</v>
      </c>
      <c r="H158" s="77" t="s">
        <v>188</v>
      </c>
      <c r="I158" s="111"/>
      <c r="J158" s="111"/>
      <c r="K158" s="111"/>
      <c r="L158" s="111"/>
      <c r="M158" s="344">
        <f t="shared" si="7"/>
        <v>11564.575969298889</v>
      </c>
      <c r="N158" s="344">
        <f t="shared" ref="N158" si="20">IFERROR(N$10*N30,"")</f>
        <v>10572.992272501413</v>
      </c>
      <c r="O158" s="344"/>
      <c r="R158" s="102"/>
    </row>
    <row r="159" spans="3:18" s="44" customFormat="1" ht="12" x14ac:dyDescent="0.25">
      <c r="C159" s="579" t="str">
        <f t="shared" si="8"/>
        <v>Infinitum Negocio 200No Residencial</v>
      </c>
      <c r="D159" s="95">
        <f t="shared" si="12"/>
        <v>11</v>
      </c>
      <c r="E159" s="101" t="str">
        <v>Infinitum Negocio 200</v>
      </c>
      <c r="F159" s="101" t="str">
        <f t="shared" si="9"/>
        <v>No Residencial</v>
      </c>
      <c r="G159" s="101" t="str">
        <f t="shared" si="10"/>
        <v>Internet fijo</v>
      </c>
      <c r="H159" s="77" t="s">
        <v>188</v>
      </c>
      <c r="I159" s="111"/>
      <c r="J159" s="111"/>
      <c r="K159" s="111"/>
      <c r="L159" s="111"/>
      <c r="M159" s="344">
        <f t="shared" si="7"/>
        <v>6001.3039069253737</v>
      </c>
      <c r="N159" s="344">
        <f t="shared" ref="N159" si="21">IFERROR(N$10*N31,"")</f>
        <v>8325.261026452712</v>
      </c>
      <c r="O159" s="344"/>
      <c r="R159" s="102"/>
    </row>
    <row r="160" spans="3:18" s="44" customFormat="1" ht="12" x14ac:dyDescent="0.25">
      <c r="C160" s="579" t="str">
        <f t="shared" si="8"/>
        <v>Infinitum Negocio 500No Residencial</v>
      </c>
      <c r="D160" s="95">
        <f t="shared" si="12"/>
        <v>12</v>
      </c>
      <c r="E160" s="101" t="str">
        <v>Infinitum Negocio 500</v>
      </c>
      <c r="F160" s="101" t="str">
        <f t="shared" si="9"/>
        <v>No Residencial</v>
      </c>
      <c r="G160" s="101" t="str">
        <f t="shared" si="10"/>
        <v>Internet fijo</v>
      </c>
      <c r="H160" s="77" t="s">
        <v>188</v>
      </c>
      <c r="I160" s="111"/>
      <c r="J160" s="111"/>
      <c r="K160" s="111"/>
      <c r="L160" s="111"/>
      <c r="M160" s="344">
        <f t="shared" si="7"/>
        <v>1989.4317990848201</v>
      </c>
      <c r="N160" s="344">
        <f t="shared" ref="N160" si="22">IFERROR(N$10*N32,"")</f>
        <v>2068.3767480511665</v>
      </c>
      <c r="O160" s="344"/>
      <c r="R160" s="102"/>
    </row>
    <row r="161" spans="3:18" s="44" customFormat="1" ht="12" x14ac:dyDescent="0.25">
      <c r="C161" s="579" t="str">
        <f t="shared" si="8"/>
        <v>Paquete 249Residencial</v>
      </c>
      <c r="D161" s="95">
        <f t="shared" si="12"/>
        <v>13</v>
      </c>
      <c r="E161" s="101" t="str">
        <v>Paquete 249</v>
      </c>
      <c r="F161" s="101" t="str">
        <f t="shared" si="9"/>
        <v>Residencial</v>
      </c>
      <c r="G161" s="101" t="str">
        <f t="shared" si="10"/>
        <v>Telefonía fija + Internet fijo</v>
      </c>
      <c r="H161" s="77" t="s">
        <v>188</v>
      </c>
      <c r="I161" s="111"/>
      <c r="J161" s="111"/>
      <c r="K161" s="111"/>
      <c r="L161" s="111"/>
      <c r="M161" s="344">
        <f t="shared" si="7"/>
        <v>165389.58376705638</v>
      </c>
      <c r="N161" s="344">
        <f t="shared" ref="N161" si="23">IFERROR(N$10*N33,"")</f>
        <v>139818.8773867047</v>
      </c>
      <c r="O161" s="344"/>
      <c r="R161" s="102"/>
    </row>
    <row r="162" spans="3:18" s="44" customFormat="1" ht="12" x14ac:dyDescent="0.25">
      <c r="C162" s="579" t="str">
        <f t="shared" si="8"/>
        <v>Paquete 289Residencial</v>
      </c>
      <c r="D162" s="95">
        <f t="shared" si="12"/>
        <v>14</v>
      </c>
      <c r="E162" s="101" t="str">
        <v>Paquete 289</v>
      </c>
      <c r="F162" s="101" t="str">
        <f t="shared" si="9"/>
        <v>Residencial</v>
      </c>
      <c r="G162" s="101" t="str">
        <f t="shared" si="10"/>
        <v>Telefonía fija + Internet fijo</v>
      </c>
      <c r="H162" s="77" t="s">
        <v>188</v>
      </c>
      <c r="I162" s="111"/>
      <c r="J162" s="111"/>
      <c r="K162" s="111"/>
      <c r="L162" s="111"/>
      <c r="M162" s="344">
        <f t="shared" si="7"/>
        <v>89569.037052966785</v>
      </c>
      <c r="N162" s="344">
        <f t="shared" ref="N162" si="24">IFERROR(N$10*N34,"")</f>
        <v>49971.196999293112</v>
      </c>
      <c r="O162" s="344"/>
      <c r="R162" s="102"/>
    </row>
    <row r="163" spans="3:18" s="44" customFormat="1" ht="12" x14ac:dyDescent="0.25">
      <c r="C163" s="579" t="str">
        <f t="shared" si="8"/>
        <v>Paquete 435Residencial</v>
      </c>
      <c r="D163" s="95">
        <f t="shared" si="12"/>
        <v>15</v>
      </c>
      <c r="E163" s="101" t="str">
        <v>Paquete 435</v>
      </c>
      <c r="F163" s="101" t="str">
        <f t="shared" si="9"/>
        <v>Residencial</v>
      </c>
      <c r="G163" s="101" t="str">
        <f t="shared" si="10"/>
        <v>Telefonía fija + Internet fijo</v>
      </c>
      <c r="H163" s="77" t="s">
        <v>188</v>
      </c>
      <c r="I163" s="111"/>
      <c r="J163" s="111"/>
      <c r="K163" s="111"/>
      <c r="L163" s="111"/>
      <c r="M163" s="344">
        <f t="shared" si="7"/>
        <v>317439.26901764848</v>
      </c>
      <c r="N163" s="344">
        <f t="shared" ref="N163" si="25">IFERROR(N$10*N35,"")</f>
        <v>242090.20292645291</v>
      </c>
      <c r="O163" s="344"/>
      <c r="R163" s="102"/>
    </row>
    <row r="164" spans="3:18" s="44" customFormat="1" ht="12" x14ac:dyDescent="0.25">
      <c r="C164" s="579" t="str">
        <f t="shared" si="8"/>
        <v>Paquete 499Residencial</v>
      </c>
      <c r="D164" s="95">
        <f t="shared" si="12"/>
        <v>16</v>
      </c>
      <c r="E164" s="101" t="str">
        <v>Paquete 499</v>
      </c>
      <c r="F164" s="101" t="str">
        <f t="shared" si="9"/>
        <v>Residencial</v>
      </c>
      <c r="G164" s="101" t="str">
        <f t="shared" si="10"/>
        <v>Telefonía fija + Internet fijo</v>
      </c>
      <c r="H164" s="77" t="s">
        <v>188</v>
      </c>
      <c r="I164" s="111"/>
      <c r="J164" s="111"/>
      <c r="K164" s="111"/>
      <c r="L164" s="111"/>
      <c r="M164" s="344">
        <f t="shared" si="7"/>
        <v>152721.45302848934</v>
      </c>
      <c r="N164" s="344">
        <f t="shared" ref="N164" si="26">IFERROR(N$10*N36,"")</f>
        <v>189313.58034654165</v>
      </c>
      <c r="O164" s="344"/>
      <c r="R164" s="102"/>
    </row>
    <row r="165" spans="3:18" s="44" customFormat="1" ht="12" x14ac:dyDescent="0.25">
      <c r="C165" s="579" t="str">
        <f t="shared" si="8"/>
        <v>Paquete 599Residencial</v>
      </c>
      <c r="D165" s="95">
        <f t="shared" si="12"/>
        <v>17</v>
      </c>
      <c r="E165" s="101" t="str">
        <v>Paquete 599</v>
      </c>
      <c r="F165" s="101" t="str">
        <f t="shared" si="9"/>
        <v>Residencial</v>
      </c>
      <c r="G165" s="101" t="str">
        <f t="shared" si="10"/>
        <v>Telefonía fija + Internet fijo</v>
      </c>
      <c r="H165" s="77" t="s">
        <v>188</v>
      </c>
      <c r="I165" s="111"/>
      <c r="J165" s="111"/>
      <c r="K165" s="111"/>
      <c r="L165" s="111"/>
      <c r="M165" s="344">
        <f t="shared" si="7"/>
        <v>501423.34919202543</v>
      </c>
      <c r="N165" s="344">
        <f t="shared" ref="N165" si="27">IFERROR(N$10*N37,"")</f>
        <v>346263.9353802845</v>
      </c>
      <c r="O165" s="344"/>
      <c r="R165" s="102"/>
    </row>
    <row r="166" spans="3:18" s="44" customFormat="1" ht="12" x14ac:dyDescent="0.25">
      <c r="C166" s="579" t="str">
        <f t="shared" si="8"/>
        <v>Paquete 389Residencial</v>
      </c>
      <c r="D166" s="95">
        <f t="shared" si="12"/>
        <v>18</v>
      </c>
      <c r="E166" s="101" t="str">
        <v>Paquete 389</v>
      </c>
      <c r="F166" s="101" t="str">
        <f t="shared" si="9"/>
        <v>Residencial</v>
      </c>
      <c r="G166" s="101" t="str">
        <f t="shared" si="10"/>
        <v>Telefonía fija + Internet fijo</v>
      </c>
      <c r="H166" s="77" t="s">
        <v>188</v>
      </c>
      <c r="I166" s="111"/>
      <c r="J166" s="111"/>
      <c r="K166" s="111"/>
      <c r="L166" s="111"/>
      <c r="M166" s="344">
        <f t="shared" si="7"/>
        <v>5520874.8620059332</v>
      </c>
      <c r="N166" s="344">
        <f t="shared" ref="N166" si="28">IFERROR(N$10*N38,"")</f>
        <v>4912368.0072934618</v>
      </c>
      <c r="O166" s="344"/>
      <c r="R166" s="102"/>
    </row>
    <row r="167" spans="3:18" s="44" customFormat="1" ht="12" x14ac:dyDescent="0.25">
      <c r="C167" s="579" t="str">
        <f t="shared" si="8"/>
        <v>Paquete Conectes NegocioNo Residencial</v>
      </c>
      <c r="D167" s="95">
        <f t="shared" si="12"/>
        <v>19</v>
      </c>
      <c r="E167" s="101" t="str">
        <v>Paquete Conectes Negocio</v>
      </c>
      <c r="F167" s="101" t="str">
        <f t="shared" si="9"/>
        <v>No Residencial</v>
      </c>
      <c r="G167" s="101" t="str">
        <f t="shared" si="10"/>
        <v>Telefonía fija + Internet fijo</v>
      </c>
      <c r="H167" s="77" t="s">
        <v>188</v>
      </c>
      <c r="I167" s="111"/>
      <c r="J167" s="111"/>
      <c r="K167" s="111"/>
      <c r="L167" s="111"/>
      <c r="M167" s="344">
        <f t="shared" si="7"/>
        <v>538064.57917050598</v>
      </c>
      <c r="N167" s="344">
        <f t="shared" ref="N167" si="29">IFERROR(N$10*N39,"")</f>
        <v>412137.00555775693</v>
      </c>
      <c r="O167" s="344"/>
      <c r="R167" s="102"/>
    </row>
    <row r="168" spans="3:18" s="44" customFormat="1" ht="12" x14ac:dyDescent="0.25">
      <c r="C168" s="579" t="str">
        <f t="shared" si="8"/>
        <v>Paquete 1499Residencial</v>
      </c>
      <c r="D168" s="95">
        <f t="shared" si="12"/>
        <v>20</v>
      </c>
      <c r="E168" s="101" t="str">
        <v>Paquete 1499</v>
      </c>
      <c r="F168" s="101" t="str">
        <f t="shared" si="9"/>
        <v>Residencial</v>
      </c>
      <c r="G168" s="101" t="str">
        <f t="shared" si="10"/>
        <v>Telefonía fija + Internet fijo</v>
      </c>
      <c r="H168" s="77" t="s">
        <v>188</v>
      </c>
      <c r="I168" s="111"/>
      <c r="J168" s="111"/>
      <c r="K168" s="111"/>
      <c r="L168" s="111"/>
      <c r="M168" s="344">
        <f t="shared" si="7"/>
        <v>10009.607527233939</v>
      </c>
      <c r="N168" s="344">
        <f t="shared" ref="N168" si="30">IFERROR(N$10*N40,"")</f>
        <v>12590.507297239845</v>
      </c>
      <c r="O168" s="344"/>
      <c r="R168" s="102"/>
    </row>
    <row r="169" spans="3:18" s="44" customFormat="1" ht="12" x14ac:dyDescent="0.25">
      <c r="C169" s="579" t="str">
        <f t="shared" si="8"/>
        <v>Paquete 333Residencial</v>
      </c>
      <c r="D169" s="95">
        <f t="shared" si="12"/>
        <v>21</v>
      </c>
      <c r="E169" s="101" t="str">
        <v>Paquete 333</v>
      </c>
      <c r="F169" s="101" t="str">
        <f t="shared" si="9"/>
        <v>Residencial</v>
      </c>
      <c r="G169" s="101" t="str">
        <f t="shared" si="10"/>
        <v>Telefonía fija + Internet fijo</v>
      </c>
      <c r="H169" s="77" t="s">
        <v>188</v>
      </c>
      <c r="I169" s="111"/>
      <c r="J169" s="111"/>
      <c r="K169" s="111"/>
      <c r="L169" s="111"/>
      <c r="M169" s="344">
        <f t="shared" si="7"/>
        <v>108384.7796872708</v>
      </c>
      <c r="N169" s="344">
        <f t="shared" ref="N169" si="31">IFERROR(N$10*N41,"")</f>
        <v>104188.0094287965</v>
      </c>
      <c r="O169" s="344"/>
      <c r="R169" s="102"/>
    </row>
    <row r="170" spans="3:18" s="44" customFormat="1" ht="12" x14ac:dyDescent="0.25">
      <c r="C170" s="579" t="str">
        <f t="shared" si="8"/>
        <v>Paquete Mi NegocioNo Residencial</v>
      </c>
      <c r="D170" s="95">
        <f t="shared" si="12"/>
        <v>22</v>
      </c>
      <c r="E170" s="101" t="str">
        <v>Paquete Mi Negocio</v>
      </c>
      <c r="F170" s="101" t="str">
        <f t="shared" si="9"/>
        <v>No Residencial</v>
      </c>
      <c r="G170" s="101" t="str">
        <f t="shared" si="10"/>
        <v>Telefonía fija + Internet fijo</v>
      </c>
      <c r="H170" s="77" t="s">
        <v>188</v>
      </c>
      <c r="I170" s="111"/>
      <c r="J170" s="111"/>
      <c r="K170" s="111"/>
      <c r="L170" s="111"/>
      <c r="M170" s="344">
        <f t="shared" si="7"/>
        <v>442141.85006682976</v>
      </c>
      <c r="N170" s="344">
        <f t="shared" ref="N170" si="32">IFERROR(N$10*N42,"")</f>
        <v>437975.65331156098</v>
      </c>
      <c r="O170" s="344"/>
      <c r="R170" s="102"/>
    </row>
    <row r="171" spans="3:18" s="44" customFormat="1" ht="12" x14ac:dyDescent="0.25">
      <c r="C171" s="579" t="str">
        <f t="shared" si="8"/>
        <v>Paquete SuperNegocioNo Residencial</v>
      </c>
      <c r="D171" s="95">
        <f t="shared" si="12"/>
        <v>23</v>
      </c>
      <c r="E171" s="101" t="str">
        <v>Paquete SuperNegocio</v>
      </c>
      <c r="F171" s="101" t="str">
        <f t="shared" si="9"/>
        <v>No Residencial</v>
      </c>
      <c r="G171" s="101" t="str">
        <f t="shared" si="10"/>
        <v>Telefonía fija + Internet fijo</v>
      </c>
      <c r="H171" s="77" t="s">
        <v>188</v>
      </c>
      <c r="I171" s="111"/>
      <c r="J171" s="111"/>
      <c r="K171" s="111"/>
      <c r="L171" s="111"/>
      <c r="M171" s="344">
        <f t="shared" si="7"/>
        <v>211446.26809869445</v>
      </c>
      <c r="N171" s="344">
        <f t="shared" ref="N171" si="33">IFERROR(N$10*N43,"")</f>
        <v>219396.05890868531</v>
      </c>
      <c r="O171" s="344"/>
      <c r="R171" s="102"/>
    </row>
    <row r="172" spans="3:18" s="44" customFormat="1" ht="12" x14ac:dyDescent="0.25">
      <c r="C172" s="579" t="str">
        <f t="shared" si="8"/>
        <v>Paquete Infinitum 500Residencial</v>
      </c>
      <c r="D172" s="95">
        <f t="shared" si="12"/>
        <v>24</v>
      </c>
      <c r="E172" s="101" t="str">
        <v>Paquete Infinitum 500</v>
      </c>
      <c r="F172" s="101" t="str">
        <f t="shared" si="9"/>
        <v>Residencial</v>
      </c>
      <c r="G172" s="101" t="str">
        <f t="shared" si="10"/>
        <v>Telefonía fija + Internet fijo</v>
      </c>
      <c r="H172" s="77" t="s">
        <v>188</v>
      </c>
      <c r="I172" s="111"/>
      <c r="J172" s="111"/>
      <c r="K172" s="111"/>
      <c r="L172" s="111"/>
      <c r="M172" s="344">
        <f t="shared" si="7"/>
        <v>43628.328566118405</v>
      </c>
      <c r="N172" s="344">
        <f t="shared" ref="N172" si="34">IFERROR(N$10*N44,"")</f>
        <v>36280.47031881466</v>
      </c>
      <c r="O172" s="344"/>
      <c r="R172" s="102"/>
    </row>
    <row r="173" spans="3:18" s="44" customFormat="1" ht="12" x14ac:dyDescent="0.25">
      <c r="C173" s="579" t="str">
        <f t="shared" si="8"/>
        <v>Paquete Telmex Negocio Sin Límites 1No Residencial</v>
      </c>
      <c r="D173" s="95">
        <f t="shared" si="12"/>
        <v>25</v>
      </c>
      <c r="E173" s="101" t="str">
        <v>Paquete Telmex Negocio Sin Límites 1</v>
      </c>
      <c r="F173" s="101" t="str">
        <f t="shared" si="9"/>
        <v>No Residencial</v>
      </c>
      <c r="G173" s="101" t="str">
        <f t="shared" si="10"/>
        <v>Telefonía fija + Internet fijo</v>
      </c>
      <c r="H173" s="77" t="s">
        <v>188</v>
      </c>
      <c r="I173" s="111"/>
      <c r="J173" s="111"/>
      <c r="K173" s="111"/>
      <c r="L173" s="111"/>
      <c r="M173" s="344">
        <f t="shared" si="7"/>
        <v>50011.460638966782</v>
      </c>
      <c r="N173" s="344">
        <f t="shared" ref="N173" si="35">IFERROR(N$10*N45,"")</f>
        <v>49561.626279985314</v>
      </c>
      <c r="O173" s="344"/>
      <c r="R173" s="102"/>
    </row>
    <row r="174" spans="3:18" s="44" customFormat="1" ht="12" x14ac:dyDescent="0.25">
      <c r="C174" s="579" t="str">
        <f t="shared" si="8"/>
        <v>Paquete Telmex Negocio Sin Límites 2No Residencial</v>
      </c>
      <c r="D174" s="95">
        <f t="shared" si="12"/>
        <v>26</v>
      </c>
      <c r="E174" s="101" t="str">
        <v>Paquete Telmex Negocio Sin Límites 2</v>
      </c>
      <c r="F174" s="101" t="str">
        <f t="shared" si="9"/>
        <v>No Residencial</v>
      </c>
      <c r="G174" s="101" t="str">
        <f t="shared" si="10"/>
        <v>Telefonía fija + Internet fijo</v>
      </c>
      <c r="H174" s="77" t="s">
        <v>188</v>
      </c>
      <c r="I174" s="111"/>
      <c r="J174" s="111"/>
      <c r="K174" s="111"/>
      <c r="L174" s="111"/>
      <c r="M174" s="344">
        <f t="shared" si="7"/>
        <v>16622.014924012721</v>
      </c>
      <c r="N174" s="344">
        <f t="shared" ref="N174" si="36">IFERROR(N$10*N46,"")</f>
        <v>26222.341455987764</v>
      </c>
      <c r="O174" s="344"/>
      <c r="R174" s="102"/>
    </row>
    <row r="175" spans="3:18" s="44" customFormat="1" ht="12" x14ac:dyDescent="0.25">
      <c r="C175" s="579" t="str">
        <f t="shared" si="8"/>
        <v>Paquete Telmex Negocio Sin Límites 3No Residencial</v>
      </c>
      <c r="D175" s="95">
        <f t="shared" si="12"/>
        <v>27</v>
      </c>
      <c r="E175" s="101" t="str">
        <v>Paquete Telmex Negocio Sin Límites 3</v>
      </c>
      <c r="F175" s="101" t="str">
        <f t="shared" si="9"/>
        <v>No Residencial</v>
      </c>
      <c r="G175" s="101" t="str">
        <f t="shared" si="10"/>
        <v>Telefonía fija + Internet fijo</v>
      </c>
      <c r="H175" s="77" t="s">
        <v>188</v>
      </c>
      <c r="I175" s="111"/>
      <c r="J175" s="111"/>
      <c r="K175" s="111"/>
      <c r="L175" s="111"/>
      <c r="M175" s="344">
        <f t="shared" si="7"/>
        <v>16059.086015841185</v>
      </c>
      <c r="N175" s="344">
        <f t="shared" ref="N175" si="37">IFERROR(N$10*N47,"")</f>
        <v>19040.130737668591</v>
      </c>
      <c r="O175" s="344"/>
      <c r="R175" s="102"/>
    </row>
    <row r="176" spans="3:18" s="44" customFormat="1" ht="12" x14ac:dyDescent="0.25">
      <c r="C176" s="579" t="str">
        <f t="shared" si="8"/>
        <v>Infinitum NegocioNo Residencial</v>
      </c>
      <c r="D176" s="95">
        <f t="shared" si="12"/>
        <v>28</v>
      </c>
      <c r="E176" s="101" t="str">
        <v>Infinitum Negocio</v>
      </c>
      <c r="F176" s="101" t="str">
        <f t="shared" si="9"/>
        <v>No Residencial</v>
      </c>
      <c r="G176" s="101" t="str">
        <f t="shared" si="10"/>
        <v>Internet fijo</v>
      </c>
      <c r="H176" s="77" t="s">
        <v>188</v>
      </c>
      <c r="I176" s="111"/>
      <c r="J176" s="111"/>
      <c r="K176" s="111"/>
      <c r="L176" s="111"/>
      <c r="M176" s="344">
        <f t="shared" si="7"/>
        <v>55919.091748177401</v>
      </c>
      <c r="N176" s="344">
        <f t="shared" ref="N176" si="38">IFERROR(N$10*N48,"")</f>
        <v>62887.397787921516</v>
      </c>
      <c r="O176" s="344"/>
      <c r="R176" s="102"/>
    </row>
    <row r="177" spans="3:18" s="44" customFormat="1" ht="12" x14ac:dyDescent="0.25">
      <c r="C177" s="579" t="str">
        <f t="shared" si="8"/>
        <v>Infinitum Negocio RedNo Residencial</v>
      </c>
      <c r="D177" s="95">
        <f t="shared" si="12"/>
        <v>29</v>
      </c>
      <c r="E177" s="101" t="str">
        <v>Infinitum Negocio Red</v>
      </c>
      <c r="F177" s="101" t="str">
        <f t="shared" si="9"/>
        <v>No Residencial</v>
      </c>
      <c r="G177" s="101" t="str">
        <f t="shared" si="10"/>
        <v>Internet fijo</v>
      </c>
      <c r="H177" s="77" t="s">
        <v>188</v>
      </c>
      <c r="I177" s="111"/>
      <c r="J177" s="111"/>
      <c r="K177" s="111"/>
      <c r="L177" s="111"/>
      <c r="M177" s="344">
        <f t="shared" si="7"/>
        <v>10863.368169262714</v>
      </c>
      <c r="N177" s="344">
        <f t="shared" ref="N177" si="39">IFERROR(N$10*N49,"")</f>
        <v>15760.888050400239</v>
      </c>
      <c r="O177" s="344"/>
      <c r="R177" s="102"/>
    </row>
    <row r="178" spans="3:18" s="44" customFormat="1" ht="12" x14ac:dyDescent="0.25">
      <c r="C178" s="579" t="str">
        <f t="shared" si="8"/>
        <v>Infinitum Negocio PremiumNo Residencial</v>
      </c>
      <c r="D178" s="95">
        <f t="shared" si="12"/>
        <v>30</v>
      </c>
      <c r="E178" s="101" t="str">
        <v>Infinitum Negocio Premium</v>
      </c>
      <c r="F178" s="101" t="str">
        <f t="shared" si="9"/>
        <v>No Residencial</v>
      </c>
      <c r="G178" s="101" t="str">
        <f t="shared" si="9"/>
        <v>Internet fijo</v>
      </c>
      <c r="H178" s="263" t="s">
        <v>188</v>
      </c>
      <c r="I178" s="111"/>
      <c r="J178" s="111"/>
      <c r="K178" s="111"/>
      <c r="L178" s="111"/>
      <c r="M178" s="344">
        <f t="shared" ref="M178:N178" si="40">IFERROR(M$10*M50,"")</f>
        <v>12915.248500157371</v>
      </c>
      <c r="N178" s="344">
        <f t="shared" si="40"/>
        <v>11509.918754578082</v>
      </c>
      <c r="O178" s="344"/>
      <c r="R178" s="102"/>
    </row>
    <row r="179" spans="3:18" s="44" customFormat="1" ht="12" x14ac:dyDescent="0.25">
      <c r="C179" s="579" t="str">
        <f t="shared" si="8"/>
        <v>Paquete Infinitum Play 20 (Netflix 1 dispositivo)Residencial</v>
      </c>
      <c r="D179" s="95">
        <f t="shared" si="12"/>
        <v>31</v>
      </c>
      <c r="E179" s="101" t="str">
        <v>Paquete Infinitum Play 20 (Netflix 1 dispositivo)</v>
      </c>
      <c r="F179" s="101" t="str">
        <f t="shared" si="9"/>
        <v>Residencial</v>
      </c>
      <c r="G179" s="101" t="str">
        <f t="shared" si="9"/>
        <v>Telefonía fija + Internet fijo</v>
      </c>
      <c r="H179" s="263" t="s">
        <v>188</v>
      </c>
      <c r="I179" s="111"/>
      <c r="J179" s="111"/>
      <c r="K179" s="111"/>
      <c r="L179" s="111"/>
      <c r="M179" s="344">
        <f t="shared" ref="M179:N179" si="41">IFERROR(M$10*M51,"")</f>
        <v>175883.61347675804</v>
      </c>
      <c r="N179" s="344">
        <f t="shared" si="41"/>
        <v>137929.85513665105</v>
      </c>
      <c r="O179" s="344"/>
      <c r="R179" s="102"/>
    </row>
    <row r="180" spans="3:18" s="44" customFormat="1" ht="12" x14ac:dyDescent="0.25">
      <c r="C180" s="579" t="str">
        <f t="shared" si="8"/>
        <v>Paquete Infinitum Play 20 (Netflix 2 dispositivos)Residencial</v>
      </c>
      <c r="D180" s="95">
        <f t="shared" si="12"/>
        <v>32</v>
      </c>
      <c r="E180" s="101" t="str">
        <v>Paquete Infinitum Play 20 (Netflix 2 dispositivos)</v>
      </c>
      <c r="F180" s="101" t="str">
        <f t="shared" si="9"/>
        <v>Residencial</v>
      </c>
      <c r="G180" s="101" t="str">
        <f t="shared" si="9"/>
        <v>Telefonía fija + Internet fijo</v>
      </c>
      <c r="H180" s="263" t="s">
        <v>188</v>
      </c>
      <c r="I180" s="111"/>
      <c r="J180" s="111"/>
      <c r="K180" s="111"/>
      <c r="L180" s="111"/>
      <c r="M180" s="344">
        <f t="shared" ref="M180:N180" si="42">IFERROR(M$10*M52,"")</f>
        <v>210985.93320706763</v>
      </c>
      <c r="N180" s="344">
        <f t="shared" si="42"/>
        <v>105712.0765063079</v>
      </c>
      <c r="O180" s="344"/>
      <c r="R180" s="102"/>
    </row>
    <row r="181" spans="3:18" s="44" customFormat="1" ht="12" x14ac:dyDescent="0.25">
      <c r="C181" s="579" t="str">
        <f t="shared" si="8"/>
        <v>Paquete Infinitum Play 20 (Netflix 4 dispositivos)Residencial</v>
      </c>
      <c r="D181" s="95">
        <f t="shared" si="12"/>
        <v>33</v>
      </c>
      <c r="E181" s="101" t="str">
        <v>Paquete Infinitum Play 20 (Netflix 4 dispositivos)</v>
      </c>
      <c r="F181" s="101" t="str">
        <f t="shared" si="9"/>
        <v>Residencial</v>
      </c>
      <c r="G181" s="101" t="str">
        <f t="shared" si="9"/>
        <v>Telefonía fija + Internet fijo</v>
      </c>
      <c r="H181" s="263" t="s">
        <v>188</v>
      </c>
      <c r="I181" s="111"/>
      <c r="J181" s="111"/>
      <c r="K181" s="111"/>
      <c r="L181" s="111"/>
      <c r="M181" s="344">
        <f t="shared" ref="M181:N181" si="43">IFERROR(M$10*M53,"")</f>
        <v>70754.186540545779</v>
      </c>
      <c r="N181" s="344">
        <f t="shared" si="43"/>
        <v>60340.742378543589</v>
      </c>
      <c r="O181" s="344"/>
      <c r="R181" s="102"/>
    </row>
    <row r="182" spans="3:18" s="44" customFormat="1" ht="12" x14ac:dyDescent="0.25">
      <c r="C182" s="579" t="str">
        <f t="shared" si="8"/>
        <v>Paquete Infinitum Play 30 (Netflix 2 dispositivos)Residencial</v>
      </c>
      <c r="D182" s="95">
        <f t="shared" si="12"/>
        <v>34</v>
      </c>
      <c r="E182" s="101" t="str">
        <v>Paquete Infinitum Play 30 (Netflix 2 dispositivos)</v>
      </c>
      <c r="F182" s="101" t="str">
        <f t="shared" si="9"/>
        <v>Residencial</v>
      </c>
      <c r="G182" s="101" t="str">
        <f t="shared" si="9"/>
        <v>Telefonía fija + Internet fijo</v>
      </c>
      <c r="H182" s="263" t="s">
        <v>188</v>
      </c>
      <c r="I182" s="111"/>
      <c r="J182" s="111"/>
      <c r="K182" s="111"/>
      <c r="L182" s="111"/>
      <c r="M182" s="344">
        <f t="shared" ref="M182:N182" si="44">IFERROR(M$10*M54,"")</f>
        <v>37893.769102209335</v>
      </c>
      <c r="N182" s="344">
        <f t="shared" si="44"/>
        <v>33653.506925258735</v>
      </c>
      <c r="O182" s="344"/>
      <c r="R182" s="102"/>
    </row>
    <row r="183" spans="3:18" s="44" customFormat="1" ht="12" x14ac:dyDescent="0.25">
      <c r="C183" s="579" t="str">
        <f t="shared" si="8"/>
        <v>Paquete Infinitum Play 30 (Netflix 4 dispositivos)Residencial</v>
      </c>
      <c r="D183" s="95">
        <f t="shared" si="12"/>
        <v>35</v>
      </c>
      <c r="E183" s="101" t="str">
        <v>Paquete Infinitum Play 30 (Netflix 4 dispositivos)</v>
      </c>
      <c r="F183" s="101" t="str">
        <f t="shared" si="9"/>
        <v>Residencial</v>
      </c>
      <c r="G183" s="101" t="str">
        <f t="shared" si="9"/>
        <v>Telefonía fija + Internet fijo</v>
      </c>
      <c r="H183" s="263" t="s">
        <v>188</v>
      </c>
      <c r="I183" s="111"/>
      <c r="J183" s="111"/>
      <c r="K183" s="111"/>
      <c r="L183" s="111"/>
      <c r="M183" s="344">
        <f t="shared" ref="M183:N183" si="45">IFERROR(M$10*M55,"")</f>
        <v>14232.020399461942</v>
      </c>
      <c r="N183" s="344">
        <f t="shared" si="45"/>
        <v>16348.028645834953</v>
      </c>
      <c r="O183" s="344"/>
      <c r="R183" s="102"/>
    </row>
    <row r="184" spans="3:18" s="44" customFormat="1" ht="12" x14ac:dyDescent="0.25">
      <c r="C184" s="579" t="str">
        <f t="shared" si="8"/>
        <v>Paquete Infinitum Play 40 (Netflix 2 dispositivos)Residencial</v>
      </c>
      <c r="D184" s="95">
        <f t="shared" si="12"/>
        <v>36</v>
      </c>
      <c r="E184" s="101" t="str">
        <v>Paquete Infinitum Play 40 (Netflix 2 dispositivos)</v>
      </c>
      <c r="F184" s="101" t="str">
        <f t="shared" si="9"/>
        <v>Residencial</v>
      </c>
      <c r="G184" s="101" t="str">
        <f t="shared" si="9"/>
        <v>Telefonía fija + Internet fijo</v>
      </c>
      <c r="H184" s="263" t="s">
        <v>188</v>
      </c>
      <c r="I184" s="111"/>
      <c r="J184" s="111"/>
      <c r="K184" s="111"/>
      <c r="L184" s="111"/>
      <c r="M184" s="344">
        <f t="shared" ref="M184:N184" si="46">IFERROR(M$10*M56,"")</f>
        <v>13661.954516226428</v>
      </c>
      <c r="N184" s="344">
        <f t="shared" si="46"/>
        <v>8234.2453110509778</v>
      </c>
      <c r="O184" s="344"/>
      <c r="R184" s="102"/>
    </row>
    <row r="185" spans="3:18" s="44" customFormat="1" ht="12" x14ac:dyDescent="0.25">
      <c r="C185" s="579" t="str">
        <f t="shared" si="8"/>
        <v>Paquete Infinitum Play 40 (Netflix 4 dispositivos)Residencial</v>
      </c>
      <c r="D185" s="95">
        <f t="shared" si="12"/>
        <v>37</v>
      </c>
      <c r="E185" s="101" t="str">
        <v>Paquete Infinitum Play 40 (Netflix 4 dispositivos)</v>
      </c>
      <c r="F185" s="101" t="str">
        <f t="shared" si="9"/>
        <v>Residencial</v>
      </c>
      <c r="G185" s="101" t="str">
        <f t="shared" si="9"/>
        <v>Telefonía fija + Internet fijo</v>
      </c>
      <c r="H185" s="263" t="s">
        <v>188</v>
      </c>
      <c r="I185" s="111"/>
      <c r="J185" s="111"/>
      <c r="K185" s="111"/>
      <c r="L185" s="111"/>
      <c r="M185" s="344">
        <f t="shared" ref="M185:N185" si="47">IFERROR(M$10*M57,"")</f>
        <v>6094.9767046401303</v>
      </c>
      <c r="N185" s="344">
        <f t="shared" si="47"/>
        <v>4417.8314407253347</v>
      </c>
      <c r="O185" s="344"/>
      <c r="R185" s="102"/>
    </row>
    <row r="186" spans="3:18" s="44" customFormat="1" ht="12" x14ac:dyDescent="0.25">
      <c r="C186" s="579" t="str">
        <f t="shared" si="8"/>
        <v>Paquete Infinitum Play 150 (Netflix 4 dispositivos)Residencial</v>
      </c>
      <c r="D186" s="95">
        <f t="shared" si="12"/>
        <v>38</v>
      </c>
      <c r="E186" s="101" t="str">
        <v>Paquete Infinitum Play 150 (Netflix 4 dispositivos)</v>
      </c>
      <c r="F186" s="101" t="str">
        <f t="shared" si="9"/>
        <v>Residencial</v>
      </c>
      <c r="G186" s="101" t="str">
        <f t="shared" si="9"/>
        <v>Telefonía fija + Internet fijo</v>
      </c>
      <c r="H186" s="263" t="s">
        <v>188</v>
      </c>
      <c r="I186" s="111"/>
      <c r="J186" s="111"/>
      <c r="K186" s="111"/>
      <c r="L186" s="111"/>
      <c r="M186" s="344">
        <f t="shared" ref="M186:N186" si="48">IFERROR(M$10*M58,"")</f>
        <v>52986.687118764035</v>
      </c>
      <c r="N186" s="344">
        <f t="shared" si="48"/>
        <v>35718.314429568658</v>
      </c>
      <c r="O186" s="344"/>
      <c r="R186" s="102"/>
    </row>
    <row r="187" spans="3:18" s="44" customFormat="1" ht="12" x14ac:dyDescent="0.25">
      <c r="C187" s="579" t="str">
        <f t="shared" si="8"/>
        <v>Paquete Infinitum Play 150 (Netflix 2 dispositivos)Residencial</v>
      </c>
      <c r="D187" s="95">
        <f t="shared" si="12"/>
        <v>39</v>
      </c>
      <c r="E187" s="101" t="str">
        <v>Paquete Infinitum Play 150 (Netflix 2 dispositivos)</v>
      </c>
      <c r="F187" s="101" t="str">
        <f t="shared" si="9"/>
        <v>Residencial</v>
      </c>
      <c r="G187" s="101" t="str">
        <f t="shared" si="9"/>
        <v>Telefonía fija + Internet fijo</v>
      </c>
      <c r="H187" s="263" t="s">
        <v>188</v>
      </c>
      <c r="I187" s="111"/>
      <c r="J187" s="111"/>
      <c r="K187" s="111"/>
      <c r="L187" s="111"/>
      <c r="M187" s="344">
        <f t="shared" ref="M187:N187" si="49">IFERROR(M$10*M59,"")</f>
        <v>7574.1147866502788</v>
      </c>
      <c r="N187" s="344">
        <f t="shared" si="49"/>
        <v>5883.8983074414982</v>
      </c>
      <c r="O187" s="344"/>
      <c r="R187" s="102"/>
    </row>
    <row r="188" spans="3:18" s="44" customFormat="1" ht="12" x14ac:dyDescent="0.25">
      <c r="C188" s="579" t="str">
        <f t="shared" si="8"/>
        <v>Paquete Infinitum Netflix 500 (Netflix 4 dispositivos)Residencial</v>
      </c>
      <c r="D188" s="95">
        <f t="shared" si="12"/>
        <v>40</v>
      </c>
      <c r="E188" s="101" t="str">
        <v>Paquete Infinitum Netflix 500 (Netflix 4 dispositivos)</v>
      </c>
      <c r="F188" s="101" t="str">
        <f t="shared" si="9"/>
        <v>Residencial</v>
      </c>
      <c r="G188" s="101" t="str">
        <f t="shared" si="9"/>
        <v>Telefonía fija + Internet fijo</v>
      </c>
      <c r="H188" s="263" t="s">
        <v>188</v>
      </c>
      <c r="I188" s="111"/>
      <c r="J188" s="111"/>
      <c r="K188" s="111"/>
      <c r="L188" s="111"/>
      <c r="M188" s="344">
        <f t="shared" ref="M188:N188" si="50">IFERROR(M$10*M60,"")</f>
        <v>2918.1306792854016</v>
      </c>
      <c r="N188" s="344">
        <f t="shared" si="50"/>
        <v>2773.302386946948</v>
      </c>
      <c r="O188" s="344"/>
      <c r="R188" s="102"/>
    </row>
    <row r="189" spans="3:18" s="44" customFormat="1" ht="12" x14ac:dyDescent="0.25">
      <c r="C189" s="579" t="str">
        <f t="shared" si="8"/>
        <v>Paquete Infinitum Netflix 500 (Netflix 2 dispositivos)Residencial</v>
      </c>
      <c r="D189" s="95">
        <f t="shared" si="12"/>
        <v>41</v>
      </c>
      <c r="E189" s="101" t="str">
        <v>Paquete Infinitum Netflix 500 (Netflix 2 dispositivos)</v>
      </c>
      <c r="F189" s="101" t="str">
        <f t="shared" si="9"/>
        <v>Residencial</v>
      </c>
      <c r="G189" s="101" t="str">
        <f t="shared" si="9"/>
        <v>Telefonía fija + Internet fijo</v>
      </c>
      <c r="H189" s="263" t="s">
        <v>188</v>
      </c>
      <c r="I189" s="111"/>
      <c r="J189" s="111"/>
      <c r="K189" s="111"/>
      <c r="L189" s="111"/>
      <c r="M189" s="344">
        <f t="shared" ref="M189:N189" si="51">IFERROR(M$10*M61,"")</f>
        <v>492.45127941471782</v>
      </c>
      <c r="N189" s="344">
        <f t="shared" si="51"/>
        <v>562.15588924600297</v>
      </c>
      <c r="O189" s="344"/>
      <c r="R189" s="102"/>
    </row>
    <row r="190" spans="3:18" s="44" customFormat="1" ht="12" x14ac:dyDescent="0.25">
      <c r="C190" s="579" t="str">
        <f t="shared" si="8"/>
        <v>Infinitum Netflix 50 (Netflix 1 dispositivo)Residencial</v>
      </c>
      <c r="D190" s="95">
        <f t="shared" si="12"/>
        <v>42</v>
      </c>
      <c r="E190" s="101" t="str">
        <v>Infinitum Netflix 50 (Netflix 1 dispositivo)</v>
      </c>
      <c r="F190" s="101" t="str">
        <f t="shared" si="9"/>
        <v>Residencial</v>
      </c>
      <c r="G190" s="101" t="str">
        <f t="shared" si="9"/>
        <v>Internet fijo</v>
      </c>
      <c r="H190" s="263" t="s">
        <v>188</v>
      </c>
      <c r="I190" s="111"/>
      <c r="J190" s="111"/>
      <c r="K190" s="111"/>
      <c r="L190" s="111"/>
      <c r="M190" s="344">
        <f t="shared" ref="M190:N190" si="52">IFERROR(M$10*M62,"")</f>
        <v>37847.378764293455</v>
      </c>
      <c r="N190" s="344">
        <f t="shared" si="52"/>
        <v>24891.013540503576</v>
      </c>
      <c r="O190" s="344"/>
      <c r="R190" s="102"/>
    </row>
    <row r="191" spans="3:18" s="44" customFormat="1" ht="12" x14ac:dyDescent="0.25">
      <c r="C191" s="579" t="str">
        <f t="shared" si="8"/>
        <v>Infinitum Netflix 50 (Netflix 2 dispositivos)Residencial</v>
      </c>
      <c r="D191" s="95">
        <f t="shared" si="12"/>
        <v>43</v>
      </c>
      <c r="E191" s="101" t="str">
        <v>Infinitum Netflix 50 (Netflix 2 dispositivos)</v>
      </c>
      <c r="F191" s="101" t="str">
        <f t="shared" si="9"/>
        <v>Residencial</v>
      </c>
      <c r="G191" s="101" t="str">
        <f t="shared" si="9"/>
        <v>Internet fijo</v>
      </c>
      <c r="H191" s="263" t="s">
        <v>188</v>
      </c>
      <c r="I191" s="111"/>
      <c r="J191" s="111"/>
      <c r="K191" s="111"/>
      <c r="L191" s="111"/>
      <c r="M191" s="344">
        <f t="shared" ref="M191:N191" si="53">IFERROR(M$10*M63,"")</f>
        <v>37068.556360436487</v>
      </c>
      <c r="N191" s="344">
        <f t="shared" si="53"/>
        <v>26838.928312287742</v>
      </c>
      <c r="O191" s="344"/>
      <c r="R191" s="102"/>
    </row>
    <row r="192" spans="3:18" s="44" customFormat="1" ht="12" x14ac:dyDescent="0.25">
      <c r="C192" s="579" t="str">
        <f t="shared" si="8"/>
        <v>Infinitum Netflix 50 (Netflix 4 dispositivos)Residencial</v>
      </c>
      <c r="D192" s="95">
        <f t="shared" si="12"/>
        <v>44</v>
      </c>
      <c r="E192" s="101" t="str">
        <v>Infinitum Netflix 50 (Netflix 4 dispositivos)</v>
      </c>
      <c r="F192" s="101" t="str">
        <f t="shared" si="9"/>
        <v>Residencial</v>
      </c>
      <c r="G192" s="101" t="str">
        <f t="shared" si="9"/>
        <v>Internet fijo</v>
      </c>
      <c r="H192" s="263" t="s">
        <v>188</v>
      </c>
      <c r="I192" s="111"/>
      <c r="J192" s="111"/>
      <c r="K192" s="111"/>
      <c r="L192" s="111"/>
      <c r="M192" s="344">
        <f t="shared" ref="M192:N192" si="54">IFERROR(M$10*M64,"")</f>
        <v>18666.758279843398</v>
      </c>
      <c r="N192" s="344">
        <f t="shared" si="54"/>
        <v>16579.137178080535</v>
      </c>
      <c r="O192" s="344"/>
      <c r="R192" s="102"/>
    </row>
    <row r="193" spans="3:18" s="44" customFormat="1" ht="12" x14ac:dyDescent="0.25">
      <c r="C193" s="579" t="str">
        <f t="shared" si="8"/>
        <v>Infinitum Netflix 60 (Netflix 2 dispositivos)Residencial</v>
      </c>
      <c r="D193" s="95">
        <f t="shared" si="12"/>
        <v>45</v>
      </c>
      <c r="E193" s="101" t="str">
        <v>Infinitum Netflix 60 (Netflix 2 dispositivos)</v>
      </c>
      <c r="F193" s="101" t="str">
        <f t="shared" si="9"/>
        <v>Residencial</v>
      </c>
      <c r="G193" s="101" t="str">
        <f t="shared" si="9"/>
        <v>Internet fijo</v>
      </c>
      <c r="H193" s="263" t="s">
        <v>188</v>
      </c>
      <c r="I193" s="111"/>
      <c r="J193" s="111"/>
      <c r="K193" s="111"/>
      <c r="L193" s="111"/>
      <c r="M193" s="344">
        <f t="shared" ref="M193:N193" si="55">IFERROR(M$10*M65,"")</f>
        <v>11777.793099335333</v>
      </c>
      <c r="N193" s="344">
        <f t="shared" si="55"/>
        <v>11418.90303917635</v>
      </c>
      <c r="O193" s="344"/>
      <c r="R193" s="102"/>
    </row>
    <row r="194" spans="3:18" s="44" customFormat="1" ht="12" x14ac:dyDescent="0.25">
      <c r="C194" s="579" t="str">
        <f t="shared" si="8"/>
        <v>Infinitum Netflix 60 (Netflix 4 dispositivos)Residencial</v>
      </c>
      <c r="D194" s="95">
        <f t="shared" si="12"/>
        <v>46</v>
      </c>
      <c r="E194" s="101" t="str">
        <v>Infinitum Netflix 60 (Netflix 4 dispositivos)</v>
      </c>
      <c r="F194" s="101" t="str">
        <f t="shared" si="9"/>
        <v>Residencial</v>
      </c>
      <c r="G194" s="101" t="str">
        <f t="shared" si="9"/>
        <v>Internet fijo</v>
      </c>
      <c r="H194" s="263" t="s">
        <v>188</v>
      </c>
      <c r="I194" s="111"/>
      <c r="J194" s="111"/>
      <c r="K194" s="111"/>
      <c r="L194" s="111"/>
      <c r="M194" s="344">
        <f t="shared" ref="M194:N194" si="56">IFERROR(M$10*M66,"")</f>
        <v>7606.231174438195</v>
      </c>
      <c r="N194" s="344">
        <f t="shared" si="56"/>
        <v>4864.8792193162035</v>
      </c>
      <c r="O194" s="344"/>
      <c r="R194" s="102"/>
    </row>
    <row r="195" spans="3:18" s="44" customFormat="1" ht="12" x14ac:dyDescent="0.25">
      <c r="C195" s="579" t="str">
        <f t="shared" si="8"/>
        <v>Infinitum Netflix 200 (Netflix 4 dispositivos)Residencial</v>
      </c>
      <c r="D195" s="95">
        <f t="shared" si="12"/>
        <v>47</v>
      </c>
      <c r="E195" s="101" t="str">
        <v>Infinitum Netflix 200 (Netflix 4 dispositivos)</v>
      </c>
      <c r="F195" s="101" t="str">
        <f t="shared" si="9"/>
        <v>Residencial</v>
      </c>
      <c r="G195" s="101" t="str">
        <f t="shared" si="9"/>
        <v>Internet fijo</v>
      </c>
      <c r="H195" s="263" t="s">
        <v>188</v>
      </c>
      <c r="I195" s="111"/>
      <c r="J195" s="111"/>
      <c r="K195" s="111"/>
      <c r="L195" s="111"/>
      <c r="M195" s="344">
        <f t="shared" ref="M195:N195" si="57">IFERROR(M$10*M67,"")</f>
        <v>9539.4592948941627</v>
      </c>
      <c r="N195" s="344">
        <f t="shared" si="57"/>
        <v>4774.755814849781</v>
      </c>
      <c r="O195" s="344"/>
      <c r="R195" s="102"/>
    </row>
    <row r="196" spans="3:18" s="44" customFormat="1" ht="12" x14ac:dyDescent="0.25">
      <c r="C196" s="579" t="str">
        <f t="shared" si="8"/>
        <v>Infinitum Netflix 200 (Netflix 2 dispositivos)Residencial</v>
      </c>
      <c r="D196" s="95">
        <f t="shared" si="12"/>
        <v>48</v>
      </c>
      <c r="E196" s="101" t="str">
        <v>Infinitum Netflix 200 (Netflix 2 dispositivos)</v>
      </c>
      <c r="F196" s="101" t="str">
        <f t="shared" si="9"/>
        <v>Residencial</v>
      </c>
      <c r="G196" s="101" t="str">
        <f t="shared" si="9"/>
        <v>Internet fijo</v>
      </c>
      <c r="H196" s="263" t="s">
        <v>188</v>
      </c>
      <c r="I196" s="111"/>
      <c r="J196" s="111"/>
      <c r="K196" s="111"/>
      <c r="L196" s="111"/>
      <c r="M196" s="344">
        <f t="shared" ref="M196:N196" si="58">IFERROR(M$10*M68,"")</f>
        <v>2122.3579596514737</v>
      </c>
      <c r="N196" s="344">
        <f t="shared" si="58"/>
        <v>1368.8049747672519</v>
      </c>
      <c r="O196" s="344"/>
      <c r="R196" s="102"/>
    </row>
    <row r="197" spans="3:18" s="44" customFormat="1" ht="12" x14ac:dyDescent="0.25">
      <c r="C197" s="579" t="str">
        <f t="shared" si="8"/>
        <v>Infinitum Netflix 500 (Netflix 4 dispositivos)Residencial</v>
      </c>
      <c r="D197" s="95">
        <f t="shared" si="12"/>
        <v>49</v>
      </c>
      <c r="E197" s="101" t="str">
        <v>Infinitum Netflix 500 (Netflix 4 dispositivos)</v>
      </c>
      <c r="F197" s="101" t="str">
        <f t="shared" si="9"/>
        <v>Residencial</v>
      </c>
      <c r="G197" s="101" t="str">
        <f t="shared" si="9"/>
        <v>Internet fijo</v>
      </c>
      <c r="H197" s="263" t="s">
        <v>188</v>
      </c>
      <c r="I197" s="111"/>
      <c r="J197" s="111"/>
      <c r="K197" s="111"/>
      <c r="L197" s="111"/>
      <c r="M197" s="344">
        <f t="shared" ref="M197:N197" si="59">IFERROR(M$10*M69,"")</f>
        <v>810.04666976189083</v>
      </c>
      <c r="N197" s="344">
        <f t="shared" si="59"/>
        <v>531.81731744542503</v>
      </c>
      <c r="O197" s="344"/>
      <c r="R197" s="102"/>
    </row>
    <row r="198" spans="3:18" s="44" customFormat="1" ht="12" x14ac:dyDescent="0.25">
      <c r="C198" s="579" t="str">
        <f t="shared" si="8"/>
        <v>Infinitum Netflix 500 (Netflix 2 dispositivos)Residencial</v>
      </c>
      <c r="D198" s="95">
        <f t="shared" si="12"/>
        <v>50</v>
      </c>
      <c r="E198" s="101" t="str">
        <v>Infinitum Netflix 500 (Netflix 2 dispositivos)</v>
      </c>
      <c r="F198" s="101" t="str">
        <f t="shared" si="9"/>
        <v>Residencial</v>
      </c>
      <c r="G198" s="101" t="str">
        <f t="shared" si="9"/>
        <v>Internet fijo</v>
      </c>
      <c r="H198" s="263" t="s">
        <v>188</v>
      </c>
      <c r="I198" s="111"/>
      <c r="J198" s="111"/>
      <c r="K198" s="111"/>
      <c r="L198" s="111"/>
      <c r="M198" s="344">
        <f t="shared" ref="M198:N198" si="60">IFERROR(M$10*M70,"")</f>
        <v>146.30798881161905</v>
      </c>
      <c r="N198" s="344">
        <f t="shared" si="60"/>
        <v>88.338782595800481</v>
      </c>
      <c r="O198" s="344"/>
      <c r="R198" s="102"/>
    </row>
    <row r="199" spans="3:18" s="262" customFormat="1" ht="12" x14ac:dyDescent="0.25">
      <c r="C199" s="579" t="str">
        <f t="shared" si="8"/>
        <v>Paquete Conectes Negocio Netflix (Netflix 1 dispositivo)No Residencial</v>
      </c>
      <c r="D199" s="95">
        <f t="shared" si="12"/>
        <v>51</v>
      </c>
      <c r="E199" s="101" t="str">
        <v>Paquete Conectes Negocio Netflix (Netflix 1 dispositivo)</v>
      </c>
      <c r="F199" s="101" t="str">
        <f t="shared" si="9"/>
        <v>No Residencial</v>
      </c>
      <c r="G199" s="101" t="str">
        <f t="shared" si="9"/>
        <v>Telefonía fija + Internet fijo</v>
      </c>
      <c r="H199" s="263" t="s">
        <v>188</v>
      </c>
      <c r="I199" s="111"/>
      <c r="J199" s="111"/>
      <c r="K199" s="111"/>
      <c r="L199" s="111"/>
      <c r="M199" s="344">
        <f t="shared" ref="M199:N199" si="61">IFERROR(M$10*M71,"")</f>
        <v>2075.967621735595</v>
      </c>
      <c r="N199" s="344">
        <f t="shared" si="61"/>
        <v>2278.0698178492789</v>
      </c>
      <c r="O199" s="344"/>
      <c r="R199" s="102"/>
    </row>
    <row r="200" spans="3:18" s="262" customFormat="1" ht="12" x14ac:dyDescent="0.25">
      <c r="C200" s="579" t="str">
        <f t="shared" si="8"/>
        <v>Paquete Conectes Negocio Netflix (Netflix 2 dispositivos)No Residencial</v>
      </c>
      <c r="D200" s="95">
        <f t="shared" si="12"/>
        <v>52</v>
      </c>
      <c r="E200" s="101" t="str">
        <v>Paquete Conectes Negocio Netflix (Netflix 2 dispositivos)</v>
      </c>
      <c r="F200" s="101" t="str">
        <f t="shared" si="9"/>
        <v>No Residencial</v>
      </c>
      <c r="G200" s="101" t="str">
        <f t="shared" si="9"/>
        <v>Telefonía fija + Internet fijo</v>
      </c>
      <c r="H200" s="263" t="s">
        <v>188</v>
      </c>
      <c r="I200" s="111"/>
      <c r="J200" s="111"/>
      <c r="K200" s="111"/>
      <c r="L200" s="111"/>
      <c r="M200" s="344">
        <f t="shared" ref="M200:N200" si="62">IFERROR(M$10*M72,"")</f>
        <v>1115.1523537470964</v>
      </c>
      <c r="N200" s="344">
        <f t="shared" si="62"/>
        <v>1263.51228440054</v>
      </c>
      <c r="O200" s="344"/>
      <c r="R200" s="102"/>
    </row>
    <row r="201" spans="3:18" s="262" customFormat="1" ht="12" x14ac:dyDescent="0.25">
      <c r="C201" s="579" t="str">
        <f t="shared" si="8"/>
        <v>Paquete Conectes Negocio Netflix (Netflix 4 dispositivos)No Residencial</v>
      </c>
      <c r="D201" s="95">
        <f t="shared" si="12"/>
        <v>53</v>
      </c>
      <c r="E201" s="101" t="str">
        <v>Paquete Conectes Negocio Netflix (Netflix 4 dispositivos)</v>
      </c>
      <c r="F201" s="101" t="str">
        <f t="shared" si="9"/>
        <v>No Residencial</v>
      </c>
      <c r="G201" s="101" t="str">
        <f t="shared" si="9"/>
        <v>Telefonía fija + Internet fijo</v>
      </c>
      <c r="H201" s="263" t="s">
        <v>188</v>
      </c>
      <c r="I201" s="111"/>
      <c r="J201" s="111"/>
      <c r="K201" s="111"/>
      <c r="L201" s="111"/>
      <c r="M201" s="344">
        <f t="shared" ref="M201:N201" si="63">IFERROR(M$10*M73,"")</f>
        <v>633.40653692835076</v>
      </c>
      <c r="N201" s="344">
        <f t="shared" si="63"/>
        <v>707.60257170171496</v>
      </c>
      <c r="O201" s="344"/>
      <c r="R201" s="102"/>
    </row>
    <row r="202" spans="3:18" s="262" customFormat="1" ht="12" x14ac:dyDescent="0.25">
      <c r="C202" s="579" t="str">
        <f t="shared" si="8"/>
        <v>Paquete Mi Negocio Netflix (Netflix 2 dispositivos)No Residencial</v>
      </c>
      <c r="D202" s="95">
        <f t="shared" si="12"/>
        <v>54</v>
      </c>
      <c r="E202" s="101" t="str">
        <v>Paquete Mi Negocio Netflix (Netflix 2 dispositivos)</v>
      </c>
      <c r="F202" s="101" t="str">
        <f t="shared" si="9"/>
        <v>No Residencial</v>
      </c>
      <c r="G202" s="101" t="str">
        <f t="shared" si="9"/>
        <v>Telefonía fija + Internet fijo</v>
      </c>
      <c r="H202" s="263" t="s">
        <v>188</v>
      </c>
      <c r="I202" s="111"/>
      <c r="J202" s="111"/>
      <c r="K202" s="111"/>
      <c r="L202" s="111"/>
      <c r="M202" s="344">
        <f t="shared" ref="M202:N202" si="64">IFERROR(M$10*M74,"")</f>
        <v>968.84436493547742</v>
      </c>
      <c r="N202" s="344">
        <f t="shared" si="64"/>
        <v>1239.4198891471399</v>
      </c>
      <c r="O202" s="344"/>
      <c r="R202" s="102"/>
    </row>
    <row r="203" spans="3:18" s="262" customFormat="1" ht="12" x14ac:dyDescent="0.25">
      <c r="C203" s="579" t="str">
        <f t="shared" si="8"/>
        <v>Paquete Mi Negocio Netflix (Netflix 4 dispositivos)No Residencial</v>
      </c>
      <c r="D203" s="95">
        <f t="shared" si="12"/>
        <v>55</v>
      </c>
      <c r="E203" s="101" t="str">
        <v>Paquete Mi Negocio Netflix (Netflix 4 dispositivos)</v>
      </c>
      <c r="F203" s="101" t="str">
        <f t="shared" si="9"/>
        <v>No Residencial</v>
      </c>
      <c r="G203" s="101" t="str">
        <f t="shared" si="9"/>
        <v>Telefonía fija + Internet fijo</v>
      </c>
      <c r="H203" s="263" t="s">
        <v>188</v>
      </c>
      <c r="I203" s="111"/>
      <c r="J203" s="111"/>
      <c r="K203" s="111"/>
      <c r="L203" s="111"/>
      <c r="M203" s="344">
        <f t="shared" ref="M203:N203" si="65">IFERROR(M$10*M75,"")</f>
        <v>659.2780715352834</v>
      </c>
      <c r="N203" s="344">
        <f t="shared" si="65"/>
        <v>745.07963098478172</v>
      </c>
      <c r="O203" s="344"/>
      <c r="R203" s="102"/>
    </row>
    <row r="204" spans="3:18" s="262" customFormat="1" ht="12" x14ac:dyDescent="0.25">
      <c r="C204" s="579" t="str">
        <f t="shared" si="8"/>
        <v>Paquete Supernegocio Netflix (Netflix 2 dispositivos)No Residencial</v>
      </c>
      <c r="D204" s="95">
        <f t="shared" si="12"/>
        <v>56</v>
      </c>
      <c r="E204" s="101" t="str">
        <v>Paquete Supernegocio Netflix (Netflix 2 dispositivos)</v>
      </c>
      <c r="F204" s="101" t="str">
        <f t="shared" si="9"/>
        <v>No Residencial</v>
      </c>
      <c r="G204" s="101" t="str">
        <f t="shared" si="9"/>
        <v>Telefonía fija + Internet fijo</v>
      </c>
      <c r="H204" s="263" t="s">
        <v>188</v>
      </c>
      <c r="I204" s="111"/>
      <c r="J204" s="111"/>
      <c r="K204" s="111"/>
      <c r="L204" s="111"/>
      <c r="M204" s="344">
        <f t="shared" ref="M204:N204" si="66">IFERROR(M$10*M76,"")</f>
        <v>1213.2857608768409</v>
      </c>
      <c r="N204" s="344">
        <f t="shared" si="66"/>
        <v>1161.7888377750728</v>
      </c>
      <c r="O204" s="344"/>
      <c r="R204" s="102"/>
    </row>
    <row r="205" spans="3:18" s="262" customFormat="1" ht="12" x14ac:dyDescent="0.25">
      <c r="C205" s="579" t="str">
        <f t="shared" si="8"/>
        <v>Paquete Supernegocio Netflix (Netflix 4 dispositivos)No Residencial</v>
      </c>
      <c r="D205" s="95">
        <f t="shared" si="12"/>
        <v>57</v>
      </c>
      <c r="E205" s="101" t="str">
        <v>Paquete Supernegocio Netflix (Netflix 4 dispositivos)</v>
      </c>
      <c r="F205" s="101" t="str">
        <f t="shared" si="9"/>
        <v>No Residencial</v>
      </c>
      <c r="G205" s="101" t="str">
        <f t="shared" si="9"/>
        <v>Telefonía fija + Internet fijo</v>
      </c>
      <c r="H205" s="263" t="s">
        <v>188</v>
      </c>
      <c r="I205" s="111"/>
      <c r="J205" s="111"/>
      <c r="K205" s="111"/>
      <c r="L205" s="111"/>
      <c r="M205" s="344">
        <f t="shared" ref="M205:N205" si="67">IFERROR(M$10*M77,"")</f>
        <v>1217.7463702918294</v>
      </c>
      <c r="N205" s="344">
        <f t="shared" si="67"/>
        <v>977.08047416567183</v>
      </c>
      <c r="O205" s="344"/>
      <c r="R205" s="102"/>
    </row>
    <row r="206" spans="3:18" s="262" customFormat="1" ht="12" x14ac:dyDescent="0.25">
      <c r="C206" s="579" t="str">
        <f t="shared" si="8"/>
        <v>Infinitum Netflix Negocio 50 (Netflix 1 dispositivo)No Residencial</v>
      </c>
      <c r="D206" s="95">
        <f t="shared" si="12"/>
        <v>58</v>
      </c>
      <c r="E206" s="101" t="str">
        <v>Infinitum Netflix Negocio 50 (Netflix 1 dispositivo)</v>
      </c>
      <c r="F206" s="101" t="str">
        <f t="shared" si="9"/>
        <v>No Residencial</v>
      </c>
      <c r="G206" s="101" t="str">
        <f t="shared" si="9"/>
        <v>Internet fijo</v>
      </c>
      <c r="H206" s="263" t="s">
        <v>188</v>
      </c>
      <c r="I206" s="111"/>
      <c r="J206" s="111"/>
      <c r="K206" s="111"/>
      <c r="L206" s="111"/>
      <c r="M206" s="344">
        <f t="shared" ref="M206:N206" si="68">IFERROR(M$10*M78,"")</f>
        <v>376.47543462501977</v>
      </c>
      <c r="N206" s="344">
        <f t="shared" si="68"/>
        <v>439.90929110838016</v>
      </c>
      <c r="O206" s="344"/>
      <c r="R206" s="102"/>
    </row>
    <row r="207" spans="3:18" s="262" customFormat="1" ht="12" x14ac:dyDescent="0.25">
      <c r="C207" s="579" t="str">
        <f t="shared" si="8"/>
        <v>Infinitum Netflix Negocio 50 (Netflix 2 dispositivos)No Residencial</v>
      </c>
      <c r="D207" s="95">
        <f t="shared" si="12"/>
        <v>59</v>
      </c>
      <c r="E207" s="101" t="str">
        <v>Infinitum Netflix Negocio 50 (Netflix 2 dispositivos)</v>
      </c>
      <c r="F207" s="101" t="str">
        <f t="shared" si="9"/>
        <v>No Residencial</v>
      </c>
      <c r="G207" s="101" t="str">
        <f t="shared" si="9"/>
        <v>Internet fijo</v>
      </c>
      <c r="H207" s="263" t="s">
        <v>188</v>
      </c>
      <c r="I207" s="111"/>
      <c r="J207" s="111"/>
      <c r="K207" s="111"/>
      <c r="L207" s="111"/>
      <c r="M207" s="344">
        <f t="shared" ref="M207:N207" si="69">IFERROR(M$10*M79,"")</f>
        <v>170.39527965255635</v>
      </c>
      <c r="N207" s="344">
        <f t="shared" si="69"/>
        <v>207.01613699217887</v>
      </c>
      <c r="O207" s="344"/>
      <c r="R207" s="102"/>
    </row>
    <row r="208" spans="3:18" s="262" customFormat="1" ht="12" x14ac:dyDescent="0.25">
      <c r="C208" s="579" t="str">
        <f t="shared" si="8"/>
        <v>Infinitum Netflix Negocio 50 (Netflix 4 dispositivos)No Residencial</v>
      </c>
      <c r="D208" s="95">
        <f t="shared" si="12"/>
        <v>60</v>
      </c>
      <c r="E208" s="101" t="str">
        <v>Infinitum Netflix Negocio 50 (Netflix 4 dispositivos)</v>
      </c>
      <c r="F208" s="101" t="str">
        <f t="shared" si="9"/>
        <v>No Residencial</v>
      </c>
      <c r="G208" s="101" t="str">
        <f t="shared" si="9"/>
        <v>Internet fijo</v>
      </c>
      <c r="H208" s="263" t="s">
        <v>188</v>
      </c>
      <c r="I208" s="111"/>
      <c r="J208" s="111"/>
      <c r="K208" s="111"/>
      <c r="L208" s="111"/>
      <c r="M208" s="344">
        <f t="shared" ref="M208:N208" si="70">IFERROR(M$10*M80,"")</f>
        <v>78.506725703795595</v>
      </c>
      <c r="N208" s="344">
        <f t="shared" si="70"/>
        <v>106.1850013020228</v>
      </c>
      <c r="O208" s="344"/>
      <c r="R208" s="102"/>
    </row>
    <row r="209" spans="3:18" s="262" customFormat="1" ht="12" x14ac:dyDescent="0.25">
      <c r="C209" s="579" t="str">
        <f t="shared" si="8"/>
        <v>Infinitum Netflix Negocio 60 (Netflix 2 dispositivos)No Residencial</v>
      </c>
      <c r="D209" s="95">
        <f t="shared" si="12"/>
        <v>61</v>
      </c>
      <c r="E209" s="101" t="str">
        <v>Infinitum Netflix Negocio 60 (Netflix 2 dispositivos)</v>
      </c>
      <c r="F209" s="101" t="str">
        <f t="shared" si="9"/>
        <v>No Residencial</v>
      </c>
      <c r="G209" s="101" t="str">
        <f t="shared" si="9"/>
        <v>Internet fijo</v>
      </c>
      <c r="H209" s="263" t="s">
        <v>188</v>
      </c>
      <c r="I209" s="111"/>
      <c r="J209" s="111"/>
      <c r="K209" s="111"/>
      <c r="L209" s="111"/>
      <c r="M209" s="344">
        <f t="shared" ref="M209:N209" si="71">IFERROR(M$10*M81,"")</f>
        <v>107.05462595972126</v>
      </c>
      <c r="N209" s="344">
        <f t="shared" si="71"/>
        <v>134.73895123197849</v>
      </c>
      <c r="O209" s="344"/>
      <c r="R209" s="102"/>
    </row>
    <row r="210" spans="3:18" s="262" customFormat="1" ht="12" x14ac:dyDescent="0.25">
      <c r="C210" s="579" t="str">
        <f t="shared" si="8"/>
        <v>Infinitum Netflix Negocio 60 (Netflix 4 dispositivos)No Residencial</v>
      </c>
      <c r="D210" s="95">
        <f t="shared" si="12"/>
        <v>62</v>
      </c>
      <c r="E210" s="101" t="str">
        <v>Infinitum Netflix Negocio 60 (Netflix 4 dispositivos)</v>
      </c>
      <c r="F210" s="101" t="str">
        <f t="shared" si="9"/>
        <v>No Residencial</v>
      </c>
      <c r="G210" s="101" t="str">
        <f t="shared" si="9"/>
        <v>Internet fijo</v>
      </c>
      <c r="H210" s="263" t="s">
        <v>188</v>
      </c>
      <c r="I210" s="111"/>
      <c r="J210" s="111"/>
      <c r="K210" s="111"/>
      <c r="L210" s="111"/>
      <c r="M210" s="344">
        <f t="shared" ref="M210:N210" si="72">IFERROR(M$10*M82,"")</f>
        <v>31.224265904918699</v>
      </c>
      <c r="N210" s="344">
        <f t="shared" si="72"/>
        <v>31.230882735889054</v>
      </c>
      <c r="O210" s="344"/>
      <c r="R210" s="102"/>
    </row>
    <row r="211" spans="3:18" s="262" customFormat="1" ht="12" x14ac:dyDescent="0.25">
      <c r="C211" s="579" t="str">
        <f t="shared" si="8"/>
        <v>Infinitum Netflix Negocio 200 (Netflix 4 dispositivos)No Residencial</v>
      </c>
      <c r="D211" s="95">
        <f t="shared" si="12"/>
        <v>63</v>
      </c>
      <c r="E211" s="101" t="str">
        <v>Infinitum Netflix Negocio 200 (Netflix 4 dispositivos)</v>
      </c>
      <c r="F211" s="101" t="str">
        <f t="shared" si="9"/>
        <v>No Residencial</v>
      </c>
      <c r="G211" s="101" t="str">
        <f t="shared" si="9"/>
        <v>Internet fijo</v>
      </c>
      <c r="H211" s="263" t="s">
        <v>188</v>
      </c>
      <c r="I211" s="111"/>
      <c r="J211" s="111"/>
      <c r="K211" s="111"/>
      <c r="L211" s="111"/>
      <c r="M211" s="344">
        <f t="shared" ref="M211:N211" si="73">IFERROR(M$10*M83,"")</f>
        <v>111.51523537470965</v>
      </c>
      <c r="N211" s="344">
        <f t="shared" si="73"/>
        <v>151.69285900288969</v>
      </c>
      <c r="O211" s="344"/>
      <c r="R211" s="102"/>
    </row>
    <row r="212" spans="3:18" s="262" customFormat="1" ht="12" x14ac:dyDescent="0.25">
      <c r="C212" s="579" t="str">
        <f t="shared" si="8"/>
        <v>Infinitum Netflix Negocio 200 (Netflix 2 dispositivos)No Residencial</v>
      </c>
      <c r="D212" s="95">
        <f t="shared" si="12"/>
        <v>64</v>
      </c>
      <c r="E212" s="101" t="str">
        <v>Infinitum Netflix Negocio 200 (Netflix 2 dispositivos)</v>
      </c>
      <c r="F212" s="101" t="str">
        <f t="shared" si="9"/>
        <v>No Residencial</v>
      </c>
      <c r="G212" s="101" t="str">
        <f t="shared" si="9"/>
        <v>Internet fijo</v>
      </c>
      <c r="H212" s="263" t="s">
        <v>188</v>
      </c>
      <c r="I212" s="111"/>
      <c r="J212" s="111"/>
      <c r="K212" s="111"/>
      <c r="L212" s="111"/>
      <c r="M212" s="344">
        <f t="shared" ref="M212:N212" si="74">IFERROR(M$10*M84,"")</f>
        <v>57.095800511851344</v>
      </c>
      <c r="N212" s="344">
        <f t="shared" si="74"/>
        <v>89.231093531111597</v>
      </c>
      <c r="O212" s="344"/>
      <c r="R212" s="102"/>
    </row>
    <row r="213" spans="3:18" s="262" customFormat="1" ht="12" x14ac:dyDescent="0.25">
      <c r="C213" s="579" t="str">
        <f t="shared" si="8"/>
        <v>Infinitum Netflix Negocio 500 (Netflix 4 dispositivos)No Residencial</v>
      </c>
      <c r="D213" s="95">
        <f t="shared" si="12"/>
        <v>65</v>
      </c>
      <c r="E213" s="101" t="str">
        <v>Infinitum Netflix Negocio 500 (Netflix 4 dispositivos)</v>
      </c>
      <c r="F213" s="101" t="str">
        <f t="shared" si="9"/>
        <v>No Residencial</v>
      </c>
      <c r="G213" s="101" t="str">
        <f t="shared" si="9"/>
        <v>Internet fijo</v>
      </c>
      <c r="H213" s="263" t="s">
        <v>188</v>
      </c>
      <c r="I213" s="111"/>
      <c r="J213" s="111"/>
      <c r="K213" s="111"/>
      <c r="L213" s="111"/>
      <c r="M213" s="344">
        <f t="shared" ref="M213:N213" si="75">IFERROR(M$10*M85,"")</f>
        <v>81.183091352788622</v>
      </c>
      <c r="N213" s="344">
        <f t="shared" si="75"/>
        <v>165.07752303255646</v>
      </c>
      <c r="O213" s="344"/>
      <c r="R213" s="102"/>
    </row>
    <row r="214" spans="3:18" s="262" customFormat="1" ht="12" x14ac:dyDescent="0.25">
      <c r="C214" s="579" t="str">
        <f t="shared" ref="C214:C256" si="76">E214&amp;F214</f>
        <v>Infinitum Netflix Negocio 500 (Netflix 2 dispositivos)No Residencial</v>
      </c>
      <c r="D214" s="95">
        <f t="shared" si="12"/>
        <v>66</v>
      </c>
      <c r="E214" s="101" t="str">
        <v>Infinitum Netflix Negocio 500 (Netflix 2 dispositivos)</v>
      </c>
      <c r="F214" s="101" t="str">
        <f t="shared" ref="F214:G256" si="77">F86</f>
        <v>No Residencial</v>
      </c>
      <c r="G214" s="101" t="str">
        <f t="shared" si="77"/>
        <v>Internet fijo</v>
      </c>
      <c r="H214" s="263" t="s">
        <v>188</v>
      </c>
      <c r="I214" s="111"/>
      <c r="J214" s="111"/>
      <c r="K214" s="111"/>
      <c r="L214" s="111"/>
      <c r="M214" s="344">
        <f t="shared" ref="M214:N214" si="78">IFERROR(M$10*M86,"")</f>
        <v>30.332144021921025</v>
      </c>
      <c r="N214" s="344">
        <f t="shared" si="78"/>
        <v>47.292479571489139</v>
      </c>
      <c r="O214" s="344"/>
      <c r="R214" s="102"/>
    </row>
    <row r="215" spans="3:18" s="262" customFormat="1" ht="12" x14ac:dyDescent="0.25">
      <c r="C215" s="579" t="str">
        <f t="shared" si="76"/>
        <v>Paquete Infinitum Entretenimiento 30Residencial</v>
      </c>
      <c r="D215" s="95">
        <f>1+D214</f>
        <v>67</v>
      </c>
      <c r="E215" s="101" t="str">
        <v>Paquete Infinitum Entretenimiento 30</v>
      </c>
      <c r="F215" s="101" t="str">
        <f t="shared" si="77"/>
        <v>Residencial</v>
      </c>
      <c r="G215" s="101" t="str">
        <f t="shared" si="77"/>
        <v>Telefonía fija + Internet fijo</v>
      </c>
      <c r="H215" s="263" t="s">
        <v>188</v>
      </c>
      <c r="I215" s="111"/>
      <c r="J215" s="111"/>
      <c r="K215" s="111"/>
      <c r="L215" s="111"/>
      <c r="M215" s="344">
        <f t="shared" ref="M215:N215" si="79">IFERROR(M$10*M87,"")</f>
        <v>52598.614099660044</v>
      </c>
      <c r="N215" s="344">
        <f t="shared" si="79"/>
        <v>458913.72940863628</v>
      </c>
      <c r="O215" s="344"/>
      <c r="R215" s="102"/>
    </row>
    <row r="216" spans="3:18" s="262" customFormat="1" ht="12" x14ac:dyDescent="0.25">
      <c r="C216" s="579" t="str">
        <f t="shared" si="76"/>
        <v>Paquete Infinitum  Entretenimiento 40Residencial</v>
      </c>
      <c r="D216" s="95">
        <f>1+D215</f>
        <v>68</v>
      </c>
      <c r="E216" s="101" t="str">
        <v>Paquete Infinitum  Entretenimiento 40</v>
      </c>
      <c r="F216" s="101" t="str">
        <f t="shared" si="77"/>
        <v>Residencial</v>
      </c>
      <c r="G216" s="101" t="str">
        <f t="shared" si="77"/>
        <v>Telefonía fija + Internet fijo</v>
      </c>
      <c r="H216" s="263" t="s">
        <v>188</v>
      </c>
      <c r="I216" s="111"/>
      <c r="J216" s="111"/>
      <c r="K216" s="111"/>
      <c r="L216" s="111"/>
      <c r="M216" s="344">
        <f t="shared" ref="M216:N216" si="80">IFERROR(M$10*M88,"")</f>
        <v>9361.0349182946266</v>
      </c>
      <c r="N216" s="344">
        <f t="shared" si="80"/>
        <v>36028.838635056927</v>
      </c>
      <c r="O216" s="344"/>
      <c r="R216" s="102"/>
    </row>
    <row r="217" spans="3:18" s="262" customFormat="1" ht="12" x14ac:dyDescent="0.25">
      <c r="C217" s="579" t="str">
        <f t="shared" si="76"/>
        <v>Paquete Infinitum Entretenimiento 50Residencial</v>
      </c>
      <c r="D217" s="95">
        <f t="shared" ref="D217:D274" si="81">1+D216</f>
        <v>69</v>
      </c>
      <c r="E217" s="101" t="str">
        <v>Paquete Infinitum Entretenimiento 50</v>
      </c>
      <c r="F217" s="101" t="str">
        <f t="shared" si="77"/>
        <v>Residencial</v>
      </c>
      <c r="G217" s="101" t="str">
        <f t="shared" si="77"/>
        <v>Telefonía fija + Internet fijo</v>
      </c>
      <c r="H217" s="263" t="s">
        <v>188</v>
      </c>
      <c r="I217" s="111"/>
      <c r="J217" s="111"/>
      <c r="K217" s="111"/>
      <c r="L217" s="111"/>
      <c r="M217" s="344">
        <f t="shared" ref="M217:N217" si="82">IFERROR(M$10*M89,"")</f>
        <v>5387.5240514229727</v>
      </c>
      <c r="N217" s="344">
        <f t="shared" si="82"/>
        <v>21279.831185299492</v>
      </c>
      <c r="O217" s="344"/>
      <c r="R217" s="102"/>
    </row>
    <row r="218" spans="3:18" s="262" customFormat="1" ht="12" x14ac:dyDescent="0.25">
      <c r="C218" s="579" t="str">
        <f t="shared" si="76"/>
        <v>Paquete Infinitum Entretenimiento 250Residencial</v>
      </c>
      <c r="D218" s="95">
        <f t="shared" si="81"/>
        <v>70</v>
      </c>
      <c r="E218" s="101" t="str">
        <v>Paquete Infinitum Entretenimiento 250</v>
      </c>
      <c r="F218" s="101" t="str">
        <f t="shared" si="77"/>
        <v>Residencial</v>
      </c>
      <c r="G218" s="101" t="str">
        <f t="shared" si="77"/>
        <v>Telefonía fija + Internet fijo</v>
      </c>
      <c r="H218" s="263" t="s">
        <v>188</v>
      </c>
      <c r="I218" s="111"/>
      <c r="J218" s="111"/>
      <c r="K218" s="111"/>
      <c r="L218" s="111"/>
      <c r="M218" s="344">
        <f t="shared" ref="M218:N218" si="83">IFERROR(M$10*M90,"")</f>
        <v>14001.852953648544</v>
      </c>
      <c r="N218" s="344">
        <f t="shared" si="83"/>
        <v>69853.669259895396</v>
      </c>
      <c r="O218" s="344"/>
      <c r="R218" s="102"/>
    </row>
    <row r="219" spans="3:18" s="262" customFormat="1" ht="12" x14ac:dyDescent="0.25">
      <c r="C219" s="579" t="str">
        <f t="shared" si="76"/>
        <v>Paquete Infinitum Entretenimiento 500Residencial</v>
      </c>
      <c r="D219" s="95">
        <f t="shared" si="81"/>
        <v>71</v>
      </c>
      <c r="E219" s="101" t="str">
        <v>Paquete Infinitum Entretenimiento 500</v>
      </c>
      <c r="F219" s="101" t="str">
        <f t="shared" si="77"/>
        <v>Residencial</v>
      </c>
      <c r="G219" s="101" t="str">
        <f t="shared" si="77"/>
        <v>Telefonía fija + Internet fijo</v>
      </c>
      <c r="H219" s="263" t="s">
        <v>188</v>
      </c>
      <c r="I219" s="111"/>
      <c r="J219" s="111"/>
      <c r="K219" s="111"/>
      <c r="L219" s="111"/>
      <c r="M219" s="344">
        <f t="shared" ref="M219:N219" si="84">IFERROR(M$10*M91,"")</f>
        <v>2305.2429456659979</v>
      </c>
      <c r="N219" s="344">
        <f t="shared" si="84"/>
        <v>8124.4910660077103</v>
      </c>
      <c r="O219" s="344"/>
      <c r="R219" s="102"/>
    </row>
    <row r="220" spans="3:18" s="262" customFormat="1" ht="12" x14ac:dyDescent="0.25">
      <c r="C220" s="579" t="str">
        <f t="shared" si="76"/>
        <v>Infinitum Entretenimiento 30Residencial</v>
      </c>
      <c r="D220" s="297">
        <f t="shared" si="81"/>
        <v>72</v>
      </c>
      <c r="E220" s="101" t="str">
        <v>Infinitum Entretenimiento 30</v>
      </c>
      <c r="F220" s="101" t="str">
        <f t="shared" si="77"/>
        <v>Residencial</v>
      </c>
      <c r="G220" s="101" t="str">
        <f t="shared" si="77"/>
        <v>Internet fijo</v>
      </c>
      <c r="H220" s="263" t="s">
        <v>188</v>
      </c>
      <c r="I220" s="111"/>
      <c r="J220" s="111"/>
      <c r="K220" s="111"/>
      <c r="L220" s="111"/>
      <c r="M220" s="344">
        <f t="shared" ref="M220:N220" si="85">IFERROR(M$10*M92,"")</f>
        <v>12024.910860925691</v>
      </c>
      <c r="N220" s="344">
        <f t="shared" si="85"/>
        <v>83979.843676805685</v>
      </c>
      <c r="O220" s="344"/>
      <c r="R220" s="102"/>
    </row>
    <row r="221" spans="3:18" s="262" customFormat="1" ht="12" x14ac:dyDescent="0.25">
      <c r="C221" s="579" t="str">
        <f t="shared" si="76"/>
        <v>Infinitum Entretenimiento 40Residencial</v>
      </c>
      <c r="D221" s="297">
        <f t="shared" si="81"/>
        <v>73</v>
      </c>
      <c r="E221" s="101" t="str">
        <v>Infinitum Entretenimiento 40</v>
      </c>
      <c r="F221" s="101" t="str">
        <f t="shared" si="77"/>
        <v>Residencial</v>
      </c>
      <c r="G221" s="101" t="str">
        <f t="shared" si="77"/>
        <v>Internet fijo</v>
      </c>
      <c r="H221" s="263" t="s">
        <v>188</v>
      </c>
      <c r="I221" s="111"/>
      <c r="J221" s="111"/>
      <c r="K221" s="111"/>
      <c r="L221" s="111"/>
      <c r="M221" s="344">
        <f t="shared" ref="M221:N221" si="86">IFERROR(M$10*M93,"")</f>
        <v>5136.8378023006253</v>
      </c>
      <c r="N221" s="344">
        <f t="shared" si="86"/>
        <v>26875.513060635498</v>
      </c>
      <c r="O221" s="344"/>
      <c r="R221" s="102"/>
    </row>
    <row r="222" spans="3:18" s="262" customFormat="1" ht="12" x14ac:dyDescent="0.25">
      <c r="C222" s="579" t="str">
        <f t="shared" si="76"/>
        <v>Infinitum Entretenimiento 200Residencial</v>
      </c>
      <c r="D222" s="297">
        <f t="shared" si="81"/>
        <v>74</v>
      </c>
      <c r="E222" s="101" t="str">
        <v>Infinitum Entretenimiento 200</v>
      </c>
      <c r="F222" s="101" t="str">
        <f t="shared" si="77"/>
        <v>Residencial</v>
      </c>
      <c r="G222" s="101" t="str">
        <f t="shared" si="77"/>
        <v>Internet fijo</v>
      </c>
      <c r="H222" s="263" t="s">
        <v>188</v>
      </c>
      <c r="I222" s="111"/>
      <c r="J222" s="111"/>
      <c r="K222" s="111"/>
      <c r="L222" s="111"/>
      <c r="M222" s="344">
        <f t="shared" ref="M222:N222" si="87">IFERROR(M$10*M94,"")</f>
        <v>3555.1057037457435</v>
      </c>
      <c r="N222" s="344">
        <f t="shared" si="87"/>
        <v>18382.497578344297</v>
      </c>
      <c r="O222" s="344"/>
      <c r="R222" s="102"/>
    </row>
    <row r="223" spans="3:18" s="262" customFormat="1" ht="12" x14ac:dyDescent="0.25">
      <c r="C223" s="579" t="str">
        <f t="shared" si="76"/>
        <v>Infinitum Entretenimiento 500Residencial</v>
      </c>
      <c r="D223" s="297">
        <f t="shared" si="81"/>
        <v>75</v>
      </c>
      <c r="E223" s="101" t="str">
        <v>Infinitum Entretenimiento 500</v>
      </c>
      <c r="F223" s="101" t="str">
        <f t="shared" si="77"/>
        <v>Residencial</v>
      </c>
      <c r="G223" s="101" t="str">
        <f t="shared" si="77"/>
        <v>Internet fijo</v>
      </c>
      <c r="H223" s="263" t="s">
        <v>188</v>
      </c>
      <c r="I223" s="111"/>
      <c r="J223" s="111"/>
      <c r="K223" s="111"/>
      <c r="L223" s="111"/>
      <c r="M223" s="344">
        <f t="shared" ref="M223:N223" si="88">IFERROR(M$10*M95,"")</f>
        <v>854.65276391177474</v>
      </c>
      <c r="N223" s="344">
        <f t="shared" si="88"/>
        <v>2108.5307401401669</v>
      </c>
      <c r="O223" s="344"/>
      <c r="R223" s="102"/>
    </row>
    <row r="224" spans="3:18" s="262" customFormat="1" ht="12" x14ac:dyDescent="0.25">
      <c r="C224" s="579" t="str">
        <f t="shared" si="76"/>
        <v>Paquete infinitum Entretenimiento+ 30  (Netflix 1 dispositivo)Residencial</v>
      </c>
      <c r="D224" s="297">
        <f t="shared" si="81"/>
        <v>76</v>
      </c>
      <c r="E224" s="101" t="str">
        <v>Paquete infinitum Entretenimiento+ 30  (Netflix 1 dispositivo)</v>
      </c>
      <c r="F224" s="101" t="str">
        <f t="shared" si="77"/>
        <v>Residencial</v>
      </c>
      <c r="G224" s="101" t="str">
        <f t="shared" si="77"/>
        <v>Telefonía fija + Internet fijo</v>
      </c>
      <c r="H224" s="263" t="s">
        <v>188</v>
      </c>
      <c r="I224" s="111"/>
      <c r="J224" s="111"/>
      <c r="K224" s="111"/>
      <c r="L224" s="111"/>
      <c r="M224" s="344">
        <f t="shared" ref="M224:N224" si="89">IFERROR(M$10*M96,"")</f>
        <v>7553.5959833413326</v>
      </c>
      <c r="N224" s="344">
        <f t="shared" si="89"/>
        <v>27186.92957705908</v>
      </c>
      <c r="O224" s="344"/>
      <c r="R224" s="102"/>
    </row>
    <row r="225" spans="3:18" s="262" customFormat="1" ht="12" x14ac:dyDescent="0.25">
      <c r="C225" s="579" t="str">
        <f t="shared" si="76"/>
        <v>Paquete infinitum Entretenimiento+ 30  (Netflix 2 dispositivos)Residencial</v>
      </c>
      <c r="D225" s="297">
        <f t="shared" si="81"/>
        <v>77</v>
      </c>
      <c r="E225" s="101" t="str">
        <v>Paquete infinitum Entretenimiento+ 30  (Netflix 2 dispositivos)</v>
      </c>
      <c r="F225" s="101" t="str">
        <f t="shared" si="77"/>
        <v>Residencial</v>
      </c>
      <c r="G225" s="101" t="str">
        <f t="shared" si="77"/>
        <v>Telefonía fija + Internet fijo</v>
      </c>
      <c r="H225" s="263" t="s">
        <v>188</v>
      </c>
      <c r="I225" s="111"/>
      <c r="J225" s="111"/>
      <c r="K225" s="111"/>
      <c r="L225" s="111"/>
      <c r="M225" s="344">
        <f t="shared" ref="M225:N225" si="90">IFERROR(M$10*M97,"")</f>
        <v>7574.1147866502788</v>
      </c>
      <c r="N225" s="344">
        <f t="shared" si="90"/>
        <v>35081.20442175652</v>
      </c>
      <c r="O225" s="344"/>
      <c r="R225" s="102"/>
    </row>
    <row r="226" spans="3:18" s="262" customFormat="1" ht="12" x14ac:dyDescent="0.25">
      <c r="C226" s="579" t="str">
        <f t="shared" si="76"/>
        <v>Paquete infinitum Entretenimiento+ 30  (Netflix 4 dispositivos)Residencial</v>
      </c>
      <c r="D226" s="297">
        <f t="shared" si="81"/>
        <v>78</v>
      </c>
      <c r="E226" s="101" t="str">
        <v>Paquete infinitum Entretenimiento+ 30  (Netflix 4 dispositivos)</v>
      </c>
      <c r="F226" s="101" t="str">
        <f t="shared" si="77"/>
        <v>Residencial</v>
      </c>
      <c r="G226" s="101" t="str">
        <f t="shared" si="77"/>
        <v>Telefonía fija + Internet fijo</v>
      </c>
      <c r="H226" s="263" t="s">
        <v>188</v>
      </c>
      <c r="I226" s="111"/>
      <c r="J226" s="111"/>
      <c r="K226" s="111"/>
      <c r="L226" s="111"/>
      <c r="M226" s="344">
        <f t="shared" ref="M226:N226" si="91">IFERROR(M$10*M98,"")</f>
        <v>5317.9385445491534</v>
      </c>
      <c r="N226" s="344">
        <f t="shared" si="91"/>
        <v>28098.871352947041</v>
      </c>
      <c r="O226" s="344"/>
      <c r="R226" s="102"/>
    </row>
    <row r="227" spans="3:18" s="262" customFormat="1" ht="12" x14ac:dyDescent="0.25">
      <c r="C227" s="579" t="str">
        <f t="shared" si="76"/>
        <v>Paquete Infinitum Entretenimiento+ 70   (Netflix 2 dispositivos)Residencial</v>
      </c>
      <c r="D227" s="297">
        <f t="shared" si="81"/>
        <v>79</v>
      </c>
      <c r="E227" s="101" t="str">
        <v>Paquete Infinitum Entretenimiento+ 70   (Netflix 2 dispositivos)</v>
      </c>
      <c r="F227" s="101" t="str">
        <f t="shared" si="77"/>
        <v>Residencial</v>
      </c>
      <c r="G227" s="101" t="str">
        <f t="shared" si="77"/>
        <v>Telefonía fija + Internet fijo</v>
      </c>
      <c r="H227" s="263" t="s">
        <v>188</v>
      </c>
      <c r="I227" s="111"/>
      <c r="J227" s="111"/>
      <c r="K227" s="111"/>
      <c r="L227" s="111"/>
      <c r="M227" s="344">
        <f t="shared" ref="M227:N227" si="92">IFERROR(M$10*M99,"")</f>
        <v>3489.0886844039155</v>
      </c>
      <c r="N227" s="344">
        <f t="shared" si="92"/>
        <v>10733.608240857413</v>
      </c>
      <c r="O227" s="344"/>
      <c r="R227" s="102"/>
    </row>
    <row r="228" spans="3:18" s="262" customFormat="1" ht="12" x14ac:dyDescent="0.25">
      <c r="C228" s="579" t="str">
        <f t="shared" si="76"/>
        <v>Paquete Infinitum Entretenimiento+ 70   (Netflix 4 dispositivos)Residencial</v>
      </c>
      <c r="D228" s="297">
        <f t="shared" si="81"/>
        <v>80</v>
      </c>
      <c r="E228" s="101" t="str">
        <v>Paquete Infinitum Entretenimiento+ 70   (Netflix 4 dispositivos)</v>
      </c>
      <c r="F228" s="101" t="str">
        <f t="shared" si="77"/>
        <v>Residencial</v>
      </c>
      <c r="G228" s="101" t="str">
        <f t="shared" si="77"/>
        <v>Telefonía fija + Internet fijo</v>
      </c>
      <c r="H228" s="263" t="s">
        <v>188</v>
      </c>
      <c r="I228" s="111"/>
      <c r="J228" s="111"/>
      <c r="K228" s="111"/>
      <c r="L228" s="111"/>
      <c r="M228" s="344">
        <f t="shared" ref="M228:N228" si="93">IFERROR(M$10*M100,"")</f>
        <v>2042.066990181683</v>
      </c>
      <c r="N228" s="344">
        <f t="shared" si="93"/>
        <v>4458.8777437496456</v>
      </c>
      <c r="O228" s="344"/>
      <c r="R228" s="102"/>
    </row>
    <row r="229" spans="3:18" s="262" customFormat="1" ht="12" x14ac:dyDescent="0.25">
      <c r="C229" s="579" t="str">
        <f t="shared" si="76"/>
        <v>Paquete Infinitum Entretenimiento+ 120    (Netflix 2 dispositivos)Residencial</v>
      </c>
      <c r="D229" s="297">
        <f t="shared" si="81"/>
        <v>81</v>
      </c>
      <c r="E229" s="101" t="str">
        <v>Paquete Infinitum Entretenimiento+ 120    (Netflix 2 dispositivos)</v>
      </c>
      <c r="F229" s="101" t="str">
        <f t="shared" si="77"/>
        <v>Residencial</v>
      </c>
      <c r="G229" s="101" t="str">
        <f t="shared" si="77"/>
        <v>Telefonía fija + Internet fijo</v>
      </c>
      <c r="H229" s="263" t="s">
        <v>188</v>
      </c>
      <c r="I229" s="111"/>
      <c r="J229" s="111"/>
      <c r="K229" s="111"/>
      <c r="L229" s="111"/>
      <c r="M229" s="344">
        <f t="shared" ref="M229:N229" si="94">IFERROR(M$10*M101,"")</f>
        <v>1321.2325087195597</v>
      </c>
      <c r="N229" s="344">
        <f t="shared" si="94"/>
        <v>4271.4924473343117</v>
      </c>
      <c r="O229" s="344"/>
      <c r="R229" s="102"/>
    </row>
    <row r="230" spans="3:18" s="262" customFormat="1" ht="12" x14ac:dyDescent="0.25">
      <c r="C230" s="579" t="str">
        <f t="shared" si="76"/>
        <v>Paquete Infinitum Entretenimiento+ 120    (Netflix 4 dispositivos)Residencial</v>
      </c>
      <c r="D230" s="297">
        <f t="shared" si="81"/>
        <v>82</v>
      </c>
      <c r="E230" s="101" t="str">
        <v>Paquete Infinitum Entretenimiento+ 120    (Netflix 4 dispositivos)</v>
      </c>
      <c r="F230" s="101" t="str">
        <f t="shared" si="77"/>
        <v>Residencial</v>
      </c>
      <c r="G230" s="101" t="str">
        <f t="shared" si="77"/>
        <v>Telefonía fija + Internet fijo</v>
      </c>
      <c r="H230" s="263" t="s">
        <v>188</v>
      </c>
      <c r="I230" s="111"/>
      <c r="J230" s="111"/>
      <c r="K230" s="111"/>
      <c r="L230" s="111"/>
      <c r="M230" s="344">
        <f t="shared" ref="M230:N230" si="95">IFERROR(M$10*M102,"")</f>
        <v>878.74005475271201</v>
      </c>
      <c r="N230" s="344">
        <f t="shared" si="95"/>
        <v>3227.4886530203062</v>
      </c>
      <c r="O230" s="344"/>
      <c r="R230" s="102"/>
    </row>
    <row r="231" spans="3:18" s="262" customFormat="1" ht="12" x14ac:dyDescent="0.25">
      <c r="C231" s="579" t="str">
        <f t="shared" si="76"/>
        <v>Paquete infinitum Entretenimiento+ 200  (Netflix 4 dispositivos)Residencial</v>
      </c>
      <c r="D231" s="297">
        <f t="shared" si="81"/>
        <v>83</v>
      </c>
      <c r="E231" s="101" t="str">
        <v>Paquete infinitum Entretenimiento+ 200  (Netflix 4 dispositivos)</v>
      </c>
      <c r="F231" s="101" t="str">
        <f t="shared" si="77"/>
        <v>Residencial</v>
      </c>
      <c r="G231" s="101" t="str">
        <f t="shared" si="77"/>
        <v>Telefonía fija + Internet fijo</v>
      </c>
      <c r="H231" s="263" t="s">
        <v>188</v>
      </c>
      <c r="I231" s="111"/>
      <c r="J231" s="111"/>
      <c r="K231" s="111"/>
      <c r="L231" s="111"/>
      <c r="M231" s="344">
        <f t="shared" ref="M231:N231" si="96">IFERROR(M$10*M103,"")</f>
        <v>6019.1463445853278</v>
      </c>
      <c r="N231" s="344">
        <f t="shared" si="96"/>
        <v>20226.011970697065</v>
      </c>
      <c r="O231" s="344"/>
      <c r="R231" s="102"/>
    </row>
    <row r="232" spans="3:18" s="262" customFormat="1" ht="12" x14ac:dyDescent="0.25">
      <c r="C232" s="579" t="str">
        <f t="shared" si="76"/>
        <v>Paquete infinitum Entretenimiento+ 200  (Netflix 2 dispositivos)Residencial</v>
      </c>
      <c r="D232" s="297">
        <f t="shared" si="81"/>
        <v>84</v>
      </c>
      <c r="E232" s="101" t="str">
        <v>Paquete infinitum Entretenimiento+ 200  (Netflix 2 dispositivos)</v>
      </c>
      <c r="F232" s="101" t="str">
        <f t="shared" si="77"/>
        <v>Residencial</v>
      </c>
      <c r="G232" s="101" t="str">
        <f t="shared" si="77"/>
        <v>Telefonía fija + Internet fijo</v>
      </c>
      <c r="H232" s="263" t="s">
        <v>188</v>
      </c>
      <c r="I232" s="111"/>
      <c r="J232" s="111"/>
      <c r="K232" s="111"/>
      <c r="L232" s="111"/>
      <c r="M232" s="344">
        <f t="shared" ref="M232:N232" si="97">IFERROR(M$10*M104,"")</f>
        <v>860.00549520976085</v>
      </c>
      <c r="N232" s="344">
        <f t="shared" si="97"/>
        <v>3025.826381639994</v>
      </c>
      <c r="O232" s="344"/>
      <c r="R232" s="102"/>
    </row>
    <row r="233" spans="3:18" s="262" customFormat="1" ht="12" x14ac:dyDescent="0.25">
      <c r="C233" s="579" t="str">
        <f t="shared" si="76"/>
        <v>Paquete infinitum Entretenimiento+ 500 (Netflix 4 dispositivos)Residencial</v>
      </c>
      <c r="D233" s="297">
        <f t="shared" si="81"/>
        <v>85</v>
      </c>
      <c r="E233" s="101" t="str">
        <v>Paquete infinitum Entretenimiento+ 500 (Netflix 4 dispositivos)</v>
      </c>
      <c r="F233" s="101" t="str">
        <f t="shared" si="77"/>
        <v>Residencial</v>
      </c>
      <c r="G233" s="101" t="str">
        <f t="shared" si="77"/>
        <v>Telefonía fija + Internet fijo</v>
      </c>
      <c r="H233" s="263" t="s">
        <v>188</v>
      </c>
      <c r="I233" s="111"/>
      <c r="J233" s="111"/>
      <c r="K233" s="111"/>
      <c r="L233" s="111"/>
      <c r="M233" s="344">
        <f t="shared" ref="M233:N233" si="98">IFERROR(M$10*M105,"")</f>
        <v>806.4781822299002</v>
      </c>
      <c r="N233" s="344">
        <f t="shared" si="98"/>
        <v>2087.1152776927001</v>
      </c>
      <c r="O233" s="344"/>
      <c r="R233" s="102"/>
    </row>
    <row r="234" spans="3:18" s="262" customFormat="1" ht="12" x14ac:dyDescent="0.25">
      <c r="C234" s="579" t="str">
        <f t="shared" si="76"/>
        <v>Paquete infinitum Entretenimiento+ 500  (Netflix 2 dispositivos)Residencial</v>
      </c>
      <c r="D234" s="297">
        <f t="shared" si="81"/>
        <v>86</v>
      </c>
      <c r="E234" s="101" t="str">
        <v>Paquete infinitum Entretenimiento+ 500  (Netflix 2 dispositivos)</v>
      </c>
      <c r="F234" s="101" t="str">
        <f t="shared" si="77"/>
        <v>Residencial</v>
      </c>
      <c r="G234" s="101" t="str">
        <f t="shared" si="77"/>
        <v>Telefonía fija + Internet fijo</v>
      </c>
      <c r="H234" s="263" t="s">
        <v>188</v>
      </c>
      <c r="I234" s="111"/>
      <c r="J234" s="111"/>
      <c r="K234" s="111"/>
      <c r="L234" s="111"/>
      <c r="M234" s="344">
        <f t="shared" ref="M234:N234" si="99">IFERROR(M$10*M106,"")</f>
        <v>133.81828244965158</v>
      </c>
      <c r="N234" s="344">
        <f t="shared" si="99"/>
        <v>255.20092749897915</v>
      </c>
      <c r="O234" s="344"/>
      <c r="R234" s="102"/>
    </row>
    <row r="235" spans="3:18" s="262" customFormat="1" ht="12" x14ac:dyDescent="0.25">
      <c r="C235" s="579" t="str">
        <f t="shared" si="76"/>
        <v>Infinitum Entretenimiento +30   (Netflix 1 dispositivo)Residencial</v>
      </c>
      <c r="D235" s="297">
        <f t="shared" si="81"/>
        <v>87</v>
      </c>
      <c r="E235" s="101" t="str">
        <v>Infinitum Entretenimiento +30   (Netflix 1 dispositivo)</v>
      </c>
      <c r="F235" s="101" t="str">
        <f t="shared" si="77"/>
        <v>Residencial</v>
      </c>
      <c r="G235" s="101" t="str">
        <f t="shared" si="77"/>
        <v>Internet fijo</v>
      </c>
      <c r="H235" s="263" t="s">
        <v>188</v>
      </c>
      <c r="I235" s="111"/>
      <c r="J235" s="111"/>
      <c r="K235" s="111"/>
      <c r="L235" s="111"/>
      <c r="M235" s="344">
        <f t="shared" ref="M235:N235" si="100">IFERROR(M$10*M107,"")</f>
        <v>1061.6250407672358</v>
      </c>
      <c r="N235" s="344">
        <f t="shared" si="100"/>
        <v>4705.1555618955144</v>
      </c>
      <c r="O235" s="344"/>
      <c r="R235" s="102"/>
    </row>
    <row r="236" spans="3:18" s="262" customFormat="1" ht="12" x14ac:dyDescent="0.25">
      <c r="C236" s="579" t="str">
        <f t="shared" si="76"/>
        <v>Infinitum Entretenimiento +30   (Netflix 2 dispositivos)Residencial</v>
      </c>
      <c r="D236" s="297">
        <f t="shared" si="81"/>
        <v>88</v>
      </c>
      <c r="E236" s="101" t="str">
        <v>Infinitum Entretenimiento +30   (Netflix 2 dispositivos)</v>
      </c>
      <c r="F236" s="101" t="str">
        <f t="shared" si="77"/>
        <v>Residencial</v>
      </c>
      <c r="G236" s="101" t="str">
        <f t="shared" si="77"/>
        <v>Internet fijo</v>
      </c>
      <c r="H236" s="263" t="s">
        <v>188</v>
      </c>
      <c r="I236" s="111"/>
      <c r="J236" s="111"/>
      <c r="K236" s="111"/>
      <c r="L236" s="111"/>
      <c r="M236" s="344">
        <f t="shared" ref="M236:N236" si="101">IFERROR(M$10*M108,"")</f>
        <v>795.77271963392809</v>
      </c>
      <c r="N236" s="344">
        <f t="shared" si="101"/>
        <v>7804.1514402310195</v>
      </c>
      <c r="O236" s="344"/>
      <c r="R236" s="102"/>
    </row>
    <row r="237" spans="3:18" s="262" customFormat="1" ht="12" x14ac:dyDescent="0.25">
      <c r="C237" s="579" t="str">
        <f t="shared" si="76"/>
        <v>Infinitum Entretenimiento +30   (Netflix 4 dispositivos)Residencial</v>
      </c>
      <c r="D237" s="297">
        <f t="shared" si="81"/>
        <v>89</v>
      </c>
      <c r="E237" s="101" t="str">
        <v>Infinitum Entretenimiento +30   (Netflix 4 dispositivos)</v>
      </c>
      <c r="F237" s="101" t="str">
        <f t="shared" si="77"/>
        <v>Residencial</v>
      </c>
      <c r="G237" s="101" t="str">
        <f t="shared" si="77"/>
        <v>Internet fijo</v>
      </c>
      <c r="H237" s="263" t="s">
        <v>188</v>
      </c>
      <c r="I237" s="111"/>
      <c r="J237" s="111"/>
      <c r="K237" s="111"/>
      <c r="L237" s="111"/>
      <c r="M237" s="344">
        <f t="shared" ref="M237:N237" si="102">IFERROR(M$10*M109,"")</f>
        <v>463.01125727579443</v>
      </c>
      <c r="N237" s="344">
        <f t="shared" si="102"/>
        <v>5875.8675090236975</v>
      </c>
      <c r="O237" s="344"/>
      <c r="R237" s="102"/>
    </row>
    <row r="238" spans="3:18" s="262" customFormat="1" ht="12" x14ac:dyDescent="0.25">
      <c r="C238" s="579" t="str">
        <f t="shared" si="76"/>
        <v>Infinitum Entretenimiento+ 70  (Netflix 2 dispositivos)Residencial</v>
      </c>
      <c r="D238" s="297">
        <f t="shared" si="81"/>
        <v>90</v>
      </c>
      <c r="E238" s="101" t="str">
        <v>Infinitum Entretenimiento+ 70  (Netflix 2 dispositivos)</v>
      </c>
      <c r="F238" s="101" t="str">
        <f t="shared" si="77"/>
        <v>Residencial</v>
      </c>
      <c r="G238" s="101" t="str">
        <f t="shared" si="77"/>
        <v>Internet fijo</v>
      </c>
      <c r="H238" s="263" t="s">
        <v>188</v>
      </c>
      <c r="I238" s="111"/>
      <c r="J238" s="111"/>
      <c r="K238" s="111"/>
      <c r="L238" s="111"/>
      <c r="M238" s="344">
        <f t="shared" ref="M238:N238" si="103">IFERROR(M$10*M110,"")</f>
        <v>424.65001630689437</v>
      </c>
      <c r="N238" s="344">
        <f t="shared" si="103"/>
        <v>3919.9219388217321</v>
      </c>
      <c r="O238" s="344"/>
      <c r="R238" s="102"/>
    </row>
    <row r="239" spans="3:18" s="262" customFormat="1" ht="12" x14ac:dyDescent="0.25">
      <c r="C239" s="579" t="str">
        <f t="shared" si="76"/>
        <v>Infinitum Entretenimiento+ 70  (Netflix 4 dispositivos)Residencial</v>
      </c>
      <c r="D239" s="297">
        <f t="shared" si="81"/>
        <v>91</v>
      </c>
      <c r="E239" s="101" t="str">
        <v>Infinitum Entretenimiento+ 70  (Netflix 4 dispositivos)</v>
      </c>
      <c r="F239" s="101" t="str">
        <f t="shared" si="77"/>
        <v>Residencial</v>
      </c>
      <c r="G239" s="101" t="str">
        <f t="shared" si="77"/>
        <v>Internet fijo</v>
      </c>
      <c r="H239" s="263" t="s">
        <v>188</v>
      </c>
      <c r="I239" s="111"/>
      <c r="J239" s="111"/>
      <c r="K239" s="111"/>
      <c r="L239" s="111"/>
      <c r="M239" s="344">
        <f t="shared" ref="M239:N239" si="104">IFERROR(M$10*M111,"")</f>
        <v>230.16744581340072</v>
      </c>
      <c r="N239" s="344">
        <f t="shared" si="104"/>
        <v>1919.3608218542104</v>
      </c>
      <c r="O239" s="344"/>
      <c r="R239" s="102"/>
    </row>
    <row r="240" spans="3:18" s="262" customFormat="1" ht="12" x14ac:dyDescent="0.25">
      <c r="C240" s="579" t="str">
        <f t="shared" si="76"/>
        <v>Infinitum Entretenimiento+ 250  (Netflix 4 dispositivos)Residencial</v>
      </c>
      <c r="D240" s="297">
        <f t="shared" si="81"/>
        <v>92</v>
      </c>
      <c r="E240" s="101" t="str">
        <v>Infinitum Entretenimiento+ 250  (Netflix 4 dispositivos)</v>
      </c>
      <c r="F240" s="101" t="str">
        <f t="shared" si="77"/>
        <v>Residencial</v>
      </c>
      <c r="G240" s="101" t="str">
        <f t="shared" si="77"/>
        <v>Internet fijo</v>
      </c>
      <c r="H240" s="263" t="s">
        <v>188</v>
      </c>
      <c r="I240" s="111"/>
      <c r="J240" s="111"/>
      <c r="K240" s="111"/>
      <c r="L240" s="111"/>
      <c r="M240" s="344">
        <f t="shared" ref="M240:N240" si="105">IFERROR(M$10*M112,"")</f>
        <v>421.08152877490357</v>
      </c>
      <c r="N240" s="344">
        <f t="shared" si="105"/>
        <v>2472.5936017471022</v>
      </c>
      <c r="O240" s="344"/>
      <c r="R240" s="102"/>
    </row>
    <row r="241" spans="3:18" s="262" customFormat="1" ht="12" x14ac:dyDescent="0.25">
      <c r="C241" s="579" t="str">
        <f t="shared" si="76"/>
        <v>Infinitum Entretenimiento+ 250  (Netflix 2 dispositivos)Residencial</v>
      </c>
      <c r="D241" s="297">
        <f t="shared" si="81"/>
        <v>93</v>
      </c>
      <c r="E241" s="101" t="str">
        <v>Infinitum Entretenimiento+ 250  (Netflix 2 dispositivos)</v>
      </c>
      <c r="F241" s="101" t="str">
        <f t="shared" si="77"/>
        <v>Residencial</v>
      </c>
      <c r="G241" s="101" t="str">
        <f t="shared" si="77"/>
        <v>Internet fijo</v>
      </c>
      <c r="H241" s="263" t="s">
        <v>188</v>
      </c>
      <c r="I241" s="111"/>
      <c r="J241" s="111"/>
      <c r="K241" s="111"/>
      <c r="L241" s="111"/>
      <c r="M241" s="344">
        <f t="shared" ref="M241:N241" si="106">IFERROR(M$10*M113,"")</f>
        <v>107.94674784271893</v>
      </c>
      <c r="N241" s="344">
        <f t="shared" si="106"/>
        <v>593.38677198189202</v>
      </c>
      <c r="O241" s="344"/>
      <c r="R241" s="102"/>
    </row>
    <row r="242" spans="3:18" s="262" customFormat="1" ht="12" x14ac:dyDescent="0.25">
      <c r="C242" s="579" t="str">
        <f t="shared" si="76"/>
        <v>Infinitum Entretenimiento+ 500   (Netflix 4 dispositivos)Residencial</v>
      </c>
      <c r="D242" s="297">
        <f t="shared" si="81"/>
        <v>94</v>
      </c>
      <c r="E242" s="101" t="str">
        <v>Infinitum Entretenimiento+ 500   (Netflix 4 dispositivos)</v>
      </c>
      <c r="F242" s="101" t="str">
        <f t="shared" si="77"/>
        <v>Residencial</v>
      </c>
      <c r="G242" s="101" t="str">
        <f t="shared" si="77"/>
        <v>Internet fijo</v>
      </c>
      <c r="H242" s="263" t="s">
        <v>188</v>
      </c>
      <c r="I242" s="111"/>
      <c r="J242" s="111"/>
      <c r="K242" s="111"/>
      <c r="L242" s="111"/>
      <c r="M242" s="344">
        <f t="shared" ref="M242:N242" si="107">IFERROR(M$10*M114,"")</f>
        <v>34.792753436909408</v>
      </c>
      <c r="N242" s="344">
        <f t="shared" si="107"/>
        <v>551.44815802226958</v>
      </c>
      <c r="O242" s="344"/>
      <c r="R242" s="102"/>
    </row>
    <row r="243" spans="3:18" s="262" customFormat="1" ht="12" x14ac:dyDescent="0.25">
      <c r="C243" s="579" t="str">
        <f t="shared" si="76"/>
        <v>Infinitum Entretenimiento+ 500   (Netflix 2 dispositivos)Residencial</v>
      </c>
      <c r="D243" s="297">
        <f t="shared" si="81"/>
        <v>95</v>
      </c>
      <c r="E243" s="101" t="str">
        <v>Infinitum Entretenimiento+ 500   (Netflix 2 dispositivos)</v>
      </c>
      <c r="F243" s="101" t="str">
        <f t="shared" si="77"/>
        <v>Residencial</v>
      </c>
      <c r="G243" s="101" t="str">
        <f t="shared" si="77"/>
        <v>Internet fijo</v>
      </c>
      <c r="H243" s="263" t="s">
        <v>188</v>
      </c>
      <c r="I243" s="111"/>
      <c r="J243" s="111"/>
      <c r="K243" s="111"/>
      <c r="L243" s="111"/>
      <c r="M243" s="344">
        <f t="shared" ref="M243:N243" si="108">IFERROR(M$10*M115,"")</f>
        <v>33.008509670914052</v>
      </c>
      <c r="N243" s="344">
        <f t="shared" si="108"/>
        <v>73.169496695511512</v>
      </c>
      <c r="O243" s="344"/>
      <c r="R243" s="102"/>
    </row>
    <row r="244" spans="3:18" s="262" customFormat="1" ht="12" x14ac:dyDescent="0.25">
      <c r="C244" s="579" t="str">
        <f t="shared" si="76"/>
        <v>Velocidad Simétrica Conectes NegocioNo Residencial</v>
      </c>
      <c r="D244" s="297">
        <f t="shared" si="81"/>
        <v>96</v>
      </c>
      <c r="E244" s="101" t="str">
        <v>Velocidad Simétrica Conectes Negocio</v>
      </c>
      <c r="F244" s="101" t="str">
        <f t="shared" si="77"/>
        <v>No Residencial</v>
      </c>
      <c r="G244" s="101" t="str">
        <f t="shared" si="77"/>
        <v>Telefonía fija + Internet fijo</v>
      </c>
      <c r="H244" s="263" t="s">
        <v>188</v>
      </c>
      <c r="I244" s="111"/>
      <c r="J244" s="111"/>
      <c r="K244" s="111"/>
      <c r="L244" s="111"/>
      <c r="M244" s="344">
        <f t="shared" ref="M244:N244" si="109">IFERROR(M$10*M116,"")</f>
        <v>6787.2632858463276</v>
      </c>
      <c r="N244" s="344">
        <f t="shared" si="109"/>
        <v>10304.406680972766</v>
      </c>
      <c r="O244" s="344"/>
      <c r="R244" s="102"/>
    </row>
    <row r="245" spans="3:18" s="262" customFormat="1" ht="12" x14ac:dyDescent="0.25">
      <c r="C245" s="579" t="str">
        <f t="shared" si="76"/>
        <v>Velocidad Simétrica Mi NegocioNo Residencial</v>
      </c>
      <c r="D245" s="297">
        <f t="shared" si="81"/>
        <v>97</v>
      </c>
      <c r="E245" s="101" t="str">
        <v>Velocidad Simétrica Mi Negocio</v>
      </c>
      <c r="F245" s="101" t="str">
        <f t="shared" si="77"/>
        <v>No Residencial</v>
      </c>
      <c r="G245" s="101" t="str">
        <f t="shared" si="77"/>
        <v>Telefonía fija + Internet fijo</v>
      </c>
      <c r="H245" s="263" t="s">
        <v>188</v>
      </c>
      <c r="I245" s="111"/>
      <c r="J245" s="111"/>
      <c r="K245" s="111"/>
      <c r="L245" s="111"/>
      <c r="M245" s="344">
        <f t="shared" ref="M245:N245" si="110">IFERROR(M$10*M117,"")</f>
        <v>8830.2223979110095</v>
      </c>
      <c r="N245" s="344">
        <f t="shared" si="110"/>
        <v>10873.701057701259</v>
      </c>
      <c r="O245" s="344"/>
      <c r="R245" s="102"/>
    </row>
    <row r="246" spans="3:18" s="262" customFormat="1" ht="12" x14ac:dyDescent="0.25">
      <c r="C246" s="579" t="str">
        <f t="shared" si="76"/>
        <v>Velocidad Simétrica SupernegocioNo Residencial</v>
      </c>
      <c r="D246" s="297">
        <f t="shared" si="81"/>
        <v>98</v>
      </c>
      <c r="E246" s="101" t="str">
        <v>Velocidad Simétrica Supernegocio</v>
      </c>
      <c r="F246" s="101" t="str">
        <f t="shared" si="77"/>
        <v>No Residencial</v>
      </c>
      <c r="G246" s="101" t="str">
        <f t="shared" si="77"/>
        <v>Telefonía fija + Internet fijo</v>
      </c>
      <c r="H246" s="263" t="s">
        <v>188</v>
      </c>
      <c r="I246" s="111"/>
      <c r="J246" s="111"/>
      <c r="K246" s="111"/>
      <c r="L246" s="111"/>
      <c r="M246" s="344">
        <f t="shared" ref="M246:N246" si="111">IFERROR(M$10*M118,"")</f>
        <v>6173.4834303439256</v>
      </c>
      <c r="N246" s="344">
        <f t="shared" si="111"/>
        <v>7362.4575272520169</v>
      </c>
      <c r="O246" s="344"/>
      <c r="R246" s="102"/>
    </row>
    <row r="247" spans="3:18" s="262" customFormat="1" ht="12" x14ac:dyDescent="0.25">
      <c r="C247" s="579" t="str">
        <f t="shared" si="76"/>
        <v>Velocidad Simétrica Telmex Negocio Sin Límites 1No Residencial</v>
      </c>
      <c r="D247" s="297">
        <f t="shared" si="81"/>
        <v>99</v>
      </c>
      <c r="E247" s="101" t="str">
        <v>Velocidad Simétrica Telmex Negocio Sin Límites 1</v>
      </c>
      <c r="F247" s="101" t="str">
        <f t="shared" si="77"/>
        <v>No Residencial</v>
      </c>
      <c r="G247" s="101" t="str">
        <f t="shared" si="77"/>
        <v>Telefonía fija + Internet fijo</v>
      </c>
      <c r="H247" s="263" t="s">
        <v>188</v>
      </c>
      <c r="I247" s="111"/>
      <c r="J247" s="111"/>
      <c r="K247" s="111"/>
      <c r="L247" s="111"/>
      <c r="M247" s="344">
        <f t="shared" ref="M247:N247" si="112">IFERROR(M$10*M119,"")</f>
        <v>1992.1081647338131</v>
      </c>
      <c r="N247" s="344">
        <f t="shared" si="112"/>
        <v>2280.7467506552121</v>
      </c>
      <c r="O247" s="344"/>
      <c r="R247" s="102"/>
    </row>
    <row r="248" spans="3:18" s="262" customFormat="1" ht="12" x14ac:dyDescent="0.25">
      <c r="C248" s="579" t="str">
        <f t="shared" si="76"/>
        <v>Velocidad Simétrica Telmex Negocio Sin Límites 2No Residencial</v>
      </c>
      <c r="D248" s="297">
        <f t="shared" si="81"/>
        <v>100</v>
      </c>
      <c r="E248" s="101" t="str">
        <v>Velocidad Simétrica Telmex Negocio Sin Límites 2</v>
      </c>
      <c r="F248" s="101" t="str">
        <f t="shared" si="77"/>
        <v>No Residencial</v>
      </c>
      <c r="G248" s="101" t="str">
        <f t="shared" si="77"/>
        <v>Telefonía fija + Internet fijo</v>
      </c>
      <c r="H248" s="263" t="s">
        <v>188</v>
      </c>
      <c r="I248" s="111"/>
      <c r="J248" s="111"/>
      <c r="K248" s="111"/>
      <c r="L248" s="111"/>
      <c r="M248" s="344">
        <f t="shared" ref="M248:N248" si="113">IFERROR(M$10*M120,"")</f>
        <v>2585.3692169272686</v>
      </c>
      <c r="N248" s="344">
        <f t="shared" si="113"/>
        <v>3325.6428559045289</v>
      </c>
      <c r="O248" s="344"/>
      <c r="R248" s="102"/>
    </row>
    <row r="249" spans="3:18" s="262" customFormat="1" ht="12" x14ac:dyDescent="0.25">
      <c r="C249" s="579" t="str">
        <f t="shared" si="76"/>
        <v>Velocidad Simétrica Telmex Negocio Sin Límites 3No Residencial</v>
      </c>
      <c r="D249" s="297">
        <f t="shared" si="81"/>
        <v>101</v>
      </c>
      <c r="E249" s="101" t="str">
        <v>Velocidad Simétrica Telmex Negocio Sin Límites 3</v>
      </c>
      <c r="F249" s="101" t="str">
        <f t="shared" si="77"/>
        <v>No Residencial</v>
      </c>
      <c r="G249" s="101" t="str">
        <f t="shared" si="77"/>
        <v>Telefonía fija + Internet fijo</v>
      </c>
      <c r="H249" s="263" t="s">
        <v>188</v>
      </c>
      <c r="I249" s="111"/>
      <c r="J249" s="111"/>
      <c r="K249" s="111"/>
      <c r="L249" s="111"/>
      <c r="M249" s="344">
        <f t="shared" ref="M249:N249" si="114">IFERROR(M$10*M121,"")</f>
        <v>2655.8468456840847</v>
      </c>
      <c r="N249" s="344">
        <f t="shared" si="114"/>
        <v>2020.1919575443665</v>
      </c>
      <c r="O249" s="344"/>
      <c r="R249" s="102"/>
    </row>
    <row r="250" spans="3:18" s="262" customFormat="1" ht="12" x14ac:dyDescent="0.25">
      <c r="C250" s="579" t="str">
        <f t="shared" si="76"/>
        <v>Velocidad Simétrica Conectes Negocio Netflix (1 dispositivo)No Residencial</v>
      </c>
      <c r="D250" s="297">
        <f t="shared" si="81"/>
        <v>102</v>
      </c>
      <c r="E250" s="101" t="str">
        <v>Velocidad Simétrica Conectes Negocio Netflix (1 dispositivo)</v>
      </c>
      <c r="F250" s="101" t="str">
        <f t="shared" si="77"/>
        <v>No Residencial</v>
      </c>
      <c r="G250" s="101" t="str">
        <f t="shared" si="77"/>
        <v>Telefonía fija + Internet fijo</v>
      </c>
      <c r="H250" s="263" t="s">
        <v>188</v>
      </c>
      <c r="I250" s="111"/>
      <c r="J250" s="111"/>
      <c r="K250" s="111"/>
      <c r="L250" s="111"/>
      <c r="M250" s="344">
        <f t="shared" ref="M250:N250" si="115">IFERROR(M$10*M122,"")</f>
        <v>0</v>
      </c>
      <c r="N250" s="344">
        <f t="shared" si="115"/>
        <v>4.4615546765555791</v>
      </c>
      <c r="O250" s="344"/>
      <c r="R250" s="102"/>
    </row>
    <row r="251" spans="3:18" s="262" customFormat="1" ht="12" x14ac:dyDescent="0.25">
      <c r="C251" s="579" t="str">
        <f t="shared" si="76"/>
        <v>Velocidad Simétrica Conectes Negocio Netflix (2 dispositivos)No Residencial</v>
      </c>
      <c r="D251" s="297">
        <f t="shared" si="81"/>
        <v>103</v>
      </c>
      <c r="E251" s="101" t="str">
        <v>Velocidad Simétrica Conectes Negocio Netflix (2 dispositivos)</v>
      </c>
      <c r="F251" s="101" t="str">
        <f t="shared" si="77"/>
        <v>No Residencial</v>
      </c>
      <c r="G251" s="101" t="str">
        <f t="shared" si="77"/>
        <v>Telefonía fija + Internet fijo</v>
      </c>
      <c r="H251" s="263" t="s">
        <v>188</v>
      </c>
      <c r="I251" s="111"/>
      <c r="J251" s="111"/>
      <c r="K251" s="111"/>
      <c r="L251" s="111"/>
      <c r="M251" s="344">
        <f t="shared" ref="M251:N251" si="116">IFERROR(M$10*M123,"")</f>
        <v>0</v>
      </c>
      <c r="N251" s="344">
        <f t="shared" si="116"/>
        <v>4.4615546765555791</v>
      </c>
      <c r="O251" s="344"/>
      <c r="R251" s="102"/>
    </row>
    <row r="252" spans="3:18" s="262" customFormat="1" ht="12" x14ac:dyDescent="0.25">
      <c r="C252" s="579" t="str">
        <f t="shared" si="76"/>
        <v>Velocidad Simétrica Conectes Negocio Netflix (4 dispositivos)No Residencial</v>
      </c>
      <c r="D252" s="297">
        <f t="shared" si="81"/>
        <v>104</v>
      </c>
      <c r="E252" s="101" t="str">
        <v>Velocidad Simétrica Conectes Negocio Netflix (4 dispositivos)</v>
      </c>
      <c r="F252" s="101" t="str">
        <f t="shared" si="77"/>
        <v>No Residencial</v>
      </c>
      <c r="G252" s="101" t="str">
        <f t="shared" si="77"/>
        <v>Telefonía fija + Internet fijo</v>
      </c>
      <c r="H252" s="263" t="s">
        <v>188</v>
      </c>
      <c r="I252" s="111"/>
      <c r="J252" s="111"/>
      <c r="K252" s="111"/>
      <c r="L252" s="111"/>
      <c r="M252" s="344">
        <f t="shared" ref="M252:N252" si="117">IFERROR(M$10*M124,"")</f>
        <v>0</v>
      </c>
      <c r="N252" s="344">
        <f t="shared" si="117"/>
        <v>3.5692437412444638</v>
      </c>
      <c r="O252" s="344"/>
      <c r="R252" s="102"/>
    </row>
    <row r="253" spans="3:18" s="262" customFormat="1" ht="12" x14ac:dyDescent="0.25">
      <c r="C253" s="579" t="str">
        <f t="shared" si="76"/>
        <v>Velocidad Simétrica Mi Negocio Netflix (2 dispositivos)No Residencial</v>
      </c>
      <c r="D253" s="297">
        <f t="shared" si="81"/>
        <v>105</v>
      </c>
      <c r="E253" s="101" t="str">
        <v>Velocidad Simétrica Mi Negocio Netflix (2 dispositivos)</v>
      </c>
      <c r="F253" s="101" t="str">
        <f t="shared" si="77"/>
        <v>No Residencial</v>
      </c>
      <c r="G253" s="101" t="str">
        <f t="shared" si="77"/>
        <v>Telefonía fija + Internet fijo</v>
      </c>
      <c r="H253" s="263" t="s">
        <v>188</v>
      </c>
      <c r="I253" s="111"/>
      <c r="J253" s="111"/>
      <c r="K253" s="111"/>
      <c r="L253" s="111"/>
      <c r="M253" s="344">
        <f t="shared" ref="M253:N253" si="118">IFERROR(M$10*M125,"")</f>
        <v>0.89212188299767725</v>
      </c>
      <c r="N253" s="344">
        <f t="shared" si="118"/>
        <v>16.061596835600085</v>
      </c>
      <c r="O253" s="344"/>
      <c r="R253" s="102"/>
    </row>
    <row r="254" spans="3:18" s="262" customFormat="1" ht="12" x14ac:dyDescent="0.25">
      <c r="C254" s="579" t="str">
        <f t="shared" si="76"/>
        <v>Velocidad Simétrica Mi Negocio Netflix (4 dispositivos)No Residencial</v>
      </c>
      <c r="D254" s="297">
        <f t="shared" si="81"/>
        <v>106</v>
      </c>
      <c r="E254" s="101" t="str">
        <v>Velocidad Simétrica Mi Negocio Netflix (4 dispositivos)</v>
      </c>
      <c r="F254" s="101" t="str">
        <f t="shared" si="77"/>
        <v>No Residencial</v>
      </c>
      <c r="G254" s="101" t="str">
        <f t="shared" si="77"/>
        <v>Telefonía fija + Internet fijo</v>
      </c>
      <c r="H254" s="263" t="s">
        <v>188</v>
      </c>
      <c r="I254" s="111"/>
      <c r="J254" s="111"/>
      <c r="K254" s="111"/>
      <c r="L254" s="111"/>
      <c r="M254" s="344">
        <f t="shared" ref="M254:N254" si="119">IFERROR(M$10*M126,"")</f>
        <v>0.89212188299767725</v>
      </c>
      <c r="N254" s="344">
        <f t="shared" si="119"/>
        <v>3.5692437412444638</v>
      </c>
      <c r="O254" s="344"/>
      <c r="R254" s="102"/>
    </row>
    <row r="255" spans="3:18" s="262" customFormat="1" ht="12" x14ac:dyDescent="0.25">
      <c r="C255" s="579" t="str">
        <f t="shared" si="76"/>
        <v>Velocidad Simétrica Supernegocio Netflix (2 dispositivos)No Residencial</v>
      </c>
      <c r="D255" s="297">
        <f t="shared" si="81"/>
        <v>107</v>
      </c>
      <c r="E255" s="101" t="str">
        <v>Velocidad Simétrica Supernegocio Netflix (2 dispositivos)</v>
      </c>
      <c r="F255" s="101" t="str">
        <f t="shared" si="77"/>
        <v>No Residencial</v>
      </c>
      <c r="G255" s="101" t="str">
        <f t="shared" si="77"/>
        <v>Telefonía fija + Internet fijo</v>
      </c>
      <c r="H255" s="263" t="s">
        <v>188</v>
      </c>
      <c r="I255" s="111"/>
      <c r="J255" s="111"/>
      <c r="K255" s="111"/>
      <c r="L255" s="111"/>
      <c r="M255" s="344">
        <f t="shared" ref="M255:N255" si="120">IFERROR(M$10*M127,"")</f>
        <v>5.3527312979860628</v>
      </c>
      <c r="N255" s="344">
        <f t="shared" si="120"/>
        <v>33.907815541822401</v>
      </c>
      <c r="O255" s="344"/>
      <c r="R255" s="102"/>
    </row>
    <row r="256" spans="3:18" s="262" customFormat="1" ht="12.5" thickBot="1" x14ac:dyDescent="0.3">
      <c r="C256" s="579" t="str">
        <f t="shared" si="76"/>
        <v>Velocidad Simétrica Supernegocio Netflix (4 dispositivos)No Residencial</v>
      </c>
      <c r="D256" s="297">
        <f t="shared" si="81"/>
        <v>108</v>
      </c>
      <c r="E256" s="101" t="str">
        <v>Velocidad Simétrica Supernegocio Netflix (4 dispositivos)</v>
      </c>
      <c r="F256" s="101" t="str">
        <f t="shared" si="77"/>
        <v>No Residencial</v>
      </c>
      <c r="G256" s="101" t="str">
        <f t="shared" si="77"/>
        <v>Telefonía fija + Internet fijo</v>
      </c>
      <c r="H256" s="263" t="s">
        <v>188</v>
      </c>
      <c r="I256" s="111"/>
      <c r="J256" s="111"/>
      <c r="K256" s="111"/>
      <c r="L256" s="111"/>
      <c r="M256" s="344">
        <f t="shared" ref="M256:N256" si="121">IFERROR(M$10*M128,"")</f>
        <v>3.568487531990709</v>
      </c>
      <c r="N256" s="344">
        <f t="shared" si="121"/>
        <v>40.153992089000219</v>
      </c>
      <c r="O256" s="344"/>
      <c r="R256" s="102"/>
    </row>
    <row r="257" spans="4:18" s="262" customFormat="1" hidden="1" outlineLevel="1" x14ac:dyDescent="0.25">
      <c r="D257" s="297">
        <f t="shared" si="81"/>
        <v>109</v>
      </c>
      <c r="E257" s="101"/>
      <c r="F257" s="101"/>
      <c r="G257" s="101"/>
      <c r="H257" s="263"/>
      <c r="I257" s="111"/>
      <c r="J257" s="111"/>
      <c r="K257" s="111"/>
      <c r="L257" s="111"/>
      <c r="M257" s="344">
        <f t="shared" ref="M257:N257" si="122">IFERROR(M$10*M129,"")</f>
        <v>0</v>
      </c>
      <c r="N257" s="344">
        <f t="shared" si="122"/>
        <v>0</v>
      </c>
      <c r="O257" s="344"/>
      <c r="R257" s="102"/>
    </row>
    <row r="258" spans="4:18" s="262" customFormat="1" hidden="1" outlineLevel="1" x14ac:dyDescent="0.25">
      <c r="D258" s="297">
        <f t="shared" si="81"/>
        <v>110</v>
      </c>
      <c r="E258" s="101"/>
      <c r="F258" s="101"/>
      <c r="G258" s="101"/>
      <c r="H258" s="263"/>
      <c r="I258" s="111"/>
      <c r="J258" s="111"/>
      <c r="K258" s="111"/>
      <c r="L258" s="111"/>
      <c r="M258" s="344"/>
      <c r="N258" s="344"/>
      <c r="O258" s="344"/>
      <c r="R258" s="102"/>
    </row>
    <row r="259" spans="4:18" s="262" customFormat="1" hidden="1" outlineLevel="1" x14ac:dyDescent="0.25">
      <c r="D259" s="297">
        <f t="shared" si="81"/>
        <v>111</v>
      </c>
      <c r="E259" s="101"/>
      <c r="F259" s="101"/>
      <c r="G259" s="101"/>
      <c r="H259" s="263"/>
      <c r="I259" s="111"/>
      <c r="J259" s="111"/>
      <c r="K259" s="111"/>
      <c r="L259" s="111"/>
      <c r="M259" s="344"/>
      <c r="N259" s="344"/>
      <c r="O259" s="344"/>
      <c r="R259" s="102"/>
    </row>
    <row r="260" spans="4:18" s="262" customFormat="1" hidden="1" outlineLevel="1" x14ac:dyDescent="0.25">
      <c r="D260" s="297">
        <f t="shared" si="81"/>
        <v>112</v>
      </c>
      <c r="E260" s="101"/>
      <c r="F260" s="101"/>
      <c r="G260" s="101"/>
      <c r="H260" s="263"/>
      <c r="I260" s="111"/>
      <c r="J260" s="111"/>
      <c r="K260" s="111"/>
      <c r="L260" s="111"/>
      <c r="M260" s="344"/>
      <c r="N260" s="344"/>
      <c r="O260" s="344"/>
      <c r="R260" s="102"/>
    </row>
    <row r="261" spans="4:18" s="262" customFormat="1" hidden="1" outlineLevel="1" x14ac:dyDescent="0.25">
      <c r="D261" s="297">
        <f t="shared" si="81"/>
        <v>113</v>
      </c>
      <c r="E261" s="101"/>
      <c r="F261" s="101"/>
      <c r="G261" s="101"/>
      <c r="H261" s="263"/>
      <c r="I261" s="111"/>
      <c r="J261" s="111"/>
      <c r="K261" s="111"/>
      <c r="L261" s="111"/>
      <c r="M261" s="344"/>
      <c r="N261" s="344"/>
      <c r="O261" s="344"/>
      <c r="R261" s="102"/>
    </row>
    <row r="262" spans="4:18" s="262" customFormat="1" hidden="1" outlineLevel="1" x14ac:dyDescent="0.25">
      <c r="D262" s="297">
        <f t="shared" si="81"/>
        <v>114</v>
      </c>
      <c r="E262" s="101"/>
      <c r="F262" s="101"/>
      <c r="G262" s="101"/>
      <c r="H262" s="263"/>
      <c r="I262" s="111"/>
      <c r="J262" s="111"/>
      <c r="K262" s="111"/>
      <c r="L262" s="111"/>
      <c r="M262" s="344"/>
      <c r="N262" s="344"/>
      <c r="O262" s="344"/>
      <c r="R262" s="102"/>
    </row>
    <row r="263" spans="4:18" s="262" customFormat="1" hidden="1" outlineLevel="1" x14ac:dyDescent="0.25">
      <c r="D263" s="297">
        <f t="shared" si="81"/>
        <v>115</v>
      </c>
      <c r="E263" s="101"/>
      <c r="F263" s="101"/>
      <c r="G263" s="101"/>
      <c r="H263" s="263"/>
      <c r="I263" s="111"/>
      <c r="J263" s="111"/>
      <c r="K263" s="111"/>
      <c r="L263" s="111"/>
      <c r="M263" s="344"/>
      <c r="N263" s="344"/>
      <c r="O263" s="344"/>
      <c r="R263" s="102"/>
    </row>
    <row r="264" spans="4:18" s="262" customFormat="1" hidden="1" outlineLevel="1" x14ac:dyDescent="0.25">
      <c r="D264" s="297">
        <f t="shared" si="81"/>
        <v>116</v>
      </c>
      <c r="E264" s="101"/>
      <c r="F264" s="101"/>
      <c r="G264" s="101"/>
      <c r="H264" s="263"/>
      <c r="I264" s="111"/>
      <c r="J264" s="111"/>
      <c r="K264" s="111"/>
      <c r="L264" s="111"/>
      <c r="M264" s="344"/>
      <c r="N264" s="344"/>
      <c r="O264" s="344"/>
      <c r="R264" s="102"/>
    </row>
    <row r="265" spans="4:18" s="262" customFormat="1" hidden="1" outlineLevel="1" x14ac:dyDescent="0.25">
      <c r="D265" s="297">
        <f t="shared" si="81"/>
        <v>117</v>
      </c>
      <c r="E265" s="101"/>
      <c r="F265" s="101"/>
      <c r="G265" s="101"/>
      <c r="H265" s="263"/>
      <c r="I265" s="111"/>
      <c r="J265" s="111"/>
      <c r="K265" s="111"/>
      <c r="L265" s="111"/>
      <c r="M265" s="344"/>
      <c r="N265" s="344"/>
      <c r="O265" s="344"/>
      <c r="R265" s="102"/>
    </row>
    <row r="266" spans="4:18" s="262" customFormat="1" hidden="1" outlineLevel="1" x14ac:dyDescent="0.25">
      <c r="D266" s="297">
        <f t="shared" si="81"/>
        <v>118</v>
      </c>
      <c r="E266" s="101"/>
      <c r="F266" s="101"/>
      <c r="G266" s="101"/>
      <c r="H266" s="263"/>
      <c r="I266" s="111"/>
      <c r="J266" s="111"/>
      <c r="K266" s="111"/>
      <c r="L266" s="111"/>
      <c r="M266" s="344"/>
      <c r="N266" s="344"/>
      <c r="O266" s="344"/>
      <c r="R266" s="102"/>
    </row>
    <row r="267" spans="4:18" s="262" customFormat="1" hidden="1" outlineLevel="1" x14ac:dyDescent="0.25">
      <c r="D267" s="297">
        <f t="shared" si="81"/>
        <v>119</v>
      </c>
      <c r="E267" s="101"/>
      <c r="F267" s="101"/>
      <c r="G267" s="101"/>
      <c r="H267" s="263"/>
      <c r="I267" s="111"/>
      <c r="J267" s="111"/>
      <c r="K267" s="111"/>
      <c r="L267" s="111"/>
      <c r="M267" s="344"/>
      <c r="N267" s="344"/>
      <c r="O267" s="344"/>
      <c r="R267" s="102"/>
    </row>
    <row r="268" spans="4:18" s="262" customFormat="1" hidden="1" outlineLevel="1" x14ac:dyDescent="0.25">
      <c r="D268" s="297">
        <f t="shared" si="81"/>
        <v>120</v>
      </c>
      <c r="E268" s="101"/>
      <c r="F268" s="101"/>
      <c r="G268" s="101"/>
      <c r="H268" s="263"/>
      <c r="I268" s="111"/>
      <c r="J268" s="111"/>
      <c r="K268" s="111"/>
      <c r="L268" s="111"/>
      <c r="M268" s="344"/>
      <c r="N268" s="344"/>
      <c r="O268" s="344"/>
      <c r="R268" s="102"/>
    </row>
    <row r="269" spans="4:18" s="262" customFormat="1" hidden="1" outlineLevel="1" x14ac:dyDescent="0.25">
      <c r="D269" s="297">
        <f t="shared" si="81"/>
        <v>121</v>
      </c>
      <c r="E269" s="101"/>
      <c r="F269" s="101"/>
      <c r="G269" s="101"/>
      <c r="H269" s="263"/>
      <c r="I269" s="111"/>
      <c r="J269" s="111"/>
      <c r="K269" s="111"/>
      <c r="L269" s="111"/>
      <c r="M269" s="344"/>
      <c r="N269" s="344"/>
      <c r="O269" s="344"/>
      <c r="R269" s="102"/>
    </row>
    <row r="270" spans="4:18" s="262" customFormat="1" hidden="1" outlineLevel="1" x14ac:dyDescent="0.25">
      <c r="D270" s="297">
        <f t="shared" si="81"/>
        <v>122</v>
      </c>
      <c r="E270" s="101"/>
      <c r="F270" s="101"/>
      <c r="G270" s="101"/>
      <c r="H270" s="263"/>
      <c r="I270" s="111"/>
      <c r="J270" s="111"/>
      <c r="K270" s="111"/>
      <c r="L270" s="111"/>
      <c r="M270" s="344"/>
      <c r="N270" s="344"/>
      <c r="O270" s="344"/>
      <c r="R270" s="102"/>
    </row>
    <row r="271" spans="4:18" s="262" customFormat="1" hidden="1" outlineLevel="1" x14ac:dyDescent="0.25">
      <c r="D271" s="297">
        <f t="shared" si="81"/>
        <v>123</v>
      </c>
      <c r="E271" s="101"/>
      <c r="F271" s="101"/>
      <c r="G271" s="101"/>
      <c r="H271" s="263"/>
      <c r="I271" s="111"/>
      <c r="J271" s="111"/>
      <c r="K271" s="111"/>
      <c r="L271" s="111"/>
      <c r="M271" s="344"/>
      <c r="N271" s="344"/>
      <c r="O271" s="344"/>
      <c r="R271" s="102"/>
    </row>
    <row r="272" spans="4:18" s="262" customFormat="1" ht="12" hidden="1" outlineLevel="1" thickBot="1" x14ac:dyDescent="0.3">
      <c r="D272" s="297">
        <f t="shared" si="81"/>
        <v>124</v>
      </c>
      <c r="E272" s="101"/>
      <c r="F272" s="101"/>
      <c r="G272" s="101"/>
      <c r="H272" s="263"/>
      <c r="I272" s="111"/>
      <c r="J272" s="111"/>
      <c r="K272" s="111"/>
      <c r="L272" s="111"/>
      <c r="M272" s="344"/>
      <c r="N272" s="344"/>
      <c r="O272" s="344"/>
      <c r="R272" s="102"/>
    </row>
    <row r="273" spans="2:53" s="262" customFormat="1" ht="12" hidden="1" outlineLevel="1" x14ac:dyDescent="0.25">
      <c r="D273" s="297">
        <f t="shared" si="81"/>
        <v>125</v>
      </c>
      <c r="E273" s="101"/>
      <c r="F273" s="101"/>
      <c r="G273" s="101"/>
      <c r="H273" s="263"/>
      <c r="I273" s="111"/>
      <c r="J273" s="111"/>
      <c r="K273" s="111"/>
      <c r="L273" s="111"/>
      <c r="M273" s="344"/>
      <c r="N273" s="344"/>
      <c r="O273" s="344"/>
      <c r="P273" s="458"/>
      <c r="R273" s="102"/>
    </row>
    <row r="274" spans="2:53" s="262" customFormat="1" ht="12" hidden="1" outlineLevel="1" thickBot="1" x14ac:dyDescent="0.3">
      <c r="D274" s="297">
        <f t="shared" si="81"/>
        <v>126</v>
      </c>
      <c r="E274" s="101"/>
      <c r="F274" s="101"/>
      <c r="G274" s="101"/>
      <c r="H274" s="263"/>
      <c r="I274" s="111"/>
      <c r="J274" s="111"/>
      <c r="K274" s="111"/>
      <c r="L274" s="111"/>
      <c r="M274" s="344"/>
      <c r="N274" s="344"/>
      <c r="O274" s="344"/>
      <c r="R274" s="102"/>
    </row>
    <row r="275" spans="2:53" s="44" customFormat="1" ht="12" collapsed="1" x14ac:dyDescent="0.25">
      <c r="E275" s="109"/>
      <c r="F275" s="41"/>
      <c r="G275" s="41"/>
      <c r="H275" s="41"/>
      <c r="I275" s="41"/>
      <c r="J275" s="41"/>
      <c r="K275" s="41"/>
      <c r="L275" s="270"/>
      <c r="M275" s="270"/>
      <c r="N275" s="270"/>
      <c r="O275" s="270"/>
      <c r="P275" s="458" t="s">
        <v>247</v>
      </c>
      <c r="Q275" s="41"/>
      <c r="R275" s="41"/>
    </row>
    <row r="276" spans="2:53" s="44" customFormat="1" x14ac:dyDescent="0.25">
      <c r="C276" s="102"/>
      <c r="D276" s="102"/>
    </row>
    <row r="277" spans="2:53" s="44" customFormat="1" x14ac:dyDescent="0.25">
      <c r="B277" s="100">
        <v>1.3</v>
      </c>
      <c r="C277" s="100" t="s">
        <v>214</v>
      </c>
      <c r="D277" s="100"/>
      <c r="E277" s="40"/>
      <c r="F277" s="40"/>
      <c r="G277" s="40"/>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0"/>
      <c r="AY277" s="40"/>
      <c r="AZ277" s="40"/>
      <c r="BA277" s="40"/>
    </row>
    <row r="278" spans="2:53" s="44" customFormat="1" x14ac:dyDescent="0.25">
      <c r="C278" s="102"/>
      <c r="D278" s="102"/>
    </row>
    <row r="279" spans="2:53" s="44" customFormat="1" x14ac:dyDescent="0.25">
      <c r="C279" s="102" t="s">
        <v>178</v>
      </c>
      <c r="D279" s="102"/>
    </row>
    <row r="280" spans="2:53" s="44" customFormat="1" ht="12" x14ac:dyDescent="0.25">
      <c r="C280" s="103" t="s">
        <v>197</v>
      </c>
      <c r="D280" s="103"/>
      <c r="H280" s="77" t="s">
        <v>188</v>
      </c>
      <c r="I280" s="111"/>
      <c r="J280" s="111"/>
      <c r="K280" s="111"/>
      <c r="L280" s="111"/>
      <c r="M280" s="110">
        <f>SUMIFS(M149:M272,$F$149:$F$272,"Residencial")</f>
        <v>8592152.5364580154</v>
      </c>
      <c r="N280" s="110">
        <f>SUMIFS(N149:N272,$F$149:$F$272,"Residencial")</f>
        <v>8676844.9196293205</v>
      </c>
      <c r="P280" s="45" t="s">
        <v>681</v>
      </c>
      <c r="Q280" s="262"/>
    </row>
    <row r="281" spans="2:53" s="44" customFormat="1" x14ac:dyDescent="0.25">
      <c r="C281" s="103"/>
      <c r="D281" s="103"/>
      <c r="H281" s="77"/>
      <c r="L281" s="262"/>
    </row>
    <row r="282" spans="2:53" s="44" customFormat="1" ht="12" x14ac:dyDescent="0.25">
      <c r="C282" s="103" t="s">
        <v>217</v>
      </c>
      <c r="D282" s="103"/>
      <c r="H282" s="77" t="s">
        <v>188</v>
      </c>
      <c r="I282" s="111"/>
      <c r="J282" s="111"/>
      <c r="K282" s="111"/>
      <c r="L282" s="111"/>
      <c r="M282" s="110">
        <f>M280-SUMIFS(M$149:M$272,$F$149:$F$272,"Residencial",$G$149:$G$272,"Internet fijo")</f>
        <v>7622568.6024815328</v>
      </c>
      <c r="N282" s="110">
        <f>N280-SUMIFS(N$149:N$272,$F$149:$F$272,"Residencial",$G$149:$G$272,"Internet fijo")</f>
        <v>7177311.931284314</v>
      </c>
      <c r="P282" s="45" t="s">
        <v>215</v>
      </c>
      <c r="Q282" s="2"/>
    </row>
    <row r="283" spans="2:53" s="44" customFormat="1" x14ac:dyDescent="0.25">
      <c r="C283" s="103"/>
      <c r="D283" s="103"/>
      <c r="H283" s="77"/>
      <c r="L283" s="262"/>
    </row>
    <row r="284" spans="2:53" s="44" customFormat="1" ht="12" x14ac:dyDescent="0.25">
      <c r="C284" s="103" t="s">
        <v>199</v>
      </c>
      <c r="D284" s="103"/>
      <c r="H284" s="77" t="s">
        <v>188</v>
      </c>
      <c r="I284" s="111"/>
      <c r="J284" s="111"/>
      <c r="K284" s="111"/>
      <c r="L284" s="111"/>
      <c r="M284" s="110">
        <f>SUMIFS(M149:M272,$G$149:$G$272,"Internet fijo")</f>
        <v>1088721.4587195241</v>
      </c>
      <c r="N284" s="110">
        <f>SUMIFS(N149:N272,$G$149:$G$272,"Internet fijo")</f>
        <v>1650318.3671266853</v>
      </c>
      <c r="P284" s="45" t="s">
        <v>244</v>
      </c>
      <c r="Q284" s="2"/>
    </row>
    <row r="285" spans="2:53" s="44" customFormat="1" x14ac:dyDescent="0.25">
      <c r="C285" s="103"/>
      <c r="D285" s="103"/>
      <c r="L285" s="262"/>
    </row>
    <row r="286" spans="2:53" s="44" customFormat="1" ht="12" x14ac:dyDescent="0.25">
      <c r="C286" s="103" t="s">
        <v>198</v>
      </c>
      <c r="D286" s="103"/>
      <c r="H286" s="77" t="s">
        <v>188</v>
      </c>
      <c r="I286" s="111"/>
      <c r="J286" s="111"/>
      <c r="K286" s="111"/>
      <c r="L286" s="111"/>
      <c r="M286" s="110">
        <f>SUMIFS(M149:M272,$F$149:$F$272,"No Residencial")</f>
        <v>1430401.463541986</v>
      </c>
      <c r="N286" s="110">
        <f>SUMIFS(N149:N272,$F$149:$F$272,"No Residencial")</f>
        <v>1359764.0803706793</v>
      </c>
      <c r="P286" s="45" t="s">
        <v>216</v>
      </c>
      <c r="Q286" s="262"/>
    </row>
    <row r="287" spans="2:53" s="44" customFormat="1" x14ac:dyDescent="0.25">
      <c r="C287" s="102"/>
      <c r="D287" s="102"/>
    </row>
    <row r="288" spans="2:53" s="44" customFormat="1" x14ac:dyDescent="0.25">
      <c r="K288" s="315"/>
    </row>
    <row r="289" spans="1:54" x14ac:dyDescent="0.25">
      <c r="A289" s="100">
        <v>2</v>
      </c>
      <c r="B289" s="100" t="s">
        <v>174</v>
      </c>
      <c r="C289" s="40"/>
      <c r="D289" s="40"/>
      <c r="E289" s="40"/>
      <c r="F289" s="40"/>
      <c r="G289" s="40"/>
      <c r="H289" s="40"/>
      <c r="I289" s="40"/>
      <c r="J289" s="40"/>
      <c r="K289" s="40"/>
      <c r="L289" s="40"/>
      <c r="M289" s="40"/>
      <c r="N289" s="40"/>
      <c r="O289" s="40"/>
      <c r="P289" s="40"/>
      <c r="Q289" s="40"/>
      <c r="R289" s="40"/>
      <c r="S289" s="40"/>
      <c r="T289" s="40"/>
      <c r="U289" s="40"/>
      <c r="V289" s="40"/>
      <c r="W289" s="40"/>
      <c r="X289" s="40"/>
      <c r="Y289" s="40"/>
      <c r="Z289" s="40"/>
      <c r="AA289" s="40"/>
      <c r="AB289" s="40"/>
      <c r="AC289" s="40"/>
      <c r="AD289" s="40"/>
      <c r="AE289" s="40"/>
      <c r="AF289" s="40"/>
      <c r="AG289" s="40"/>
      <c r="AH289" s="40"/>
      <c r="AI289" s="40"/>
      <c r="AJ289" s="40"/>
      <c r="AK289" s="40"/>
      <c r="AL289" s="40"/>
      <c r="AM289" s="40"/>
      <c r="AN289" s="40"/>
      <c r="AO289" s="40"/>
      <c r="AP289" s="40"/>
      <c r="AQ289" s="40"/>
      <c r="AR289" s="40"/>
      <c r="AS289" s="40"/>
      <c r="AT289" s="40"/>
      <c r="AU289" s="40"/>
      <c r="AV289" s="40"/>
      <c r="AW289" s="40"/>
      <c r="AX289" s="40"/>
      <c r="AY289" s="40"/>
      <c r="AZ289" s="40"/>
      <c r="BA289" s="40"/>
      <c r="BB289" s="44"/>
    </row>
    <row r="291" spans="1:54" s="44" customFormat="1" x14ac:dyDescent="0.25">
      <c r="B291" s="100">
        <v>2.1</v>
      </c>
      <c r="C291" s="100" t="s">
        <v>218</v>
      </c>
      <c r="D291" s="100"/>
      <c r="E291" s="40"/>
      <c r="F291" s="40"/>
      <c r="G291" s="40"/>
      <c r="H291" s="40"/>
      <c r="I291" s="40"/>
      <c r="J291" s="40"/>
      <c r="K291" s="40"/>
      <c r="L291" s="40"/>
      <c r="M291" s="40"/>
      <c r="N291" s="40"/>
      <c r="O291" s="40"/>
      <c r="P291" s="40"/>
      <c r="Q291" s="40"/>
      <c r="R291" s="40"/>
      <c r="S291" s="40"/>
      <c r="T291" s="40"/>
      <c r="U291" s="40"/>
      <c r="V291" s="40"/>
      <c r="W291" s="40"/>
      <c r="X291" s="40"/>
      <c r="Y291" s="40"/>
      <c r="Z291" s="40"/>
      <c r="AA291" s="40"/>
      <c r="AB291" s="40"/>
      <c r="AC291" s="40"/>
      <c r="AD291" s="40"/>
      <c r="AE291" s="40"/>
      <c r="AF291" s="40"/>
      <c r="AG291" s="40"/>
      <c r="AH291" s="40"/>
      <c r="AI291" s="40"/>
      <c r="AJ291" s="40"/>
      <c r="AK291" s="40"/>
      <c r="AL291" s="40"/>
      <c r="AM291" s="40"/>
      <c r="AN291" s="40"/>
      <c r="AO291" s="40"/>
      <c r="AP291" s="40"/>
      <c r="AQ291" s="40"/>
      <c r="AR291" s="40"/>
      <c r="AS291" s="40"/>
      <c r="AT291" s="40"/>
      <c r="AU291" s="40"/>
      <c r="AV291" s="40"/>
      <c r="AW291" s="40"/>
      <c r="AX291" s="40"/>
      <c r="AY291" s="40"/>
      <c r="AZ291" s="40"/>
      <c r="BA291" s="40"/>
    </row>
    <row r="292" spans="1:54" s="44" customFormat="1" x14ac:dyDescent="0.25"/>
    <row r="293" spans="1:54" x14ac:dyDescent="0.25">
      <c r="C293" s="102" t="s">
        <v>219</v>
      </c>
      <c r="D293" s="102"/>
      <c r="I293" s="44"/>
      <c r="J293" s="44"/>
      <c r="K293" s="44"/>
      <c r="L293" s="252"/>
      <c r="M293" s="44"/>
      <c r="N293" s="44"/>
      <c r="O293" s="44"/>
    </row>
    <row r="294" spans="1:54" x14ac:dyDescent="0.25">
      <c r="C294" s="44"/>
    </row>
    <row r="295" spans="1:54" x14ac:dyDescent="0.25">
      <c r="C295" s="104" t="s">
        <v>220</v>
      </c>
      <c r="D295" s="104"/>
      <c r="H295" s="77" t="s">
        <v>221</v>
      </c>
      <c r="I295" s="118"/>
      <c r="J295" s="118"/>
      <c r="K295" s="118"/>
      <c r="L295" s="118"/>
      <c r="M295" s="454">
        <v>23864029</v>
      </c>
      <c r="N295" s="454">
        <v>24340929</v>
      </c>
      <c r="P295" t="s">
        <v>171</v>
      </c>
      <c r="Q295" s="262"/>
      <c r="R295" s="262" t="s">
        <v>171</v>
      </c>
    </row>
    <row r="296" spans="1:54" s="44" customFormat="1" x14ac:dyDescent="0.25">
      <c r="H296" s="77"/>
      <c r="L296" s="262"/>
      <c r="R296" s="262"/>
    </row>
    <row r="297" spans="1:54" x14ac:dyDescent="0.25">
      <c r="A297" s="44"/>
      <c r="B297" s="44"/>
      <c r="C297" s="102" t="s">
        <v>169</v>
      </c>
      <c r="D297" s="102"/>
      <c r="F297" s="44"/>
      <c r="G297" s="44"/>
      <c r="H297" s="77"/>
      <c r="I297" s="44"/>
      <c r="J297" s="44"/>
      <c r="K297" s="44"/>
      <c r="L297" s="262"/>
      <c r="M297" s="44"/>
      <c r="N297" s="44"/>
      <c r="O297" s="44"/>
      <c r="P297" s="44"/>
      <c r="R297" s="262"/>
    </row>
    <row r="298" spans="1:54" x14ac:dyDescent="0.25">
      <c r="A298" s="44"/>
      <c r="B298" s="44"/>
      <c r="C298" s="44"/>
      <c r="F298" s="44"/>
      <c r="G298" s="44"/>
      <c r="H298" s="77"/>
      <c r="I298" s="44"/>
      <c r="J298" s="44"/>
      <c r="K298" s="44"/>
      <c r="L298" s="262"/>
      <c r="M298" s="44"/>
      <c r="N298" s="44"/>
      <c r="O298" s="44"/>
      <c r="P298" s="44"/>
      <c r="R298" s="262"/>
    </row>
    <row r="299" spans="1:54" ht="12" x14ac:dyDescent="0.25">
      <c r="A299" s="44"/>
      <c r="B299" s="44"/>
      <c r="C299" s="104" t="s">
        <v>192</v>
      </c>
      <c r="D299" s="104"/>
      <c r="F299" s="44"/>
      <c r="G299" s="44"/>
      <c r="H299" s="77" t="s">
        <v>221</v>
      </c>
      <c r="I299" s="118"/>
      <c r="J299" s="118"/>
      <c r="K299" s="118"/>
      <c r="L299" s="118"/>
      <c r="M299" s="454">
        <v>11346638</v>
      </c>
      <c r="N299" s="454">
        <v>10804136</v>
      </c>
      <c r="O299" s="45" t="s">
        <v>228</v>
      </c>
      <c r="P299" s="44" t="s">
        <v>171</v>
      </c>
      <c r="Q299" s="262"/>
      <c r="R299" s="262" t="s">
        <v>171</v>
      </c>
    </row>
    <row r="300" spans="1:54" s="44" customFormat="1" x14ac:dyDescent="0.25">
      <c r="H300" s="77"/>
      <c r="I300" s="107"/>
      <c r="L300" s="262"/>
    </row>
    <row r="301" spans="1:54" x14ac:dyDescent="0.25">
      <c r="C301" s="102" t="s">
        <v>173</v>
      </c>
      <c r="D301" s="102"/>
      <c r="F301" s="44"/>
      <c r="G301" s="44"/>
      <c r="H301" s="77"/>
      <c r="I301" s="44"/>
      <c r="J301" s="44"/>
      <c r="K301" s="44"/>
      <c r="L301" s="262"/>
      <c r="M301" s="44"/>
    </row>
    <row r="302" spans="1:54" x14ac:dyDescent="0.25">
      <c r="C302" s="44"/>
      <c r="F302" s="44"/>
      <c r="G302" s="44"/>
      <c r="H302" s="77"/>
      <c r="I302" s="44"/>
      <c r="J302" s="44"/>
      <c r="K302" s="44"/>
      <c r="L302" s="262"/>
      <c r="M302" s="44"/>
    </row>
    <row r="303" spans="1:54" x14ac:dyDescent="0.25">
      <c r="C303" s="104" t="s">
        <v>176</v>
      </c>
      <c r="D303" s="104"/>
      <c r="F303" s="44"/>
      <c r="G303" s="44"/>
      <c r="H303" s="77" t="s">
        <v>183</v>
      </c>
      <c r="I303" s="106" t="str">
        <f>IFERROR(I299/I295,"")</f>
        <v/>
      </c>
      <c r="J303" s="106" t="str">
        <f>IFERROR(J299/J295,"")</f>
        <v/>
      </c>
      <c r="K303" s="106"/>
      <c r="L303" s="106"/>
      <c r="M303" s="106">
        <f>IFERROR(M299/M295,"")</f>
        <v>0.47547034073751754</v>
      </c>
      <c r="N303" s="106">
        <f>IFERROR(N299/N295,"")</f>
        <v>0.44386703564190177</v>
      </c>
      <c r="P303" s="44"/>
    </row>
    <row r="304" spans="1:54" x14ac:dyDescent="0.25">
      <c r="C304" s="104"/>
      <c r="D304" s="104"/>
      <c r="F304" s="44"/>
      <c r="G304" s="44"/>
      <c r="H304" s="77"/>
      <c r="I304" s="44"/>
      <c r="J304" s="44"/>
      <c r="K304" s="44"/>
      <c r="L304" s="44"/>
      <c r="M304" s="44"/>
    </row>
    <row r="306" spans="2:53" s="44" customFormat="1" x14ac:dyDescent="0.25">
      <c r="B306" s="100">
        <v>2.2000000000000002</v>
      </c>
      <c r="C306" s="100" t="s">
        <v>232</v>
      </c>
      <c r="D306" s="100"/>
      <c r="E306" s="40"/>
      <c r="F306" s="40"/>
      <c r="G306" s="40"/>
      <c r="H306" s="40"/>
      <c r="I306" s="40"/>
      <c r="J306" s="40"/>
      <c r="K306" s="40"/>
      <c r="L306" s="40"/>
      <c r="M306" s="40"/>
      <c r="N306" s="40"/>
      <c r="O306" s="40"/>
      <c r="P306" s="40"/>
      <c r="Q306" s="40"/>
      <c r="R306" s="40"/>
      <c r="S306" s="40"/>
      <c r="T306" s="40"/>
      <c r="U306" s="40"/>
      <c r="V306" s="40"/>
      <c r="W306" s="40"/>
      <c r="X306" s="40"/>
      <c r="Y306" s="40"/>
      <c r="Z306" s="40"/>
      <c r="AA306" s="40"/>
      <c r="AB306" s="40"/>
      <c r="AC306" s="40"/>
      <c r="AD306" s="40"/>
      <c r="AE306" s="40"/>
      <c r="AF306" s="40"/>
      <c r="AG306" s="40"/>
      <c r="AH306" s="40"/>
      <c r="AI306" s="40"/>
      <c r="AJ306" s="40"/>
      <c r="AK306" s="40"/>
      <c r="AL306" s="40"/>
      <c r="AM306" s="40"/>
      <c r="AN306" s="40"/>
      <c r="AO306" s="40"/>
      <c r="AP306" s="40"/>
      <c r="AQ306" s="40"/>
      <c r="AR306" s="40"/>
      <c r="AS306" s="40"/>
      <c r="AT306" s="40"/>
      <c r="AU306" s="40"/>
      <c r="AV306" s="40"/>
      <c r="AW306" s="40"/>
      <c r="AX306" s="40"/>
      <c r="AY306" s="40"/>
      <c r="AZ306" s="40"/>
      <c r="BA306" s="40"/>
    </row>
    <row r="307" spans="2:53" s="44" customFormat="1" x14ac:dyDescent="0.25"/>
    <row r="308" spans="2:53" s="44" customFormat="1" x14ac:dyDescent="0.25"/>
    <row r="309" spans="2:53" s="44" customFormat="1" x14ac:dyDescent="0.25">
      <c r="C309" s="102" t="s">
        <v>233</v>
      </c>
      <c r="D309" s="102"/>
    </row>
    <row r="310" spans="2:53" s="44" customFormat="1" x14ac:dyDescent="0.25">
      <c r="C310" s="104" t="s">
        <v>191</v>
      </c>
      <c r="D310" s="104"/>
      <c r="H310" s="263" t="s">
        <v>188</v>
      </c>
      <c r="I310" s="105"/>
      <c r="J310" s="105"/>
      <c r="K310" s="105"/>
      <c r="L310" s="105"/>
      <c r="M310" s="105">
        <f>Broadbad.suscriptions.AEP</f>
        <v>10022554</v>
      </c>
      <c r="N310" s="105">
        <f>Broadbad.suscriptions.AEP</f>
        <v>10036609</v>
      </c>
      <c r="O310" s="263"/>
    </row>
    <row r="311" spans="2:53" s="44" customFormat="1" x14ac:dyDescent="0.25">
      <c r="C311" s="103"/>
      <c r="D311" s="103"/>
      <c r="H311" s="77"/>
      <c r="L311" s="262"/>
      <c r="M311" s="262"/>
    </row>
    <row r="312" spans="2:53" s="44" customFormat="1" x14ac:dyDescent="0.25">
      <c r="C312" s="104" t="s">
        <v>192</v>
      </c>
      <c r="D312" s="104"/>
      <c r="H312" s="263" t="s">
        <v>221</v>
      </c>
      <c r="I312" s="105"/>
      <c r="J312" s="105"/>
      <c r="K312" s="105"/>
      <c r="L312" s="105"/>
      <c r="M312" s="105">
        <f>AEP.telephone.lines</f>
        <v>11346638</v>
      </c>
      <c r="N312" s="105">
        <f>AEP.telephone.lines</f>
        <v>10804136</v>
      </c>
      <c r="O312" s="263"/>
    </row>
    <row r="313" spans="2:53" s="44" customFormat="1" x14ac:dyDescent="0.25">
      <c r="C313" s="103"/>
      <c r="D313" s="103"/>
      <c r="H313" s="77"/>
      <c r="L313" s="262"/>
      <c r="M313" s="262"/>
    </row>
    <row r="314" spans="2:53" s="44" customFormat="1" x14ac:dyDescent="0.25">
      <c r="C314" s="103" t="s">
        <v>229</v>
      </c>
      <c r="D314" s="103"/>
      <c r="H314" s="263" t="s">
        <v>188</v>
      </c>
      <c r="I314" s="105"/>
      <c r="J314" s="105"/>
      <c r="K314" s="105"/>
      <c r="L314" s="105"/>
      <c r="M314" s="105">
        <f>AEP.broadband.subs.residential.without.line.rental</f>
        <v>1088721.4587195241</v>
      </c>
      <c r="N314" s="105">
        <f>AEP.broadband.subs.residential.without.line.rental</f>
        <v>1650318.3671266853</v>
      </c>
      <c r="O314" s="263"/>
    </row>
    <row r="315" spans="2:53" s="44" customFormat="1" x14ac:dyDescent="0.25">
      <c r="C315" s="103"/>
      <c r="D315" s="103"/>
      <c r="L315" s="262"/>
    </row>
    <row r="316" spans="2:53" s="44" customFormat="1" x14ac:dyDescent="0.25">
      <c r="C316" s="103" t="s">
        <v>230</v>
      </c>
      <c r="D316" s="103"/>
      <c r="H316" s="77" t="s">
        <v>188</v>
      </c>
      <c r="I316" s="106"/>
      <c r="J316" s="106"/>
      <c r="K316" s="106"/>
      <c r="L316" s="106"/>
      <c r="M316" s="106">
        <f>IFERROR(M314/M310,"")</f>
        <v>0.10862714820189785</v>
      </c>
      <c r="N316" s="106">
        <f>IFERROR(N314/N310,"")</f>
        <v>0.164429875381883</v>
      </c>
    </row>
    <row r="317" spans="2:53" s="44" customFormat="1" x14ac:dyDescent="0.25">
      <c r="C317" s="103"/>
      <c r="D317" s="103"/>
      <c r="L317" s="262"/>
    </row>
    <row r="318" spans="2:53" s="44" customFormat="1" x14ac:dyDescent="0.25">
      <c r="C318" s="102" t="s">
        <v>231</v>
      </c>
      <c r="D318" s="102"/>
      <c r="L318" s="262"/>
    </row>
    <row r="319" spans="2:53" s="44" customFormat="1" x14ac:dyDescent="0.25">
      <c r="C319" s="103"/>
      <c r="D319" s="103"/>
      <c r="L319" s="262"/>
    </row>
    <row r="320" spans="2:53" s="44" customFormat="1" ht="12" x14ac:dyDescent="0.25">
      <c r="C320" s="103" t="s">
        <v>514</v>
      </c>
      <c r="D320" s="103"/>
      <c r="H320" s="77" t="s">
        <v>221</v>
      </c>
      <c r="I320" s="115"/>
      <c r="J320" s="115"/>
      <c r="K320" s="115"/>
      <c r="L320" s="115"/>
      <c r="M320" s="115">
        <f>M312-(M310-M314)</f>
        <v>2412805.4587195236</v>
      </c>
      <c r="N320" s="115">
        <f>N312-(N310-N314)</f>
        <v>2417845.3671266856</v>
      </c>
      <c r="O320" s="45" t="s">
        <v>633</v>
      </c>
    </row>
    <row r="321" spans="2:53" x14ac:dyDescent="0.25">
      <c r="L321" s="262"/>
      <c r="M321" s="262"/>
    </row>
    <row r="322" spans="2:53" s="44" customFormat="1" ht="12" x14ac:dyDescent="0.25">
      <c r="C322" s="195" t="s">
        <v>631</v>
      </c>
      <c r="D322" s="103"/>
      <c r="H322" s="77" t="s">
        <v>221</v>
      </c>
      <c r="I322" s="115"/>
      <c r="J322" s="115"/>
      <c r="K322" s="115"/>
      <c r="L322" s="115"/>
      <c r="M322" s="115">
        <f>M320*M333</f>
        <v>1014860.4366986202</v>
      </c>
      <c r="N322" s="115">
        <f>N320*N333</f>
        <v>941578.72974916431</v>
      </c>
      <c r="O322" s="45" t="s">
        <v>634</v>
      </c>
    </row>
    <row r="323" spans="2:53" s="44" customFormat="1" x14ac:dyDescent="0.25">
      <c r="C323" s="194"/>
      <c r="L323" s="262"/>
      <c r="M323" s="262"/>
    </row>
    <row r="324" spans="2:53" s="44" customFormat="1" ht="12" x14ac:dyDescent="0.25">
      <c r="C324" s="195" t="s">
        <v>632</v>
      </c>
      <c r="D324" s="103"/>
      <c r="H324" s="77" t="s">
        <v>221</v>
      </c>
      <c r="I324" s="115"/>
      <c r="J324" s="115"/>
      <c r="K324" s="115"/>
      <c r="L324" s="115"/>
      <c r="M324" s="115">
        <f>M320-M322</f>
        <v>1397945.0220209034</v>
      </c>
      <c r="N324" s="115">
        <f>N320-N322</f>
        <v>1476266.6373775213</v>
      </c>
      <c r="O324" s="45" t="s">
        <v>635</v>
      </c>
    </row>
    <row r="325" spans="2:53" s="44" customFormat="1" x14ac:dyDescent="0.25"/>
    <row r="326" spans="2:53" s="44" customFormat="1" x14ac:dyDescent="0.25">
      <c r="B326" s="100">
        <v>2.2999999999999998</v>
      </c>
      <c r="C326" s="100" t="s">
        <v>222</v>
      </c>
      <c r="D326" s="100"/>
      <c r="E326" s="40"/>
      <c r="F326" s="40"/>
      <c r="G326" s="40"/>
      <c r="H326" s="40"/>
      <c r="I326" s="40"/>
      <c r="J326" s="40"/>
      <c r="K326" s="40"/>
      <c r="L326" s="40"/>
      <c r="M326" s="40"/>
      <c r="N326" s="40"/>
      <c r="O326" s="40"/>
      <c r="P326" s="40"/>
      <c r="Q326" s="40"/>
      <c r="R326" s="40"/>
      <c r="S326" s="40"/>
      <c r="T326" s="40"/>
      <c r="U326" s="40"/>
      <c r="V326" s="40"/>
      <c r="W326" s="40"/>
      <c r="X326" s="40"/>
      <c r="Y326" s="40"/>
      <c r="Z326" s="40"/>
      <c r="AA326" s="40"/>
      <c r="AB326" s="40"/>
      <c r="AC326" s="40"/>
      <c r="AD326" s="40"/>
      <c r="AE326" s="40"/>
      <c r="AF326" s="40"/>
      <c r="AG326" s="40"/>
      <c r="AH326" s="40"/>
      <c r="AI326" s="40"/>
      <c r="AJ326" s="40"/>
      <c r="AK326" s="40"/>
      <c r="AL326" s="40"/>
      <c r="AM326" s="40"/>
      <c r="AN326" s="40"/>
      <c r="AO326" s="40"/>
      <c r="AP326" s="40"/>
      <c r="AQ326" s="40"/>
      <c r="AR326" s="40"/>
      <c r="AS326" s="40"/>
      <c r="AT326" s="40"/>
      <c r="AU326" s="40"/>
      <c r="AV326" s="40"/>
      <c r="AW326" s="40"/>
      <c r="AX326" s="40"/>
      <c r="AY326" s="40"/>
      <c r="AZ326" s="40"/>
      <c r="BA326" s="40"/>
    </row>
    <row r="327" spans="2:53" s="44" customFormat="1" x14ac:dyDescent="0.25">
      <c r="C327" s="102"/>
      <c r="D327" s="102"/>
    </row>
    <row r="328" spans="2:53" s="44" customFormat="1" x14ac:dyDescent="0.25">
      <c r="C328" s="102" t="s">
        <v>234</v>
      </c>
      <c r="D328" s="102"/>
    </row>
    <row r="329" spans="2:53" s="44" customFormat="1" x14ac:dyDescent="0.25">
      <c r="C329" s="102"/>
      <c r="D329" s="102"/>
      <c r="M329" s="44">
        <v>4</v>
      </c>
      <c r="N329" s="44">
        <v>5</v>
      </c>
    </row>
    <row r="330" spans="2:53" s="44" customFormat="1" x14ac:dyDescent="0.25">
      <c r="E330" s="1" t="s">
        <v>180</v>
      </c>
      <c r="F330" s="1" t="s">
        <v>182</v>
      </c>
      <c r="G330" s="1" t="s">
        <v>181</v>
      </c>
      <c r="H330" s="1" t="s">
        <v>167</v>
      </c>
      <c r="I330" s="1">
        <f t="array" ref="I330:N330">TRANSPOSE(Years)</f>
        <v>2017</v>
      </c>
      <c r="J330" s="1">
        <v>2018</v>
      </c>
      <c r="K330" s="1">
        <v>2019</v>
      </c>
      <c r="L330" s="1">
        <v>2020</v>
      </c>
      <c r="M330" s="1">
        <v>2021</v>
      </c>
      <c r="N330" s="1">
        <v>2022</v>
      </c>
      <c r="O330" s="1"/>
      <c r="P330" s="1" t="s">
        <v>170</v>
      </c>
    </row>
    <row r="331" spans="2:53" s="44" customFormat="1" x14ac:dyDescent="0.25">
      <c r="I331" s="108">
        <f t="shared" ref="I331:N331" si="123">SUM(I332:I381)</f>
        <v>0</v>
      </c>
      <c r="J331" s="108">
        <f t="shared" si="123"/>
        <v>0</v>
      </c>
      <c r="K331" s="108">
        <f t="shared" si="123"/>
        <v>0</v>
      </c>
      <c r="L331" s="108">
        <f t="shared" si="123"/>
        <v>0</v>
      </c>
      <c r="M331" s="108">
        <f t="shared" si="123"/>
        <v>1</v>
      </c>
      <c r="N331" s="108">
        <f t="shared" si="123"/>
        <v>1</v>
      </c>
      <c r="R331" s="102" t="s">
        <v>189</v>
      </c>
    </row>
    <row r="332" spans="2:53" s="44" customFormat="1" x14ac:dyDescent="0.25">
      <c r="D332" s="96">
        <v>1</v>
      </c>
      <c r="E332" s="101" t="str">
        <f t="array" ref="E332:E381">vector.telephony.plans.singleplay.names</f>
        <v>Renta Mensual de la Línea Comercial</v>
      </c>
      <c r="F332" s="95" t="str">
        <f>IFERROR(VLOOKUP($E332,#REF!,2,FALSE),"")</f>
        <v/>
      </c>
      <c r="G332" s="95" t="str">
        <f>IFERROR(VLOOKUP($E332,#REF!,3,FALSE),"")</f>
        <v/>
      </c>
      <c r="H332" s="77" t="s">
        <v>172</v>
      </c>
      <c r="I332" s="114"/>
      <c r="J332" s="114"/>
      <c r="K332" s="114"/>
      <c r="L332" s="114"/>
      <c r="M332" s="343">
        <f>IFERROR(VLOOKUP($E332,'Info planes y paquetes'!$C$727:$G$728,Mercado!M$329,FALSE),0)/(SUMIFS('Info planes y paquetes'!F$727:F$728,'Info planes y paquetes'!$E$727:$E$728,"Telefonía fija"))</f>
        <v>0.57938571755502954</v>
      </c>
      <c r="N332" s="343">
        <f>IFERROR(VLOOKUP($E332,'Info planes y paquetes'!$C$727:$G$728,Mercado!N$329,FALSE),0)/(SUMIFS('Info planes y paquetes'!G$727:G$728,'Info planes y paquetes'!$E$727:$E$728,"Telefonía fija"))</f>
        <v>0.61057115456969202</v>
      </c>
      <c r="P332" s="262" t="s">
        <v>171</v>
      </c>
      <c r="R332" s="102" t="s">
        <v>189</v>
      </c>
    </row>
    <row r="333" spans="2:53" s="44" customFormat="1" ht="12" thickBot="1" x14ac:dyDescent="0.3">
      <c r="D333" s="95">
        <f>1+D332</f>
        <v>2</v>
      </c>
      <c r="E333" s="101" t="str">
        <v>Renta Mensual de la Línea Residencial</v>
      </c>
      <c r="F333" s="95" t="str">
        <f>IFERROR(VLOOKUP($E333,#REF!,2,FALSE),"")</f>
        <v/>
      </c>
      <c r="G333" s="95" t="str">
        <f>IFERROR(VLOOKUP($E333,#REF!,3,FALSE),"")</f>
        <v/>
      </c>
      <c r="H333" s="77" t="s">
        <v>172</v>
      </c>
      <c r="I333" s="114"/>
      <c r="J333" s="114"/>
      <c r="K333" s="114"/>
      <c r="L333" s="114"/>
      <c r="M333" s="343">
        <f>IFERROR(VLOOKUP($E333,'Info planes y paquetes'!$C$727:$G$728,Mercado!M$329,FALSE),0)/(SUMIFS('Info planes y paquetes'!F$727:F$728,'Info planes y paquetes'!$E$727:$E$728,"Telefonía fija"))</f>
        <v>0.42061428244497046</v>
      </c>
      <c r="N333" s="343">
        <f>IFERROR(VLOOKUP($E333,'Info planes y paquetes'!$C$727:$G$728,Mercado!N$329,FALSE),0)/(SUMIFS('Info planes y paquetes'!G$727:G$728,'Info planes y paquetes'!$E$727:$E$728,"Telefonía fija"))</f>
        <v>0.38942884543030798</v>
      </c>
      <c r="P333" s="262" t="s">
        <v>171</v>
      </c>
      <c r="R333" s="102" t="s">
        <v>189</v>
      </c>
    </row>
    <row r="334" spans="2:53" s="44" customFormat="1" hidden="1" outlineLevel="1" x14ac:dyDescent="0.25">
      <c r="D334" s="95">
        <f t="shared" ref="D334:D381" si="124">1+D333</f>
        <v>3</v>
      </c>
      <c r="E334" s="101">
        <v>0</v>
      </c>
      <c r="F334" s="40"/>
      <c r="G334" s="40"/>
      <c r="H334" s="77"/>
      <c r="I334" s="114"/>
      <c r="J334" s="114"/>
      <c r="K334" s="114"/>
      <c r="L334" s="114"/>
      <c r="M334" s="343">
        <f>IFERROR(VLOOKUP($E334,'Info planes y paquetes'!$C$714:$G$755,Mercado!M$329,FALSE),0)/(SUMIFS('Info planes y paquetes'!$F$714:$F$755,'Info planes y paquetes'!$E$714:$E$755,"Telefonía fija"))</f>
        <v>0</v>
      </c>
      <c r="N334" s="114"/>
      <c r="P334" s="102"/>
    </row>
    <row r="335" spans="2:53" s="44" customFormat="1" hidden="1" outlineLevel="1" x14ac:dyDescent="0.25">
      <c r="D335" s="95">
        <f t="shared" si="124"/>
        <v>4</v>
      </c>
      <c r="E335" s="101">
        <v>0</v>
      </c>
      <c r="F335" s="40"/>
      <c r="G335" s="40"/>
      <c r="H335" s="77"/>
      <c r="I335" s="111"/>
      <c r="J335" s="111"/>
      <c r="K335" s="111"/>
      <c r="L335" s="111"/>
      <c r="M335" s="343">
        <f>IFERROR(VLOOKUP($E335,'Info planes y paquetes'!$C$714:$G$755,Mercado!M$329,FALSE),0)/(SUMIFS('Info planes y paquetes'!$F$714:$F$755,'Info planes y paquetes'!$E$714:$E$755,"Telefonía fija"))</f>
        <v>0</v>
      </c>
      <c r="N335" s="111"/>
      <c r="P335" s="102"/>
    </row>
    <row r="336" spans="2:53" s="44" customFormat="1" hidden="1" outlineLevel="1" x14ac:dyDescent="0.25">
      <c r="D336" s="95">
        <f t="shared" si="124"/>
        <v>5</v>
      </c>
      <c r="E336" s="101">
        <v>0</v>
      </c>
      <c r="F336" s="40"/>
      <c r="G336" s="40"/>
      <c r="H336" s="77"/>
      <c r="I336" s="111"/>
      <c r="J336" s="111"/>
      <c r="K336" s="111"/>
      <c r="L336" s="111"/>
      <c r="M336" s="343">
        <f>IFERROR(VLOOKUP($E336,'Info planes y paquetes'!$C$714:$G$755,Mercado!M$329,FALSE),0)/(SUMIFS('Info planes y paquetes'!$F$714:$F$755,'Info planes y paquetes'!$E$714:$E$755,"Telefonía fija"))</f>
        <v>0</v>
      </c>
      <c r="N336" s="111"/>
      <c r="P336" s="102"/>
    </row>
    <row r="337" spans="4:16" s="44" customFormat="1" hidden="1" outlineLevel="1" x14ac:dyDescent="0.25">
      <c r="D337" s="95">
        <f t="shared" si="124"/>
        <v>6</v>
      </c>
      <c r="E337" s="101">
        <v>0</v>
      </c>
      <c r="F337" s="40"/>
      <c r="G337" s="40"/>
      <c r="H337" s="77"/>
      <c r="I337" s="111"/>
      <c r="J337" s="111"/>
      <c r="K337" s="111"/>
      <c r="L337" s="111"/>
      <c r="M337" s="343">
        <f>IFERROR(VLOOKUP($E337,'Info planes y paquetes'!$C$714:$G$755,Mercado!M$329,FALSE),0)/(SUMIFS('Info planes y paquetes'!$F$714:$F$755,'Info planes y paquetes'!$E$714:$E$755,"Telefonía fija"))</f>
        <v>0</v>
      </c>
      <c r="N337" s="111"/>
      <c r="P337" s="102"/>
    </row>
    <row r="338" spans="4:16" s="44" customFormat="1" hidden="1" outlineLevel="1" x14ac:dyDescent="0.25">
      <c r="D338" s="95">
        <f t="shared" si="124"/>
        <v>7</v>
      </c>
      <c r="E338" s="101">
        <v>0</v>
      </c>
      <c r="F338" s="40"/>
      <c r="G338" s="40"/>
      <c r="H338" s="77"/>
      <c r="I338" s="111"/>
      <c r="J338" s="111"/>
      <c r="K338" s="111"/>
      <c r="L338" s="111"/>
      <c r="M338" s="343">
        <f>IFERROR(VLOOKUP($E338,'Info planes y paquetes'!$C$714:$G$755,Mercado!M$329,FALSE),0)/(SUMIFS('Info planes y paquetes'!$F$714:$F$755,'Info planes y paquetes'!$E$714:$E$755,"Telefonía fija"))</f>
        <v>0</v>
      </c>
      <c r="N338" s="111"/>
      <c r="P338" s="102"/>
    </row>
    <row r="339" spans="4:16" s="44" customFormat="1" hidden="1" outlineLevel="1" x14ac:dyDescent="0.25">
      <c r="D339" s="95">
        <f t="shared" si="124"/>
        <v>8</v>
      </c>
      <c r="E339" s="101">
        <v>0</v>
      </c>
      <c r="F339" s="40"/>
      <c r="G339" s="40"/>
      <c r="H339" s="77"/>
      <c r="I339" s="111"/>
      <c r="J339" s="111"/>
      <c r="K339" s="111"/>
      <c r="L339" s="111"/>
      <c r="M339" s="343">
        <f>IFERROR(VLOOKUP($E339,'Info planes y paquetes'!$C$714:$G$755,Mercado!M$329,FALSE),0)/(SUMIFS('Info planes y paquetes'!$F$714:$F$755,'Info planes y paquetes'!$E$714:$E$755,"Telefonía fija"))</f>
        <v>0</v>
      </c>
      <c r="N339" s="111"/>
      <c r="P339" s="102"/>
    </row>
    <row r="340" spans="4:16" s="44" customFormat="1" hidden="1" outlineLevel="1" x14ac:dyDescent="0.25">
      <c r="D340" s="95">
        <f t="shared" si="124"/>
        <v>9</v>
      </c>
      <c r="E340" s="101">
        <v>0</v>
      </c>
      <c r="F340" s="40"/>
      <c r="G340" s="40"/>
      <c r="H340" s="77"/>
      <c r="I340" s="111"/>
      <c r="J340" s="111"/>
      <c r="K340" s="111"/>
      <c r="L340" s="111"/>
      <c r="M340" s="343">
        <f>IFERROR(VLOOKUP($E340,'Info planes y paquetes'!$C$714:$G$755,Mercado!M$329,FALSE),0)/(SUMIFS('Info planes y paquetes'!$F$714:$F$755,'Info planes y paquetes'!$E$714:$E$755,"Telefonía fija"))</f>
        <v>0</v>
      </c>
      <c r="N340" s="111"/>
      <c r="P340" s="102"/>
    </row>
    <row r="341" spans="4:16" s="44" customFormat="1" hidden="1" outlineLevel="1" x14ac:dyDescent="0.25">
      <c r="D341" s="95">
        <f t="shared" si="124"/>
        <v>10</v>
      </c>
      <c r="E341" s="101">
        <v>0</v>
      </c>
      <c r="F341" s="40"/>
      <c r="G341" s="40"/>
      <c r="H341" s="77"/>
      <c r="I341" s="111"/>
      <c r="J341" s="111"/>
      <c r="K341" s="111"/>
      <c r="L341" s="111"/>
      <c r="M341" s="343">
        <f>IFERROR(VLOOKUP($E341,'Info planes y paquetes'!$C$714:$G$755,Mercado!M$329,FALSE),0)/(SUMIFS('Info planes y paquetes'!$F$714:$F$755,'Info planes y paquetes'!$E$714:$E$755,"Telefonía fija"))</f>
        <v>0</v>
      </c>
      <c r="N341" s="111"/>
      <c r="P341" s="102"/>
    </row>
    <row r="342" spans="4:16" s="44" customFormat="1" hidden="1" outlineLevel="1" x14ac:dyDescent="0.25">
      <c r="D342" s="95">
        <f t="shared" si="124"/>
        <v>11</v>
      </c>
      <c r="E342" s="101">
        <v>0</v>
      </c>
      <c r="F342" s="40"/>
      <c r="G342" s="40"/>
      <c r="H342" s="77"/>
      <c r="I342" s="111"/>
      <c r="J342" s="111"/>
      <c r="K342" s="111"/>
      <c r="L342" s="111"/>
      <c r="M342" s="343">
        <f>IFERROR(VLOOKUP($E342,'Info planes y paquetes'!$C$714:$G$755,Mercado!M$329,FALSE),0)/(SUMIFS('Info planes y paquetes'!$F$714:$F$755,'Info planes y paquetes'!$E$714:$E$755,"Telefonía fija"))</f>
        <v>0</v>
      </c>
      <c r="N342" s="111"/>
      <c r="P342" s="102"/>
    </row>
    <row r="343" spans="4:16" s="44" customFormat="1" hidden="1" outlineLevel="1" x14ac:dyDescent="0.25">
      <c r="D343" s="95">
        <f t="shared" si="124"/>
        <v>12</v>
      </c>
      <c r="E343" s="101">
        <v>0</v>
      </c>
      <c r="F343" s="40"/>
      <c r="G343" s="40"/>
      <c r="H343" s="77"/>
      <c r="I343" s="111"/>
      <c r="J343" s="111"/>
      <c r="K343" s="111"/>
      <c r="L343" s="111"/>
      <c r="M343" s="343">
        <f>IFERROR(VLOOKUP($E343,'Info planes y paquetes'!$C$714:$G$755,Mercado!M$329,FALSE),0)/(SUMIFS('Info planes y paquetes'!$F$714:$F$755,'Info planes y paquetes'!$E$714:$E$755,"Telefonía fija"))</f>
        <v>0</v>
      </c>
      <c r="N343" s="111"/>
      <c r="P343" s="102"/>
    </row>
    <row r="344" spans="4:16" s="44" customFormat="1" hidden="1" outlineLevel="1" x14ac:dyDescent="0.25">
      <c r="D344" s="95">
        <f t="shared" si="124"/>
        <v>13</v>
      </c>
      <c r="E344" s="101">
        <v>0</v>
      </c>
      <c r="F344" s="40"/>
      <c r="G344" s="40"/>
      <c r="H344" s="77"/>
      <c r="I344" s="111"/>
      <c r="J344" s="111"/>
      <c r="K344" s="111"/>
      <c r="L344" s="111"/>
      <c r="M344" s="343">
        <f>IFERROR(VLOOKUP($E344,'Info planes y paquetes'!$C$714:$G$755,Mercado!M$329,FALSE),0)/(SUMIFS('Info planes y paquetes'!$F$714:$F$755,'Info planes y paquetes'!$E$714:$E$755,"Telefonía fija"))</f>
        <v>0</v>
      </c>
      <c r="N344" s="111"/>
      <c r="P344" s="102"/>
    </row>
    <row r="345" spans="4:16" s="44" customFormat="1" hidden="1" outlineLevel="1" x14ac:dyDescent="0.25">
      <c r="D345" s="95">
        <f t="shared" si="124"/>
        <v>14</v>
      </c>
      <c r="E345" s="101">
        <v>0</v>
      </c>
      <c r="F345" s="40"/>
      <c r="G345" s="40"/>
      <c r="H345" s="77"/>
      <c r="I345" s="111"/>
      <c r="J345" s="111"/>
      <c r="K345" s="111"/>
      <c r="L345" s="111"/>
      <c r="M345" s="343">
        <f>IFERROR(VLOOKUP($E345,'Info planes y paquetes'!$C$714:$G$755,Mercado!M$329,FALSE),0)/(SUMIFS('Info planes y paquetes'!$F$714:$F$755,'Info planes y paquetes'!$E$714:$E$755,"Telefonía fija"))</f>
        <v>0</v>
      </c>
      <c r="N345" s="111"/>
      <c r="P345" s="102"/>
    </row>
    <row r="346" spans="4:16" s="44" customFormat="1" hidden="1" outlineLevel="1" x14ac:dyDescent="0.25">
      <c r="D346" s="95">
        <f t="shared" si="124"/>
        <v>15</v>
      </c>
      <c r="E346" s="101">
        <v>0</v>
      </c>
      <c r="F346" s="40"/>
      <c r="G346" s="40"/>
      <c r="H346" s="77"/>
      <c r="I346" s="111"/>
      <c r="J346" s="111"/>
      <c r="K346" s="111"/>
      <c r="L346" s="111"/>
      <c r="M346" s="343">
        <f>IFERROR(VLOOKUP($E346,'Info planes y paquetes'!$C$714:$G$755,Mercado!M$329,FALSE),0)/(SUMIFS('Info planes y paquetes'!$F$714:$F$755,'Info planes y paquetes'!$E$714:$E$755,"Telefonía fija"))</f>
        <v>0</v>
      </c>
      <c r="N346" s="111"/>
      <c r="P346" s="102"/>
    </row>
    <row r="347" spans="4:16" s="44" customFormat="1" hidden="1" outlineLevel="1" x14ac:dyDescent="0.25">
      <c r="D347" s="95">
        <f t="shared" si="124"/>
        <v>16</v>
      </c>
      <c r="E347" s="101">
        <v>0</v>
      </c>
      <c r="F347" s="40"/>
      <c r="G347" s="40"/>
      <c r="H347" s="77"/>
      <c r="I347" s="111"/>
      <c r="J347" s="111"/>
      <c r="K347" s="111"/>
      <c r="L347" s="111"/>
      <c r="M347" s="343">
        <f>IFERROR(VLOOKUP($E347,'Info planes y paquetes'!$C$714:$G$755,Mercado!M$329,FALSE),0)/(SUMIFS('Info planes y paquetes'!$F$714:$F$755,'Info planes y paquetes'!$E$714:$E$755,"Telefonía fija"))</f>
        <v>0</v>
      </c>
      <c r="N347" s="111"/>
      <c r="P347" s="102"/>
    </row>
    <row r="348" spans="4:16" s="44" customFormat="1" hidden="1" outlineLevel="1" x14ac:dyDescent="0.25">
      <c r="D348" s="95">
        <f t="shared" si="124"/>
        <v>17</v>
      </c>
      <c r="E348" s="101">
        <v>0</v>
      </c>
      <c r="F348" s="40"/>
      <c r="G348" s="40"/>
      <c r="H348" s="77"/>
      <c r="I348" s="111"/>
      <c r="J348" s="111"/>
      <c r="K348" s="111"/>
      <c r="L348" s="111"/>
      <c r="M348" s="343">
        <f>IFERROR(VLOOKUP($E348,'Info planes y paquetes'!$C$714:$G$755,Mercado!M$329,FALSE),0)/(SUMIFS('Info planes y paquetes'!$F$714:$F$755,'Info planes y paquetes'!$E$714:$E$755,"Telefonía fija"))</f>
        <v>0</v>
      </c>
      <c r="N348" s="111"/>
      <c r="P348" s="102"/>
    </row>
    <row r="349" spans="4:16" s="44" customFormat="1" hidden="1" outlineLevel="1" x14ac:dyDescent="0.25">
      <c r="D349" s="95">
        <f t="shared" si="124"/>
        <v>18</v>
      </c>
      <c r="E349" s="101">
        <v>0</v>
      </c>
      <c r="F349" s="40"/>
      <c r="G349" s="40"/>
      <c r="H349" s="77"/>
      <c r="I349" s="111"/>
      <c r="J349" s="111"/>
      <c r="K349" s="111"/>
      <c r="L349" s="111"/>
      <c r="M349" s="343">
        <f>IFERROR(VLOOKUP($E349,'Info planes y paquetes'!$C$714:$G$755,Mercado!M$329,FALSE),0)/(SUMIFS('Info planes y paquetes'!$F$714:$F$755,'Info planes y paquetes'!$E$714:$E$755,"Telefonía fija"))</f>
        <v>0</v>
      </c>
      <c r="N349" s="111"/>
      <c r="P349" s="102"/>
    </row>
    <row r="350" spans="4:16" s="44" customFormat="1" hidden="1" outlineLevel="1" x14ac:dyDescent="0.25">
      <c r="D350" s="95">
        <f t="shared" si="124"/>
        <v>19</v>
      </c>
      <c r="E350" s="101">
        <v>0</v>
      </c>
      <c r="F350" s="40"/>
      <c r="G350" s="40"/>
      <c r="H350" s="77"/>
      <c r="I350" s="111"/>
      <c r="J350" s="111"/>
      <c r="K350" s="111"/>
      <c r="L350" s="111"/>
      <c r="M350" s="343">
        <f>IFERROR(VLOOKUP($E350,'Info planes y paquetes'!$C$714:$G$755,Mercado!M$329,FALSE),0)/(SUMIFS('Info planes y paquetes'!$F$714:$F$755,'Info planes y paquetes'!$E$714:$E$755,"Telefonía fija"))</f>
        <v>0</v>
      </c>
      <c r="N350" s="111"/>
      <c r="P350" s="102"/>
    </row>
    <row r="351" spans="4:16" s="44" customFormat="1" hidden="1" outlineLevel="1" x14ac:dyDescent="0.25">
      <c r="D351" s="95">
        <f t="shared" si="124"/>
        <v>20</v>
      </c>
      <c r="E351" s="101">
        <v>0</v>
      </c>
      <c r="F351" s="40"/>
      <c r="G351" s="40"/>
      <c r="H351" s="77"/>
      <c r="I351" s="111"/>
      <c r="J351" s="111"/>
      <c r="K351" s="111"/>
      <c r="L351" s="111"/>
      <c r="M351" s="343">
        <f>IFERROR(VLOOKUP($E351,'Info planes y paquetes'!$C$714:$G$755,Mercado!M$329,FALSE),0)/(SUMIFS('Info planes y paquetes'!$F$714:$F$755,'Info planes y paquetes'!$E$714:$E$755,"Telefonía fija"))</f>
        <v>0</v>
      </c>
      <c r="N351" s="111"/>
      <c r="P351" s="102"/>
    </row>
    <row r="352" spans="4:16" s="44" customFormat="1" hidden="1" outlineLevel="1" x14ac:dyDescent="0.25">
      <c r="D352" s="95">
        <f t="shared" si="124"/>
        <v>21</v>
      </c>
      <c r="E352" s="101">
        <v>0</v>
      </c>
      <c r="F352" s="40"/>
      <c r="G352" s="40"/>
      <c r="H352" s="77"/>
      <c r="I352" s="111"/>
      <c r="J352" s="111"/>
      <c r="K352" s="111"/>
      <c r="L352" s="111"/>
      <c r="M352" s="343">
        <f>IFERROR(VLOOKUP($E352,'Info planes y paquetes'!$C$714:$G$755,Mercado!M$329,FALSE),0)/(SUMIFS('Info planes y paquetes'!$F$714:$F$755,'Info planes y paquetes'!$E$714:$E$755,"Telefonía fija"))</f>
        <v>0</v>
      </c>
      <c r="N352" s="111"/>
      <c r="P352" s="102"/>
    </row>
    <row r="353" spans="4:16" s="44" customFormat="1" hidden="1" outlineLevel="1" x14ac:dyDescent="0.25">
      <c r="D353" s="95">
        <f t="shared" si="124"/>
        <v>22</v>
      </c>
      <c r="E353" s="101">
        <v>0</v>
      </c>
      <c r="F353" s="40"/>
      <c r="G353" s="40"/>
      <c r="H353" s="77"/>
      <c r="I353" s="111"/>
      <c r="J353" s="111"/>
      <c r="K353" s="111"/>
      <c r="L353" s="111"/>
      <c r="M353" s="343">
        <f>IFERROR(VLOOKUP($E353,'Info planes y paquetes'!$C$714:$G$755,Mercado!M$329,FALSE),0)/(SUMIFS('Info planes y paquetes'!$F$714:$F$755,'Info planes y paquetes'!$E$714:$E$755,"Telefonía fija"))</f>
        <v>0</v>
      </c>
      <c r="N353" s="111"/>
      <c r="P353" s="102"/>
    </row>
    <row r="354" spans="4:16" s="44" customFormat="1" hidden="1" outlineLevel="1" x14ac:dyDescent="0.25">
      <c r="D354" s="95">
        <f t="shared" si="124"/>
        <v>23</v>
      </c>
      <c r="E354" s="101">
        <v>0</v>
      </c>
      <c r="F354" s="40"/>
      <c r="G354" s="40"/>
      <c r="H354" s="77"/>
      <c r="I354" s="111"/>
      <c r="J354" s="111"/>
      <c r="K354" s="111"/>
      <c r="L354" s="111"/>
      <c r="M354" s="343">
        <f>IFERROR(VLOOKUP($E354,'Info planes y paquetes'!$C$714:$G$755,Mercado!M$329,FALSE),0)/(SUMIFS('Info planes y paquetes'!$F$714:$F$755,'Info planes y paquetes'!$E$714:$E$755,"Telefonía fija"))</f>
        <v>0</v>
      </c>
      <c r="N354" s="111"/>
      <c r="P354" s="102"/>
    </row>
    <row r="355" spans="4:16" s="44" customFormat="1" hidden="1" outlineLevel="1" x14ac:dyDescent="0.25">
      <c r="D355" s="95">
        <f t="shared" si="124"/>
        <v>24</v>
      </c>
      <c r="E355" s="101">
        <v>0</v>
      </c>
      <c r="F355" s="40"/>
      <c r="G355" s="40"/>
      <c r="H355" s="77"/>
      <c r="I355" s="111"/>
      <c r="J355" s="111"/>
      <c r="K355" s="111"/>
      <c r="L355" s="111"/>
      <c r="M355" s="343">
        <f>IFERROR(VLOOKUP($E355,'Info planes y paquetes'!$C$714:$G$755,Mercado!M$329,FALSE),0)/(SUMIFS('Info planes y paquetes'!$F$714:$F$755,'Info planes y paquetes'!$E$714:$E$755,"Telefonía fija"))</f>
        <v>0</v>
      </c>
      <c r="N355" s="111"/>
      <c r="P355" s="102"/>
    </row>
    <row r="356" spans="4:16" s="44" customFormat="1" hidden="1" outlineLevel="1" x14ac:dyDescent="0.25">
      <c r="D356" s="95">
        <f t="shared" si="124"/>
        <v>25</v>
      </c>
      <c r="E356" s="101">
        <v>0</v>
      </c>
      <c r="F356" s="40"/>
      <c r="G356" s="40"/>
      <c r="H356" s="77"/>
      <c r="I356" s="111"/>
      <c r="J356" s="111"/>
      <c r="K356" s="111"/>
      <c r="L356" s="111"/>
      <c r="M356" s="343">
        <f>IFERROR(VLOOKUP($E356,'Info planes y paquetes'!$C$714:$G$755,Mercado!M$329,FALSE),0)/(SUMIFS('Info planes y paquetes'!$F$714:$F$755,'Info planes y paquetes'!$E$714:$E$755,"Telefonía fija"))</f>
        <v>0</v>
      </c>
      <c r="N356" s="111"/>
      <c r="P356" s="102"/>
    </row>
    <row r="357" spans="4:16" s="44" customFormat="1" hidden="1" outlineLevel="1" x14ac:dyDescent="0.25">
      <c r="D357" s="95">
        <f t="shared" si="124"/>
        <v>26</v>
      </c>
      <c r="E357" s="101">
        <v>0</v>
      </c>
      <c r="F357" s="40"/>
      <c r="G357" s="40"/>
      <c r="H357" s="77"/>
      <c r="I357" s="111"/>
      <c r="J357" s="111"/>
      <c r="K357" s="111"/>
      <c r="L357" s="111"/>
      <c r="M357" s="343">
        <f>IFERROR(VLOOKUP($E357,'Info planes y paquetes'!$C$714:$G$755,Mercado!M$329,FALSE),0)/(SUMIFS('Info planes y paquetes'!$F$714:$F$755,'Info planes y paquetes'!$E$714:$E$755,"Telefonía fija"))</f>
        <v>0</v>
      </c>
      <c r="N357" s="111"/>
      <c r="P357" s="102"/>
    </row>
    <row r="358" spans="4:16" s="44" customFormat="1" hidden="1" outlineLevel="1" x14ac:dyDescent="0.25">
      <c r="D358" s="95">
        <f t="shared" si="124"/>
        <v>27</v>
      </c>
      <c r="E358" s="101">
        <v>0</v>
      </c>
      <c r="F358" s="40"/>
      <c r="G358" s="40"/>
      <c r="H358" s="77"/>
      <c r="I358" s="111"/>
      <c r="J358" s="111"/>
      <c r="K358" s="111"/>
      <c r="L358" s="111"/>
      <c r="M358" s="343">
        <f>IFERROR(VLOOKUP($E358,'Info planes y paquetes'!$C$714:$G$755,Mercado!M$329,FALSE),0)/(SUMIFS('Info planes y paquetes'!$F$714:$F$755,'Info planes y paquetes'!$E$714:$E$755,"Telefonía fija"))</f>
        <v>0</v>
      </c>
      <c r="N358" s="111"/>
      <c r="P358" s="102"/>
    </row>
    <row r="359" spans="4:16" s="44" customFormat="1" hidden="1" outlineLevel="1" x14ac:dyDescent="0.25">
      <c r="D359" s="95">
        <f t="shared" si="124"/>
        <v>28</v>
      </c>
      <c r="E359" s="101">
        <v>0</v>
      </c>
      <c r="F359" s="40"/>
      <c r="G359" s="40"/>
      <c r="H359" s="77"/>
      <c r="I359" s="111"/>
      <c r="J359" s="111"/>
      <c r="K359" s="111"/>
      <c r="L359" s="111"/>
      <c r="M359" s="343">
        <f>IFERROR(VLOOKUP($E359,'Info planes y paquetes'!$C$714:$G$755,Mercado!M$329,FALSE),0)/(SUMIFS('Info planes y paquetes'!$F$714:$F$755,'Info planes y paquetes'!$E$714:$E$755,"Telefonía fija"))</f>
        <v>0</v>
      </c>
      <c r="N359" s="111"/>
      <c r="P359" s="102"/>
    </row>
    <row r="360" spans="4:16" s="44" customFormat="1" hidden="1" outlineLevel="1" x14ac:dyDescent="0.25">
      <c r="D360" s="95">
        <f t="shared" si="124"/>
        <v>29</v>
      </c>
      <c r="E360" s="101">
        <v>0</v>
      </c>
      <c r="F360" s="40"/>
      <c r="G360" s="40"/>
      <c r="H360" s="77"/>
      <c r="I360" s="111"/>
      <c r="J360" s="111"/>
      <c r="K360" s="111"/>
      <c r="L360" s="111"/>
      <c r="M360" s="343">
        <f>IFERROR(VLOOKUP($E360,'Info planes y paquetes'!$C$714:$G$755,Mercado!M$329,FALSE),0)/(SUMIFS('Info planes y paquetes'!$F$714:$F$755,'Info planes y paquetes'!$E$714:$E$755,"Telefonía fija"))</f>
        <v>0</v>
      </c>
      <c r="N360" s="111"/>
      <c r="P360" s="102"/>
    </row>
    <row r="361" spans="4:16" s="44" customFormat="1" hidden="1" outlineLevel="1" x14ac:dyDescent="0.25">
      <c r="D361" s="95">
        <f t="shared" si="124"/>
        <v>30</v>
      </c>
      <c r="E361" s="101">
        <v>0</v>
      </c>
      <c r="F361" s="40"/>
      <c r="G361" s="40"/>
      <c r="H361" s="77"/>
      <c r="I361" s="111"/>
      <c r="J361" s="111"/>
      <c r="K361" s="111"/>
      <c r="L361" s="111"/>
      <c r="M361" s="343">
        <f>IFERROR(VLOOKUP($E361,'Info planes y paquetes'!$C$714:$G$755,Mercado!M$329,FALSE),0)/(SUMIFS('Info planes y paquetes'!$F$714:$F$755,'Info planes y paquetes'!$E$714:$E$755,"Telefonía fija"))</f>
        <v>0</v>
      </c>
      <c r="N361" s="111"/>
      <c r="P361" s="102"/>
    </row>
    <row r="362" spans="4:16" s="44" customFormat="1" hidden="1" outlineLevel="1" x14ac:dyDescent="0.25">
      <c r="D362" s="95">
        <f t="shared" si="124"/>
        <v>31</v>
      </c>
      <c r="E362" s="101">
        <v>0</v>
      </c>
      <c r="F362" s="40"/>
      <c r="G362" s="40"/>
      <c r="H362" s="77"/>
      <c r="I362" s="111"/>
      <c r="J362" s="111"/>
      <c r="K362" s="111"/>
      <c r="L362" s="111"/>
      <c r="M362" s="343">
        <f>IFERROR(VLOOKUP($E362,'Info planes y paquetes'!$C$714:$G$755,Mercado!M$329,FALSE),0)/(SUMIFS('Info planes y paquetes'!$F$714:$F$755,'Info planes y paquetes'!$E$714:$E$755,"Telefonía fija"))</f>
        <v>0</v>
      </c>
      <c r="N362" s="111"/>
      <c r="P362" s="102"/>
    </row>
    <row r="363" spans="4:16" s="44" customFormat="1" hidden="1" outlineLevel="1" x14ac:dyDescent="0.25">
      <c r="D363" s="95">
        <f t="shared" si="124"/>
        <v>32</v>
      </c>
      <c r="E363" s="101">
        <v>0</v>
      </c>
      <c r="F363" s="40"/>
      <c r="G363" s="40"/>
      <c r="H363" s="77"/>
      <c r="I363" s="111"/>
      <c r="J363" s="111"/>
      <c r="K363" s="111"/>
      <c r="L363" s="111"/>
      <c r="M363" s="343">
        <f>IFERROR(VLOOKUP($E363,'Info planes y paquetes'!$C$714:$G$755,Mercado!M$329,FALSE),0)/(SUMIFS('Info planes y paquetes'!$F$714:$F$755,'Info planes y paquetes'!$E$714:$E$755,"Telefonía fija"))</f>
        <v>0</v>
      </c>
      <c r="N363" s="111"/>
      <c r="P363" s="102"/>
    </row>
    <row r="364" spans="4:16" s="44" customFormat="1" hidden="1" outlineLevel="1" x14ac:dyDescent="0.25">
      <c r="D364" s="95">
        <f t="shared" si="124"/>
        <v>33</v>
      </c>
      <c r="E364" s="101">
        <v>0</v>
      </c>
      <c r="F364" s="40"/>
      <c r="G364" s="40"/>
      <c r="H364" s="77"/>
      <c r="I364" s="111"/>
      <c r="J364" s="111"/>
      <c r="K364" s="111"/>
      <c r="L364" s="111"/>
      <c r="M364" s="343">
        <f>IFERROR(VLOOKUP($E364,'Info planes y paquetes'!$C$714:$G$755,Mercado!M$329,FALSE),0)/(SUMIFS('Info planes y paquetes'!$F$714:$F$755,'Info planes y paquetes'!$E$714:$E$755,"Telefonía fija"))</f>
        <v>0</v>
      </c>
      <c r="N364" s="111"/>
      <c r="P364" s="102"/>
    </row>
    <row r="365" spans="4:16" s="44" customFormat="1" hidden="1" outlineLevel="1" x14ac:dyDescent="0.25">
      <c r="D365" s="95">
        <f t="shared" si="124"/>
        <v>34</v>
      </c>
      <c r="E365" s="101">
        <v>0</v>
      </c>
      <c r="F365" s="40"/>
      <c r="G365" s="40"/>
      <c r="H365" s="77"/>
      <c r="I365" s="111"/>
      <c r="J365" s="111"/>
      <c r="K365" s="111"/>
      <c r="L365" s="111"/>
      <c r="M365" s="343">
        <f>IFERROR(VLOOKUP($E365,'Info planes y paquetes'!$C$714:$G$755,Mercado!M$329,FALSE),0)/(SUMIFS('Info planes y paquetes'!$F$714:$F$755,'Info planes y paquetes'!$E$714:$E$755,"Telefonía fija"))</f>
        <v>0</v>
      </c>
      <c r="N365" s="111"/>
      <c r="P365" s="102"/>
    </row>
    <row r="366" spans="4:16" s="44" customFormat="1" hidden="1" outlineLevel="1" x14ac:dyDescent="0.25">
      <c r="D366" s="95">
        <f t="shared" si="124"/>
        <v>35</v>
      </c>
      <c r="E366" s="101">
        <v>0</v>
      </c>
      <c r="F366" s="40"/>
      <c r="G366" s="40"/>
      <c r="H366" s="77"/>
      <c r="I366" s="111"/>
      <c r="J366" s="111"/>
      <c r="K366" s="111"/>
      <c r="L366" s="111"/>
      <c r="M366" s="343">
        <f>IFERROR(VLOOKUP($E366,'Info planes y paquetes'!$C$714:$G$755,Mercado!M$329,FALSE),0)/(SUMIFS('Info planes y paquetes'!$F$714:$F$755,'Info planes y paquetes'!$E$714:$E$755,"Telefonía fija"))</f>
        <v>0</v>
      </c>
      <c r="N366" s="111"/>
      <c r="P366" s="102"/>
    </row>
    <row r="367" spans="4:16" s="44" customFormat="1" hidden="1" outlineLevel="1" x14ac:dyDescent="0.25">
      <c r="D367" s="95">
        <f t="shared" si="124"/>
        <v>36</v>
      </c>
      <c r="E367" s="101">
        <v>0</v>
      </c>
      <c r="F367" s="40"/>
      <c r="G367" s="40"/>
      <c r="H367" s="77"/>
      <c r="I367" s="111"/>
      <c r="J367" s="111"/>
      <c r="K367" s="111"/>
      <c r="L367" s="111"/>
      <c r="M367" s="343">
        <f>IFERROR(VLOOKUP($E367,'Info planes y paquetes'!$C$714:$G$755,Mercado!M$329,FALSE),0)/(SUMIFS('Info planes y paquetes'!$F$714:$F$755,'Info planes y paquetes'!$E$714:$E$755,"Telefonía fija"))</f>
        <v>0</v>
      </c>
      <c r="N367" s="111"/>
      <c r="P367" s="102"/>
    </row>
    <row r="368" spans="4:16" s="44" customFormat="1" hidden="1" outlineLevel="1" x14ac:dyDescent="0.25">
      <c r="D368" s="95">
        <f t="shared" si="124"/>
        <v>37</v>
      </c>
      <c r="E368" s="101">
        <v>0</v>
      </c>
      <c r="F368" s="40"/>
      <c r="G368" s="40"/>
      <c r="H368" s="77"/>
      <c r="I368" s="111"/>
      <c r="J368" s="111"/>
      <c r="K368" s="111"/>
      <c r="L368" s="111"/>
      <c r="M368" s="343">
        <f>IFERROR(VLOOKUP($E368,'Info planes y paquetes'!$C$714:$G$755,Mercado!M$329,FALSE),0)/(SUMIFS('Info planes y paquetes'!$F$714:$F$755,'Info planes y paquetes'!$E$714:$E$755,"Telefonía fija"))</f>
        <v>0</v>
      </c>
      <c r="N368" s="111"/>
      <c r="P368" s="102"/>
    </row>
    <row r="369" spans="3:16" s="44" customFormat="1" hidden="1" outlineLevel="1" x14ac:dyDescent="0.25">
      <c r="D369" s="95">
        <f t="shared" si="124"/>
        <v>38</v>
      </c>
      <c r="E369" s="101">
        <v>0</v>
      </c>
      <c r="F369" s="40"/>
      <c r="G369" s="40"/>
      <c r="H369" s="77"/>
      <c r="I369" s="111"/>
      <c r="J369" s="111"/>
      <c r="K369" s="111"/>
      <c r="L369" s="111"/>
      <c r="M369" s="343">
        <f>IFERROR(VLOOKUP($E369,'Info planes y paquetes'!$C$714:$G$755,Mercado!M$329,FALSE),0)/(SUMIFS('Info planes y paquetes'!$F$714:$F$755,'Info planes y paquetes'!$E$714:$E$755,"Telefonía fija"))</f>
        <v>0</v>
      </c>
      <c r="N369" s="111"/>
      <c r="P369" s="102"/>
    </row>
    <row r="370" spans="3:16" s="44" customFormat="1" hidden="1" outlineLevel="1" x14ac:dyDescent="0.25">
      <c r="D370" s="95">
        <f t="shared" si="124"/>
        <v>39</v>
      </c>
      <c r="E370" s="101">
        <v>0</v>
      </c>
      <c r="F370" s="40"/>
      <c r="G370" s="40"/>
      <c r="H370" s="77"/>
      <c r="I370" s="111"/>
      <c r="J370" s="111"/>
      <c r="K370" s="111"/>
      <c r="L370" s="111"/>
      <c r="M370" s="343">
        <f>IFERROR(VLOOKUP($E370,'Info planes y paquetes'!$C$714:$G$755,Mercado!M$329,FALSE),0)/(SUMIFS('Info planes y paquetes'!$F$714:$F$755,'Info planes y paquetes'!$E$714:$E$755,"Telefonía fija"))</f>
        <v>0</v>
      </c>
      <c r="N370" s="111"/>
      <c r="P370" s="102"/>
    </row>
    <row r="371" spans="3:16" s="44" customFormat="1" hidden="1" outlineLevel="1" x14ac:dyDescent="0.25">
      <c r="D371" s="95">
        <f t="shared" si="124"/>
        <v>40</v>
      </c>
      <c r="E371" s="101">
        <v>0</v>
      </c>
      <c r="F371" s="40"/>
      <c r="G371" s="40"/>
      <c r="H371" s="77"/>
      <c r="I371" s="111"/>
      <c r="J371" s="111"/>
      <c r="K371" s="111"/>
      <c r="L371" s="111"/>
      <c r="M371" s="343">
        <f>IFERROR(VLOOKUP($E371,'Info planes y paquetes'!$C$714:$G$755,Mercado!M$329,FALSE),0)/(SUMIFS('Info planes y paquetes'!$F$714:$F$755,'Info planes y paquetes'!$E$714:$E$755,"Telefonía fija"))</f>
        <v>0</v>
      </c>
      <c r="N371" s="111"/>
      <c r="P371" s="102"/>
    </row>
    <row r="372" spans="3:16" s="44" customFormat="1" hidden="1" outlineLevel="1" x14ac:dyDescent="0.25">
      <c r="D372" s="95">
        <f t="shared" si="124"/>
        <v>41</v>
      </c>
      <c r="E372" s="101">
        <v>0</v>
      </c>
      <c r="F372" s="40"/>
      <c r="G372" s="40"/>
      <c r="H372" s="77"/>
      <c r="I372" s="111"/>
      <c r="J372" s="111"/>
      <c r="K372" s="111"/>
      <c r="L372" s="111"/>
      <c r="M372" s="343">
        <f>IFERROR(VLOOKUP($E372,'Info planes y paquetes'!$C$714:$G$755,Mercado!M$329,FALSE),0)/(SUMIFS('Info planes y paquetes'!$F$714:$F$755,'Info planes y paquetes'!$E$714:$E$755,"Telefonía fija"))</f>
        <v>0</v>
      </c>
      <c r="N372" s="111"/>
      <c r="P372" s="102"/>
    </row>
    <row r="373" spans="3:16" s="44" customFormat="1" hidden="1" outlineLevel="1" x14ac:dyDescent="0.25">
      <c r="D373" s="95">
        <f t="shared" si="124"/>
        <v>42</v>
      </c>
      <c r="E373" s="101">
        <v>0</v>
      </c>
      <c r="F373" s="40"/>
      <c r="G373" s="40"/>
      <c r="H373" s="77"/>
      <c r="I373" s="111"/>
      <c r="J373" s="111"/>
      <c r="K373" s="111"/>
      <c r="L373" s="111"/>
      <c r="M373" s="343">
        <f>IFERROR(VLOOKUP($E373,'Info planes y paquetes'!$C$714:$G$755,Mercado!M$329,FALSE),0)/(SUMIFS('Info planes y paquetes'!$F$714:$F$755,'Info planes y paquetes'!$E$714:$E$755,"Telefonía fija"))</f>
        <v>0</v>
      </c>
      <c r="N373" s="111"/>
      <c r="P373" s="102"/>
    </row>
    <row r="374" spans="3:16" s="44" customFormat="1" hidden="1" outlineLevel="1" x14ac:dyDescent="0.25">
      <c r="D374" s="95">
        <f t="shared" si="124"/>
        <v>43</v>
      </c>
      <c r="E374" s="101">
        <v>0</v>
      </c>
      <c r="F374" s="40"/>
      <c r="G374" s="40"/>
      <c r="H374" s="77"/>
      <c r="I374" s="111"/>
      <c r="J374" s="111"/>
      <c r="K374" s="111"/>
      <c r="L374" s="111"/>
      <c r="M374" s="343">
        <f>IFERROR(VLOOKUP($E374,'Info planes y paquetes'!$C$714:$G$755,Mercado!M$329,FALSE),0)/(SUMIFS('Info planes y paquetes'!$F$714:$F$755,'Info planes y paquetes'!$E$714:$E$755,"Telefonía fija"))</f>
        <v>0</v>
      </c>
      <c r="N374" s="111"/>
      <c r="P374" s="102"/>
    </row>
    <row r="375" spans="3:16" s="44" customFormat="1" hidden="1" outlineLevel="1" x14ac:dyDescent="0.25">
      <c r="D375" s="95">
        <f t="shared" si="124"/>
        <v>44</v>
      </c>
      <c r="E375" s="101">
        <v>0</v>
      </c>
      <c r="F375" s="40"/>
      <c r="G375" s="40"/>
      <c r="H375" s="77"/>
      <c r="I375" s="111"/>
      <c r="J375" s="111"/>
      <c r="K375" s="111"/>
      <c r="L375" s="111"/>
      <c r="M375" s="343">
        <f>IFERROR(VLOOKUP($E375,'Info planes y paquetes'!$C$714:$G$755,Mercado!M$329,FALSE),0)/(SUMIFS('Info planes y paquetes'!$F$714:$F$755,'Info planes y paquetes'!$E$714:$E$755,"Telefonía fija"))</f>
        <v>0</v>
      </c>
      <c r="N375" s="111"/>
      <c r="P375" s="102"/>
    </row>
    <row r="376" spans="3:16" s="44" customFormat="1" hidden="1" outlineLevel="1" x14ac:dyDescent="0.25">
      <c r="D376" s="95">
        <f t="shared" si="124"/>
        <v>45</v>
      </c>
      <c r="E376" s="101">
        <v>0</v>
      </c>
      <c r="F376" s="40"/>
      <c r="G376" s="40"/>
      <c r="H376" s="77"/>
      <c r="I376" s="111"/>
      <c r="J376" s="111"/>
      <c r="K376" s="111"/>
      <c r="L376" s="111"/>
      <c r="M376" s="343">
        <f>IFERROR(VLOOKUP($E376,'Info planes y paquetes'!$C$714:$G$755,Mercado!M$329,FALSE),0)/(SUMIFS('Info planes y paquetes'!$F$714:$F$755,'Info planes y paquetes'!$E$714:$E$755,"Telefonía fija"))</f>
        <v>0</v>
      </c>
      <c r="N376" s="111"/>
      <c r="P376" s="102"/>
    </row>
    <row r="377" spans="3:16" s="44" customFormat="1" hidden="1" outlineLevel="1" x14ac:dyDescent="0.25">
      <c r="D377" s="95">
        <f t="shared" si="124"/>
        <v>46</v>
      </c>
      <c r="E377" s="101">
        <v>0</v>
      </c>
      <c r="F377" s="40"/>
      <c r="G377" s="40"/>
      <c r="H377" s="77"/>
      <c r="I377" s="111"/>
      <c r="J377" s="111"/>
      <c r="K377" s="111"/>
      <c r="L377" s="111"/>
      <c r="M377" s="343">
        <f>IFERROR(VLOOKUP($E377,'Info planes y paquetes'!$C$714:$G$755,Mercado!M$329,FALSE),0)/(SUMIFS('Info planes y paquetes'!$F$714:$F$755,'Info planes y paquetes'!$E$714:$E$755,"Telefonía fija"))</f>
        <v>0</v>
      </c>
      <c r="N377" s="111"/>
      <c r="P377" s="102"/>
    </row>
    <row r="378" spans="3:16" s="44" customFormat="1" hidden="1" outlineLevel="1" x14ac:dyDescent="0.25">
      <c r="D378" s="95">
        <f t="shared" si="124"/>
        <v>47</v>
      </c>
      <c r="E378" s="101">
        <v>0</v>
      </c>
      <c r="F378" s="40"/>
      <c r="G378" s="40"/>
      <c r="H378" s="77"/>
      <c r="I378" s="111"/>
      <c r="J378" s="111"/>
      <c r="K378" s="111"/>
      <c r="L378" s="111"/>
      <c r="M378" s="343">
        <f>IFERROR(VLOOKUP($E378,'Info planes y paquetes'!$C$714:$G$755,Mercado!M$329,FALSE),0)/(SUMIFS('Info planes y paquetes'!$F$714:$F$755,'Info planes y paquetes'!$E$714:$E$755,"Telefonía fija"))</f>
        <v>0</v>
      </c>
      <c r="N378" s="111"/>
      <c r="P378" s="102"/>
    </row>
    <row r="379" spans="3:16" s="44" customFormat="1" hidden="1" outlineLevel="1" x14ac:dyDescent="0.25">
      <c r="D379" s="95">
        <f t="shared" si="124"/>
        <v>48</v>
      </c>
      <c r="E379" s="101">
        <v>0</v>
      </c>
      <c r="F379" s="40"/>
      <c r="G379" s="40"/>
      <c r="H379" s="77"/>
      <c r="I379" s="111"/>
      <c r="J379" s="111"/>
      <c r="K379" s="111"/>
      <c r="L379" s="111"/>
      <c r="M379" s="343">
        <f>IFERROR(VLOOKUP($E379,'Info planes y paquetes'!$C$714:$G$755,Mercado!M$329,FALSE),0)/(SUMIFS('Info planes y paquetes'!$F$714:$F$755,'Info planes y paquetes'!$E$714:$E$755,"Telefonía fija"))</f>
        <v>0</v>
      </c>
      <c r="N379" s="111"/>
      <c r="P379" s="102"/>
    </row>
    <row r="380" spans="3:16" s="44" customFormat="1" hidden="1" outlineLevel="1" x14ac:dyDescent="0.25">
      <c r="D380" s="95">
        <f t="shared" si="124"/>
        <v>49</v>
      </c>
      <c r="E380" s="101">
        <v>0</v>
      </c>
      <c r="F380" s="40"/>
      <c r="G380" s="40"/>
      <c r="H380" s="77"/>
      <c r="I380" s="111"/>
      <c r="J380" s="111"/>
      <c r="K380" s="111"/>
      <c r="L380" s="111"/>
      <c r="M380" s="343">
        <f>IFERROR(VLOOKUP($E380,'Info planes y paquetes'!$C$714:$G$755,Mercado!M$329,FALSE),0)/(SUMIFS('Info planes y paquetes'!$F$714:$F$755,'Info planes y paquetes'!$E$714:$E$755,"Telefonía fija"))</f>
        <v>0</v>
      </c>
      <c r="N380" s="111"/>
      <c r="P380" s="102"/>
    </row>
    <row r="381" spans="3:16" s="44" customFormat="1" ht="12" hidden="1" outlineLevel="1" thickBot="1" x14ac:dyDescent="0.3">
      <c r="D381" s="95">
        <f t="shared" si="124"/>
        <v>50</v>
      </c>
      <c r="E381" s="101">
        <v>0</v>
      </c>
      <c r="F381" s="40"/>
      <c r="G381" s="40"/>
      <c r="H381" s="77"/>
      <c r="I381" s="111"/>
      <c r="J381" s="111"/>
      <c r="K381" s="111"/>
      <c r="L381" s="111"/>
      <c r="M381" s="343">
        <f>IFERROR(VLOOKUP($E381,'Info planes y paquetes'!$C$714:$G$755,Mercado!M$329,FALSE),0)/(SUMIFS('Info planes y paquetes'!$F$714:$F$755,'Info planes y paquetes'!$E$714:$E$755,"Telefonía fija"))</f>
        <v>0</v>
      </c>
      <c r="N381" s="111"/>
      <c r="P381" s="102"/>
    </row>
    <row r="382" spans="3:16" s="44" customFormat="1" collapsed="1" x14ac:dyDescent="0.25">
      <c r="C382" s="102"/>
      <c r="D382" s="102"/>
      <c r="E382" s="109"/>
      <c r="F382" s="41"/>
      <c r="G382" s="41"/>
      <c r="H382" s="41"/>
      <c r="I382" s="270"/>
      <c r="J382" s="270"/>
      <c r="K382" s="41"/>
      <c r="L382" s="41"/>
      <c r="M382" s="41"/>
      <c r="N382" s="270"/>
      <c r="O382" s="41"/>
      <c r="P382" s="41"/>
    </row>
    <row r="383" spans="3:16" s="44" customFormat="1" x14ac:dyDescent="0.25">
      <c r="I383" s="116"/>
    </row>
    <row r="384" spans="3:16" s="44" customFormat="1" x14ac:dyDescent="0.25">
      <c r="C384" s="102" t="s">
        <v>235</v>
      </c>
      <c r="D384" s="102"/>
    </row>
    <row r="385" spans="3:18" s="44" customFormat="1" x14ac:dyDescent="0.25">
      <c r="C385" s="102"/>
      <c r="D385" s="102"/>
    </row>
    <row r="386" spans="3:18" s="44" customFormat="1" x14ac:dyDescent="0.25">
      <c r="E386" s="1" t="s">
        <v>180</v>
      </c>
      <c r="F386" s="1" t="s">
        <v>182</v>
      </c>
      <c r="G386" s="1" t="s">
        <v>181</v>
      </c>
      <c r="H386" s="1" t="s">
        <v>167</v>
      </c>
      <c r="I386" s="1">
        <f t="array" ref="I386:N386">TRANSPOSE(Years)</f>
        <v>2017</v>
      </c>
      <c r="J386" s="1">
        <v>2018</v>
      </c>
      <c r="K386" s="1">
        <v>2019</v>
      </c>
      <c r="L386" s="1">
        <v>2020</v>
      </c>
      <c r="M386" s="1">
        <v>2021</v>
      </c>
      <c r="N386" s="1">
        <v>2022</v>
      </c>
      <c r="O386" s="1"/>
      <c r="P386" s="1" t="s">
        <v>170</v>
      </c>
    </row>
    <row r="387" spans="3:18" s="44" customFormat="1" x14ac:dyDescent="0.25">
      <c r="I387" s="112">
        <f t="shared" ref="I387:N387" si="125">SUM(I388:I437)</f>
        <v>0</v>
      </c>
      <c r="J387" s="112">
        <f t="shared" si="125"/>
        <v>0</v>
      </c>
      <c r="K387" s="112">
        <f t="shared" si="125"/>
        <v>0</v>
      </c>
      <c r="L387" s="112">
        <f t="shared" si="125"/>
        <v>0</v>
      </c>
      <c r="M387" s="112">
        <f t="shared" si="125"/>
        <v>2412805.4587195236</v>
      </c>
      <c r="N387" s="112">
        <f t="shared" si="125"/>
        <v>2417845.3671266856</v>
      </c>
    </row>
    <row r="388" spans="3:18" s="44" customFormat="1" x14ac:dyDescent="0.25">
      <c r="D388" s="96">
        <v>1</v>
      </c>
      <c r="E388" s="101" t="str">
        <f t="array" ref="E388:E437">vector.telephony.plans.singleplay.names</f>
        <v>Renta Mensual de la Línea Comercial</v>
      </c>
      <c r="F388" s="101" t="str">
        <f>F332</f>
        <v/>
      </c>
      <c r="G388" s="101" t="str">
        <f>G332</f>
        <v/>
      </c>
      <c r="H388" s="77" t="s">
        <v>221</v>
      </c>
      <c r="I388" s="114"/>
      <c r="J388" s="114"/>
      <c r="K388" s="114"/>
      <c r="L388" s="114"/>
      <c r="M388" s="454">
        <f>M$320*M332</f>
        <v>1397945.0220209034</v>
      </c>
      <c r="N388" s="454">
        <f>N$320*N332</f>
        <v>1476266.6373775213</v>
      </c>
      <c r="P388" s="102" t="s">
        <v>1255</v>
      </c>
      <c r="R388" s="102" t="s">
        <v>189</v>
      </c>
    </row>
    <row r="389" spans="3:18" s="44" customFormat="1" ht="12" thickBot="1" x14ac:dyDescent="0.3">
      <c r="D389" s="95">
        <f>1+D388</f>
        <v>2</v>
      </c>
      <c r="E389" s="101" t="str">
        <v>Renta Mensual de la Línea Residencial</v>
      </c>
      <c r="F389" s="101" t="str">
        <f>F333</f>
        <v/>
      </c>
      <c r="G389" s="101" t="str">
        <f>G333</f>
        <v/>
      </c>
      <c r="H389" s="77" t="s">
        <v>221</v>
      </c>
      <c r="I389" s="114"/>
      <c r="J389" s="114"/>
      <c r="K389" s="114"/>
      <c r="L389" s="114"/>
      <c r="M389" s="454">
        <f>M$320*M333</f>
        <v>1014860.4366986202</v>
      </c>
      <c r="N389" s="454">
        <f>N$320*N333</f>
        <v>941578.72974916431</v>
      </c>
      <c r="P389" s="102" t="s">
        <v>1255</v>
      </c>
      <c r="R389" s="102" t="s">
        <v>189</v>
      </c>
    </row>
    <row r="390" spans="3:18" s="44" customFormat="1" hidden="1" outlineLevel="1" x14ac:dyDescent="0.25">
      <c r="D390" s="95">
        <f t="shared" ref="D390:D437" si="126">1+D389</f>
        <v>3</v>
      </c>
      <c r="E390" s="101">
        <v>0</v>
      </c>
      <c r="F390" s="40"/>
      <c r="G390" s="40"/>
      <c r="H390" s="77" t="s">
        <v>221</v>
      </c>
      <c r="I390" s="111"/>
      <c r="J390" s="111"/>
      <c r="K390" s="111"/>
      <c r="L390" s="111"/>
      <c r="M390" s="111"/>
      <c r="N390" s="111"/>
      <c r="P390" s="102"/>
    </row>
    <row r="391" spans="3:18" s="44" customFormat="1" hidden="1" outlineLevel="1" x14ac:dyDescent="0.25">
      <c r="D391" s="95">
        <f t="shared" si="126"/>
        <v>4</v>
      </c>
      <c r="E391" s="101">
        <v>0</v>
      </c>
      <c r="F391" s="40"/>
      <c r="G391" s="40"/>
      <c r="H391" s="77" t="s">
        <v>221</v>
      </c>
      <c r="I391" s="111"/>
      <c r="J391" s="111"/>
      <c r="K391" s="111"/>
      <c r="L391" s="111"/>
      <c r="M391" s="111"/>
      <c r="N391" s="111"/>
      <c r="P391" s="102"/>
    </row>
    <row r="392" spans="3:18" s="44" customFormat="1" hidden="1" outlineLevel="1" x14ac:dyDescent="0.25">
      <c r="D392" s="95">
        <f t="shared" si="126"/>
        <v>5</v>
      </c>
      <c r="E392" s="101">
        <v>0</v>
      </c>
      <c r="F392" s="40"/>
      <c r="G392" s="40"/>
      <c r="H392" s="77" t="s">
        <v>221</v>
      </c>
      <c r="I392" s="111"/>
      <c r="J392" s="111"/>
      <c r="K392" s="111"/>
      <c r="L392" s="111"/>
      <c r="M392" s="111"/>
      <c r="N392" s="111"/>
      <c r="P392" s="102"/>
    </row>
    <row r="393" spans="3:18" s="44" customFormat="1" hidden="1" outlineLevel="1" x14ac:dyDescent="0.25">
      <c r="D393" s="95">
        <f t="shared" si="126"/>
        <v>6</v>
      </c>
      <c r="E393" s="101">
        <v>0</v>
      </c>
      <c r="F393" s="40"/>
      <c r="G393" s="40"/>
      <c r="H393" s="77" t="s">
        <v>221</v>
      </c>
      <c r="I393" s="111"/>
      <c r="J393" s="111"/>
      <c r="K393" s="111"/>
      <c r="L393" s="111"/>
      <c r="M393" s="111"/>
      <c r="N393" s="111"/>
      <c r="P393" s="102"/>
    </row>
    <row r="394" spans="3:18" s="44" customFormat="1" hidden="1" outlineLevel="1" x14ac:dyDescent="0.25">
      <c r="D394" s="95">
        <f t="shared" si="126"/>
        <v>7</v>
      </c>
      <c r="E394" s="101">
        <v>0</v>
      </c>
      <c r="F394" s="40"/>
      <c r="G394" s="40"/>
      <c r="H394" s="77" t="s">
        <v>221</v>
      </c>
      <c r="I394" s="111"/>
      <c r="J394" s="111"/>
      <c r="K394" s="111"/>
      <c r="L394" s="111"/>
      <c r="M394" s="111"/>
      <c r="N394" s="111"/>
      <c r="P394" s="102"/>
    </row>
    <row r="395" spans="3:18" s="44" customFormat="1" hidden="1" outlineLevel="1" x14ac:dyDescent="0.25">
      <c r="D395" s="95">
        <f t="shared" si="126"/>
        <v>8</v>
      </c>
      <c r="E395" s="101">
        <v>0</v>
      </c>
      <c r="F395" s="40"/>
      <c r="G395" s="40"/>
      <c r="H395" s="77" t="s">
        <v>221</v>
      </c>
      <c r="I395" s="111"/>
      <c r="J395" s="111"/>
      <c r="K395" s="111"/>
      <c r="L395" s="111"/>
      <c r="M395" s="111"/>
      <c r="N395" s="111"/>
      <c r="P395" s="102"/>
    </row>
    <row r="396" spans="3:18" s="44" customFormat="1" hidden="1" outlineLevel="1" x14ac:dyDescent="0.25">
      <c r="D396" s="95">
        <f t="shared" si="126"/>
        <v>9</v>
      </c>
      <c r="E396" s="101">
        <v>0</v>
      </c>
      <c r="F396" s="40"/>
      <c r="G396" s="40"/>
      <c r="H396" s="77" t="s">
        <v>221</v>
      </c>
      <c r="I396" s="111"/>
      <c r="J396" s="111"/>
      <c r="K396" s="111"/>
      <c r="L396" s="111"/>
      <c r="M396" s="111"/>
      <c r="N396" s="111"/>
      <c r="P396" s="102"/>
    </row>
    <row r="397" spans="3:18" s="44" customFormat="1" hidden="1" outlineLevel="1" x14ac:dyDescent="0.25">
      <c r="D397" s="95">
        <f t="shared" si="126"/>
        <v>10</v>
      </c>
      <c r="E397" s="101">
        <v>0</v>
      </c>
      <c r="F397" s="40"/>
      <c r="G397" s="40"/>
      <c r="H397" s="77" t="s">
        <v>221</v>
      </c>
      <c r="I397" s="111"/>
      <c r="J397" s="111"/>
      <c r="K397" s="111"/>
      <c r="L397" s="111"/>
      <c r="M397" s="111"/>
      <c r="N397" s="111"/>
      <c r="P397" s="102"/>
    </row>
    <row r="398" spans="3:18" s="44" customFormat="1" hidden="1" outlineLevel="1" x14ac:dyDescent="0.25">
      <c r="D398" s="95">
        <f t="shared" si="126"/>
        <v>11</v>
      </c>
      <c r="E398" s="101">
        <v>0</v>
      </c>
      <c r="F398" s="40"/>
      <c r="G398" s="40"/>
      <c r="H398" s="77" t="s">
        <v>221</v>
      </c>
      <c r="I398" s="111"/>
      <c r="J398" s="111"/>
      <c r="K398" s="111"/>
      <c r="L398" s="111"/>
      <c r="M398" s="111"/>
      <c r="N398" s="111"/>
      <c r="P398" s="102"/>
    </row>
    <row r="399" spans="3:18" s="44" customFormat="1" hidden="1" outlineLevel="1" x14ac:dyDescent="0.25">
      <c r="D399" s="95">
        <f t="shared" si="126"/>
        <v>12</v>
      </c>
      <c r="E399" s="101">
        <v>0</v>
      </c>
      <c r="F399" s="40"/>
      <c r="G399" s="40"/>
      <c r="H399" s="77" t="s">
        <v>221</v>
      </c>
      <c r="I399" s="111"/>
      <c r="J399" s="111"/>
      <c r="K399" s="111"/>
      <c r="L399" s="111"/>
      <c r="M399" s="111"/>
      <c r="N399" s="111"/>
      <c r="P399" s="102"/>
    </row>
    <row r="400" spans="3:18" s="44" customFormat="1" hidden="1" outlineLevel="1" x14ac:dyDescent="0.25">
      <c r="D400" s="95">
        <f t="shared" si="126"/>
        <v>13</v>
      </c>
      <c r="E400" s="101">
        <v>0</v>
      </c>
      <c r="F400" s="40"/>
      <c r="G400" s="40"/>
      <c r="H400" s="77" t="s">
        <v>221</v>
      </c>
      <c r="I400" s="111"/>
      <c r="J400" s="111"/>
      <c r="K400" s="111"/>
      <c r="L400" s="111"/>
      <c r="M400" s="111"/>
      <c r="N400" s="111"/>
      <c r="P400" s="102"/>
    </row>
    <row r="401" spans="4:16" s="44" customFormat="1" hidden="1" outlineLevel="1" x14ac:dyDescent="0.25">
      <c r="D401" s="95">
        <f t="shared" si="126"/>
        <v>14</v>
      </c>
      <c r="E401" s="101">
        <v>0</v>
      </c>
      <c r="F401" s="40"/>
      <c r="G401" s="40"/>
      <c r="H401" s="77" t="s">
        <v>221</v>
      </c>
      <c r="I401" s="111"/>
      <c r="J401" s="111"/>
      <c r="K401" s="111"/>
      <c r="L401" s="111"/>
      <c r="M401" s="111"/>
      <c r="N401" s="111"/>
      <c r="P401" s="102"/>
    </row>
    <row r="402" spans="4:16" s="44" customFormat="1" hidden="1" outlineLevel="1" x14ac:dyDescent="0.25">
      <c r="D402" s="95">
        <f t="shared" si="126"/>
        <v>15</v>
      </c>
      <c r="E402" s="101">
        <v>0</v>
      </c>
      <c r="F402" s="40"/>
      <c r="G402" s="40"/>
      <c r="H402" s="77" t="s">
        <v>221</v>
      </c>
      <c r="I402" s="111"/>
      <c r="J402" s="111"/>
      <c r="K402" s="111"/>
      <c r="L402" s="111"/>
      <c r="M402" s="111"/>
      <c r="N402" s="111"/>
      <c r="P402" s="102"/>
    </row>
    <row r="403" spans="4:16" s="44" customFormat="1" hidden="1" outlineLevel="1" x14ac:dyDescent="0.25">
      <c r="D403" s="95">
        <f t="shared" si="126"/>
        <v>16</v>
      </c>
      <c r="E403" s="101">
        <v>0</v>
      </c>
      <c r="F403" s="40"/>
      <c r="G403" s="40"/>
      <c r="H403" s="77" t="s">
        <v>221</v>
      </c>
      <c r="I403" s="111"/>
      <c r="J403" s="111"/>
      <c r="K403" s="111"/>
      <c r="L403" s="111"/>
      <c r="M403" s="111"/>
      <c r="N403" s="111"/>
      <c r="P403" s="102"/>
    </row>
    <row r="404" spans="4:16" s="44" customFormat="1" hidden="1" outlineLevel="1" x14ac:dyDescent="0.25">
      <c r="D404" s="95">
        <f t="shared" si="126"/>
        <v>17</v>
      </c>
      <c r="E404" s="101">
        <v>0</v>
      </c>
      <c r="F404" s="40"/>
      <c r="G404" s="40"/>
      <c r="H404" s="77" t="s">
        <v>221</v>
      </c>
      <c r="I404" s="111"/>
      <c r="J404" s="111"/>
      <c r="K404" s="111"/>
      <c r="L404" s="111"/>
      <c r="M404" s="111"/>
      <c r="N404" s="111"/>
      <c r="P404" s="102"/>
    </row>
    <row r="405" spans="4:16" s="44" customFormat="1" hidden="1" outlineLevel="1" x14ac:dyDescent="0.25">
      <c r="D405" s="95">
        <f t="shared" si="126"/>
        <v>18</v>
      </c>
      <c r="E405" s="101">
        <v>0</v>
      </c>
      <c r="F405" s="40"/>
      <c r="G405" s="40"/>
      <c r="H405" s="77" t="s">
        <v>221</v>
      </c>
      <c r="I405" s="111"/>
      <c r="J405" s="111"/>
      <c r="K405" s="111"/>
      <c r="L405" s="111"/>
      <c r="M405" s="111"/>
      <c r="N405" s="111"/>
      <c r="P405" s="102"/>
    </row>
    <row r="406" spans="4:16" s="44" customFormat="1" hidden="1" outlineLevel="1" x14ac:dyDescent="0.25">
      <c r="D406" s="95">
        <f t="shared" si="126"/>
        <v>19</v>
      </c>
      <c r="E406" s="101">
        <v>0</v>
      </c>
      <c r="F406" s="40"/>
      <c r="G406" s="40"/>
      <c r="H406" s="77" t="s">
        <v>221</v>
      </c>
      <c r="I406" s="111"/>
      <c r="J406" s="111"/>
      <c r="K406" s="111"/>
      <c r="L406" s="111"/>
      <c r="M406" s="111"/>
      <c r="N406" s="111"/>
      <c r="P406" s="102"/>
    </row>
    <row r="407" spans="4:16" s="44" customFormat="1" hidden="1" outlineLevel="1" x14ac:dyDescent="0.25">
      <c r="D407" s="95">
        <f t="shared" si="126"/>
        <v>20</v>
      </c>
      <c r="E407" s="101">
        <v>0</v>
      </c>
      <c r="F407" s="40"/>
      <c r="G407" s="40"/>
      <c r="H407" s="77" t="s">
        <v>221</v>
      </c>
      <c r="I407" s="111"/>
      <c r="J407" s="111"/>
      <c r="K407" s="111"/>
      <c r="L407" s="111"/>
      <c r="M407" s="111"/>
      <c r="N407" s="111"/>
      <c r="P407" s="102"/>
    </row>
    <row r="408" spans="4:16" s="44" customFormat="1" hidden="1" outlineLevel="1" x14ac:dyDescent="0.25">
      <c r="D408" s="95">
        <f t="shared" si="126"/>
        <v>21</v>
      </c>
      <c r="E408" s="101">
        <v>0</v>
      </c>
      <c r="F408" s="40"/>
      <c r="G408" s="40"/>
      <c r="H408" s="77" t="s">
        <v>221</v>
      </c>
      <c r="I408" s="111"/>
      <c r="J408" s="111"/>
      <c r="K408" s="111"/>
      <c r="L408" s="111"/>
      <c r="M408" s="111"/>
      <c r="N408" s="111"/>
      <c r="P408" s="102"/>
    </row>
    <row r="409" spans="4:16" s="44" customFormat="1" hidden="1" outlineLevel="1" x14ac:dyDescent="0.25">
      <c r="D409" s="95">
        <f t="shared" si="126"/>
        <v>22</v>
      </c>
      <c r="E409" s="101">
        <v>0</v>
      </c>
      <c r="F409" s="40"/>
      <c r="G409" s="40"/>
      <c r="H409" s="77" t="s">
        <v>221</v>
      </c>
      <c r="I409" s="111"/>
      <c r="J409" s="111"/>
      <c r="K409" s="111"/>
      <c r="L409" s="111"/>
      <c r="M409" s="111"/>
      <c r="N409" s="111"/>
      <c r="P409" s="102"/>
    </row>
    <row r="410" spans="4:16" s="44" customFormat="1" hidden="1" outlineLevel="1" x14ac:dyDescent="0.25">
      <c r="D410" s="95">
        <f t="shared" si="126"/>
        <v>23</v>
      </c>
      <c r="E410" s="101">
        <v>0</v>
      </c>
      <c r="F410" s="40"/>
      <c r="G410" s="40"/>
      <c r="H410" s="77" t="s">
        <v>221</v>
      </c>
      <c r="I410" s="111"/>
      <c r="J410" s="111"/>
      <c r="K410" s="111"/>
      <c r="L410" s="111"/>
      <c r="M410" s="111"/>
      <c r="N410" s="111"/>
      <c r="P410" s="102"/>
    </row>
    <row r="411" spans="4:16" s="44" customFormat="1" hidden="1" outlineLevel="1" x14ac:dyDescent="0.25">
      <c r="D411" s="95">
        <f t="shared" si="126"/>
        <v>24</v>
      </c>
      <c r="E411" s="101">
        <v>0</v>
      </c>
      <c r="F411" s="40"/>
      <c r="G411" s="40"/>
      <c r="H411" s="77" t="s">
        <v>221</v>
      </c>
      <c r="I411" s="111"/>
      <c r="J411" s="111"/>
      <c r="K411" s="111"/>
      <c r="L411" s="111"/>
      <c r="M411" s="111"/>
      <c r="N411" s="111"/>
      <c r="P411" s="102"/>
    </row>
    <row r="412" spans="4:16" s="44" customFormat="1" hidden="1" outlineLevel="1" x14ac:dyDescent="0.25">
      <c r="D412" s="95">
        <f t="shared" si="126"/>
        <v>25</v>
      </c>
      <c r="E412" s="101">
        <v>0</v>
      </c>
      <c r="F412" s="40"/>
      <c r="G412" s="40"/>
      <c r="H412" s="77" t="s">
        <v>221</v>
      </c>
      <c r="I412" s="111"/>
      <c r="J412" s="111"/>
      <c r="K412" s="111"/>
      <c r="L412" s="111"/>
      <c r="M412" s="111"/>
      <c r="N412" s="111"/>
      <c r="P412" s="102"/>
    </row>
    <row r="413" spans="4:16" s="44" customFormat="1" hidden="1" outlineLevel="1" x14ac:dyDescent="0.25">
      <c r="D413" s="95">
        <f t="shared" si="126"/>
        <v>26</v>
      </c>
      <c r="E413" s="101">
        <v>0</v>
      </c>
      <c r="F413" s="40"/>
      <c r="G413" s="40"/>
      <c r="H413" s="77" t="s">
        <v>221</v>
      </c>
      <c r="I413" s="111"/>
      <c r="J413" s="111"/>
      <c r="K413" s="111"/>
      <c r="L413" s="111"/>
      <c r="M413" s="111"/>
      <c r="N413" s="111"/>
      <c r="P413" s="102"/>
    </row>
    <row r="414" spans="4:16" s="44" customFormat="1" hidden="1" outlineLevel="1" x14ac:dyDescent="0.25">
      <c r="D414" s="95">
        <f t="shared" si="126"/>
        <v>27</v>
      </c>
      <c r="E414" s="101">
        <v>0</v>
      </c>
      <c r="F414" s="40"/>
      <c r="G414" s="40"/>
      <c r="H414" s="77" t="s">
        <v>221</v>
      </c>
      <c r="I414" s="111"/>
      <c r="J414" s="111"/>
      <c r="K414" s="111"/>
      <c r="L414" s="111"/>
      <c r="M414" s="111"/>
      <c r="N414" s="111"/>
      <c r="P414" s="102"/>
    </row>
    <row r="415" spans="4:16" s="44" customFormat="1" hidden="1" outlineLevel="1" x14ac:dyDescent="0.25">
      <c r="D415" s="95">
        <f t="shared" si="126"/>
        <v>28</v>
      </c>
      <c r="E415" s="101">
        <v>0</v>
      </c>
      <c r="F415" s="40"/>
      <c r="G415" s="40"/>
      <c r="H415" s="77" t="s">
        <v>221</v>
      </c>
      <c r="I415" s="111"/>
      <c r="J415" s="111"/>
      <c r="K415" s="111"/>
      <c r="L415" s="111"/>
      <c r="M415" s="111"/>
      <c r="N415" s="111"/>
      <c r="P415" s="102"/>
    </row>
    <row r="416" spans="4:16" s="44" customFormat="1" hidden="1" outlineLevel="1" x14ac:dyDescent="0.25">
      <c r="D416" s="95">
        <f t="shared" si="126"/>
        <v>29</v>
      </c>
      <c r="E416" s="101">
        <v>0</v>
      </c>
      <c r="F416" s="40"/>
      <c r="G416" s="40"/>
      <c r="H416" s="77" t="s">
        <v>221</v>
      </c>
      <c r="I416" s="111"/>
      <c r="J416" s="111"/>
      <c r="K416" s="111"/>
      <c r="L416" s="111"/>
      <c r="M416" s="111"/>
      <c r="N416" s="111"/>
      <c r="P416" s="102"/>
    </row>
    <row r="417" spans="4:16" s="44" customFormat="1" hidden="1" outlineLevel="1" x14ac:dyDescent="0.25">
      <c r="D417" s="95">
        <f t="shared" si="126"/>
        <v>30</v>
      </c>
      <c r="E417" s="101">
        <v>0</v>
      </c>
      <c r="F417" s="40"/>
      <c r="G417" s="40"/>
      <c r="H417" s="77" t="s">
        <v>221</v>
      </c>
      <c r="I417" s="111"/>
      <c r="J417" s="111"/>
      <c r="K417" s="111"/>
      <c r="L417" s="111"/>
      <c r="M417" s="111"/>
      <c r="N417" s="111"/>
      <c r="P417" s="102"/>
    </row>
    <row r="418" spans="4:16" s="44" customFormat="1" hidden="1" outlineLevel="1" x14ac:dyDescent="0.25">
      <c r="D418" s="95">
        <f t="shared" si="126"/>
        <v>31</v>
      </c>
      <c r="E418" s="101">
        <v>0</v>
      </c>
      <c r="F418" s="40"/>
      <c r="G418" s="40"/>
      <c r="H418" s="77" t="s">
        <v>221</v>
      </c>
      <c r="I418" s="111"/>
      <c r="J418" s="111"/>
      <c r="K418" s="111"/>
      <c r="L418" s="111"/>
      <c r="M418" s="111"/>
      <c r="N418" s="111"/>
      <c r="P418" s="102"/>
    </row>
    <row r="419" spans="4:16" s="44" customFormat="1" hidden="1" outlineLevel="1" x14ac:dyDescent="0.25">
      <c r="D419" s="95">
        <f t="shared" si="126"/>
        <v>32</v>
      </c>
      <c r="E419" s="101">
        <v>0</v>
      </c>
      <c r="F419" s="40"/>
      <c r="G419" s="40"/>
      <c r="H419" s="77" t="s">
        <v>221</v>
      </c>
      <c r="I419" s="111"/>
      <c r="J419" s="111"/>
      <c r="K419" s="111"/>
      <c r="L419" s="111"/>
      <c r="M419" s="111"/>
      <c r="N419" s="111"/>
      <c r="P419" s="102"/>
    </row>
    <row r="420" spans="4:16" s="44" customFormat="1" hidden="1" outlineLevel="1" x14ac:dyDescent="0.25">
      <c r="D420" s="95">
        <f t="shared" si="126"/>
        <v>33</v>
      </c>
      <c r="E420" s="101">
        <v>0</v>
      </c>
      <c r="F420" s="40"/>
      <c r="G420" s="40"/>
      <c r="H420" s="77" t="s">
        <v>221</v>
      </c>
      <c r="I420" s="111"/>
      <c r="J420" s="111"/>
      <c r="K420" s="111"/>
      <c r="L420" s="111"/>
      <c r="M420" s="111"/>
      <c r="N420" s="111"/>
      <c r="P420" s="102"/>
    </row>
    <row r="421" spans="4:16" s="44" customFormat="1" hidden="1" outlineLevel="1" x14ac:dyDescent="0.25">
      <c r="D421" s="95">
        <f t="shared" si="126"/>
        <v>34</v>
      </c>
      <c r="E421" s="101">
        <v>0</v>
      </c>
      <c r="F421" s="40"/>
      <c r="G421" s="40"/>
      <c r="H421" s="77" t="s">
        <v>221</v>
      </c>
      <c r="I421" s="111"/>
      <c r="J421" s="111"/>
      <c r="K421" s="111"/>
      <c r="L421" s="111"/>
      <c r="M421" s="111"/>
      <c r="N421" s="111"/>
      <c r="P421" s="102"/>
    </row>
    <row r="422" spans="4:16" s="44" customFormat="1" hidden="1" outlineLevel="1" x14ac:dyDescent="0.25">
      <c r="D422" s="95">
        <f t="shared" si="126"/>
        <v>35</v>
      </c>
      <c r="E422" s="101">
        <v>0</v>
      </c>
      <c r="F422" s="40"/>
      <c r="G422" s="40"/>
      <c r="H422" s="77" t="s">
        <v>221</v>
      </c>
      <c r="I422" s="111"/>
      <c r="J422" s="111"/>
      <c r="K422" s="111"/>
      <c r="L422" s="111"/>
      <c r="M422" s="111"/>
      <c r="N422" s="111"/>
      <c r="P422" s="102"/>
    </row>
    <row r="423" spans="4:16" s="44" customFormat="1" hidden="1" outlineLevel="1" x14ac:dyDescent="0.25">
      <c r="D423" s="95">
        <f t="shared" si="126"/>
        <v>36</v>
      </c>
      <c r="E423" s="101">
        <v>0</v>
      </c>
      <c r="F423" s="40"/>
      <c r="G423" s="40"/>
      <c r="H423" s="77" t="s">
        <v>221</v>
      </c>
      <c r="I423" s="111"/>
      <c r="J423" s="111"/>
      <c r="K423" s="111"/>
      <c r="L423" s="111"/>
      <c r="M423" s="111"/>
      <c r="N423" s="111"/>
      <c r="P423" s="102"/>
    </row>
    <row r="424" spans="4:16" s="44" customFormat="1" hidden="1" outlineLevel="1" x14ac:dyDescent="0.25">
      <c r="D424" s="95">
        <f t="shared" si="126"/>
        <v>37</v>
      </c>
      <c r="E424" s="101">
        <v>0</v>
      </c>
      <c r="F424" s="40"/>
      <c r="G424" s="40"/>
      <c r="H424" s="77" t="s">
        <v>221</v>
      </c>
      <c r="I424" s="111"/>
      <c r="J424" s="111"/>
      <c r="K424" s="111"/>
      <c r="L424" s="111"/>
      <c r="M424" s="111"/>
      <c r="N424" s="111"/>
      <c r="P424" s="102"/>
    </row>
    <row r="425" spans="4:16" s="44" customFormat="1" hidden="1" outlineLevel="1" x14ac:dyDescent="0.25">
      <c r="D425" s="95">
        <f t="shared" si="126"/>
        <v>38</v>
      </c>
      <c r="E425" s="101">
        <v>0</v>
      </c>
      <c r="F425" s="40"/>
      <c r="G425" s="40"/>
      <c r="H425" s="77" t="s">
        <v>221</v>
      </c>
      <c r="I425" s="111"/>
      <c r="J425" s="111"/>
      <c r="K425" s="111"/>
      <c r="L425" s="111"/>
      <c r="M425" s="111"/>
      <c r="N425" s="111"/>
      <c r="P425" s="102"/>
    </row>
    <row r="426" spans="4:16" s="44" customFormat="1" hidden="1" outlineLevel="1" x14ac:dyDescent="0.25">
      <c r="D426" s="95">
        <f t="shared" si="126"/>
        <v>39</v>
      </c>
      <c r="E426" s="101">
        <v>0</v>
      </c>
      <c r="F426" s="40"/>
      <c r="G426" s="40"/>
      <c r="H426" s="77" t="s">
        <v>221</v>
      </c>
      <c r="I426" s="111"/>
      <c r="J426" s="111"/>
      <c r="K426" s="111"/>
      <c r="L426" s="111"/>
      <c r="M426" s="111"/>
      <c r="N426" s="111"/>
      <c r="P426" s="102"/>
    </row>
    <row r="427" spans="4:16" s="44" customFormat="1" hidden="1" outlineLevel="1" x14ac:dyDescent="0.25">
      <c r="D427" s="95">
        <f t="shared" si="126"/>
        <v>40</v>
      </c>
      <c r="E427" s="101">
        <v>0</v>
      </c>
      <c r="F427" s="40"/>
      <c r="G427" s="40"/>
      <c r="H427" s="77" t="s">
        <v>221</v>
      </c>
      <c r="I427" s="111"/>
      <c r="J427" s="111"/>
      <c r="K427" s="111"/>
      <c r="L427" s="111"/>
      <c r="M427" s="111"/>
      <c r="N427" s="111"/>
      <c r="P427" s="102"/>
    </row>
    <row r="428" spans="4:16" s="44" customFormat="1" hidden="1" outlineLevel="1" x14ac:dyDescent="0.25">
      <c r="D428" s="95">
        <f t="shared" si="126"/>
        <v>41</v>
      </c>
      <c r="E428" s="101">
        <v>0</v>
      </c>
      <c r="F428" s="40"/>
      <c r="G428" s="40"/>
      <c r="H428" s="77" t="s">
        <v>221</v>
      </c>
      <c r="I428" s="111"/>
      <c r="J428" s="111"/>
      <c r="K428" s="111"/>
      <c r="L428" s="111"/>
      <c r="M428" s="111"/>
      <c r="N428" s="111"/>
      <c r="P428" s="102"/>
    </row>
    <row r="429" spans="4:16" s="44" customFormat="1" hidden="1" outlineLevel="1" x14ac:dyDescent="0.25">
      <c r="D429" s="95">
        <f t="shared" si="126"/>
        <v>42</v>
      </c>
      <c r="E429" s="101">
        <v>0</v>
      </c>
      <c r="F429" s="40"/>
      <c r="G429" s="40"/>
      <c r="H429" s="77" t="s">
        <v>221</v>
      </c>
      <c r="I429" s="111"/>
      <c r="J429" s="111"/>
      <c r="K429" s="111"/>
      <c r="L429" s="111"/>
      <c r="M429" s="111"/>
      <c r="N429" s="111"/>
      <c r="P429" s="102"/>
    </row>
    <row r="430" spans="4:16" s="44" customFormat="1" hidden="1" outlineLevel="1" x14ac:dyDescent="0.25">
      <c r="D430" s="95">
        <f t="shared" si="126"/>
        <v>43</v>
      </c>
      <c r="E430" s="101">
        <v>0</v>
      </c>
      <c r="F430" s="40"/>
      <c r="G430" s="40"/>
      <c r="H430" s="77" t="s">
        <v>221</v>
      </c>
      <c r="I430" s="111"/>
      <c r="J430" s="111"/>
      <c r="K430" s="111"/>
      <c r="L430" s="111"/>
      <c r="M430" s="111"/>
      <c r="N430" s="111"/>
      <c r="P430" s="102"/>
    </row>
    <row r="431" spans="4:16" s="44" customFormat="1" hidden="1" outlineLevel="1" x14ac:dyDescent="0.25">
      <c r="D431" s="95">
        <f t="shared" si="126"/>
        <v>44</v>
      </c>
      <c r="E431" s="101">
        <v>0</v>
      </c>
      <c r="F431" s="40"/>
      <c r="G431" s="40"/>
      <c r="H431" s="77" t="s">
        <v>221</v>
      </c>
      <c r="I431" s="111"/>
      <c r="J431" s="111"/>
      <c r="K431" s="111"/>
      <c r="L431" s="111"/>
      <c r="M431" s="111"/>
      <c r="N431" s="111"/>
      <c r="P431" s="102"/>
    </row>
    <row r="432" spans="4:16" s="44" customFormat="1" hidden="1" outlineLevel="1" x14ac:dyDescent="0.25">
      <c r="D432" s="95">
        <f t="shared" si="126"/>
        <v>45</v>
      </c>
      <c r="E432" s="101">
        <v>0</v>
      </c>
      <c r="F432" s="40"/>
      <c r="G432" s="40"/>
      <c r="H432" s="77" t="s">
        <v>221</v>
      </c>
      <c r="I432" s="111"/>
      <c r="J432" s="111"/>
      <c r="K432" s="111"/>
      <c r="L432" s="111"/>
      <c r="M432" s="111"/>
      <c r="N432" s="111"/>
      <c r="P432" s="102"/>
    </row>
    <row r="433" spans="3:18" s="44" customFormat="1" hidden="1" outlineLevel="1" x14ac:dyDescent="0.25">
      <c r="D433" s="95">
        <f t="shared" si="126"/>
        <v>46</v>
      </c>
      <c r="E433" s="101">
        <v>0</v>
      </c>
      <c r="F433" s="40"/>
      <c r="G433" s="40"/>
      <c r="H433" s="77" t="s">
        <v>221</v>
      </c>
      <c r="I433" s="111"/>
      <c r="J433" s="111"/>
      <c r="K433" s="111"/>
      <c r="L433" s="111"/>
      <c r="M433" s="111"/>
      <c r="N433" s="111"/>
      <c r="P433" s="102"/>
    </row>
    <row r="434" spans="3:18" s="44" customFormat="1" hidden="1" outlineLevel="1" x14ac:dyDescent="0.25">
      <c r="D434" s="95">
        <f t="shared" si="126"/>
        <v>47</v>
      </c>
      <c r="E434" s="101">
        <v>0</v>
      </c>
      <c r="F434" s="40"/>
      <c r="G434" s="40"/>
      <c r="H434" s="77" t="s">
        <v>221</v>
      </c>
      <c r="I434" s="111"/>
      <c r="J434" s="111"/>
      <c r="K434" s="111"/>
      <c r="L434" s="111"/>
      <c r="M434" s="111"/>
      <c r="N434" s="111"/>
      <c r="P434" s="102"/>
    </row>
    <row r="435" spans="3:18" s="44" customFormat="1" hidden="1" outlineLevel="1" x14ac:dyDescent="0.25">
      <c r="D435" s="95">
        <f t="shared" si="126"/>
        <v>48</v>
      </c>
      <c r="E435" s="101">
        <v>0</v>
      </c>
      <c r="F435" s="40"/>
      <c r="G435" s="40"/>
      <c r="H435" s="77" t="s">
        <v>221</v>
      </c>
      <c r="I435" s="111"/>
      <c r="J435" s="111"/>
      <c r="K435" s="111"/>
      <c r="L435" s="111"/>
      <c r="M435" s="111"/>
      <c r="N435" s="111"/>
      <c r="P435" s="102"/>
    </row>
    <row r="436" spans="3:18" s="44" customFormat="1" hidden="1" outlineLevel="1" x14ac:dyDescent="0.25">
      <c r="D436" s="95">
        <f t="shared" si="126"/>
        <v>49</v>
      </c>
      <c r="E436" s="101">
        <v>0</v>
      </c>
      <c r="F436" s="40"/>
      <c r="G436" s="40"/>
      <c r="H436" s="77" t="s">
        <v>221</v>
      </c>
      <c r="I436" s="111"/>
      <c r="J436" s="111"/>
      <c r="K436" s="111"/>
      <c r="L436" s="111"/>
      <c r="M436" s="111"/>
      <c r="N436" s="111"/>
      <c r="P436" s="102"/>
    </row>
    <row r="437" spans="3:18" s="44" customFormat="1" ht="12" hidden="1" outlineLevel="1" thickBot="1" x14ac:dyDescent="0.3">
      <c r="D437" s="95">
        <f t="shared" si="126"/>
        <v>50</v>
      </c>
      <c r="E437" s="101">
        <v>0</v>
      </c>
      <c r="F437" s="40"/>
      <c r="G437" s="40"/>
      <c r="H437" s="77" t="s">
        <v>221</v>
      </c>
      <c r="I437" s="111"/>
      <c r="J437" s="111"/>
      <c r="K437" s="111"/>
      <c r="L437" s="111"/>
      <c r="M437" s="111"/>
      <c r="N437" s="111"/>
      <c r="P437" s="102"/>
    </row>
    <row r="438" spans="3:18" s="44" customFormat="1" collapsed="1" x14ac:dyDescent="0.25">
      <c r="C438" s="102"/>
      <c r="D438" s="102"/>
      <c r="E438" s="109"/>
      <c r="F438" s="41"/>
      <c r="G438" s="41"/>
      <c r="H438" s="41"/>
      <c r="I438" s="41"/>
      <c r="J438" s="41"/>
      <c r="K438" s="41"/>
      <c r="L438" s="41"/>
      <c r="M438" s="41"/>
      <c r="N438" s="270"/>
      <c r="O438" s="41"/>
      <c r="P438" s="41"/>
    </row>
    <row r="439" spans="3:18" s="44" customFormat="1" x14ac:dyDescent="0.25">
      <c r="C439" s="102"/>
      <c r="D439" s="102"/>
    </row>
    <row r="440" spans="3:18" s="44" customFormat="1" x14ac:dyDescent="0.25">
      <c r="C440" s="102" t="s">
        <v>223</v>
      </c>
      <c r="D440" s="102"/>
    </row>
    <row r="441" spans="3:18" s="44" customFormat="1" x14ac:dyDescent="0.25">
      <c r="C441" s="102"/>
      <c r="D441" s="102"/>
    </row>
    <row r="442" spans="3:18" s="44" customFormat="1" x14ac:dyDescent="0.25">
      <c r="E442" s="1" t="s">
        <v>180</v>
      </c>
      <c r="F442" s="1" t="s">
        <v>182</v>
      </c>
      <c r="G442" s="1" t="s">
        <v>181</v>
      </c>
      <c r="H442" s="1" t="s">
        <v>167</v>
      </c>
      <c r="I442" s="1">
        <f t="array" ref="I442:N442">TRANSPOSE(Years)</f>
        <v>2017</v>
      </c>
      <c r="J442" s="1">
        <v>2018</v>
      </c>
      <c r="K442" s="1">
        <v>2019</v>
      </c>
      <c r="L442" s="1">
        <v>2020</v>
      </c>
      <c r="M442" s="1">
        <v>2021</v>
      </c>
      <c r="N442" s="1">
        <v>2022</v>
      </c>
      <c r="O442" s="1"/>
      <c r="P442" s="1" t="s">
        <v>170</v>
      </c>
    </row>
    <row r="443" spans="3:18" s="44" customFormat="1" x14ac:dyDescent="0.25">
      <c r="I443" s="108">
        <f t="shared" ref="I443:N443" si="127">SUM(I444:I524)</f>
        <v>0</v>
      </c>
      <c r="J443" s="108">
        <f t="shared" si="127"/>
        <v>0</v>
      </c>
      <c r="K443" s="108">
        <f t="shared" si="127"/>
        <v>0</v>
      </c>
      <c r="L443" s="108">
        <f t="shared" si="127"/>
        <v>0</v>
      </c>
      <c r="M443" s="108">
        <f t="shared" si="127"/>
        <v>0.99999999999999944</v>
      </c>
      <c r="N443" s="108">
        <f t="shared" si="127"/>
        <v>1.0000000000000004</v>
      </c>
    </row>
    <row r="444" spans="3:18" s="44" customFormat="1" ht="12" x14ac:dyDescent="0.25">
      <c r="C444" s="579" t="str">
        <f>E444&amp;F444</f>
        <v>Paquete 249Residencial</v>
      </c>
      <c r="D444" s="96">
        <v>1</v>
      </c>
      <c r="E444" s="101" t="str">
        <f t="array" ref="E444:E511">vector.telephony.plans.names</f>
        <v>Paquete 249</v>
      </c>
      <c r="F444" s="101" t="str">
        <f t="shared" ref="F444:F505" si="128">VLOOKUP(E444,$E$149:$G$272,2,)</f>
        <v>Residencial</v>
      </c>
      <c r="G444" s="101" t="str">
        <f t="shared" ref="G444:G505" si="129">VLOOKUP(E444,$E$149:$G$272,3,)</f>
        <v>Telefonía fija + Internet fijo</v>
      </c>
      <c r="H444" s="77" t="s">
        <v>172</v>
      </c>
      <c r="I444" s="114"/>
      <c r="J444" s="114"/>
      <c r="K444" s="114"/>
      <c r="L444" s="114"/>
      <c r="M444" s="106">
        <f>IFERROR(M531/M$530,"0")</f>
        <v>1.457608709884429E-2</v>
      </c>
      <c r="N444" s="106">
        <f>IFERROR(N531/N$530,"0")</f>
        <v>1.2941236336409008E-2</v>
      </c>
      <c r="P444" s="102" t="s">
        <v>189</v>
      </c>
      <c r="R444" s="102" t="s">
        <v>189</v>
      </c>
    </row>
    <row r="445" spans="3:18" s="44" customFormat="1" ht="12" x14ac:dyDescent="0.25">
      <c r="C445" s="579" t="str">
        <f t="shared" ref="C445:C507" si="130">E445&amp;F445</f>
        <v>Paquete 289Residencial</v>
      </c>
      <c r="D445" s="95">
        <f>1+D444</f>
        <v>2</v>
      </c>
      <c r="E445" s="101" t="str">
        <v>Paquete 289</v>
      </c>
      <c r="F445" s="101" t="str">
        <f t="shared" si="128"/>
        <v>Residencial</v>
      </c>
      <c r="G445" s="101" t="str">
        <f t="shared" si="129"/>
        <v>Telefonía fija + Internet fijo</v>
      </c>
      <c r="H445" s="77" t="s">
        <v>172</v>
      </c>
      <c r="I445" s="114"/>
      <c r="J445" s="114"/>
      <c r="K445" s="114"/>
      <c r="L445" s="114"/>
      <c r="M445" s="106">
        <f t="shared" ref="M445:N505" si="131">IFERROR(M532/M$530,"0")</f>
        <v>7.8938833734685798E-3</v>
      </c>
      <c r="N445" s="106">
        <f t="shared" si="131"/>
        <v>4.62519140811381E-3</v>
      </c>
      <c r="P445" s="102" t="s">
        <v>189</v>
      </c>
      <c r="R445" s="102" t="s">
        <v>189</v>
      </c>
    </row>
    <row r="446" spans="3:18" ht="12" x14ac:dyDescent="0.25">
      <c r="C446" s="579" t="str">
        <f t="shared" si="130"/>
        <v>Paquete 435Residencial</v>
      </c>
      <c r="D446" s="95">
        <f t="shared" ref="D446:D510" si="132">1+D445</f>
        <v>3</v>
      </c>
      <c r="E446" s="101" t="str">
        <v>Paquete 435</v>
      </c>
      <c r="F446" s="101" t="str">
        <f t="shared" si="128"/>
        <v>Residencial</v>
      </c>
      <c r="G446" s="101" t="str">
        <f t="shared" si="129"/>
        <v>Telefonía fija + Internet fijo</v>
      </c>
      <c r="H446" s="77" t="s">
        <v>172</v>
      </c>
      <c r="I446" s="114"/>
      <c r="J446" s="114"/>
      <c r="K446" s="114"/>
      <c r="L446" s="114"/>
      <c r="M446" s="106">
        <f t="shared" si="131"/>
        <v>2.7976504495661927E-2</v>
      </c>
      <c r="N446" s="106">
        <f t="shared" si="131"/>
        <v>2.2407178410791283E-2</v>
      </c>
      <c r="O446" s="44"/>
      <c r="P446" s="102" t="s">
        <v>189</v>
      </c>
      <c r="R446" s="102" t="s">
        <v>189</v>
      </c>
    </row>
    <row r="447" spans="3:18" ht="12" x14ac:dyDescent="0.25">
      <c r="C447" s="579" t="str">
        <f t="shared" si="130"/>
        <v>Paquete 499Residencial</v>
      </c>
      <c r="D447" s="95">
        <f t="shared" si="132"/>
        <v>4</v>
      </c>
      <c r="E447" s="101" t="str">
        <v>Paquete 499</v>
      </c>
      <c r="F447" s="101" t="str">
        <f t="shared" si="128"/>
        <v>Residencial</v>
      </c>
      <c r="G447" s="101" t="str">
        <f t="shared" si="129"/>
        <v>Telefonía fija + Internet fijo</v>
      </c>
      <c r="H447" s="77" t="s">
        <v>172</v>
      </c>
      <c r="I447" s="114"/>
      <c r="J447" s="114"/>
      <c r="K447" s="114"/>
      <c r="L447" s="114"/>
      <c r="M447" s="106">
        <f t="shared" si="131"/>
        <v>1.3459621522118652E-2</v>
      </c>
      <c r="N447" s="106">
        <f t="shared" si="131"/>
        <v>1.7522324815842899E-2</v>
      </c>
      <c r="O447" s="44"/>
      <c r="P447" s="102" t="s">
        <v>189</v>
      </c>
      <c r="R447" s="102" t="s">
        <v>189</v>
      </c>
    </row>
    <row r="448" spans="3:18" ht="12" x14ac:dyDescent="0.25">
      <c r="C448" s="579" t="str">
        <f t="shared" si="130"/>
        <v>Paquete 599Residencial</v>
      </c>
      <c r="D448" s="95">
        <f t="shared" si="132"/>
        <v>5</v>
      </c>
      <c r="E448" s="101" t="str">
        <v>Paquete 599</v>
      </c>
      <c r="F448" s="101" t="str">
        <f t="shared" si="128"/>
        <v>Residencial</v>
      </c>
      <c r="G448" s="101" t="str">
        <f t="shared" si="129"/>
        <v>Telefonía fija + Internet fijo</v>
      </c>
      <c r="H448" s="77" t="s">
        <v>172</v>
      </c>
      <c r="I448" s="114"/>
      <c r="J448" s="114"/>
      <c r="K448" s="114"/>
      <c r="L448" s="114"/>
      <c r="M448" s="106">
        <f t="shared" si="131"/>
        <v>4.4191358637864837E-2</v>
      </c>
      <c r="N448" s="106">
        <f t="shared" si="131"/>
        <v>3.2049201840876902E-2</v>
      </c>
      <c r="O448" s="44"/>
      <c r="P448" s="102" t="s">
        <v>189</v>
      </c>
      <c r="R448" s="102" t="s">
        <v>189</v>
      </c>
    </row>
    <row r="449" spans="3:18" ht="12" x14ac:dyDescent="0.25">
      <c r="C449" s="579" t="str">
        <f t="shared" si="130"/>
        <v>Paquete 389Residencial</v>
      </c>
      <c r="D449" s="95">
        <f t="shared" si="132"/>
        <v>6</v>
      </c>
      <c r="E449" s="101" t="str">
        <v>Paquete 389</v>
      </c>
      <c r="F449" s="101" t="str">
        <f t="shared" si="128"/>
        <v>Residencial</v>
      </c>
      <c r="G449" s="101" t="str">
        <f t="shared" si="129"/>
        <v>Telefonía fija + Internet fijo</v>
      </c>
      <c r="H449" s="77" t="s">
        <v>172</v>
      </c>
      <c r="I449" s="114"/>
      <c r="J449" s="114"/>
      <c r="K449" s="114"/>
      <c r="L449" s="114"/>
      <c r="M449" s="106">
        <f t="shared" si="131"/>
        <v>0.48656481876005325</v>
      </c>
      <c r="N449" s="106">
        <f t="shared" si="131"/>
        <v>0.45467476596864953</v>
      </c>
      <c r="O449" s="44"/>
      <c r="P449" s="102" t="s">
        <v>189</v>
      </c>
      <c r="R449" s="102" t="s">
        <v>189</v>
      </c>
    </row>
    <row r="450" spans="3:18" ht="12" x14ac:dyDescent="0.25">
      <c r="C450" s="579" t="str">
        <f t="shared" si="130"/>
        <v>Paquete Conectes NegocioNo Residencial</v>
      </c>
      <c r="D450" s="95">
        <f t="shared" si="132"/>
        <v>7</v>
      </c>
      <c r="E450" s="101" t="str">
        <v>Paquete Conectes Negocio</v>
      </c>
      <c r="F450" s="101" t="str">
        <f t="shared" si="128"/>
        <v>No Residencial</v>
      </c>
      <c r="G450" s="101" t="str">
        <f t="shared" si="129"/>
        <v>Telefonía fija + Internet fijo</v>
      </c>
      <c r="H450" s="77" t="s">
        <v>172</v>
      </c>
      <c r="I450" s="114"/>
      <c r="J450" s="114"/>
      <c r="K450" s="114"/>
      <c r="L450" s="114"/>
      <c r="M450" s="106">
        <f t="shared" si="131"/>
        <v>4.7420617382039155E-2</v>
      </c>
      <c r="N450" s="106">
        <f t="shared" si="131"/>
        <v>3.8146225256490369E-2</v>
      </c>
      <c r="O450" s="44"/>
      <c r="P450" s="102" t="s">
        <v>189</v>
      </c>
      <c r="R450" s="102" t="s">
        <v>189</v>
      </c>
    </row>
    <row r="451" spans="3:18" ht="12" x14ac:dyDescent="0.25">
      <c r="C451" s="579" t="str">
        <f t="shared" si="130"/>
        <v>Paquete 1499Residencial</v>
      </c>
      <c r="D451" s="95">
        <f t="shared" si="132"/>
        <v>8</v>
      </c>
      <c r="E451" s="101" t="str">
        <v>Paquete 1499</v>
      </c>
      <c r="F451" s="101" t="str">
        <f t="shared" si="128"/>
        <v>Residencial</v>
      </c>
      <c r="G451" s="101" t="str">
        <f t="shared" si="129"/>
        <v>Telefonía fija + Internet fijo</v>
      </c>
      <c r="H451" s="77" t="s">
        <v>172</v>
      </c>
      <c r="I451" s="114"/>
      <c r="J451" s="114"/>
      <c r="K451" s="114"/>
      <c r="L451" s="114"/>
      <c r="M451" s="106">
        <f t="shared" si="131"/>
        <v>8.8216505428603072E-4</v>
      </c>
      <c r="N451" s="106">
        <f t="shared" si="131"/>
        <v>1.1653414301004581E-3</v>
      </c>
      <c r="O451" s="44"/>
      <c r="P451" s="102" t="s">
        <v>189</v>
      </c>
      <c r="R451" s="102" t="s">
        <v>189</v>
      </c>
    </row>
    <row r="452" spans="3:18" ht="12" x14ac:dyDescent="0.25">
      <c r="C452" s="579" t="str">
        <f t="shared" si="130"/>
        <v>Paquete 333Residencial</v>
      </c>
      <c r="D452" s="95">
        <f t="shared" si="132"/>
        <v>9</v>
      </c>
      <c r="E452" s="101" t="str">
        <v>Paquete 333</v>
      </c>
      <c r="F452" s="101" t="str">
        <f t="shared" si="128"/>
        <v>Residencial</v>
      </c>
      <c r="G452" s="101" t="str">
        <f t="shared" si="129"/>
        <v>Telefonía fija + Internet fijo</v>
      </c>
      <c r="H452" s="77" t="s">
        <v>172</v>
      </c>
      <c r="I452" s="114"/>
      <c r="J452" s="114"/>
      <c r="K452" s="114"/>
      <c r="L452" s="114"/>
      <c r="M452" s="106">
        <f t="shared" si="131"/>
        <v>9.5521492522517067E-3</v>
      </c>
      <c r="N452" s="106">
        <f t="shared" si="131"/>
        <v>9.6433448661509338E-3</v>
      </c>
      <c r="O452" s="44"/>
      <c r="P452" s="102" t="s">
        <v>189</v>
      </c>
      <c r="R452" s="102" t="s">
        <v>189</v>
      </c>
    </row>
    <row r="453" spans="3:18" ht="12" x14ac:dyDescent="0.25">
      <c r="C453" s="579" t="str">
        <f t="shared" si="130"/>
        <v>Paquete Mi NegocioNo Residencial</v>
      </c>
      <c r="D453" s="95">
        <f t="shared" si="132"/>
        <v>10</v>
      </c>
      <c r="E453" s="101" t="str">
        <v>Paquete Mi Negocio</v>
      </c>
      <c r="F453" s="101" t="str">
        <f t="shared" si="128"/>
        <v>No Residencial</v>
      </c>
      <c r="G453" s="101" t="str">
        <f t="shared" si="129"/>
        <v>Telefonía fija + Internet fijo</v>
      </c>
      <c r="H453" s="77" t="s">
        <v>172</v>
      </c>
      <c r="I453" s="114"/>
      <c r="J453" s="114"/>
      <c r="K453" s="114"/>
      <c r="L453" s="114"/>
      <c r="M453" s="106">
        <f t="shared" si="131"/>
        <v>3.8966771484807199E-2</v>
      </c>
      <c r="N453" s="106">
        <f t="shared" si="131"/>
        <v>4.0537776765449909E-2</v>
      </c>
      <c r="O453" s="44"/>
      <c r="P453" s="102" t="s">
        <v>189</v>
      </c>
      <c r="R453" s="102" t="s">
        <v>189</v>
      </c>
    </row>
    <row r="454" spans="3:18" ht="12" x14ac:dyDescent="0.25">
      <c r="C454" s="579" t="str">
        <f t="shared" si="130"/>
        <v>Paquete SuperNegocioNo Residencial</v>
      </c>
      <c r="D454" s="95">
        <f t="shared" si="132"/>
        <v>11</v>
      </c>
      <c r="E454" s="101" t="str">
        <v>Paquete SuperNegocio</v>
      </c>
      <c r="F454" s="101" t="str">
        <f t="shared" si="128"/>
        <v>No Residencial</v>
      </c>
      <c r="G454" s="101" t="str">
        <f t="shared" si="129"/>
        <v>Telefonía fija + Internet fijo</v>
      </c>
      <c r="H454" s="77" t="s">
        <v>172</v>
      </c>
      <c r="I454" s="114"/>
      <c r="J454" s="114"/>
      <c r="K454" s="114"/>
      <c r="L454" s="114"/>
      <c r="M454" s="106">
        <f t="shared" si="131"/>
        <v>1.8635147089269478E-2</v>
      </c>
      <c r="N454" s="106">
        <f t="shared" si="131"/>
        <v>2.0306673195217579E-2</v>
      </c>
      <c r="O454" s="44"/>
      <c r="P454" s="102" t="s">
        <v>189</v>
      </c>
      <c r="R454" s="102" t="s">
        <v>189</v>
      </c>
    </row>
    <row r="455" spans="3:18" ht="12" x14ac:dyDescent="0.25">
      <c r="C455" s="579" t="str">
        <f t="shared" si="130"/>
        <v>Paquete Infinitum 500Residencial</v>
      </c>
      <c r="D455" s="95">
        <f t="shared" si="132"/>
        <v>12</v>
      </c>
      <c r="E455" s="101" t="str">
        <v>Paquete Infinitum 500</v>
      </c>
      <c r="F455" s="101" t="str">
        <f t="shared" si="128"/>
        <v>Residencial</v>
      </c>
      <c r="G455" s="101" t="str">
        <f t="shared" si="129"/>
        <v>Telefonía fija + Internet fijo</v>
      </c>
      <c r="H455" s="77" t="s">
        <v>172</v>
      </c>
      <c r="I455" s="114"/>
      <c r="J455" s="114"/>
      <c r="K455" s="114"/>
      <c r="L455" s="114"/>
      <c r="M455" s="106">
        <f t="shared" si="131"/>
        <v>3.8450445467739787E-3</v>
      </c>
      <c r="N455" s="106">
        <f t="shared" si="131"/>
        <v>3.3580168112299449E-3</v>
      </c>
      <c r="O455" s="44"/>
      <c r="P455" s="102" t="s">
        <v>189</v>
      </c>
      <c r="R455" s="102" t="s">
        <v>189</v>
      </c>
    </row>
    <row r="456" spans="3:18" ht="12" x14ac:dyDescent="0.25">
      <c r="C456" s="579" t="str">
        <f t="shared" si="130"/>
        <v>Paquete Telmex Negocio Sin Límites 1No Residencial</v>
      </c>
      <c r="D456" s="95">
        <f t="shared" si="132"/>
        <v>13</v>
      </c>
      <c r="E456" s="101" t="str">
        <v>Paquete Telmex Negocio Sin Límites 1</v>
      </c>
      <c r="F456" s="101" t="str">
        <f t="shared" si="128"/>
        <v>No Residencial</v>
      </c>
      <c r="G456" s="101" t="str">
        <f t="shared" si="129"/>
        <v>Telefonía fija + Internet fijo</v>
      </c>
      <c r="H456" s="77" t="s">
        <v>172</v>
      </c>
      <c r="I456" s="114"/>
      <c r="J456" s="114"/>
      <c r="K456" s="114"/>
      <c r="L456" s="114"/>
      <c r="M456" s="106">
        <f t="shared" si="131"/>
        <v>4.4076016736381987E-3</v>
      </c>
      <c r="N456" s="106">
        <f t="shared" si="131"/>
        <v>4.58728271099006E-3</v>
      </c>
      <c r="O456" s="44"/>
      <c r="P456" s="102" t="s">
        <v>189</v>
      </c>
      <c r="R456" s="102" t="s">
        <v>189</v>
      </c>
    </row>
    <row r="457" spans="3:18" ht="12" x14ac:dyDescent="0.25">
      <c r="C457" s="579" t="str">
        <f t="shared" si="130"/>
        <v>Paquete Telmex Negocio Sin Límites 2No Residencial</v>
      </c>
      <c r="D457" s="95">
        <f t="shared" si="132"/>
        <v>14</v>
      </c>
      <c r="E457" s="101" t="str">
        <v>Paquete Telmex Negocio Sin Límites 2</v>
      </c>
      <c r="F457" s="101" t="str">
        <f t="shared" si="128"/>
        <v>No Residencial</v>
      </c>
      <c r="G457" s="101" t="str">
        <f t="shared" si="129"/>
        <v>Telefonía fija + Internet fijo</v>
      </c>
      <c r="H457" s="77" t="s">
        <v>172</v>
      </c>
      <c r="I457" s="114"/>
      <c r="J457" s="114"/>
      <c r="K457" s="114"/>
      <c r="L457" s="114"/>
      <c r="M457" s="106">
        <f t="shared" si="131"/>
        <v>1.4649286356022569E-3</v>
      </c>
      <c r="N457" s="106">
        <f t="shared" si="131"/>
        <v>2.4270651032148945E-3</v>
      </c>
      <c r="O457" s="44"/>
      <c r="P457" s="102" t="s">
        <v>189</v>
      </c>
      <c r="R457" s="102" t="s">
        <v>189</v>
      </c>
    </row>
    <row r="458" spans="3:18" ht="12" x14ac:dyDescent="0.25">
      <c r="C458" s="579" t="str">
        <f t="shared" si="130"/>
        <v>Paquete Telmex Negocio Sin Límites 3No Residencial</v>
      </c>
      <c r="D458" s="95">
        <f t="shared" si="132"/>
        <v>15</v>
      </c>
      <c r="E458" s="101" t="str">
        <v>Paquete Telmex Negocio Sin Límites 3</v>
      </c>
      <c r="F458" s="101" t="str">
        <f t="shared" si="128"/>
        <v>No Residencial</v>
      </c>
      <c r="G458" s="101" t="str">
        <f t="shared" si="129"/>
        <v>Telefonía fija + Internet fijo</v>
      </c>
      <c r="H458" s="77" t="s">
        <v>172</v>
      </c>
      <c r="I458" s="114"/>
      <c r="J458" s="114"/>
      <c r="K458" s="114"/>
      <c r="L458" s="114"/>
      <c r="M458" s="106">
        <f t="shared" si="131"/>
        <v>1.4153166793407161E-3</v>
      </c>
      <c r="N458" s="106">
        <f t="shared" si="131"/>
        <v>1.7623001726069154E-3</v>
      </c>
      <c r="O458" s="44"/>
      <c r="P458" s="102" t="s">
        <v>189</v>
      </c>
      <c r="R458" s="102" t="s">
        <v>189</v>
      </c>
    </row>
    <row r="459" spans="3:18" ht="12" x14ac:dyDescent="0.25">
      <c r="C459" s="579" t="str">
        <f t="shared" si="130"/>
        <v>Paquete Infinitum Play 20 (Netflix 1 dispositivo)Residencial</v>
      </c>
      <c r="D459" s="95">
        <f t="shared" si="132"/>
        <v>16</v>
      </c>
      <c r="E459" s="101" t="str">
        <v>Paquete Infinitum Play 20 (Netflix 1 dispositivo)</v>
      </c>
      <c r="F459" s="101" t="str">
        <f t="shared" si="128"/>
        <v>Residencial</v>
      </c>
      <c r="G459" s="101" t="str">
        <f t="shared" si="129"/>
        <v>Telefonía fija + Internet fijo</v>
      </c>
      <c r="H459" s="77" t="s">
        <v>172</v>
      </c>
      <c r="I459" s="114"/>
      <c r="J459" s="114"/>
      <c r="K459" s="114"/>
      <c r="L459" s="114"/>
      <c r="M459" s="106">
        <f t="shared" si="131"/>
        <v>1.5500945167789616E-2</v>
      </c>
      <c r="N459" s="106">
        <f t="shared" si="131"/>
        <v>1.2766393827016897E-2</v>
      </c>
      <c r="O459" s="44"/>
      <c r="P459" s="102" t="s">
        <v>189</v>
      </c>
      <c r="R459" s="102" t="s">
        <v>189</v>
      </c>
    </row>
    <row r="460" spans="3:18" ht="12" x14ac:dyDescent="0.25">
      <c r="C460" s="579" t="str">
        <f t="shared" si="130"/>
        <v>Paquete Infinitum Play 20 (Netflix 2 dispositivos)Residencial</v>
      </c>
      <c r="D460" s="95">
        <f t="shared" si="132"/>
        <v>17</v>
      </c>
      <c r="E460" s="101" t="str">
        <v>Paquete Infinitum Play 20 (Netflix 2 dispositivos)</v>
      </c>
      <c r="F460" s="101" t="str">
        <f t="shared" si="128"/>
        <v>Residencial</v>
      </c>
      <c r="G460" s="101" t="str">
        <f t="shared" si="129"/>
        <v>Telefonía fija + Internet fijo</v>
      </c>
      <c r="H460" s="77" t="s">
        <v>172</v>
      </c>
      <c r="I460" s="114"/>
      <c r="J460" s="114"/>
      <c r="K460" s="114"/>
      <c r="L460" s="114"/>
      <c r="M460" s="106">
        <f t="shared" si="131"/>
        <v>1.8594576931692686E-2</v>
      </c>
      <c r="N460" s="106">
        <f t="shared" si="131"/>
        <v>9.7844081661234063E-3</v>
      </c>
      <c r="O460" s="44"/>
      <c r="P460" s="102" t="s">
        <v>189</v>
      </c>
      <c r="R460" s="102" t="s">
        <v>189</v>
      </c>
    </row>
    <row r="461" spans="3:18" ht="12" x14ac:dyDescent="0.25">
      <c r="C461" s="579" t="str">
        <f t="shared" si="130"/>
        <v>Paquete Infinitum Play 20 (Netflix 4 dispositivos)Residencial</v>
      </c>
      <c r="D461" s="95">
        <f t="shared" si="132"/>
        <v>18</v>
      </c>
      <c r="E461" s="101" t="str">
        <v>Paquete Infinitum Play 20 (Netflix 4 dispositivos)</v>
      </c>
      <c r="F461" s="101" t="str">
        <f t="shared" si="128"/>
        <v>Residencial</v>
      </c>
      <c r="G461" s="101" t="str">
        <f t="shared" si="129"/>
        <v>Telefonía fija + Internet fijo</v>
      </c>
      <c r="H461" s="263" t="s">
        <v>172</v>
      </c>
      <c r="I461" s="114"/>
      <c r="J461" s="114"/>
      <c r="K461" s="114"/>
      <c r="L461" s="114"/>
      <c r="M461" s="106">
        <f t="shared" si="131"/>
        <v>6.2356961190218442E-3</v>
      </c>
      <c r="N461" s="106">
        <f t="shared" si="131"/>
        <v>5.5849669403035635E-3</v>
      </c>
      <c r="O461" s="44"/>
      <c r="P461" s="102" t="s">
        <v>189</v>
      </c>
      <c r="R461" s="102" t="s">
        <v>189</v>
      </c>
    </row>
    <row r="462" spans="3:18" ht="12" x14ac:dyDescent="0.25">
      <c r="C462" s="579" t="str">
        <f t="shared" si="130"/>
        <v>Paquete Infinitum Play 30 (Netflix 2 dispositivos)Residencial</v>
      </c>
      <c r="D462" s="95">
        <f t="shared" si="132"/>
        <v>19</v>
      </c>
      <c r="E462" s="101" t="str">
        <v>Paquete Infinitum Play 30 (Netflix 2 dispositivos)</v>
      </c>
      <c r="F462" s="101" t="str">
        <f t="shared" si="128"/>
        <v>Residencial</v>
      </c>
      <c r="G462" s="101" t="str">
        <f t="shared" si="129"/>
        <v>Telefonía fija + Internet fijo</v>
      </c>
      <c r="H462" s="263" t="s">
        <v>172</v>
      </c>
      <c r="I462" s="114"/>
      <c r="J462" s="114"/>
      <c r="K462" s="114"/>
      <c r="L462" s="114"/>
      <c r="M462" s="106">
        <f t="shared" si="131"/>
        <v>3.3396473124646556E-3</v>
      </c>
      <c r="N462" s="106">
        <f t="shared" si="131"/>
        <v>3.1148725752118199E-3</v>
      </c>
      <c r="O462" s="44"/>
      <c r="P462" s="102" t="s">
        <v>189</v>
      </c>
      <c r="R462" s="102" t="s">
        <v>189</v>
      </c>
    </row>
    <row r="463" spans="3:18" ht="12" x14ac:dyDescent="0.25">
      <c r="C463" s="579" t="str">
        <f t="shared" si="130"/>
        <v>Paquete Infinitum Play 30 (Netflix 4 dispositivos)Residencial</v>
      </c>
      <c r="D463" s="95">
        <f t="shared" si="132"/>
        <v>20</v>
      </c>
      <c r="E463" s="101" t="str">
        <v>Paquete Infinitum Play 30 (Netflix 4 dispositivos)</v>
      </c>
      <c r="F463" s="101" t="str">
        <f t="shared" si="128"/>
        <v>Residencial</v>
      </c>
      <c r="G463" s="101" t="str">
        <f t="shared" si="129"/>
        <v>Telefonía fija + Internet fijo</v>
      </c>
      <c r="H463" s="263" t="s">
        <v>172</v>
      </c>
      <c r="I463" s="114"/>
      <c r="J463" s="114"/>
      <c r="K463" s="114"/>
      <c r="L463" s="114"/>
      <c r="M463" s="106">
        <f t="shared" si="131"/>
        <v>1.2542940384157794E-3</v>
      </c>
      <c r="N463" s="106">
        <f t="shared" si="131"/>
        <v>1.5131268845407862E-3</v>
      </c>
      <c r="O463" s="44"/>
      <c r="P463" s="102"/>
      <c r="R463" s="102" t="s">
        <v>189</v>
      </c>
    </row>
    <row r="464" spans="3:18" ht="12" x14ac:dyDescent="0.25">
      <c r="C464" s="579" t="str">
        <f t="shared" si="130"/>
        <v>Paquete Infinitum Play 40 (Netflix 2 dispositivos)Residencial</v>
      </c>
      <c r="D464" s="95">
        <f t="shared" si="132"/>
        <v>21</v>
      </c>
      <c r="E464" s="101" t="str">
        <v>Paquete Infinitum Play 40 (Netflix 2 dispositivos)</v>
      </c>
      <c r="F464" s="101" t="str">
        <f t="shared" si="128"/>
        <v>Residencial</v>
      </c>
      <c r="G464" s="101" t="str">
        <f t="shared" si="129"/>
        <v>Telefonía fija + Internet fijo</v>
      </c>
      <c r="H464" s="263" t="s">
        <v>172</v>
      </c>
      <c r="I464" s="114"/>
      <c r="J464" s="114"/>
      <c r="K464" s="114"/>
      <c r="L464" s="114"/>
      <c r="M464" s="106">
        <f t="shared" si="131"/>
        <v>1.2040530874631258E-3</v>
      </c>
      <c r="N464" s="106">
        <f t="shared" si="131"/>
        <v>7.621382506709446E-4</v>
      </c>
      <c r="O464" s="44"/>
      <c r="P464" s="102"/>
      <c r="R464" s="102" t="s">
        <v>189</v>
      </c>
    </row>
    <row r="465" spans="3:18" ht="12" x14ac:dyDescent="0.25">
      <c r="C465" s="579" t="str">
        <f t="shared" si="130"/>
        <v>Paquete Infinitum Play 40 (Netflix 4 dispositivos)Residencial</v>
      </c>
      <c r="D465" s="95">
        <f t="shared" si="132"/>
        <v>22</v>
      </c>
      <c r="E465" s="101" t="str">
        <v>Paquete Infinitum Play 40 (Netflix 4 dispositivos)</v>
      </c>
      <c r="F465" s="101" t="str">
        <f t="shared" si="128"/>
        <v>Residencial</v>
      </c>
      <c r="G465" s="101" t="str">
        <f t="shared" si="129"/>
        <v>Telefonía fija + Internet fijo</v>
      </c>
      <c r="H465" s="263" t="s">
        <v>172</v>
      </c>
      <c r="I465" s="114"/>
      <c r="J465" s="114"/>
      <c r="K465" s="114"/>
      <c r="L465" s="114"/>
      <c r="M465" s="106">
        <f t="shared" si="131"/>
        <v>5.3716146621053131E-4</v>
      </c>
      <c r="N465" s="106">
        <f t="shared" si="131"/>
        <v>4.089018724611884E-4</v>
      </c>
      <c r="O465" s="44"/>
      <c r="P465" s="102"/>
      <c r="R465" s="102" t="s">
        <v>189</v>
      </c>
    </row>
    <row r="466" spans="3:18" ht="12" x14ac:dyDescent="0.25">
      <c r="C466" s="579" t="str">
        <f t="shared" si="130"/>
        <v>Paquete Infinitum Play 150 (Netflix 4 dispositivos)Residencial</v>
      </c>
      <c r="D466" s="95">
        <f t="shared" si="132"/>
        <v>23</v>
      </c>
      <c r="E466" s="101" t="str">
        <v>Paquete Infinitum Play 150 (Netflix 4 dispositivos)</v>
      </c>
      <c r="F466" s="101" t="str">
        <f t="shared" si="128"/>
        <v>Residencial</v>
      </c>
      <c r="G466" s="101" t="str">
        <f t="shared" si="129"/>
        <v>Telefonía fija + Internet fijo</v>
      </c>
      <c r="H466" s="263" t="s">
        <v>172</v>
      </c>
      <c r="I466" s="114"/>
      <c r="J466" s="114"/>
      <c r="K466" s="114"/>
      <c r="L466" s="114"/>
      <c r="M466" s="106">
        <f t="shared" si="131"/>
        <v>4.6698138354959451E-3</v>
      </c>
      <c r="N466" s="106">
        <f t="shared" si="131"/>
        <v>3.3059852661581316E-3</v>
      </c>
      <c r="O466" s="44"/>
      <c r="P466" s="102"/>
      <c r="R466" s="102" t="s">
        <v>189</v>
      </c>
    </row>
    <row r="467" spans="3:18" ht="12" x14ac:dyDescent="0.25">
      <c r="C467" s="579" t="str">
        <f t="shared" si="130"/>
        <v>Paquete Infinitum Play 150 (Netflix 2 dispositivos)Residencial</v>
      </c>
      <c r="D467" s="95">
        <f t="shared" si="132"/>
        <v>24</v>
      </c>
      <c r="E467" s="101" t="str">
        <v>Paquete Infinitum Play 150 (Netflix 2 dispositivos)</v>
      </c>
      <c r="F467" s="101" t="str">
        <f t="shared" si="128"/>
        <v>Residencial</v>
      </c>
      <c r="G467" s="101" t="str">
        <f t="shared" si="129"/>
        <v>Telefonía fija + Internet fijo</v>
      </c>
      <c r="H467" s="263" t="s">
        <v>172</v>
      </c>
      <c r="I467" s="114"/>
      <c r="J467" s="114"/>
      <c r="K467" s="114"/>
      <c r="L467" s="114"/>
      <c r="M467" s="106">
        <f t="shared" si="131"/>
        <v>6.6752061594370761E-4</v>
      </c>
      <c r="N467" s="106">
        <f t="shared" si="131"/>
        <v>5.4459683841831476E-4</v>
      </c>
      <c r="O467" s="44"/>
      <c r="P467" s="102"/>
      <c r="R467" s="102" t="s">
        <v>189</v>
      </c>
    </row>
    <row r="468" spans="3:18" ht="12" x14ac:dyDescent="0.25">
      <c r="C468" s="579" t="str">
        <f t="shared" si="130"/>
        <v>Paquete Infinitum Netflix 500 (Netflix 4 dispositivos)Residencial</v>
      </c>
      <c r="D468" s="95">
        <f t="shared" si="132"/>
        <v>25</v>
      </c>
      <c r="E468" s="101" t="str">
        <v>Paquete Infinitum Netflix 500 (Netflix 4 dispositivos)</v>
      </c>
      <c r="F468" s="101" t="str">
        <f t="shared" si="128"/>
        <v>Residencial</v>
      </c>
      <c r="G468" s="101" t="str">
        <f t="shared" si="129"/>
        <v>Telefonía fija + Internet fijo</v>
      </c>
      <c r="H468" s="263" t="s">
        <v>172</v>
      </c>
      <c r="I468" s="114"/>
      <c r="J468" s="114"/>
      <c r="K468" s="114"/>
      <c r="L468" s="114"/>
      <c r="M468" s="106">
        <f t="shared" si="131"/>
        <v>2.5718020432884185E-4</v>
      </c>
      <c r="N468" s="106">
        <f t="shared" si="131"/>
        <v>2.5668895568761328E-4</v>
      </c>
      <c r="O468" s="44"/>
      <c r="P468" s="102"/>
      <c r="R468" s="102" t="s">
        <v>189</v>
      </c>
    </row>
    <row r="469" spans="3:18" ht="12" x14ac:dyDescent="0.25">
      <c r="C469" s="579" t="str">
        <f t="shared" si="130"/>
        <v>Paquete Infinitum Netflix 500 (Netflix 2 dispositivos)Residencial</v>
      </c>
      <c r="D469" s="95">
        <f t="shared" si="132"/>
        <v>26</v>
      </c>
      <c r="E469" s="101" t="str">
        <v>Paquete Infinitum Netflix 500 (Netflix 2 dispositivos)</v>
      </c>
      <c r="F469" s="101" t="str">
        <f t="shared" si="128"/>
        <v>Residencial</v>
      </c>
      <c r="G469" s="101" t="str">
        <f t="shared" si="129"/>
        <v>Telefonía fija + Internet fijo</v>
      </c>
      <c r="H469" s="263" t="s">
        <v>172</v>
      </c>
      <c r="I469" s="114"/>
      <c r="J469" s="114"/>
      <c r="K469" s="114"/>
      <c r="L469" s="114"/>
      <c r="M469" s="106">
        <f t="shared" si="131"/>
        <v>4.3400633686799368E-5</v>
      </c>
      <c r="N469" s="106">
        <f t="shared" si="131"/>
        <v>5.2031545071813508E-5</v>
      </c>
      <c r="O469" s="44"/>
      <c r="P469" s="102"/>
      <c r="R469" s="102" t="s">
        <v>189</v>
      </c>
    </row>
    <row r="470" spans="3:18" ht="12" x14ac:dyDescent="0.25">
      <c r="C470" s="579" t="str">
        <f t="shared" si="130"/>
        <v>Paquete Conectes Negocio Netflix (Netflix 1 dispositivo)No Residencial</v>
      </c>
      <c r="D470" s="95">
        <f t="shared" si="132"/>
        <v>27</v>
      </c>
      <c r="E470" s="101" t="str">
        <v>Paquete Conectes Negocio Netflix (Netflix 1 dispositivo)</v>
      </c>
      <c r="F470" s="101" t="str">
        <f t="shared" si="128"/>
        <v>No Residencial</v>
      </c>
      <c r="G470" s="101" t="str">
        <f t="shared" si="129"/>
        <v>Telefonía fija + Internet fijo</v>
      </c>
      <c r="H470" s="263" t="s">
        <v>172</v>
      </c>
      <c r="I470" s="114"/>
      <c r="J470" s="114"/>
      <c r="K470" s="114"/>
      <c r="L470" s="114"/>
      <c r="M470" s="106">
        <f t="shared" si="131"/>
        <v>1.8295883077750388E-4</v>
      </c>
      <c r="N470" s="106">
        <f t="shared" si="131"/>
        <v>2.1085164217196807E-4</v>
      </c>
      <c r="O470" s="44"/>
      <c r="P470" s="102"/>
      <c r="R470" s="102" t="s">
        <v>189</v>
      </c>
    </row>
    <row r="471" spans="3:18" ht="12" x14ac:dyDescent="0.25">
      <c r="C471" s="579" t="str">
        <f t="shared" si="130"/>
        <v>Paquete Conectes Negocio Netflix (Netflix 2 dispositivos)No Residencial</v>
      </c>
      <c r="D471" s="95">
        <f t="shared" si="132"/>
        <v>28</v>
      </c>
      <c r="E471" s="101" t="str">
        <v>Paquete Conectes Negocio Netflix (Netflix 2 dispositivos)</v>
      </c>
      <c r="F471" s="101" t="str">
        <f t="shared" si="128"/>
        <v>No Residencial</v>
      </c>
      <c r="G471" s="101" t="str">
        <f t="shared" si="129"/>
        <v>Telefonía fija + Internet fijo</v>
      </c>
      <c r="H471" s="263" t="s">
        <v>172</v>
      </c>
      <c r="I471" s="114"/>
      <c r="J471" s="114"/>
      <c r="K471" s="114"/>
      <c r="L471" s="114"/>
      <c r="M471" s="106">
        <f t="shared" si="131"/>
        <v>9.8280420486411601E-5</v>
      </c>
      <c r="N471" s="106">
        <f t="shared" si="131"/>
        <v>1.1694709178045702E-4</v>
      </c>
      <c r="O471" s="44"/>
      <c r="P471" s="102"/>
      <c r="R471" s="102" t="s">
        <v>189</v>
      </c>
    </row>
    <row r="472" spans="3:18" ht="12" x14ac:dyDescent="0.25">
      <c r="C472" s="579" t="str">
        <f t="shared" si="130"/>
        <v>Paquete Conectes Negocio Netflix (Netflix 4 dispositivos)No Residencial</v>
      </c>
      <c r="D472" s="95">
        <f t="shared" si="132"/>
        <v>29</v>
      </c>
      <c r="E472" s="101" t="str">
        <v>Paquete Conectes Negocio Netflix (Netflix 4 dispositivos)</v>
      </c>
      <c r="F472" s="101" t="str">
        <f t="shared" si="128"/>
        <v>No Residencial</v>
      </c>
      <c r="G472" s="101" t="str">
        <f t="shared" si="129"/>
        <v>Telefonía fija + Internet fijo</v>
      </c>
      <c r="H472" s="263" t="s">
        <v>172</v>
      </c>
      <c r="I472" s="114"/>
      <c r="J472" s="114"/>
      <c r="K472" s="114"/>
      <c r="L472" s="114"/>
      <c r="M472" s="106">
        <f t="shared" si="131"/>
        <v>5.5823278836281793E-5</v>
      </c>
      <c r="N472" s="106">
        <f t="shared" si="131"/>
        <v>6.5493674987219226E-5</v>
      </c>
      <c r="O472" s="44"/>
      <c r="P472" s="102"/>
      <c r="R472" s="102" t="s">
        <v>189</v>
      </c>
    </row>
    <row r="473" spans="3:18" ht="12" x14ac:dyDescent="0.25">
      <c r="C473" s="579" t="str">
        <f t="shared" si="130"/>
        <v>Paquete Mi Negocio Netflix (Netflix 2 dispositivos)No Residencial</v>
      </c>
      <c r="D473" s="95">
        <f t="shared" si="132"/>
        <v>30</v>
      </c>
      <c r="E473" s="101" t="str">
        <v>Paquete Mi Negocio Netflix (Netflix 2 dispositivos)</v>
      </c>
      <c r="F473" s="101" t="str">
        <f t="shared" si="128"/>
        <v>No Residencial</v>
      </c>
      <c r="G473" s="101" t="str">
        <f t="shared" si="129"/>
        <v>Telefonía fija + Internet fijo</v>
      </c>
      <c r="H473" s="263" t="s">
        <v>172</v>
      </c>
      <c r="I473" s="114"/>
      <c r="J473" s="114"/>
      <c r="K473" s="114"/>
      <c r="L473" s="114"/>
      <c r="M473" s="106">
        <f t="shared" si="131"/>
        <v>8.5386029318594412E-5</v>
      </c>
      <c r="N473" s="106">
        <f t="shared" si="131"/>
        <v>1.1471716842023644E-4</v>
      </c>
      <c r="O473" s="44"/>
      <c r="P473" s="102"/>
      <c r="R473" s="102" t="s">
        <v>189</v>
      </c>
    </row>
    <row r="474" spans="3:18" ht="12" x14ac:dyDescent="0.25">
      <c r="C474" s="579" t="str">
        <f t="shared" si="130"/>
        <v>Paquete Mi Negocio Netflix (Netflix 4 dispositivos)No Residencial</v>
      </c>
      <c r="D474" s="95">
        <f t="shared" si="132"/>
        <v>31</v>
      </c>
      <c r="E474" s="101" t="str">
        <v>Paquete Mi Negocio Netflix (Netflix 4 dispositivos)</v>
      </c>
      <c r="F474" s="101" t="str">
        <f t="shared" si="128"/>
        <v>No Residencial</v>
      </c>
      <c r="G474" s="101" t="str">
        <f t="shared" si="129"/>
        <v>Telefonía fija + Internet fijo</v>
      </c>
      <c r="H474" s="263" t="s">
        <v>172</v>
      </c>
      <c r="I474" s="114"/>
      <c r="J474" s="114"/>
      <c r="K474" s="114"/>
      <c r="L474" s="114"/>
      <c r="M474" s="106">
        <f t="shared" si="131"/>
        <v>5.8103384591566543E-5</v>
      </c>
      <c r="N474" s="106">
        <f t="shared" si="131"/>
        <v>6.8962444658673456E-5</v>
      </c>
      <c r="O474" s="44"/>
      <c r="P474" s="102"/>
      <c r="R474" s="102" t="s">
        <v>189</v>
      </c>
    </row>
    <row r="475" spans="3:18" ht="12" x14ac:dyDescent="0.25">
      <c r="C475" s="579" t="str">
        <f t="shared" si="130"/>
        <v>Paquete Supernegocio Netflix (Netflix 2 dispositivos)No Residencial</v>
      </c>
      <c r="D475" s="95">
        <f t="shared" si="132"/>
        <v>32</v>
      </c>
      <c r="E475" s="101" t="str">
        <v>Paquete Supernegocio Netflix (Netflix 2 dispositivos)</v>
      </c>
      <c r="F475" s="101" t="str">
        <f t="shared" si="128"/>
        <v>No Residencial</v>
      </c>
      <c r="G475" s="101" t="str">
        <f t="shared" si="129"/>
        <v>Telefonía fija + Internet fijo</v>
      </c>
      <c r="H475" s="263" t="s">
        <v>172</v>
      </c>
      <c r="I475" s="114"/>
      <c r="J475" s="114"/>
      <c r="K475" s="114"/>
      <c r="L475" s="114"/>
      <c r="M475" s="106">
        <f t="shared" si="131"/>
        <v>1.0692909748921583E-4</v>
      </c>
      <c r="N475" s="106">
        <f t="shared" si="131"/>
        <v>1.0753185981508125E-4</v>
      </c>
      <c r="O475" s="44"/>
      <c r="P475" s="102"/>
      <c r="R475" s="102" t="s">
        <v>189</v>
      </c>
    </row>
    <row r="476" spans="3:18" ht="12" x14ac:dyDescent="0.25">
      <c r="C476" s="579" t="str">
        <f t="shared" si="130"/>
        <v>Paquete Supernegocio Netflix (Netflix 4 dispositivos)No Residencial</v>
      </c>
      <c r="D476" s="95">
        <f t="shared" si="132"/>
        <v>33</v>
      </c>
      <c r="E476" s="101" t="str">
        <v>Paquete Supernegocio Netflix (Netflix 4 dispositivos)</v>
      </c>
      <c r="F476" s="101" t="str">
        <f t="shared" si="128"/>
        <v>No Residencial</v>
      </c>
      <c r="G476" s="101" t="str">
        <f t="shared" si="129"/>
        <v>Telefonía fija + Internet fijo</v>
      </c>
      <c r="H476" s="263" t="s">
        <v>172</v>
      </c>
      <c r="I476" s="114"/>
      <c r="J476" s="114"/>
      <c r="K476" s="114"/>
      <c r="L476" s="114"/>
      <c r="M476" s="106">
        <f t="shared" si="131"/>
        <v>1.0732221917116149E-4</v>
      </c>
      <c r="N476" s="106">
        <f t="shared" si="131"/>
        <v>9.0435780720056811E-5</v>
      </c>
      <c r="O476" s="44"/>
      <c r="P476" s="102"/>
      <c r="R476" s="102" t="s">
        <v>189</v>
      </c>
    </row>
    <row r="477" spans="3:18" ht="12" x14ac:dyDescent="0.25">
      <c r="C477" s="579" t="str">
        <f t="shared" si="130"/>
        <v>Paquete Infinitum Entretenimiento 30Residencial</v>
      </c>
      <c r="D477" s="95">
        <f t="shared" si="132"/>
        <v>34</v>
      </c>
      <c r="E477" s="101" t="str">
        <v>Paquete Infinitum Entretenimiento 30</v>
      </c>
      <c r="F477" s="101" t="str">
        <f t="shared" si="128"/>
        <v>Residencial</v>
      </c>
      <c r="G477" s="101" t="str">
        <f t="shared" si="129"/>
        <v>Telefonía fija + Internet fijo</v>
      </c>
      <c r="H477" s="263" t="s">
        <v>172</v>
      </c>
      <c r="I477" s="114"/>
      <c r="J477" s="114"/>
      <c r="K477" s="114"/>
      <c r="L477" s="114"/>
      <c r="M477" s="106">
        <f t="shared" si="131"/>
        <v>4.6356122491666733E-3</v>
      </c>
      <c r="N477" s="106">
        <f t="shared" si="131"/>
        <v>4.2475745344989754E-2</v>
      </c>
      <c r="O477" s="44"/>
      <c r="P477" s="102"/>
      <c r="R477" s="102" t="s">
        <v>189</v>
      </c>
    </row>
    <row r="478" spans="3:18" ht="12" x14ac:dyDescent="0.25">
      <c r="C478" s="579" t="str">
        <f t="shared" si="130"/>
        <v>Paquete Infinitum  Entretenimiento 40Residencial</v>
      </c>
      <c r="D478" s="95">
        <f t="shared" si="132"/>
        <v>35</v>
      </c>
      <c r="E478" s="101" t="str">
        <v>Paquete Infinitum  Entretenimiento 40</v>
      </c>
      <c r="F478" s="101" t="str">
        <f t="shared" si="128"/>
        <v>Residencial</v>
      </c>
      <c r="G478" s="101" t="str">
        <f t="shared" si="129"/>
        <v>Telefonía fija + Internet fijo</v>
      </c>
      <c r="H478" s="263" t="s">
        <v>172</v>
      </c>
      <c r="I478" s="114"/>
      <c r="J478" s="114"/>
      <c r="K478" s="114"/>
      <c r="L478" s="114"/>
      <c r="M478" s="106">
        <f t="shared" si="131"/>
        <v>8.2500516173113366E-4</v>
      </c>
      <c r="N478" s="106">
        <f t="shared" si="131"/>
        <v>3.3347265005787526E-3</v>
      </c>
      <c r="O478" s="44"/>
      <c r="P478" s="102"/>
      <c r="R478" s="102" t="s">
        <v>189</v>
      </c>
    </row>
    <row r="479" spans="3:18" ht="12" x14ac:dyDescent="0.25">
      <c r="C479" s="579" t="str">
        <f t="shared" si="130"/>
        <v>Paquete Infinitum Entretenimiento 50Residencial</v>
      </c>
      <c r="D479" s="95">
        <f t="shared" si="132"/>
        <v>36</v>
      </c>
      <c r="E479" s="101" t="str">
        <v>Paquete Infinitum Entretenimiento 50</v>
      </c>
      <c r="F479" s="101" t="str">
        <f t="shared" si="128"/>
        <v>Residencial</v>
      </c>
      <c r="G479" s="101" t="str">
        <f t="shared" si="129"/>
        <v>Telefonía fija + Internet fijo</v>
      </c>
      <c r="H479" s="263" t="s">
        <v>172</v>
      </c>
      <c r="I479" s="114"/>
      <c r="J479" s="114"/>
      <c r="K479" s="114"/>
      <c r="L479" s="114"/>
      <c r="M479" s="106">
        <f t="shared" si="131"/>
        <v>4.7481236745395178E-4</v>
      </c>
      <c r="N479" s="106">
        <f t="shared" si="131"/>
        <v>1.9696004553533468E-3</v>
      </c>
      <c r="O479" s="44"/>
      <c r="P479" s="102"/>
      <c r="R479" s="102" t="s">
        <v>189</v>
      </c>
    </row>
    <row r="480" spans="3:18" ht="12" x14ac:dyDescent="0.25">
      <c r="C480" s="579" t="str">
        <f t="shared" si="130"/>
        <v>Paquete Infinitum Entretenimiento 250Residencial</v>
      </c>
      <c r="D480" s="95">
        <f t="shared" si="132"/>
        <v>37</v>
      </c>
      <c r="E480" s="101" t="str">
        <v>Paquete Infinitum Entretenimiento 250</v>
      </c>
      <c r="F480" s="101" t="str">
        <f t="shared" si="128"/>
        <v>Residencial</v>
      </c>
      <c r="G480" s="101" t="str">
        <f t="shared" si="129"/>
        <v>Telefonía fija + Internet fijo</v>
      </c>
      <c r="H480" s="263" t="s">
        <v>172</v>
      </c>
      <c r="I480" s="114"/>
      <c r="J480" s="114"/>
      <c r="K480" s="114"/>
      <c r="L480" s="114"/>
      <c r="M480" s="106">
        <f t="shared" si="131"/>
        <v>1.2340089596273843E-3</v>
      </c>
      <c r="N480" s="106">
        <f t="shared" si="131"/>
        <v>6.4654563085743627E-3</v>
      </c>
      <c r="O480" s="44"/>
      <c r="P480" s="102"/>
      <c r="R480" s="102" t="s">
        <v>189</v>
      </c>
    </row>
    <row r="481" spans="3:18" ht="12" x14ac:dyDescent="0.25">
      <c r="C481" s="579" t="str">
        <f t="shared" si="130"/>
        <v>Paquete Infinitum Entretenimiento 500Residencial</v>
      </c>
      <c r="D481" s="95">
        <f t="shared" si="132"/>
        <v>38</v>
      </c>
      <c r="E481" s="101" t="str">
        <v>Paquete Infinitum Entretenimiento 500</v>
      </c>
      <c r="F481" s="101" t="str">
        <f t="shared" si="128"/>
        <v>Residencial</v>
      </c>
      <c r="G481" s="101" t="str">
        <f t="shared" si="129"/>
        <v>Telefonía fija + Internet fijo</v>
      </c>
      <c r="H481" s="263" t="s">
        <v>172</v>
      </c>
      <c r="I481" s="114"/>
      <c r="J481" s="114"/>
      <c r="K481" s="114"/>
      <c r="L481" s="114"/>
      <c r="M481" s="106">
        <f t="shared" si="131"/>
        <v>2.0316528522951009E-4</v>
      </c>
      <c r="N481" s="106">
        <f t="shared" si="131"/>
        <v>7.5197971091882853E-4</v>
      </c>
      <c r="O481" s="44"/>
      <c r="P481" s="102"/>
      <c r="R481" s="102" t="s">
        <v>189</v>
      </c>
    </row>
    <row r="482" spans="3:18" ht="12" x14ac:dyDescent="0.25">
      <c r="C482" s="579" t="str">
        <f t="shared" si="130"/>
        <v>Paquete infinitum Entretenimiento+ 30  (Netflix 1 dispositivo)Residencial</v>
      </c>
      <c r="D482" s="95">
        <f t="shared" si="132"/>
        <v>39</v>
      </c>
      <c r="E482" s="101" t="str">
        <v>Paquete infinitum Entretenimiento+ 30  (Netflix 1 dispositivo)</v>
      </c>
      <c r="F482" s="101" t="str">
        <f t="shared" si="128"/>
        <v>Residencial</v>
      </c>
      <c r="G482" s="101" t="str">
        <f t="shared" si="129"/>
        <v>Telefonía fija + Internet fijo</v>
      </c>
      <c r="H482" s="263" t="s">
        <v>172</v>
      </c>
      <c r="I482" s="114"/>
      <c r="J482" s="114"/>
      <c r="K482" s="114"/>
      <c r="L482" s="114"/>
      <c r="M482" s="106">
        <f t="shared" si="131"/>
        <v>6.6571225620675769E-4</v>
      </c>
      <c r="N482" s="106">
        <f t="shared" si="131"/>
        <v>2.5163446273778001E-3</v>
      </c>
      <c r="O482" s="44"/>
      <c r="P482" s="102"/>
      <c r="R482" s="102" t="s">
        <v>189</v>
      </c>
    </row>
    <row r="483" spans="3:18" ht="12" x14ac:dyDescent="0.25">
      <c r="C483" s="579" t="str">
        <f t="shared" si="130"/>
        <v>Paquete infinitum Entretenimiento+ 30  (Netflix 2 dispositivos)Residencial</v>
      </c>
      <c r="D483" s="95">
        <f t="shared" si="132"/>
        <v>40</v>
      </c>
      <c r="E483" s="101" t="str">
        <v>Paquete infinitum Entretenimiento+ 30  (Netflix 2 dispositivos)</v>
      </c>
      <c r="F483" s="101" t="str">
        <f t="shared" si="128"/>
        <v>Residencial</v>
      </c>
      <c r="G483" s="101" t="str">
        <f t="shared" si="129"/>
        <v>Telefonía fija + Internet fijo</v>
      </c>
      <c r="H483" s="263" t="s">
        <v>172</v>
      </c>
      <c r="I483" s="114"/>
      <c r="J483" s="114"/>
      <c r="K483" s="114"/>
      <c r="L483" s="114"/>
      <c r="M483" s="106">
        <f t="shared" si="131"/>
        <v>6.6752061594370761E-4</v>
      </c>
      <c r="N483" s="106">
        <f t="shared" si="131"/>
        <v>3.2470161817434095E-3</v>
      </c>
      <c r="O483" s="44"/>
      <c r="P483" s="102"/>
      <c r="R483" s="102" t="s">
        <v>189</v>
      </c>
    </row>
    <row r="484" spans="3:18" ht="12" x14ac:dyDescent="0.25">
      <c r="C484" s="579" t="str">
        <f t="shared" si="130"/>
        <v>Paquete infinitum Entretenimiento+ 30  (Netflix 4 dispositivos)Residencial</v>
      </c>
      <c r="D484" s="95">
        <f t="shared" si="132"/>
        <v>41</v>
      </c>
      <c r="E484" s="101" t="str">
        <v>Paquete infinitum Entretenimiento+ 30  (Netflix 4 dispositivos)</v>
      </c>
      <c r="F484" s="101" t="str">
        <f t="shared" si="128"/>
        <v>Residencial</v>
      </c>
      <c r="G484" s="101" t="str">
        <f t="shared" si="129"/>
        <v>Telefonía fija + Internet fijo</v>
      </c>
      <c r="H484" s="263" t="s">
        <v>172</v>
      </c>
      <c r="I484" s="114"/>
      <c r="J484" s="114"/>
      <c r="K484" s="114"/>
      <c r="L484" s="114"/>
      <c r="M484" s="106">
        <f t="shared" si="131"/>
        <v>4.6867966921559966E-4</v>
      </c>
      <c r="N484" s="106">
        <f t="shared" si="131"/>
        <v>2.6007513560498529E-3</v>
      </c>
      <c r="O484" s="44"/>
      <c r="P484" s="102"/>
      <c r="R484" s="102" t="s">
        <v>189</v>
      </c>
    </row>
    <row r="485" spans="3:18" ht="12" x14ac:dyDescent="0.25">
      <c r="C485" s="579" t="str">
        <f t="shared" si="130"/>
        <v>Paquete Infinitum Entretenimiento+ 70   (Netflix 2 dispositivos)Residencial</v>
      </c>
      <c r="D485" s="95">
        <f t="shared" si="132"/>
        <v>42</v>
      </c>
      <c r="E485" s="101" t="str">
        <v>Paquete Infinitum Entretenimiento+ 70   (Netflix 2 dispositivos)</v>
      </c>
      <c r="F485" s="101" t="str">
        <f t="shared" si="128"/>
        <v>Residencial</v>
      </c>
      <c r="G485" s="101" t="str">
        <f t="shared" si="129"/>
        <v>Telefonía fija + Internet fijo</v>
      </c>
      <c r="H485" s="263" t="s">
        <v>172</v>
      </c>
      <c r="I485" s="114"/>
      <c r="J485" s="114"/>
      <c r="K485" s="114"/>
      <c r="L485" s="114"/>
      <c r="M485" s="106">
        <f t="shared" si="131"/>
        <v>3.0749977961788466E-4</v>
      </c>
      <c r="N485" s="106">
        <f t="shared" si="131"/>
        <v>9.9347215185530894E-4</v>
      </c>
      <c r="O485" s="44"/>
      <c r="P485" s="102"/>
      <c r="R485" s="102" t="s">
        <v>189</v>
      </c>
    </row>
    <row r="486" spans="3:18" ht="12" x14ac:dyDescent="0.25">
      <c r="C486" s="579" t="str">
        <f t="shared" si="130"/>
        <v>Paquete Infinitum Entretenimiento+ 70   (Netflix 4 dispositivos)Residencial</v>
      </c>
      <c r="D486" s="95">
        <f t="shared" si="132"/>
        <v>43</v>
      </c>
      <c r="E486" s="101" t="str">
        <v>Paquete Infinitum Entretenimiento+ 70   (Netflix 4 dispositivos)</v>
      </c>
      <c r="F486" s="101" t="str">
        <f t="shared" si="128"/>
        <v>Residencial</v>
      </c>
      <c r="G486" s="101" t="str">
        <f t="shared" si="129"/>
        <v>Telefonía fija + Internet fijo</v>
      </c>
      <c r="H486" s="263" t="s">
        <v>172</v>
      </c>
      <c r="I486" s="114"/>
      <c r="J486" s="114"/>
      <c r="K486" s="114"/>
      <c r="L486" s="114"/>
      <c r="M486" s="106">
        <f t="shared" si="131"/>
        <v>1.7997110599471693E-4</v>
      </c>
      <c r="N486" s="106">
        <f t="shared" si="131"/>
        <v>4.1270100114897156E-4</v>
      </c>
      <c r="O486" s="44"/>
      <c r="P486" s="102"/>
      <c r="R486" s="102" t="s">
        <v>189</v>
      </c>
    </row>
    <row r="487" spans="3:18" ht="12" x14ac:dyDescent="0.25">
      <c r="C487" s="579" t="str">
        <f t="shared" si="130"/>
        <v>Paquete Infinitum Entretenimiento+ 120    (Netflix 2 dispositivos)Residencial</v>
      </c>
      <c r="D487" s="95">
        <f t="shared" si="132"/>
        <v>44</v>
      </c>
      <c r="E487" s="101" t="str">
        <v>Paquete Infinitum Entretenimiento+ 120    (Netflix 2 dispositivos)</v>
      </c>
      <c r="F487" s="101" t="str">
        <f t="shared" si="128"/>
        <v>Residencial</v>
      </c>
      <c r="G487" s="101" t="str">
        <f t="shared" si="129"/>
        <v>Telefonía fija + Internet fijo</v>
      </c>
      <c r="H487" s="263" t="s">
        <v>172</v>
      </c>
      <c r="I487" s="114"/>
      <c r="J487" s="114"/>
      <c r="K487" s="114"/>
      <c r="L487" s="114"/>
      <c r="M487" s="106">
        <f t="shared" si="131"/>
        <v>1.1644264219230046E-4</v>
      </c>
      <c r="N487" s="106">
        <f t="shared" si="131"/>
        <v>3.953571527917004E-4</v>
      </c>
      <c r="O487" s="44"/>
      <c r="P487" s="102"/>
      <c r="R487" s="102" t="s">
        <v>189</v>
      </c>
    </row>
    <row r="488" spans="3:18" ht="12" x14ac:dyDescent="0.25">
      <c r="C488" s="579" t="str">
        <f t="shared" si="130"/>
        <v>Paquete Infinitum Entretenimiento+ 120    (Netflix 4 dispositivos)Residencial</v>
      </c>
      <c r="D488" s="95">
        <f t="shared" si="132"/>
        <v>45</v>
      </c>
      <c r="E488" s="101" t="str">
        <v>Paquete Infinitum Entretenimiento+ 120    (Netflix 4 dispositivos)</v>
      </c>
      <c r="F488" s="101" t="str">
        <f t="shared" si="128"/>
        <v>Residencial</v>
      </c>
      <c r="G488" s="101" t="str">
        <f t="shared" si="129"/>
        <v>Telefonía fija + Internet fijo</v>
      </c>
      <c r="H488" s="263" t="s">
        <v>172</v>
      </c>
      <c r="I488" s="114"/>
      <c r="J488" s="114"/>
      <c r="K488" s="114"/>
      <c r="L488" s="114"/>
      <c r="M488" s="106">
        <f t="shared" si="131"/>
        <v>7.7444971343292352E-5</v>
      </c>
      <c r="N488" s="106">
        <f t="shared" si="131"/>
        <v>2.9872714051547533E-4</v>
      </c>
      <c r="O488" s="44"/>
      <c r="P488" s="102"/>
      <c r="R488" s="102" t="s">
        <v>189</v>
      </c>
    </row>
    <row r="489" spans="3:18" ht="12" x14ac:dyDescent="0.25">
      <c r="C489" s="579" t="str">
        <f t="shared" si="130"/>
        <v>Paquete infinitum Entretenimiento+ 200  (Netflix 4 dispositivos)Residencial</v>
      </c>
      <c r="D489" s="95">
        <f t="shared" si="132"/>
        <v>46</v>
      </c>
      <c r="E489" s="101" t="str">
        <v>Paquete infinitum Entretenimiento+ 200  (Netflix 4 dispositivos)</v>
      </c>
      <c r="F489" s="101" t="str">
        <f t="shared" si="128"/>
        <v>Residencial</v>
      </c>
      <c r="G489" s="101" t="str">
        <f t="shared" si="129"/>
        <v>Telefonía fija + Internet fijo</v>
      </c>
      <c r="H489" s="263" t="s">
        <v>172</v>
      </c>
      <c r="I489" s="114"/>
      <c r="J489" s="114"/>
      <c r="K489" s="114"/>
      <c r="L489" s="114"/>
      <c r="M489" s="106">
        <f t="shared" si="131"/>
        <v>5.3047839761745526E-4</v>
      </c>
      <c r="N489" s="106">
        <f t="shared" si="131"/>
        <v>1.8720619557822172E-3</v>
      </c>
      <c r="O489" s="44"/>
      <c r="P489" s="102"/>
      <c r="R489" s="102" t="s">
        <v>189</v>
      </c>
    </row>
    <row r="490" spans="3:18" ht="12" x14ac:dyDescent="0.25">
      <c r="C490" s="579" t="str">
        <f t="shared" si="130"/>
        <v>Paquete infinitum Entretenimiento+ 200  (Netflix 2 dispositivos)Residencial</v>
      </c>
      <c r="D490" s="95">
        <f t="shared" si="132"/>
        <v>47</v>
      </c>
      <c r="E490" s="101" t="str">
        <v>Paquete infinitum Entretenimiento+ 200  (Netflix 2 dispositivos)</v>
      </c>
      <c r="F490" s="101" t="str">
        <f t="shared" si="128"/>
        <v>Residencial</v>
      </c>
      <c r="G490" s="101" t="str">
        <f t="shared" si="129"/>
        <v>Telefonía fija + Internet fijo</v>
      </c>
      <c r="H490" s="263" t="s">
        <v>172</v>
      </c>
      <c r="I490" s="114"/>
      <c r="J490" s="114"/>
      <c r="K490" s="114"/>
      <c r="L490" s="114"/>
      <c r="M490" s="106">
        <f t="shared" si="131"/>
        <v>7.5793860279120643E-5</v>
      </c>
      <c r="N490" s="106">
        <f t="shared" si="131"/>
        <v>2.8006185609288827E-4</v>
      </c>
      <c r="O490" s="44"/>
      <c r="P490" s="102"/>
      <c r="R490" s="102" t="s">
        <v>189</v>
      </c>
    </row>
    <row r="491" spans="3:18" ht="12" x14ac:dyDescent="0.25">
      <c r="C491" s="579" t="str">
        <f t="shared" si="130"/>
        <v>Paquete infinitum Entretenimiento+ 500 (Netflix 4 dispositivos)Residencial</v>
      </c>
      <c r="D491" s="95">
        <f t="shared" si="132"/>
        <v>48</v>
      </c>
      <c r="E491" s="101" t="str">
        <v>Paquete infinitum Entretenimiento+ 500 (Netflix 4 dispositivos)</v>
      </c>
      <c r="F491" s="101" t="str">
        <f t="shared" si="128"/>
        <v>Residencial</v>
      </c>
      <c r="G491" s="101" t="str">
        <f t="shared" si="129"/>
        <v>Telefonía fija + Internet fijo</v>
      </c>
      <c r="H491" s="263" t="s">
        <v>172</v>
      </c>
      <c r="I491" s="114"/>
      <c r="J491" s="114"/>
      <c r="K491" s="114"/>
      <c r="L491" s="114"/>
      <c r="M491" s="106">
        <f t="shared" si="131"/>
        <v>7.1076400095772886E-5</v>
      </c>
      <c r="N491" s="106">
        <f t="shared" si="131"/>
        <v>1.9317743479836793E-4</v>
      </c>
      <c r="O491" s="44"/>
      <c r="P491" s="102"/>
      <c r="R491" s="102" t="s">
        <v>189</v>
      </c>
    </row>
    <row r="492" spans="3:18" ht="12" x14ac:dyDescent="0.25">
      <c r="C492" s="579" t="str">
        <f t="shared" si="130"/>
        <v>Paquete infinitum Entretenimiento+ 500  (Netflix 2 dispositivos)Residencial</v>
      </c>
      <c r="D492" s="95">
        <f t="shared" si="132"/>
        <v>49</v>
      </c>
      <c r="E492" s="101" t="str">
        <v>Paquete infinitum Entretenimiento+ 500  (Netflix 2 dispositivos)</v>
      </c>
      <c r="F492" s="101" t="str">
        <f t="shared" si="128"/>
        <v>Residencial</v>
      </c>
      <c r="G492" s="101" t="str">
        <f t="shared" si="129"/>
        <v>Telefonía fija + Internet fijo</v>
      </c>
      <c r="H492" s="263" t="s">
        <v>172</v>
      </c>
      <c r="I492" s="114"/>
      <c r="J492" s="114"/>
      <c r="K492" s="114"/>
      <c r="L492" s="114"/>
      <c r="M492" s="106">
        <f t="shared" si="131"/>
        <v>1.1793650458369393E-5</v>
      </c>
      <c r="N492" s="106">
        <f t="shared" si="131"/>
        <v>2.3620669667521689E-5</v>
      </c>
      <c r="O492" s="44"/>
      <c r="P492" s="102"/>
      <c r="R492" s="102" t="s">
        <v>189</v>
      </c>
    </row>
    <row r="493" spans="3:18" s="262" customFormat="1" ht="12" x14ac:dyDescent="0.25">
      <c r="C493" s="579" t="str">
        <f t="shared" si="130"/>
        <v>Velocidad Simétrica Conectes NegocioNo Residencial</v>
      </c>
      <c r="D493" s="95">
        <f t="shared" si="132"/>
        <v>50</v>
      </c>
      <c r="E493" s="101" t="str">
        <v>Velocidad Simétrica Conectes Negocio</v>
      </c>
      <c r="F493" s="101" t="str">
        <f t="shared" si="128"/>
        <v>No Residencial</v>
      </c>
      <c r="G493" s="101" t="str">
        <f t="shared" si="129"/>
        <v>Telefonía fija + Internet fijo</v>
      </c>
      <c r="H493" s="263" t="s">
        <v>172</v>
      </c>
      <c r="I493" s="114"/>
      <c r="J493" s="114"/>
      <c r="K493" s="114"/>
      <c r="L493" s="114"/>
      <c r="M493" s="106">
        <f t="shared" si="131"/>
        <v>5.9817395124849558E-4</v>
      </c>
      <c r="N493" s="106">
        <f t="shared" si="131"/>
        <v>9.5374648014174982E-4</v>
      </c>
      <c r="P493" s="102"/>
      <c r="R493" s="102" t="s">
        <v>189</v>
      </c>
    </row>
    <row r="494" spans="3:18" s="262" customFormat="1" ht="12" x14ac:dyDescent="0.25">
      <c r="C494" s="579" t="str">
        <f t="shared" si="130"/>
        <v>Velocidad Simétrica Mi NegocioNo Residencial</v>
      </c>
      <c r="D494" s="95">
        <f t="shared" si="132"/>
        <v>51</v>
      </c>
      <c r="E494" s="101" t="str">
        <v>Velocidad Simétrica Mi Negocio</v>
      </c>
      <c r="F494" s="101" t="str">
        <f t="shared" si="128"/>
        <v>No Residencial</v>
      </c>
      <c r="G494" s="101" t="str">
        <f t="shared" si="129"/>
        <v>Telefonía fija + Internet fijo</v>
      </c>
      <c r="H494" s="263" t="s">
        <v>172</v>
      </c>
      <c r="I494" s="114"/>
      <c r="J494" s="114"/>
      <c r="K494" s="114"/>
      <c r="L494" s="114"/>
      <c r="M494" s="106">
        <f t="shared" si="131"/>
        <v>7.7822368157960176E-4</v>
      </c>
      <c r="N494" s="106">
        <f t="shared" si="131"/>
        <v>1.0064387432462214E-3</v>
      </c>
      <c r="P494" s="102"/>
      <c r="R494" s="102" t="s">
        <v>189</v>
      </c>
    </row>
    <row r="495" spans="3:18" s="262" customFormat="1" ht="12" x14ac:dyDescent="0.25">
      <c r="C495" s="579" t="str">
        <f t="shared" si="130"/>
        <v>Velocidad Simétrica SupernegocioNo Residencial</v>
      </c>
      <c r="D495" s="95">
        <f t="shared" si="132"/>
        <v>52</v>
      </c>
      <c r="E495" s="101" t="str">
        <v>Velocidad Simétrica Supernegocio</v>
      </c>
      <c r="F495" s="101" t="str">
        <f t="shared" si="128"/>
        <v>No Residencial</v>
      </c>
      <c r="G495" s="101" t="str">
        <f t="shared" si="129"/>
        <v>Telefonía fija + Internet fijo</v>
      </c>
      <c r="H495" s="263" t="s">
        <v>172</v>
      </c>
      <c r="I495" s="114"/>
      <c r="J495" s="114"/>
      <c r="K495" s="114"/>
      <c r="L495" s="114"/>
      <c r="M495" s="106">
        <f t="shared" si="131"/>
        <v>5.4408040781277461E-4</v>
      </c>
      <c r="N495" s="106">
        <f t="shared" si="131"/>
        <v>6.8144806093259249E-4</v>
      </c>
      <c r="P495" s="102"/>
      <c r="R495" s="102" t="s">
        <v>189</v>
      </c>
    </row>
    <row r="496" spans="3:18" s="262" customFormat="1" ht="12" x14ac:dyDescent="0.25">
      <c r="C496" s="579" t="str">
        <f t="shared" si="130"/>
        <v>Velocidad Simétrica Telmex Negocio Sin Límites 1No Residencial</v>
      </c>
      <c r="D496" s="95">
        <f t="shared" si="132"/>
        <v>53</v>
      </c>
      <c r="E496" s="101" t="str">
        <v>Velocidad Simétrica Telmex Negocio Sin Límites 1</v>
      </c>
      <c r="F496" s="101" t="str">
        <f t="shared" si="128"/>
        <v>No Residencial</v>
      </c>
      <c r="G496" s="101" t="str">
        <f t="shared" si="129"/>
        <v>Telefonía fija + Internet fijo</v>
      </c>
      <c r="H496" s="263" t="s">
        <v>172</v>
      </c>
      <c r="I496" s="114"/>
      <c r="J496" s="114"/>
      <c r="K496" s="114"/>
      <c r="L496" s="114"/>
      <c r="M496" s="106">
        <f t="shared" si="131"/>
        <v>1.7556814315692568E-4</v>
      </c>
      <c r="N496" s="106">
        <f t="shared" si="131"/>
        <v>2.1109941143421479E-4</v>
      </c>
      <c r="P496" s="102"/>
      <c r="R496" s="102" t="s">
        <v>189</v>
      </c>
    </row>
    <row r="497" spans="3:18" s="262" customFormat="1" ht="12" x14ac:dyDescent="0.25">
      <c r="C497" s="579" t="str">
        <f t="shared" si="130"/>
        <v>Velocidad Simétrica Telmex Negocio Sin Límites 2No Residencial</v>
      </c>
      <c r="D497" s="95">
        <f t="shared" si="132"/>
        <v>54</v>
      </c>
      <c r="E497" s="101" t="str">
        <v>Velocidad Simétrica Telmex Negocio Sin Límites 2</v>
      </c>
      <c r="F497" s="101" t="str">
        <f t="shared" si="128"/>
        <v>No Residencial</v>
      </c>
      <c r="G497" s="101" t="str">
        <f t="shared" si="129"/>
        <v>Telefonía fija + Internet fijo</v>
      </c>
      <c r="H497" s="263" t="s">
        <v>172</v>
      </c>
      <c r="I497" s="114"/>
      <c r="J497" s="114"/>
      <c r="K497" s="114"/>
      <c r="L497" s="114"/>
      <c r="M497" s="106">
        <f t="shared" si="131"/>
        <v>2.278533268556967E-4</v>
      </c>
      <c r="N497" s="106">
        <f t="shared" si="131"/>
        <v>3.0781201346452211E-4</v>
      </c>
      <c r="P497" s="102"/>
      <c r="R497" s="102" t="s">
        <v>189</v>
      </c>
    </row>
    <row r="498" spans="3:18" s="262" customFormat="1" ht="12" x14ac:dyDescent="0.25">
      <c r="C498" s="579" t="str">
        <f t="shared" si="130"/>
        <v>Velocidad Simétrica Telmex Negocio Sin Límites 3No Residencial</v>
      </c>
      <c r="D498" s="95">
        <f t="shared" si="132"/>
        <v>55</v>
      </c>
      <c r="E498" s="101" t="str">
        <v>Velocidad Simétrica Telmex Negocio Sin Límites 3</v>
      </c>
      <c r="F498" s="101" t="str">
        <f t="shared" si="128"/>
        <v>No Residencial</v>
      </c>
      <c r="G498" s="101" t="str">
        <f t="shared" si="129"/>
        <v>Telefonía fija + Internet fijo</v>
      </c>
      <c r="H498" s="263" t="s">
        <v>172</v>
      </c>
      <c r="I498" s="114"/>
      <c r="J498" s="114"/>
      <c r="K498" s="114"/>
      <c r="L498" s="114"/>
      <c r="M498" s="106">
        <f t="shared" si="131"/>
        <v>2.3406464943043787E-4</v>
      </c>
      <c r="N498" s="106">
        <f t="shared" si="131"/>
        <v>1.8698320324219968E-4</v>
      </c>
      <c r="P498" s="102"/>
      <c r="R498" s="102" t="s">
        <v>189</v>
      </c>
    </row>
    <row r="499" spans="3:18" s="262" customFormat="1" ht="12" x14ac:dyDescent="0.25">
      <c r="C499" s="579" t="str">
        <f t="shared" si="130"/>
        <v>Velocidad Simétrica Conectes Negocio Netflix (1 dispositivo)No Residencial</v>
      </c>
      <c r="D499" s="95">
        <f t="shared" si="132"/>
        <v>56</v>
      </c>
      <c r="E499" s="101" t="str">
        <v>Velocidad Simétrica Conectes Negocio Netflix (1 dispositivo)</v>
      </c>
      <c r="F499" s="101" t="str">
        <f t="shared" si="128"/>
        <v>No Residencial</v>
      </c>
      <c r="G499" s="101" t="str">
        <f t="shared" si="129"/>
        <v>Telefonía fija + Internet fijo</v>
      </c>
      <c r="H499" s="263" t="s">
        <v>172</v>
      </c>
      <c r="I499" s="114"/>
      <c r="J499" s="114"/>
      <c r="K499" s="114"/>
      <c r="L499" s="114"/>
      <c r="M499" s="106">
        <f t="shared" si="131"/>
        <v>0</v>
      </c>
      <c r="N499" s="106">
        <f t="shared" si="131"/>
        <v>4.1294877041121828E-7</v>
      </c>
      <c r="P499" s="102"/>
      <c r="R499" s="102" t="s">
        <v>189</v>
      </c>
    </row>
    <row r="500" spans="3:18" s="262" customFormat="1" ht="12" x14ac:dyDescent="0.25">
      <c r="C500" s="579" t="str">
        <f t="shared" si="130"/>
        <v>Velocidad Simétrica Conectes Negocio Netflix (2 dispositivos)No Residencial</v>
      </c>
      <c r="D500" s="95">
        <f t="shared" si="132"/>
        <v>57</v>
      </c>
      <c r="E500" s="101" t="str">
        <v>Velocidad Simétrica Conectes Negocio Netflix (2 dispositivos)</v>
      </c>
      <c r="F500" s="101" t="str">
        <f t="shared" si="128"/>
        <v>No Residencial</v>
      </c>
      <c r="G500" s="101" t="str">
        <f t="shared" si="129"/>
        <v>Telefonía fija + Internet fijo</v>
      </c>
      <c r="H500" s="263" t="s">
        <v>172</v>
      </c>
      <c r="I500" s="114"/>
      <c r="J500" s="114"/>
      <c r="K500" s="114"/>
      <c r="L500" s="114"/>
      <c r="M500" s="106">
        <f t="shared" si="131"/>
        <v>0</v>
      </c>
      <c r="N500" s="106">
        <f t="shared" si="131"/>
        <v>4.1294877041121828E-7</v>
      </c>
      <c r="P500" s="102"/>
      <c r="R500" s="102" t="s">
        <v>189</v>
      </c>
    </row>
    <row r="501" spans="3:18" s="262" customFormat="1" ht="12" x14ac:dyDescent="0.25">
      <c r="C501" s="579" t="str">
        <f t="shared" si="130"/>
        <v>Velocidad Simétrica Conectes Negocio Netflix (4 dispositivos)No Residencial</v>
      </c>
      <c r="D501" s="95">
        <f t="shared" si="132"/>
        <v>58</v>
      </c>
      <c r="E501" s="101" t="str">
        <v>Velocidad Simétrica Conectes Negocio Netflix (4 dispositivos)</v>
      </c>
      <c r="F501" s="101" t="str">
        <f t="shared" si="128"/>
        <v>No Residencial</v>
      </c>
      <c r="G501" s="101" t="str">
        <f t="shared" si="129"/>
        <v>Telefonía fija + Internet fijo</v>
      </c>
      <c r="H501" s="263" t="s">
        <v>172</v>
      </c>
      <c r="I501" s="114"/>
      <c r="J501" s="114"/>
      <c r="K501" s="114"/>
      <c r="L501" s="114"/>
      <c r="M501" s="106">
        <f t="shared" si="131"/>
        <v>0</v>
      </c>
      <c r="N501" s="106">
        <f t="shared" si="131"/>
        <v>3.3035901632897466E-7</v>
      </c>
      <c r="P501" s="102"/>
      <c r="R501" s="102" t="s">
        <v>189</v>
      </c>
    </row>
    <row r="502" spans="3:18" s="262" customFormat="1" ht="12" x14ac:dyDescent="0.25">
      <c r="C502" s="579" t="str">
        <f t="shared" si="130"/>
        <v>Velocidad Simétrica Mi Negocio Netflix (2 dispositivos)No Residencial</v>
      </c>
      <c r="D502" s="95">
        <f t="shared" si="132"/>
        <v>59</v>
      </c>
      <c r="E502" s="101" t="str">
        <v>Velocidad Simétrica Mi Negocio Netflix (2 dispositivos)</v>
      </c>
      <c r="F502" s="101" t="str">
        <f t="shared" si="128"/>
        <v>No Residencial</v>
      </c>
      <c r="G502" s="101" t="str">
        <f t="shared" si="129"/>
        <v>Telefonía fija + Internet fijo</v>
      </c>
      <c r="H502" s="263" t="s">
        <v>172</v>
      </c>
      <c r="I502" s="114"/>
      <c r="J502" s="114"/>
      <c r="K502" s="114"/>
      <c r="L502" s="114"/>
      <c r="M502" s="106">
        <f t="shared" si="131"/>
        <v>7.8624336389129296E-8</v>
      </c>
      <c r="N502" s="106">
        <f t="shared" si="131"/>
        <v>1.4866155734803858E-6</v>
      </c>
      <c r="P502" s="102"/>
      <c r="R502" s="102" t="s">
        <v>189</v>
      </c>
    </row>
    <row r="503" spans="3:18" s="262" customFormat="1" ht="12" x14ac:dyDescent="0.25">
      <c r="C503" s="579" t="str">
        <f t="shared" si="130"/>
        <v>Velocidad Simétrica Mi Negocio Netflix (4 dispositivos)No Residencial</v>
      </c>
      <c r="D503" s="95">
        <f t="shared" si="132"/>
        <v>60</v>
      </c>
      <c r="E503" s="101" t="str">
        <v>Velocidad Simétrica Mi Negocio Netflix (4 dispositivos)</v>
      </c>
      <c r="F503" s="101" t="str">
        <f t="shared" si="128"/>
        <v>No Residencial</v>
      </c>
      <c r="G503" s="101" t="str">
        <f t="shared" si="129"/>
        <v>Telefonía fija + Internet fijo</v>
      </c>
      <c r="H503" s="263" t="s">
        <v>172</v>
      </c>
      <c r="I503" s="114"/>
      <c r="J503" s="114"/>
      <c r="K503" s="114"/>
      <c r="L503" s="114"/>
      <c r="M503" s="106">
        <f t="shared" si="131"/>
        <v>7.8624336389129296E-8</v>
      </c>
      <c r="N503" s="106">
        <f t="shared" si="131"/>
        <v>3.3035901632897466E-7</v>
      </c>
      <c r="P503" s="102"/>
      <c r="R503" s="102" t="s">
        <v>189</v>
      </c>
    </row>
    <row r="504" spans="3:18" s="262" customFormat="1" ht="12" x14ac:dyDescent="0.25">
      <c r="C504" s="579" t="str">
        <f t="shared" si="130"/>
        <v>Velocidad Simétrica Supernegocio Netflix (2 dispositivos)No Residencial</v>
      </c>
      <c r="D504" s="95">
        <f t="shared" si="132"/>
        <v>61</v>
      </c>
      <c r="E504" s="101" t="str">
        <v>Velocidad Simétrica Supernegocio Netflix (2 dispositivos)</v>
      </c>
      <c r="F504" s="101" t="str">
        <f t="shared" si="128"/>
        <v>No Residencial</v>
      </c>
      <c r="G504" s="101" t="str">
        <f t="shared" si="129"/>
        <v>Telefonía fija + Internet fijo</v>
      </c>
      <c r="H504" s="263" t="s">
        <v>172</v>
      </c>
      <c r="I504" s="114"/>
      <c r="J504" s="114"/>
      <c r="K504" s="114"/>
      <c r="L504" s="114"/>
      <c r="M504" s="106">
        <f t="shared" si="131"/>
        <v>4.7174601833477572E-7</v>
      </c>
      <c r="N504" s="106">
        <f t="shared" si="131"/>
        <v>3.1384106551252589E-6</v>
      </c>
      <c r="P504" s="102"/>
      <c r="R504" s="102" t="s">
        <v>189</v>
      </c>
    </row>
    <row r="505" spans="3:18" s="262" customFormat="1" ht="12" x14ac:dyDescent="0.25">
      <c r="C505" s="579" t="str">
        <f t="shared" si="130"/>
        <v>Velocidad Simétrica Supernegocio Netflix (4 dispositivos)No Residencial</v>
      </c>
      <c r="D505" s="95">
        <f t="shared" si="132"/>
        <v>62</v>
      </c>
      <c r="E505" s="101" t="str">
        <v>Velocidad Simétrica Supernegocio Netflix (4 dispositivos)</v>
      </c>
      <c r="F505" s="101" t="str">
        <f t="shared" si="128"/>
        <v>No Residencial</v>
      </c>
      <c r="G505" s="101" t="str">
        <f t="shared" si="129"/>
        <v>Telefonía fija + Internet fijo</v>
      </c>
      <c r="H505" s="263" t="s">
        <v>172</v>
      </c>
      <c r="I505" s="114"/>
      <c r="J505" s="114"/>
      <c r="K505" s="114"/>
      <c r="L505" s="114"/>
      <c r="M505" s="106">
        <f t="shared" si="131"/>
        <v>3.1449734555651718E-7</v>
      </c>
      <c r="N505" s="106">
        <f t="shared" si="131"/>
        <v>3.7165389337009655E-6</v>
      </c>
      <c r="P505" s="102"/>
      <c r="R505" s="102" t="s">
        <v>189</v>
      </c>
    </row>
    <row r="506" spans="3:18" s="262" customFormat="1" ht="12" x14ac:dyDescent="0.25">
      <c r="C506" s="579" t="str">
        <f t="shared" si="130"/>
        <v>Renta Mensual de la Línea ResidencialResidencial</v>
      </c>
      <c r="D506" s="95">
        <f t="shared" si="132"/>
        <v>63</v>
      </c>
      <c r="E506" s="101" t="str">
        <v>Renta Mensual de la Línea Residencial</v>
      </c>
      <c r="F506" s="135" t="s">
        <v>240</v>
      </c>
      <c r="G506" s="135" t="s">
        <v>174</v>
      </c>
      <c r="H506" s="263" t="s">
        <v>172</v>
      </c>
      <c r="I506" s="114"/>
      <c r="J506" s="114"/>
      <c r="K506" s="114"/>
      <c r="L506" s="114"/>
      <c r="M506" s="106">
        <f t="shared" ref="M506:N506" si="133">IFERROR(M593/M$530,"0")</f>
        <v>8.9441510048934331E-2</v>
      </c>
      <c r="N506" s="106">
        <f t="shared" si="133"/>
        <v>8.7149840556353983E-2</v>
      </c>
      <c r="P506" s="102"/>
      <c r="R506" s="102" t="s">
        <v>189</v>
      </c>
    </row>
    <row r="507" spans="3:18" s="262" customFormat="1" ht="12.5" thickBot="1" x14ac:dyDescent="0.3">
      <c r="C507" s="579" t="str">
        <f t="shared" si="130"/>
        <v>Renta Mensual de la Línea ComercialNo Residencial</v>
      </c>
      <c r="D507" s="95">
        <f t="shared" si="132"/>
        <v>64</v>
      </c>
      <c r="E507" s="101" t="str">
        <v>Renta Mensual de la Línea Comercial</v>
      </c>
      <c r="F507" s="135" t="s">
        <v>242</v>
      </c>
      <c r="G507" s="135" t="s">
        <v>174</v>
      </c>
      <c r="H507" s="263" t="s">
        <v>172</v>
      </c>
      <c r="I507" s="114"/>
      <c r="J507" s="114"/>
      <c r="K507" s="114"/>
      <c r="L507" s="114"/>
      <c r="M507" s="106">
        <f t="shared" ref="M507:N507" si="134">IFERROR(M594/M$530,"0")</f>
        <v>0.12320345656756683</v>
      </c>
      <c r="N507" s="106">
        <f t="shared" si="134"/>
        <v>0.13663902762585745</v>
      </c>
      <c r="P507" s="102"/>
      <c r="R507" s="102" t="s">
        <v>189</v>
      </c>
    </row>
    <row r="508" spans="3:18" s="262" customFormat="1" hidden="1" outlineLevel="1" x14ac:dyDescent="0.25">
      <c r="D508" s="95">
        <f t="shared" si="132"/>
        <v>65</v>
      </c>
      <c r="E508" s="101">
        <v>0</v>
      </c>
      <c r="F508" s="101"/>
      <c r="G508" s="265"/>
      <c r="H508" s="263"/>
      <c r="I508" s="114"/>
      <c r="J508" s="114"/>
      <c r="K508" s="114"/>
      <c r="L508" s="111"/>
      <c r="M508" s="106"/>
      <c r="N508" s="106"/>
      <c r="P508" s="102"/>
    </row>
    <row r="509" spans="3:18" s="262" customFormat="1" hidden="1" outlineLevel="1" x14ac:dyDescent="0.25">
      <c r="D509" s="95">
        <f t="shared" si="132"/>
        <v>66</v>
      </c>
      <c r="E509" s="101">
        <v>0</v>
      </c>
      <c r="F509" s="101"/>
      <c r="G509" s="265"/>
      <c r="H509" s="263"/>
      <c r="I509" s="114"/>
      <c r="J509" s="114"/>
      <c r="K509" s="114"/>
      <c r="L509" s="111"/>
      <c r="M509" s="106"/>
      <c r="N509" s="106"/>
      <c r="P509" s="102"/>
    </row>
    <row r="510" spans="3:18" s="262" customFormat="1" hidden="1" outlineLevel="1" x14ac:dyDescent="0.25">
      <c r="D510" s="95">
        <f t="shared" si="132"/>
        <v>67</v>
      </c>
      <c r="E510" s="101">
        <v>0</v>
      </c>
      <c r="F510" s="101"/>
      <c r="G510" s="265"/>
      <c r="H510" s="263"/>
      <c r="I510" s="114"/>
      <c r="J510" s="114"/>
      <c r="K510" s="114"/>
      <c r="L510" s="111"/>
      <c r="M510" s="106"/>
      <c r="N510" s="106"/>
      <c r="P510" s="102"/>
    </row>
    <row r="511" spans="3:18" s="262" customFormat="1" hidden="1" outlineLevel="1" x14ac:dyDescent="0.25">
      <c r="D511" s="95">
        <f t="shared" ref="D511:D524" si="135">1+D510</f>
        <v>68</v>
      </c>
      <c r="E511" s="101">
        <v>0</v>
      </c>
      <c r="F511" s="101"/>
      <c r="G511" s="265"/>
      <c r="H511" s="263"/>
      <c r="I511" s="114"/>
      <c r="J511" s="114"/>
      <c r="K511" s="114"/>
      <c r="L511" s="111"/>
      <c r="M511" s="106"/>
      <c r="N511" s="106"/>
      <c r="P511" s="102"/>
    </row>
    <row r="512" spans="3:18" s="262" customFormat="1" hidden="1" outlineLevel="1" x14ac:dyDescent="0.25">
      <c r="D512" s="95">
        <f t="shared" si="135"/>
        <v>69</v>
      </c>
      <c r="E512" s="101"/>
      <c r="F512" s="101"/>
      <c r="G512" s="265"/>
      <c r="H512" s="263"/>
      <c r="I512" s="114"/>
      <c r="J512" s="114"/>
      <c r="K512" s="114"/>
      <c r="L512" s="111"/>
      <c r="M512" s="106"/>
      <c r="N512" s="106"/>
      <c r="P512" s="102"/>
    </row>
    <row r="513" spans="3:17" s="262" customFormat="1" hidden="1" outlineLevel="1" x14ac:dyDescent="0.25">
      <c r="D513" s="95">
        <f t="shared" si="135"/>
        <v>70</v>
      </c>
      <c r="E513" s="101"/>
      <c r="F513" s="101"/>
      <c r="G513" s="265"/>
      <c r="H513" s="263"/>
      <c r="I513" s="114"/>
      <c r="J513" s="114"/>
      <c r="K513" s="114"/>
      <c r="L513" s="111"/>
      <c r="M513" s="106"/>
      <c r="N513" s="106"/>
      <c r="P513" s="102"/>
    </row>
    <row r="514" spans="3:17" s="262" customFormat="1" hidden="1" outlineLevel="1" x14ac:dyDescent="0.25">
      <c r="D514" s="95">
        <f t="shared" si="135"/>
        <v>71</v>
      </c>
      <c r="E514" s="101"/>
      <c r="F514" s="101"/>
      <c r="G514" s="265"/>
      <c r="H514" s="263"/>
      <c r="I514" s="114"/>
      <c r="J514" s="114"/>
      <c r="K514" s="114"/>
      <c r="L514" s="111"/>
      <c r="M514" s="106"/>
      <c r="N514" s="106"/>
      <c r="P514" s="102"/>
    </row>
    <row r="515" spans="3:17" s="262" customFormat="1" hidden="1" outlineLevel="1" x14ac:dyDescent="0.25">
      <c r="D515" s="95">
        <f t="shared" si="135"/>
        <v>72</v>
      </c>
      <c r="E515" s="101"/>
      <c r="F515" s="101"/>
      <c r="G515" s="265"/>
      <c r="H515" s="263"/>
      <c r="I515" s="114"/>
      <c r="J515" s="114"/>
      <c r="K515" s="114"/>
      <c r="L515" s="111"/>
      <c r="M515" s="106"/>
      <c r="N515" s="106"/>
      <c r="P515" s="102"/>
    </row>
    <row r="516" spans="3:17" s="262" customFormat="1" hidden="1" outlineLevel="1" x14ac:dyDescent="0.25">
      <c r="D516" s="95">
        <f t="shared" si="135"/>
        <v>73</v>
      </c>
      <c r="E516" s="101"/>
      <c r="F516" s="101"/>
      <c r="G516" s="265"/>
      <c r="H516" s="263"/>
      <c r="I516" s="114"/>
      <c r="J516" s="114"/>
      <c r="K516" s="114"/>
      <c r="L516" s="111"/>
      <c r="M516" s="106"/>
      <c r="N516" s="106"/>
      <c r="P516" s="102"/>
    </row>
    <row r="517" spans="3:17" s="262" customFormat="1" hidden="1" outlineLevel="1" x14ac:dyDescent="0.25">
      <c r="D517" s="95">
        <f t="shared" si="135"/>
        <v>74</v>
      </c>
      <c r="E517" s="101"/>
      <c r="F517" s="101"/>
      <c r="G517" s="265"/>
      <c r="H517" s="263"/>
      <c r="I517" s="114"/>
      <c r="J517" s="114"/>
      <c r="K517" s="114"/>
      <c r="L517" s="111"/>
      <c r="M517" s="106"/>
      <c r="N517" s="106"/>
      <c r="P517" s="102"/>
    </row>
    <row r="518" spans="3:17" s="262" customFormat="1" hidden="1" outlineLevel="1" x14ac:dyDescent="0.25">
      <c r="D518" s="95">
        <f t="shared" si="135"/>
        <v>75</v>
      </c>
      <c r="E518" s="101"/>
      <c r="F518" s="101"/>
      <c r="G518" s="265"/>
      <c r="H518" s="263"/>
      <c r="I518" s="114"/>
      <c r="J518" s="114"/>
      <c r="K518" s="114"/>
      <c r="L518" s="111"/>
      <c r="M518" s="106"/>
      <c r="N518" s="106"/>
      <c r="P518" s="102"/>
    </row>
    <row r="519" spans="3:17" s="262" customFormat="1" hidden="1" outlineLevel="1" x14ac:dyDescent="0.25">
      <c r="D519" s="95">
        <f t="shared" si="135"/>
        <v>76</v>
      </c>
      <c r="E519" s="101"/>
      <c r="F519" s="101"/>
      <c r="G519" s="265"/>
      <c r="H519" s="263"/>
      <c r="I519" s="114"/>
      <c r="J519" s="114"/>
      <c r="K519" s="114"/>
      <c r="L519" s="111"/>
      <c r="M519" s="106"/>
      <c r="N519" s="106"/>
      <c r="P519" s="102"/>
    </row>
    <row r="520" spans="3:17" s="262" customFormat="1" hidden="1" outlineLevel="1" x14ac:dyDescent="0.25">
      <c r="D520" s="95">
        <f t="shared" si="135"/>
        <v>77</v>
      </c>
      <c r="E520" s="101"/>
      <c r="F520" s="101"/>
      <c r="G520" s="265"/>
      <c r="H520" s="263"/>
      <c r="I520" s="114"/>
      <c r="J520" s="114"/>
      <c r="K520" s="114"/>
      <c r="L520" s="111"/>
      <c r="M520" s="106"/>
      <c r="N520" s="106"/>
      <c r="P520" s="102"/>
    </row>
    <row r="521" spans="3:17" s="262" customFormat="1" hidden="1" outlineLevel="1" x14ac:dyDescent="0.25">
      <c r="D521" s="95">
        <f t="shared" si="135"/>
        <v>78</v>
      </c>
      <c r="E521" s="101"/>
      <c r="F521" s="101"/>
      <c r="G521" s="265"/>
      <c r="H521" s="263"/>
      <c r="I521" s="114"/>
      <c r="J521" s="114"/>
      <c r="K521" s="114"/>
      <c r="L521" s="111"/>
      <c r="M521" s="106"/>
      <c r="N521" s="106"/>
      <c r="P521" s="102"/>
    </row>
    <row r="522" spans="3:17" s="262" customFormat="1" hidden="1" outlineLevel="1" x14ac:dyDescent="0.25">
      <c r="D522" s="95">
        <f t="shared" si="135"/>
        <v>79</v>
      </c>
      <c r="E522" s="101"/>
      <c r="F522" s="101"/>
      <c r="G522" s="265"/>
      <c r="H522" s="263"/>
      <c r="I522" s="114"/>
      <c r="J522" s="114"/>
      <c r="K522" s="114"/>
      <c r="L522" s="111"/>
      <c r="M522" s="106"/>
      <c r="N522" s="106"/>
      <c r="P522" s="102"/>
    </row>
    <row r="523" spans="3:17" s="262" customFormat="1" hidden="1" outlineLevel="1" x14ac:dyDescent="0.25">
      <c r="D523" s="95">
        <f t="shared" si="135"/>
        <v>80</v>
      </c>
      <c r="E523" s="101"/>
      <c r="F523" s="101"/>
      <c r="G523" s="265"/>
      <c r="H523" s="263"/>
      <c r="I523" s="114"/>
      <c r="J523" s="114"/>
      <c r="K523" s="114"/>
      <c r="L523" s="111"/>
      <c r="M523" s="106"/>
      <c r="N523" s="106"/>
      <c r="P523" s="102"/>
    </row>
    <row r="524" spans="3:17" ht="12" hidden="1" outlineLevel="1" thickBot="1" x14ac:dyDescent="0.3">
      <c r="D524" s="95">
        <f t="shared" si="135"/>
        <v>81</v>
      </c>
      <c r="E524" s="101"/>
      <c r="F524" s="101"/>
      <c r="G524" s="40"/>
      <c r="H524" s="77"/>
      <c r="I524" s="114"/>
      <c r="J524" s="114"/>
      <c r="K524" s="114"/>
      <c r="L524" s="111"/>
      <c r="M524" s="106"/>
      <c r="N524" s="106"/>
      <c r="O524" s="44"/>
      <c r="P524" s="102"/>
    </row>
    <row r="525" spans="3:17" ht="12" collapsed="1" x14ac:dyDescent="0.25">
      <c r="E525" s="109"/>
      <c r="F525" s="41"/>
      <c r="G525" s="41"/>
      <c r="H525" s="41"/>
      <c r="I525" s="41"/>
      <c r="J525" s="41"/>
      <c r="K525" s="41"/>
      <c r="L525" s="41"/>
      <c r="M525" s="270"/>
      <c r="N525" s="458" t="s">
        <v>249</v>
      </c>
      <c r="O525" s="41"/>
      <c r="P525" s="41"/>
    </row>
    <row r="526" spans="3:17" x14ac:dyDescent="0.25">
      <c r="E526" s="262"/>
      <c r="F526" s="262"/>
      <c r="G526" s="262"/>
      <c r="H526" s="262"/>
      <c r="I526" s="262"/>
      <c r="J526" s="262"/>
      <c r="K526" s="262"/>
      <c r="L526" s="262"/>
      <c r="M526" s="262"/>
      <c r="N526" s="262"/>
    </row>
    <row r="527" spans="3:17" x14ac:dyDescent="0.25">
      <c r="C527" s="102" t="s">
        <v>224</v>
      </c>
      <c r="D527" s="102"/>
      <c r="F527" s="44"/>
      <c r="G527" s="44"/>
      <c r="H527" s="44"/>
      <c r="I527" s="44"/>
      <c r="J527" s="44"/>
      <c r="K527" s="44"/>
      <c r="L527" s="44"/>
      <c r="M527" s="44"/>
      <c r="N527" s="262"/>
      <c r="O527" s="44"/>
      <c r="P527" s="44"/>
      <c r="Q527" s="44"/>
    </row>
    <row r="528" spans="3:17" x14ac:dyDescent="0.25">
      <c r="C528" s="102"/>
      <c r="D528" s="102"/>
      <c r="F528" s="44"/>
      <c r="G528" s="44"/>
      <c r="H528" s="44"/>
      <c r="I528" s="96">
        <v>7</v>
      </c>
      <c r="J528" s="95">
        <v>8</v>
      </c>
      <c r="K528" s="95">
        <v>9</v>
      </c>
      <c r="L528" s="95">
        <v>10</v>
      </c>
      <c r="M528" s="95">
        <v>11</v>
      </c>
      <c r="N528" s="570">
        <v>12</v>
      </c>
      <c r="O528" s="44"/>
      <c r="P528" s="44"/>
      <c r="Q528" s="44"/>
    </row>
    <row r="529" spans="3:18" x14ac:dyDescent="0.25">
      <c r="C529" s="44"/>
      <c r="E529" s="1" t="s">
        <v>180</v>
      </c>
      <c r="F529" s="1" t="s">
        <v>182</v>
      </c>
      <c r="G529" s="1" t="s">
        <v>181</v>
      </c>
      <c r="H529" s="1" t="s">
        <v>167</v>
      </c>
      <c r="I529" s="1">
        <f t="array" ref="I529:N529">TRANSPOSE(Years)</f>
        <v>2017</v>
      </c>
      <c r="J529" s="1">
        <v>2018</v>
      </c>
      <c r="K529" s="1">
        <v>2019</v>
      </c>
      <c r="L529" s="1">
        <v>2020</v>
      </c>
      <c r="M529" s="1">
        <v>2021</v>
      </c>
      <c r="N529" s="1">
        <v>2022</v>
      </c>
      <c r="O529" s="1"/>
      <c r="P529" s="1" t="s">
        <v>170</v>
      </c>
      <c r="Q529" s="44"/>
    </row>
    <row r="530" spans="3:18" x14ac:dyDescent="0.25">
      <c r="C530" s="44"/>
      <c r="F530" s="44"/>
      <c r="G530" s="44"/>
      <c r="H530" s="44"/>
      <c r="I530" s="112">
        <f>SUM(I531:I611)</f>
        <v>0</v>
      </c>
      <c r="J530" s="112">
        <f>SUM(J531:J611)</f>
        <v>0</v>
      </c>
      <c r="K530" s="112">
        <f>SUM(K531:K611)</f>
        <v>0</v>
      </c>
      <c r="L530" s="112"/>
      <c r="M530" s="112">
        <f>SUM(M531:M594)</f>
        <v>11346638</v>
      </c>
      <c r="N530" s="112">
        <f>SUM(N531:N594)</f>
        <v>10804136.000000002</v>
      </c>
      <c r="O530" s="44"/>
      <c r="P530" s="44"/>
      <c r="Q530" s="44"/>
    </row>
    <row r="531" spans="3:18" ht="12" x14ac:dyDescent="0.25">
      <c r="C531" s="579" t="str">
        <f>E531&amp;F531</f>
        <v>Paquete 249Residencial</v>
      </c>
      <c r="D531" s="96">
        <v>1</v>
      </c>
      <c r="E531" s="101" t="str">
        <f t="array" ref="E531:E598">vector.telephony.plans.names</f>
        <v>Paquete 249</v>
      </c>
      <c r="F531" s="101" t="str">
        <f t="shared" ref="F531:F592" si="136">VLOOKUP(E531,$E$149:$G$272,2,)</f>
        <v>Residencial</v>
      </c>
      <c r="G531" s="101" t="str">
        <f t="shared" ref="G531:G592" si="137">VLOOKUP(E531,$E$149:$G$272,3,)</f>
        <v>Telefonía fija + Internet fijo</v>
      </c>
      <c r="H531" s="77" t="s">
        <v>221</v>
      </c>
      <c r="I531" s="111"/>
      <c r="J531" s="111"/>
      <c r="K531" s="111"/>
      <c r="L531" s="110"/>
      <c r="M531" s="110">
        <f t="shared" ref="M531:N550" si="138">IFERROR(VLOOKUP($C531,AEP.broadband.subs.by.plan,M$528,FALSE),0)</f>
        <v>165389.58376705638</v>
      </c>
      <c r="N531" s="110">
        <f t="shared" si="138"/>
        <v>139818.8773867047</v>
      </c>
      <c r="O531" s="44"/>
      <c r="P531" s="102"/>
      <c r="Q531" s="44"/>
      <c r="R531" s="102" t="s">
        <v>189</v>
      </c>
    </row>
    <row r="532" spans="3:18" ht="12" x14ac:dyDescent="0.25">
      <c r="C532" s="579" t="str">
        <f t="shared" ref="C532:C594" si="139">E532&amp;F532</f>
        <v>Paquete 289Residencial</v>
      </c>
      <c r="D532" s="95">
        <f>1+D531</f>
        <v>2</v>
      </c>
      <c r="E532" s="101" t="str">
        <v>Paquete 289</v>
      </c>
      <c r="F532" s="101" t="str">
        <f t="shared" si="136"/>
        <v>Residencial</v>
      </c>
      <c r="G532" s="101" t="str">
        <f t="shared" si="137"/>
        <v>Telefonía fija + Internet fijo</v>
      </c>
      <c r="H532" s="77" t="s">
        <v>221</v>
      </c>
      <c r="I532" s="111"/>
      <c r="J532" s="111"/>
      <c r="K532" s="111"/>
      <c r="L532" s="110"/>
      <c r="M532" s="110">
        <f t="shared" si="138"/>
        <v>89569.037052966785</v>
      </c>
      <c r="N532" s="110">
        <f t="shared" si="138"/>
        <v>49971.196999293112</v>
      </c>
      <c r="O532" s="44"/>
      <c r="P532" s="102"/>
      <c r="Q532" s="44"/>
      <c r="R532" s="102" t="s">
        <v>189</v>
      </c>
    </row>
    <row r="533" spans="3:18" ht="12" x14ac:dyDescent="0.25">
      <c r="C533" s="579" t="str">
        <f t="shared" si="139"/>
        <v>Paquete 435Residencial</v>
      </c>
      <c r="D533" s="95">
        <f t="shared" ref="D533:D596" si="140">1+D532</f>
        <v>3</v>
      </c>
      <c r="E533" s="101" t="str">
        <v>Paquete 435</v>
      </c>
      <c r="F533" s="101" t="str">
        <f t="shared" si="136"/>
        <v>Residencial</v>
      </c>
      <c r="G533" s="101" t="str">
        <f t="shared" si="137"/>
        <v>Telefonía fija + Internet fijo</v>
      </c>
      <c r="H533" s="77" t="s">
        <v>221</v>
      </c>
      <c r="I533" s="111"/>
      <c r="J533" s="111"/>
      <c r="K533" s="111"/>
      <c r="L533" s="110"/>
      <c r="M533" s="110">
        <f t="shared" si="138"/>
        <v>317439.26901764848</v>
      </c>
      <c r="N533" s="110">
        <f t="shared" si="138"/>
        <v>242090.20292645291</v>
      </c>
      <c r="O533" s="44"/>
      <c r="P533" s="102"/>
      <c r="Q533" s="44"/>
      <c r="R533" s="102" t="s">
        <v>189</v>
      </c>
    </row>
    <row r="534" spans="3:18" ht="12" x14ac:dyDescent="0.25">
      <c r="C534" s="579" t="str">
        <f t="shared" si="139"/>
        <v>Paquete 499Residencial</v>
      </c>
      <c r="D534" s="95">
        <f t="shared" si="140"/>
        <v>4</v>
      </c>
      <c r="E534" s="101" t="str">
        <v>Paquete 499</v>
      </c>
      <c r="F534" s="101" t="str">
        <f t="shared" si="136"/>
        <v>Residencial</v>
      </c>
      <c r="G534" s="101" t="str">
        <f t="shared" si="137"/>
        <v>Telefonía fija + Internet fijo</v>
      </c>
      <c r="H534" s="77" t="s">
        <v>221</v>
      </c>
      <c r="I534" s="111"/>
      <c r="J534" s="111"/>
      <c r="K534" s="111"/>
      <c r="L534" s="110"/>
      <c r="M534" s="110">
        <f t="shared" si="138"/>
        <v>152721.45302848934</v>
      </c>
      <c r="N534" s="110">
        <f t="shared" si="138"/>
        <v>189313.58034654165</v>
      </c>
      <c r="O534" s="44"/>
      <c r="P534" s="102" t="s">
        <v>189</v>
      </c>
      <c r="Q534" s="44"/>
      <c r="R534" s="102" t="s">
        <v>189</v>
      </c>
    </row>
    <row r="535" spans="3:18" ht="12" x14ac:dyDescent="0.25">
      <c r="C535" s="579" t="str">
        <f t="shared" si="139"/>
        <v>Paquete 599Residencial</v>
      </c>
      <c r="D535" s="95">
        <f t="shared" si="140"/>
        <v>5</v>
      </c>
      <c r="E535" s="101" t="str">
        <v>Paquete 599</v>
      </c>
      <c r="F535" s="101" t="str">
        <f t="shared" si="136"/>
        <v>Residencial</v>
      </c>
      <c r="G535" s="101" t="str">
        <f t="shared" si="137"/>
        <v>Telefonía fija + Internet fijo</v>
      </c>
      <c r="H535" s="77" t="s">
        <v>221</v>
      </c>
      <c r="I535" s="111"/>
      <c r="J535" s="111"/>
      <c r="K535" s="111"/>
      <c r="L535" s="110"/>
      <c r="M535" s="110">
        <f t="shared" si="138"/>
        <v>501423.34919202543</v>
      </c>
      <c r="N535" s="110">
        <f t="shared" si="138"/>
        <v>346263.9353802845</v>
      </c>
      <c r="O535" s="44"/>
      <c r="P535" s="102" t="s">
        <v>189</v>
      </c>
      <c r="Q535" s="44"/>
      <c r="R535" s="102" t="s">
        <v>189</v>
      </c>
    </row>
    <row r="536" spans="3:18" ht="12" x14ac:dyDescent="0.25">
      <c r="C536" s="579" t="str">
        <f t="shared" si="139"/>
        <v>Paquete 389Residencial</v>
      </c>
      <c r="D536" s="95">
        <f t="shared" si="140"/>
        <v>6</v>
      </c>
      <c r="E536" s="101" t="str">
        <v>Paquete 389</v>
      </c>
      <c r="F536" s="101" t="str">
        <f t="shared" si="136"/>
        <v>Residencial</v>
      </c>
      <c r="G536" s="101" t="str">
        <f t="shared" si="137"/>
        <v>Telefonía fija + Internet fijo</v>
      </c>
      <c r="H536" s="77" t="s">
        <v>221</v>
      </c>
      <c r="I536" s="111"/>
      <c r="J536" s="111"/>
      <c r="K536" s="111"/>
      <c r="L536" s="110"/>
      <c r="M536" s="110">
        <f t="shared" si="138"/>
        <v>5520874.8620059332</v>
      </c>
      <c r="N536" s="110">
        <f t="shared" si="138"/>
        <v>4912368.0072934618</v>
      </c>
      <c r="O536" s="44"/>
      <c r="P536" s="102" t="s">
        <v>189</v>
      </c>
      <c r="Q536" s="44"/>
      <c r="R536" s="102" t="s">
        <v>189</v>
      </c>
    </row>
    <row r="537" spans="3:18" ht="12" x14ac:dyDescent="0.25">
      <c r="C537" s="579" t="str">
        <f t="shared" si="139"/>
        <v>Paquete Conectes NegocioNo Residencial</v>
      </c>
      <c r="D537" s="95">
        <f t="shared" si="140"/>
        <v>7</v>
      </c>
      <c r="E537" s="101" t="str">
        <v>Paquete Conectes Negocio</v>
      </c>
      <c r="F537" s="101" t="str">
        <f t="shared" si="136"/>
        <v>No Residencial</v>
      </c>
      <c r="G537" s="101" t="str">
        <f t="shared" si="137"/>
        <v>Telefonía fija + Internet fijo</v>
      </c>
      <c r="H537" s="77" t="s">
        <v>221</v>
      </c>
      <c r="I537" s="111"/>
      <c r="J537" s="111"/>
      <c r="K537" s="111"/>
      <c r="L537" s="110"/>
      <c r="M537" s="110">
        <f t="shared" si="138"/>
        <v>538064.57917050598</v>
      </c>
      <c r="N537" s="110">
        <f t="shared" si="138"/>
        <v>412137.00555775693</v>
      </c>
      <c r="O537" s="44"/>
      <c r="P537" s="102" t="s">
        <v>189</v>
      </c>
      <c r="Q537" s="44"/>
      <c r="R537" s="102" t="s">
        <v>189</v>
      </c>
    </row>
    <row r="538" spans="3:18" ht="12" x14ac:dyDescent="0.25">
      <c r="C538" s="579" t="str">
        <f t="shared" si="139"/>
        <v>Paquete 1499Residencial</v>
      </c>
      <c r="D538" s="95">
        <f t="shared" si="140"/>
        <v>8</v>
      </c>
      <c r="E538" s="101" t="str">
        <v>Paquete 1499</v>
      </c>
      <c r="F538" s="101" t="str">
        <f t="shared" si="136"/>
        <v>Residencial</v>
      </c>
      <c r="G538" s="101" t="str">
        <f t="shared" si="137"/>
        <v>Telefonía fija + Internet fijo</v>
      </c>
      <c r="H538" s="77" t="s">
        <v>221</v>
      </c>
      <c r="I538" s="111"/>
      <c r="J538" s="111"/>
      <c r="K538" s="111"/>
      <c r="L538" s="110"/>
      <c r="M538" s="110">
        <f t="shared" si="138"/>
        <v>10009.607527233939</v>
      </c>
      <c r="N538" s="110">
        <f t="shared" si="138"/>
        <v>12590.507297239845</v>
      </c>
      <c r="O538" s="44"/>
      <c r="P538" s="102" t="s">
        <v>189</v>
      </c>
      <c r="Q538" s="44"/>
      <c r="R538" s="102" t="s">
        <v>189</v>
      </c>
    </row>
    <row r="539" spans="3:18" ht="12" x14ac:dyDescent="0.25">
      <c r="C539" s="579" t="str">
        <f t="shared" si="139"/>
        <v>Paquete 333Residencial</v>
      </c>
      <c r="D539" s="95">
        <f t="shared" si="140"/>
        <v>9</v>
      </c>
      <c r="E539" s="101" t="str">
        <v>Paquete 333</v>
      </c>
      <c r="F539" s="101" t="str">
        <f t="shared" si="136"/>
        <v>Residencial</v>
      </c>
      <c r="G539" s="101" t="str">
        <f t="shared" si="137"/>
        <v>Telefonía fija + Internet fijo</v>
      </c>
      <c r="H539" s="77" t="s">
        <v>221</v>
      </c>
      <c r="I539" s="111"/>
      <c r="J539" s="111"/>
      <c r="K539" s="111"/>
      <c r="L539" s="110"/>
      <c r="M539" s="110">
        <f t="shared" si="138"/>
        <v>108384.7796872708</v>
      </c>
      <c r="N539" s="110">
        <f t="shared" si="138"/>
        <v>104188.0094287965</v>
      </c>
      <c r="O539" s="44"/>
      <c r="P539" s="102" t="s">
        <v>189</v>
      </c>
      <c r="Q539" s="44"/>
      <c r="R539" s="102" t="s">
        <v>189</v>
      </c>
    </row>
    <row r="540" spans="3:18" ht="12" x14ac:dyDescent="0.25">
      <c r="C540" s="579" t="str">
        <f t="shared" si="139"/>
        <v>Paquete Mi NegocioNo Residencial</v>
      </c>
      <c r="D540" s="95">
        <f t="shared" si="140"/>
        <v>10</v>
      </c>
      <c r="E540" s="101" t="str">
        <v>Paquete Mi Negocio</v>
      </c>
      <c r="F540" s="101" t="str">
        <f t="shared" si="136"/>
        <v>No Residencial</v>
      </c>
      <c r="G540" s="101" t="str">
        <f t="shared" si="137"/>
        <v>Telefonía fija + Internet fijo</v>
      </c>
      <c r="H540" s="77" t="s">
        <v>221</v>
      </c>
      <c r="I540" s="111"/>
      <c r="J540" s="111"/>
      <c r="K540" s="111"/>
      <c r="L540" s="110"/>
      <c r="M540" s="110">
        <f t="shared" si="138"/>
        <v>442141.85006682976</v>
      </c>
      <c r="N540" s="110">
        <f t="shared" si="138"/>
        <v>437975.65331156098</v>
      </c>
      <c r="O540" s="44"/>
      <c r="P540" s="102" t="s">
        <v>189</v>
      </c>
      <c r="Q540" s="44"/>
      <c r="R540" s="102" t="s">
        <v>189</v>
      </c>
    </row>
    <row r="541" spans="3:18" ht="12" x14ac:dyDescent="0.25">
      <c r="C541" s="579" t="str">
        <f t="shared" si="139"/>
        <v>Paquete SuperNegocioNo Residencial</v>
      </c>
      <c r="D541" s="95">
        <f t="shared" si="140"/>
        <v>11</v>
      </c>
      <c r="E541" s="101" t="str">
        <v>Paquete SuperNegocio</v>
      </c>
      <c r="F541" s="101" t="str">
        <f t="shared" si="136"/>
        <v>No Residencial</v>
      </c>
      <c r="G541" s="101" t="str">
        <f t="shared" si="137"/>
        <v>Telefonía fija + Internet fijo</v>
      </c>
      <c r="H541" s="77" t="s">
        <v>221</v>
      </c>
      <c r="I541" s="111"/>
      <c r="J541" s="111"/>
      <c r="K541" s="111"/>
      <c r="L541" s="110"/>
      <c r="M541" s="110">
        <f t="shared" si="138"/>
        <v>211446.26809869445</v>
      </c>
      <c r="N541" s="110">
        <f t="shared" si="138"/>
        <v>219396.05890868531</v>
      </c>
      <c r="O541" s="44"/>
      <c r="P541" s="102" t="s">
        <v>189</v>
      </c>
      <c r="Q541" s="44"/>
      <c r="R541" s="102" t="s">
        <v>189</v>
      </c>
    </row>
    <row r="542" spans="3:18" ht="12" x14ac:dyDescent="0.25">
      <c r="C542" s="579" t="str">
        <f t="shared" si="139"/>
        <v>Paquete Infinitum 500Residencial</v>
      </c>
      <c r="D542" s="95">
        <f t="shared" si="140"/>
        <v>12</v>
      </c>
      <c r="E542" s="101" t="str">
        <v>Paquete Infinitum 500</v>
      </c>
      <c r="F542" s="101" t="str">
        <f t="shared" si="136"/>
        <v>Residencial</v>
      </c>
      <c r="G542" s="101" t="str">
        <f t="shared" si="137"/>
        <v>Telefonía fija + Internet fijo</v>
      </c>
      <c r="H542" s="77" t="s">
        <v>221</v>
      </c>
      <c r="I542" s="111"/>
      <c r="J542" s="111"/>
      <c r="K542" s="111"/>
      <c r="L542" s="110"/>
      <c r="M542" s="110">
        <f t="shared" si="138"/>
        <v>43628.328566118405</v>
      </c>
      <c r="N542" s="110">
        <f t="shared" si="138"/>
        <v>36280.47031881466</v>
      </c>
      <c r="O542" s="44"/>
      <c r="P542" s="102" t="s">
        <v>189</v>
      </c>
      <c r="Q542" s="44"/>
      <c r="R542" s="102" t="s">
        <v>189</v>
      </c>
    </row>
    <row r="543" spans="3:18" ht="12" x14ac:dyDescent="0.25">
      <c r="C543" s="579" t="str">
        <f t="shared" si="139"/>
        <v>Paquete Telmex Negocio Sin Límites 1No Residencial</v>
      </c>
      <c r="D543" s="95">
        <f t="shared" si="140"/>
        <v>13</v>
      </c>
      <c r="E543" s="101" t="str">
        <v>Paquete Telmex Negocio Sin Límites 1</v>
      </c>
      <c r="F543" s="101" t="str">
        <f t="shared" si="136"/>
        <v>No Residencial</v>
      </c>
      <c r="G543" s="101" t="str">
        <f t="shared" si="137"/>
        <v>Telefonía fija + Internet fijo</v>
      </c>
      <c r="H543" s="77" t="s">
        <v>221</v>
      </c>
      <c r="I543" s="111"/>
      <c r="J543" s="111"/>
      <c r="K543" s="111"/>
      <c r="L543" s="110"/>
      <c r="M543" s="110">
        <f t="shared" si="138"/>
        <v>50011.460638966782</v>
      </c>
      <c r="N543" s="110">
        <f t="shared" si="138"/>
        <v>49561.626279985314</v>
      </c>
      <c r="O543" s="44"/>
      <c r="P543" s="102" t="s">
        <v>189</v>
      </c>
      <c r="Q543" s="44"/>
      <c r="R543" s="102" t="s">
        <v>189</v>
      </c>
    </row>
    <row r="544" spans="3:18" ht="12" x14ac:dyDescent="0.25">
      <c r="C544" s="579" t="str">
        <f t="shared" si="139"/>
        <v>Paquete Telmex Negocio Sin Límites 2No Residencial</v>
      </c>
      <c r="D544" s="95">
        <f t="shared" si="140"/>
        <v>14</v>
      </c>
      <c r="E544" s="101" t="str">
        <v>Paquete Telmex Negocio Sin Límites 2</v>
      </c>
      <c r="F544" s="101" t="str">
        <f t="shared" si="136"/>
        <v>No Residencial</v>
      </c>
      <c r="G544" s="101" t="str">
        <f t="shared" si="137"/>
        <v>Telefonía fija + Internet fijo</v>
      </c>
      <c r="H544" s="77" t="s">
        <v>221</v>
      </c>
      <c r="I544" s="111"/>
      <c r="J544" s="111"/>
      <c r="K544" s="111"/>
      <c r="L544" s="110"/>
      <c r="M544" s="110">
        <f t="shared" si="138"/>
        <v>16622.014924012721</v>
      </c>
      <c r="N544" s="110">
        <f t="shared" si="138"/>
        <v>26222.341455987764</v>
      </c>
      <c r="O544" s="44"/>
      <c r="P544" s="102" t="s">
        <v>189</v>
      </c>
      <c r="Q544" s="44"/>
      <c r="R544" s="102" t="s">
        <v>189</v>
      </c>
    </row>
    <row r="545" spans="3:18" ht="12" x14ac:dyDescent="0.25">
      <c r="C545" s="579" t="str">
        <f t="shared" si="139"/>
        <v>Paquete Telmex Negocio Sin Límites 3No Residencial</v>
      </c>
      <c r="D545" s="95">
        <f t="shared" si="140"/>
        <v>15</v>
      </c>
      <c r="E545" s="101" t="str">
        <v>Paquete Telmex Negocio Sin Límites 3</v>
      </c>
      <c r="F545" s="101" t="str">
        <f t="shared" si="136"/>
        <v>No Residencial</v>
      </c>
      <c r="G545" s="101" t="str">
        <f t="shared" si="137"/>
        <v>Telefonía fija + Internet fijo</v>
      </c>
      <c r="H545" s="77" t="s">
        <v>221</v>
      </c>
      <c r="I545" s="111"/>
      <c r="J545" s="111"/>
      <c r="K545" s="111"/>
      <c r="L545" s="110"/>
      <c r="M545" s="110">
        <f t="shared" si="138"/>
        <v>16059.086015841185</v>
      </c>
      <c r="N545" s="110">
        <f t="shared" si="138"/>
        <v>19040.130737668591</v>
      </c>
      <c r="O545" s="44"/>
      <c r="P545" s="102" t="s">
        <v>189</v>
      </c>
      <c r="Q545" s="44"/>
      <c r="R545" s="102" t="s">
        <v>189</v>
      </c>
    </row>
    <row r="546" spans="3:18" ht="12" x14ac:dyDescent="0.25">
      <c r="C546" s="579" t="str">
        <f t="shared" si="139"/>
        <v>Paquete Infinitum Play 20 (Netflix 1 dispositivo)Residencial</v>
      </c>
      <c r="D546" s="95">
        <f t="shared" si="140"/>
        <v>16</v>
      </c>
      <c r="E546" s="101" t="str">
        <v>Paquete Infinitum Play 20 (Netflix 1 dispositivo)</v>
      </c>
      <c r="F546" s="101" t="str">
        <f t="shared" si="136"/>
        <v>Residencial</v>
      </c>
      <c r="G546" s="101" t="str">
        <f t="shared" si="137"/>
        <v>Telefonía fija + Internet fijo</v>
      </c>
      <c r="H546" s="77" t="s">
        <v>221</v>
      </c>
      <c r="I546" s="111"/>
      <c r="J546" s="111"/>
      <c r="K546" s="111"/>
      <c r="L546" s="110"/>
      <c r="M546" s="110">
        <f t="shared" si="138"/>
        <v>175883.61347675804</v>
      </c>
      <c r="N546" s="110">
        <f t="shared" si="138"/>
        <v>137929.85513665105</v>
      </c>
      <c r="O546" s="44"/>
      <c r="P546" s="102" t="s">
        <v>189</v>
      </c>
      <c r="Q546" s="44"/>
      <c r="R546" s="102" t="s">
        <v>189</v>
      </c>
    </row>
    <row r="547" spans="3:18" ht="12" x14ac:dyDescent="0.25">
      <c r="C547" s="579" t="str">
        <f t="shared" si="139"/>
        <v>Paquete Infinitum Play 20 (Netflix 2 dispositivos)Residencial</v>
      </c>
      <c r="D547" s="95">
        <f t="shared" si="140"/>
        <v>17</v>
      </c>
      <c r="E547" s="101" t="str">
        <v>Paquete Infinitum Play 20 (Netflix 2 dispositivos)</v>
      </c>
      <c r="F547" s="101" t="str">
        <f t="shared" si="136"/>
        <v>Residencial</v>
      </c>
      <c r="G547" s="101" t="str">
        <f t="shared" si="137"/>
        <v>Telefonía fija + Internet fijo</v>
      </c>
      <c r="H547" s="77" t="s">
        <v>221</v>
      </c>
      <c r="I547" s="111"/>
      <c r="J547" s="111"/>
      <c r="K547" s="111"/>
      <c r="L547" s="110"/>
      <c r="M547" s="110">
        <f t="shared" si="138"/>
        <v>210985.93320706763</v>
      </c>
      <c r="N547" s="110">
        <f t="shared" si="138"/>
        <v>105712.0765063079</v>
      </c>
      <c r="O547" s="44"/>
      <c r="P547" s="102" t="s">
        <v>189</v>
      </c>
      <c r="Q547" s="44"/>
      <c r="R547" s="102" t="s">
        <v>189</v>
      </c>
    </row>
    <row r="548" spans="3:18" ht="12" x14ac:dyDescent="0.25">
      <c r="C548" s="579" t="str">
        <f t="shared" si="139"/>
        <v>Paquete Infinitum Play 20 (Netflix 4 dispositivos)Residencial</v>
      </c>
      <c r="D548" s="95">
        <f t="shared" si="140"/>
        <v>18</v>
      </c>
      <c r="E548" s="101" t="str">
        <v>Paquete Infinitum Play 20 (Netflix 4 dispositivos)</v>
      </c>
      <c r="F548" s="101" t="str">
        <f t="shared" si="136"/>
        <v>Residencial</v>
      </c>
      <c r="G548" s="101" t="str">
        <f t="shared" si="137"/>
        <v>Telefonía fija + Internet fijo</v>
      </c>
      <c r="H548" s="263" t="s">
        <v>221</v>
      </c>
      <c r="I548" s="111"/>
      <c r="J548" s="111"/>
      <c r="K548" s="111"/>
      <c r="L548" s="110"/>
      <c r="M548" s="110">
        <f t="shared" si="138"/>
        <v>70754.186540545779</v>
      </c>
      <c r="N548" s="110">
        <f t="shared" si="138"/>
        <v>60340.742378543589</v>
      </c>
      <c r="O548" s="44"/>
      <c r="P548" s="102"/>
      <c r="Q548" s="44"/>
      <c r="R548" s="102" t="s">
        <v>189</v>
      </c>
    </row>
    <row r="549" spans="3:18" ht="12" x14ac:dyDescent="0.25">
      <c r="C549" s="579" t="str">
        <f t="shared" si="139"/>
        <v>Paquete Infinitum Play 30 (Netflix 2 dispositivos)Residencial</v>
      </c>
      <c r="D549" s="95">
        <f t="shared" si="140"/>
        <v>19</v>
      </c>
      <c r="E549" s="101" t="str">
        <v>Paquete Infinitum Play 30 (Netflix 2 dispositivos)</v>
      </c>
      <c r="F549" s="101" t="str">
        <f t="shared" si="136"/>
        <v>Residencial</v>
      </c>
      <c r="G549" s="101" t="str">
        <f t="shared" si="137"/>
        <v>Telefonía fija + Internet fijo</v>
      </c>
      <c r="H549" s="263" t="s">
        <v>221</v>
      </c>
      <c r="I549" s="111"/>
      <c r="J549" s="111"/>
      <c r="K549" s="111"/>
      <c r="L549" s="110"/>
      <c r="M549" s="110">
        <f t="shared" si="138"/>
        <v>37893.769102209335</v>
      </c>
      <c r="N549" s="110">
        <f t="shared" si="138"/>
        <v>33653.506925258735</v>
      </c>
      <c r="O549" s="44"/>
      <c r="P549" s="102"/>
      <c r="Q549" s="44"/>
      <c r="R549" s="102" t="s">
        <v>189</v>
      </c>
    </row>
    <row r="550" spans="3:18" ht="12" x14ac:dyDescent="0.25">
      <c r="C550" s="579" t="str">
        <f t="shared" si="139"/>
        <v>Paquete Infinitum Play 30 (Netflix 4 dispositivos)Residencial</v>
      </c>
      <c r="D550" s="95">
        <f t="shared" si="140"/>
        <v>20</v>
      </c>
      <c r="E550" s="101" t="str">
        <v>Paquete Infinitum Play 30 (Netflix 4 dispositivos)</v>
      </c>
      <c r="F550" s="101" t="str">
        <f t="shared" si="136"/>
        <v>Residencial</v>
      </c>
      <c r="G550" s="101" t="str">
        <f t="shared" si="137"/>
        <v>Telefonía fija + Internet fijo</v>
      </c>
      <c r="H550" s="263" t="s">
        <v>221</v>
      </c>
      <c r="I550" s="111"/>
      <c r="J550" s="111"/>
      <c r="K550" s="111"/>
      <c r="L550" s="110"/>
      <c r="M550" s="110">
        <f t="shared" si="138"/>
        <v>14232.020399461942</v>
      </c>
      <c r="N550" s="110">
        <f t="shared" si="138"/>
        <v>16348.028645834953</v>
      </c>
      <c r="O550" s="44"/>
      <c r="P550" s="102"/>
      <c r="Q550" s="44"/>
      <c r="R550" s="102" t="s">
        <v>189</v>
      </c>
    </row>
    <row r="551" spans="3:18" ht="12" x14ac:dyDescent="0.25">
      <c r="C551" s="579" t="str">
        <f t="shared" si="139"/>
        <v>Paquete Infinitum Play 40 (Netflix 2 dispositivos)Residencial</v>
      </c>
      <c r="D551" s="95">
        <f t="shared" si="140"/>
        <v>21</v>
      </c>
      <c r="E551" s="101" t="str">
        <v>Paquete Infinitum Play 40 (Netflix 2 dispositivos)</v>
      </c>
      <c r="F551" s="101" t="str">
        <f t="shared" si="136"/>
        <v>Residencial</v>
      </c>
      <c r="G551" s="101" t="str">
        <f t="shared" si="137"/>
        <v>Telefonía fija + Internet fijo</v>
      </c>
      <c r="H551" s="263" t="s">
        <v>221</v>
      </c>
      <c r="I551" s="111"/>
      <c r="J551" s="111"/>
      <c r="K551" s="111"/>
      <c r="L551" s="110"/>
      <c r="M551" s="110">
        <f t="shared" ref="M551:N570" si="141">IFERROR(VLOOKUP($C551,AEP.broadband.subs.by.plan,M$528,FALSE),0)</f>
        <v>13661.954516226428</v>
      </c>
      <c r="N551" s="110">
        <f t="shared" si="141"/>
        <v>8234.2453110509778</v>
      </c>
      <c r="O551" s="44"/>
      <c r="P551" s="102"/>
      <c r="Q551" s="44"/>
      <c r="R551" s="102" t="s">
        <v>189</v>
      </c>
    </row>
    <row r="552" spans="3:18" ht="12" x14ac:dyDescent="0.25">
      <c r="C552" s="579" t="str">
        <f t="shared" si="139"/>
        <v>Paquete Infinitum Play 40 (Netflix 4 dispositivos)Residencial</v>
      </c>
      <c r="D552" s="95">
        <f t="shared" si="140"/>
        <v>22</v>
      </c>
      <c r="E552" s="101" t="str">
        <v>Paquete Infinitum Play 40 (Netflix 4 dispositivos)</v>
      </c>
      <c r="F552" s="101" t="str">
        <f t="shared" si="136"/>
        <v>Residencial</v>
      </c>
      <c r="G552" s="101" t="str">
        <f t="shared" si="137"/>
        <v>Telefonía fija + Internet fijo</v>
      </c>
      <c r="H552" s="263" t="s">
        <v>221</v>
      </c>
      <c r="I552" s="111"/>
      <c r="J552" s="111"/>
      <c r="K552" s="111"/>
      <c r="L552" s="110"/>
      <c r="M552" s="110">
        <f t="shared" si="141"/>
        <v>6094.9767046401303</v>
      </c>
      <c r="N552" s="110">
        <f t="shared" si="141"/>
        <v>4417.8314407253347</v>
      </c>
      <c r="O552" s="44"/>
      <c r="P552" s="102"/>
      <c r="Q552" s="44"/>
      <c r="R552" s="102" t="s">
        <v>189</v>
      </c>
    </row>
    <row r="553" spans="3:18" ht="12" x14ac:dyDescent="0.25">
      <c r="C553" s="579" t="str">
        <f t="shared" si="139"/>
        <v>Paquete Infinitum Play 150 (Netflix 4 dispositivos)Residencial</v>
      </c>
      <c r="D553" s="95">
        <f t="shared" si="140"/>
        <v>23</v>
      </c>
      <c r="E553" s="101" t="str">
        <v>Paquete Infinitum Play 150 (Netflix 4 dispositivos)</v>
      </c>
      <c r="F553" s="101" t="str">
        <f t="shared" si="136"/>
        <v>Residencial</v>
      </c>
      <c r="G553" s="101" t="str">
        <f t="shared" si="137"/>
        <v>Telefonía fija + Internet fijo</v>
      </c>
      <c r="H553" s="263" t="s">
        <v>221</v>
      </c>
      <c r="I553" s="111"/>
      <c r="J553" s="111"/>
      <c r="K553" s="111"/>
      <c r="L553" s="110"/>
      <c r="M553" s="110">
        <f t="shared" si="141"/>
        <v>52986.687118764035</v>
      </c>
      <c r="N553" s="110">
        <f t="shared" si="141"/>
        <v>35718.314429568658</v>
      </c>
      <c r="O553" s="44"/>
      <c r="P553" s="102"/>
      <c r="Q553" s="44"/>
      <c r="R553" s="102" t="s">
        <v>189</v>
      </c>
    </row>
    <row r="554" spans="3:18" ht="12" x14ac:dyDescent="0.25">
      <c r="C554" s="579" t="str">
        <f t="shared" si="139"/>
        <v>Paquete Infinitum Play 150 (Netflix 2 dispositivos)Residencial</v>
      </c>
      <c r="D554" s="95">
        <f t="shared" si="140"/>
        <v>24</v>
      </c>
      <c r="E554" s="101" t="str">
        <v>Paquete Infinitum Play 150 (Netflix 2 dispositivos)</v>
      </c>
      <c r="F554" s="101" t="str">
        <f t="shared" si="136"/>
        <v>Residencial</v>
      </c>
      <c r="G554" s="101" t="str">
        <f t="shared" si="137"/>
        <v>Telefonía fija + Internet fijo</v>
      </c>
      <c r="H554" s="263" t="s">
        <v>221</v>
      </c>
      <c r="I554" s="111"/>
      <c r="J554" s="111"/>
      <c r="K554" s="111"/>
      <c r="L554" s="110"/>
      <c r="M554" s="110">
        <f t="shared" si="141"/>
        <v>7574.1147866502788</v>
      </c>
      <c r="N554" s="110">
        <f t="shared" si="141"/>
        <v>5883.8983074414982</v>
      </c>
      <c r="O554" s="44"/>
      <c r="P554" s="102"/>
      <c r="Q554" s="44"/>
      <c r="R554" s="102" t="s">
        <v>189</v>
      </c>
    </row>
    <row r="555" spans="3:18" ht="12" x14ac:dyDescent="0.25">
      <c r="C555" s="579" t="str">
        <f t="shared" si="139"/>
        <v>Paquete Infinitum Netflix 500 (Netflix 4 dispositivos)Residencial</v>
      </c>
      <c r="D555" s="95">
        <f t="shared" si="140"/>
        <v>25</v>
      </c>
      <c r="E555" s="101" t="str">
        <v>Paquete Infinitum Netflix 500 (Netflix 4 dispositivos)</v>
      </c>
      <c r="F555" s="101" t="str">
        <f t="shared" si="136"/>
        <v>Residencial</v>
      </c>
      <c r="G555" s="101" t="str">
        <f t="shared" si="137"/>
        <v>Telefonía fija + Internet fijo</v>
      </c>
      <c r="H555" s="263" t="s">
        <v>221</v>
      </c>
      <c r="I555" s="111"/>
      <c r="J555" s="111"/>
      <c r="K555" s="111"/>
      <c r="L555" s="110"/>
      <c r="M555" s="110">
        <f t="shared" si="141"/>
        <v>2918.1306792854016</v>
      </c>
      <c r="N555" s="110">
        <f t="shared" si="141"/>
        <v>2773.302386946948</v>
      </c>
      <c r="O555" s="44"/>
      <c r="P555" s="102"/>
      <c r="Q555" s="44"/>
      <c r="R555" s="102" t="s">
        <v>189</v>
      </c>
    </row>
    <row r="556" spans="3:18" ht="12" x14ac:dyDescent="0.25">
      <c r="C556" s="579" t="str">
        <f t="shared" si="139"/>
        <v>Paquete Infinitum Netflix 500 (Netflix 2 dispositivos)Residencial</v>
      </c>
      <c r="D556" s="95">
        <f t="shared" si="140"/>
        <v>26</v>
      </c>
      <c r="E556" s="101" t="str">
        <v>Paquete Infinitum Netflix 500 (Netflix 2 dispositivos)</v>
      </c>
      <c r="F556" s="101" t="str">
        <f t="shared" si="136"/>
        <v>Residencial</v>
      </c>
      <c r="G556" s="101" t="str">
        <f t="shared" si="137"/>
        <v>Telefonía fija + Internet fijo</v>
      </c>
      <c r="H556" s="263" t="s">
        <v>221</v>
      </c>
      <c r="I556" s="111"/>
      <c r="J556" s="111"/>
      <c r="K556" s="111"/>
      <c r="L556" s="110"/>
      <c r="M556" s="110">
        <f t="shared" si="141"/>
        <v>492.45127941471782</v>
      </c>
      <c r="N556" s="110">
        <f t="shared" si="141"/>
        <v>562.15588924600297</v>
      </c>
      <c r="O556" s="44"/>
      <c r="P556" s="102"/>
      <c r="Q556" s="44"/>
      <c r="R556" s="102" t="s">
        <v>189</v>
      </c>
    </row>
    <row r="557" spans="3:18" ht="12" x14ac:dyDescent="0.25">
      <c r="C557" s="579" t="str">
        <f t="shared" si="139"/>
        <v>Paquete Conectes Negocio Netflix (Netflix 1 dispositivo)No Residencial</v>
      </c>
      <c r="D557" s="95">
        <f t="shared" si="140"/>
        <v>27</v>
      </c>
      <c r="E557" s="101" t="str">
        <v>Paquete Conectes Negocio Netflix (Netflix 1 dispositivo)</v>
      </c>
      <c r="F557" s="101" t="str">
        <f t="shared" si="136"/>
        <v>No Residencial</v>
      </c>
      <c r="G557" s="101" t="str">
        <f t="shared" si="137"/>
        <v>Telefonía fija + Internet fijo</v>
      </c>
      <c r="H557" s="263" t="s">
        <v>221</v>
      </c>
      <c r="I557" s="111"/>
      <c r="J557" s="111"/>
      <c r="K557" s="111"/>
      <c r="L557" s="110"/>
      <c r="M557" s="110">
        <f t="shared" si="141"/>
        <v>2075.967621735595</v>
      </c>
      <c r="N557" s="110">
        <f t="shared" si="141"/>
        <v>2278.0698178492789</v>
      </c>
      <c r="O557" s="44"/>
      <c r="P557" s="102"/>
      <c r="Q557" s="44"/>
      <c r="R557" s="102" t="s">
        <v>189</v>
      </c>
    </row>
    <row r="558" spans="3:18" ht="12" x14ac:dyDescent="0.25">
      <c r="C558" s="579" t="str">
        <f t="shared" si="139"/>
        <v>Paquete Conectes Negocio Netflix (Netflix 2 dispositivos)No Residencial</v>
      </c>
      <c r="D558" s="95">
        <f t="shared" si="140"/>
        <v>28</v>
      </c>
      <c r="E558" s="101" t="str">
        <v>Paquete Conectes Negocio Netflix (Netflix 2 dispositivos)</v>
      </c>
      <c r="F558" s="101" t="str">
        <f t="shared" si="136"/>
        <v>No Residencial</v>
      </c>
      <c r="G558" s="101" t="str">
        <f t="shared" si="137"/>
        <v>Telefonía fija + Internet fijo</v>
      </c>
      <c r="H558" s="263" t="s">
        <v>221</v>
      </c>
      <c r="I558" s="111"/>
      <c r="J558" s="111"/>
      <c r="K558" s="111"/>
      <c r="L558" s="110"/>
      <c r="M558" s="110">
        <f t="shared" si="141"/>
        <v>1115.1523537470964</v>
      </c>
      <c r="N558" s="110">
        <f t="shared" si="141"/>
        <v>1263.51228440054</v>
      </c>
      <c r="O558" s="44"/>
      <c r="P558" s="102"/>
      <c r="Q558" s="44"/>
      <c r="R558" s="102" t="s">
        <v>189</v>
      </c>
    </row>
    <row r="559" spans="3:18" ht="12" x14ac:dyDescent="0.25">
      <c r="C559" s="579" t="str">
        <f t="shared" si="139"/>
        <v>Paquete Conectes Negocio Netflix (Netflix 4 dispositivos)No Residencial</v>
      </c>
      <c r="D559" s="95">
        <f t="shared" si="140"/>
        <v>29</v>
      </c>
      <c r="E559" s="101" t="str">
        <v>Paquete Conectes Negocio Netflix (Netflix 4 dispositivos)</v>
      </c>
      <c r="F559" s="101" t="str">
        <f t="shared" si="136"/>
        <v>No Residencial</v>
      </c>
      <c r="G559" s="101" t="str">
        <f t="shared" si="137"/>
        <v>Telefonía fija + Internet fijo</v>
      </c>
      <c r="H559" s="263" t="s">
        <v>221</v>
      </c>
      <c r="I559" s="111"/>
      <c r="J559" s="111"/>
      <c r="K559" s="111"/>
      <c r="L559" s="110"/>
      <c r="M559" s="110">
        <f t="shared" si="141"/>
        <v>633.40653692835076</v>
      </c>
      <c r="N559" s="110">
        <f t="shared" si="141"/>
        <v>707.60257170171496</v>
      </c>
      <c r="O559" s="44"/>
      <c r="P559" s="102"/>
      <c r="Q559" s="44"/>
      <c r="R559" s="102" t="s">
        <v>189</v>
      </c>
    </row>
    <row r="560" spans="3:18" ht="12" x14ac:dyDescent="0.25">
      <c r="C560" s="579" t="str">
        <f t="shared" si="139"/>
        <v>Paquete Mi Negocio Netflix (Netflix 2 dispositivos)No Residencial</v>
      </c>
      <c r="D560" s="95">
        <f t="shared" si="140"/>
        <v>30</v>
      </c>
      <c r="E560" s="101" t="str">
        <v>Paquete Mi Negocio Netflix (Netflix 2 dispositivos)</v>
      </c>
      <c r="F560" s="101" t="str">
        <f t="shared" si="136"/>
        <v>No Residencial</v>
      </c>
      <c r="G560" s="101" t="str">
        <f t="shared" si="137"/>
        <v>Telefonía fija + Internet fijo</v>
      </c>
      <c r="H560" s="263" t="s">
        <v>221</v>
      </c>
      <c r="I560" s="111"/>
      <c r="J560" s="111"/>
      <c r="K560" s="111"/>
      <c r="L560" s="110"/>
      <c r="M560" s="110">
        <f t="shared" si="141"/>
        <v>968.84436493547742</v>
      </c>
      <c r="N560" s="110">
        <f t="shared" si="141"/>
        <v>1239.4198891471399</v>
      </c>
      <c r="O560" s="44"/>
      <c r="P560" s="102"/>
      <c r="Q560" s="44"/>
      <c r="R560" s="102" t="s">
        <v>189</v>
      </c>
    </row>
    <row r="561" spans="3:18" ht="12" x14ac:dyDescent="0.25">
      <c r="C561" s="579" t="str">
        <f t="shared" si="139"/>
        <v>Paquete Mi Negocio Netflix (Netflix 4 dispositivos)No Residencial</v>
      </c>
      <c r="D561" s="95">
        <f t="shared" si="140"/>
        <v>31</v>
      </c>
      <c r="E561" s="101" t="str">
        <v>Paquete Mi Negocio Netflix (Netflix 4 dispositivos)</v>
      </c>
      <c r="F561" s="101" t="str">
        <f t="shared" si="136"/>
        <v>No Residencial</v>
      </c>
      <c r="G561" s="101" t="str">
        <f t="shared" si="137"/>
        <v>Telefonía fija + Internet fijo</v>
      </c>
      <c r="H561" s="263" t="s">
        <v>221</v>
      </c>
      <c r="I561" s="111"/>
      <c r="J561" s="111"/>
      <c r="K561" s="111"/>
      <c r="L561" s="110"/>
      <c r="M561" s="110">
        <f t="shared" si="141"/>
        <v>659.2780715352834</v>
      </c>
      <c r="N561" s="110">
        <f t="shared" si="141"/>
        <v>745.07963098478172</v>
      </c>
      <c r="O561" s="44"/>
      <c r="P561" s="102"/>
      <c r="Q561" s="44"/>
      <c r="R561" s="102" t="s">
        <v>189</v>
      </c>
    </row>
    <row r="562" spans="3:18" ht="12" x14ac:dyDescent="0.25">
      <c r="C562" s="579" t="str">
        <f t="shared" si="139"/>
        <v>Paquete Supernegocio Netflix (Netflix 2 dispositivos)No Residencial</v>
      </c>
      <c r="D562" s="95">
        <f t="shared" si="140"/>
        <v>32</v>
      </c>
      <c r="E562" s="101" t="str">
        <v>Paquete Supernegocio Netflix (Netflix 2 dispositivos)</v>
      </c>
      <c r="F562" s="101" t="str">
        <f t="shared" si="136"/>
        <v>No Residencial</v>
      </c>
      <c r="G562" s="101" t="str">
        <f t="shared" si="137"/>
        <v>Telefonía fija + Internet fijo</v>
      </c>
      <c r="H562" s="263" t="s">
        <v>221</v>
      </c>
      <c r="I562" s="111"/>
      <c r="J562" s="111"/>
      <c r="K562" s="111"/>
      <c r="L562" s="110"/>
      <c r="M562" s="110">
        <f t="shared" si="141"/>
        <v>1213.2857608768409</v>
      </c>
      <c r="N562" s="110">
        <f t="shared" si="141"/>
        <v>1161.7888377750728</v>
      </c>
      <c r="O562" s="44"/>
      <c r="P562" s="102"/>
      <c r="Q562" s="44"/>
      <c r="R562" s="102" t="s">
        <v>189</v>
      </c>
    </row>
    <row r="563" spans="3:18" ht="12" x14ac:dyDescent="0.25">
      <c r="C563" s="579" t="str">
        <f t="shared" si="139"/>
        <v>Paquete Supernegocio Netflix (Netflix 4 dispositivos)No Residencial</v>
      </c>
      <c r="D563" s="95">
        <f t="shared" si="140"/>
        <v>33</v>
      </c>
      <c r="E563" s="101" t="str">
        <v>Paquete Supernegocio Netflix (Netflix 4 dispositivos)</v>
      </c>
      <c r="F563" s="101" t="str">
        <f t="shared" si="136"/>
        <v>No Residencial</v>
      </c>
      <c r="G563" s="101" t="str">
        <f t="shared" si="137"/>
        <v>Telefonía fija + Internet fijo</v>
      </c>
      <c r="H563" s="263" t="s">
        <v>221</v>
      </c>
      <c r="I563" s="111"/>
      <c r="J563" s="111"/>
      <c r="K563" s="111"/>
      <c r="L563" s="110"/>
      <c r="M563" s="110">
        <f t="shared" si="141"/>
        <v>1217.7463702918294</v>
      </c>
      <c r="N563" s="110">
        <f t="shared" si="141"/>
        <v>977.08047416567183</v>
      </c>
      <c r="O563" s="44"/>
      <c r="P563" s="102"/>
      <c r="Q563" s="44"/>
      <c r="R563" s="102" t="s">
        <v>189</v>
      </c>
    </row>
    <row r="564" spans="3:18" ht="12" x14ac:dyDescent="0.25">
      <c r="C564" s="579" t="str">
        <f t="shared" si="139"/>
        <v>Paquete Infinitum Entretenimiento 30Residencial</v>
      </c>
      <c r="D564" s="95">
        <f t="shared" si="140"/>
        <v>34</v>
      </c>
      <c r="E564" s="101" t="str">
        <v>Paquete Infinitum Entretenimiento 30</v>
      </c>
      <c r="F564" s="101" t="str">
        <f t="shared" si="136"/>
        <v>Residencial</v>
      </c>
      <c r="G564" s="101" t="str">
        <f t="shared" si="137"/>
        <v>Telefonía fija + Internet fijo</v>
      </c>
      <c r="H564" s="263" t="s">
        <v>221</v>
      </c>
      <c r="I564" s="111"/>
      <c r="J564" s="111"/>
      <c r="K564" s="111"/>
      <c r="L564" s="110"/>
      <c r="M564" s="110">
        <f t="shared" si="141"/>
        <v>52598.614099660044</v>
      </c>
      <c r="N564" s="110">
        <f t="shared" si="141"/>
        <v>458913.72940863628</v>
      </c>
      <c r="O564" s="44"/>
      <c r="P564" s="102"/>
      <c r="Q564" s="44"/>
      <c r="R564" s="102" t="s">
        <v>189</v>
      </c>
    </row>
    <row r="565" spans="3:18" ht="12" x14ac:dyDescent="0.25">
      <c r="C565" s="579" t="str">
        <f t="shared" si="139"/>
        <v>Paquete Infinitum  Entretenimiento 40Residencial</v>
      </c>
      <c r="D565" s="95">
        <f t="shared" si="140"/>
        <v>35</v>
      </c>
      <c r="E565" s="101" t="str">
        <v>Paquete Infinitum  Entretenimiento 40</v>
      </c>
      <c r="F565" s="101" t="str">
        <f t="shared" si="136"/>
        <v>Residencial</v>
      </c>
      <c r="G565" s="101" t="str">
        <f t="shared" si="137"/>
        <v>Telefonía fija + Internet fijo</v>
      </c>
      <c r="H565" s="263" t="s">
        <v>221</v>
      </c>
      <c r="I565" s="111"/>
      <c r="J565" s="111"/>
      <c r="K565" s="111"/>
      <c r="L565" s="110"/>
      <c r="M565" s="110">
        <f t="shared" si="141"/>
        <v>9361.0349182946266</v>
      </c>
      <c r="N565" s="110">
        <f t="shared" si="141"/>
        <v>36028.838635056927</v>
      </c>
      <c r="O565" s="44"/>
      <c r="P565" s="102"/>
      <c r="Q565" s="44"/>
      <c r="R565" s="102" t="s">
        <v>189</v>
      </c>
    </row>
    <row r="566" spans="3:18" ht="12" x14ac:dyDescent="0.25">
      <c r="C566" s="579" t="str">
        <f t="shared" si="139"/>
        <v>Paquete Infinitum Entretenimiento 50Residencial</v>
      </c>
      <c r="D566" s="95">
        <f t="shared" si="140"/>
        <v>36</v>
      </c>
      <c r="E566" s="101" t="str">
        <v>Paquete Infinitum Entretenimiento 50</v>
      </c>
      <c r="F566" s="101" t="str">
        <f t="shared" si="136"/>
        <v>Residencial</v>
      </c>
      <c r="G566" s="101" t="str">
        <f t="shared" si="137"/>
        <v>Telefonía fija + Internet fijo</v>
      </c>
      <c r="H566" s="263" t="s">
        <v>221</v>
      </c>
      <c r="I566" s="111"/>
      <c r="J566" s="111"/>
      <c r="K566" s="111"/>
      <c r="L566" s="110"/>
      <c r="M566" s="110">
        <f t="shared" si="141"/>
        <v>5387.5240514229727</v>
      </c>
      <c r="N566" s="110">
        <f t="shared" si="141"/>
        <v>21279.831185299492</v>
      </c>
      <c r="O566" s="44"/>
      <c r="P566" s="102"/>
      <c r="Q566" s="44"/>
      <c r="R566" s="102" t="s">
        <v>189</v>
      </c>
    </row>
    <row r="567" spans="3:18" ht="12" x14ac:dyDescent="0.25">
      <c r="C567" s="579" t="str">
        <f t="shared" si="139"/>
        <v>Paquete Infinitum Entretenimiento 250Residencial</v>
      </c>
      <c r="D567" s="95">
        <f t="shared" si="140"/>
        <v>37</v>
      </c>
      <c r="E567" s="101" t="str">
        <v>Paquete Infinitum Entretenimiento 250</v>
      </c>
      <c r="F567" s="101" t="str">
        <f t="shared" si="136"/>
        <v>Residencial</v>
      </c>
      <c r="G567" s="101" t="str">
        <f t="shared" si="137"/>
        <v>Telefonía fija + Internet fijo</v>
      </c>
      <c r="H567" s="263" t="s">
        <v>221</v>
      </c>
      <c r="I567" s="111"/>
      <c r="J567" s="111"/>
      <c r="K567" s="111"/>
      <c r="L567" s="110"/>
      <c r="M567" s="110">
        <f t="shared" si="141"/>
        <v>14001.852953648544</v>
      </c>
      <c r="N567" s="110">
        <f t="shared" si="141"/>
        <v>69853.669259895396</v>
      </c>
      <c r="O567" s="44"/>
      <c r="P567" s="102"/>
      <c r="Q567" s="44"/>
      <c r="R567" s="102" t="s">
        <v>189</v>
      </c>
    </row>
    <row r="568" spans="3:18" ht="12" x14ac:dyDescent="0.25">
      <c r="C568" s="579" t="str">
        <f t="shared" si="139"/>
        <v>Paquete Infinitum Entretenimiento 500Residencial</v>
      </c>
      <c r="D568" s="95">
        <f t="shared" si="140"/>
        <v>38</v>
      </c>
      <c r="E568" s="101" t="str">
        <v>Paquete Infinitum Entretenimiento 500</v>
      </c>
      <c r="F568" s="101" t="str">
        <f t="shared" si="136"/>
        <v>Residencial</v>
      </c>
      <c r="G568" s="101" t="str">
        <f t="shared" si="137"/>
        <v>Telefonía fija + Internet fijo</v>
      </c>
      <c r="H568" s="263" t="s">
        <v>221</v>
      </c>
      <c r="I568" s="111"/>
      <c r="J568" s="111"/>
      <c r="K568" s="111"/>
      <c r="L568" s="110"/>
      <c r="M568" s="110">
        <f t="shared" si="141"/>
        <v>2305.2429456659979</v>
      </c>
      <c r="N568" s="110">
        <f t="shared" si="141"/>
        <v>8124.4910660077103</v>
      </c>
      <c r="O568" s="44"/>
      <c r="P568" s="102"/>
      <c r="Q568" s="44"/>
      <c r="R568" s="102" t="s">
        <v>189</v>
      </c>
    </row>
    <row r="569" spans="3:18" ht="12" x14ac:dyDescent="0.25">
      <c r="C569" s="579" t="str">
        <f t="shared" si="139"/>
        <v>Paquete infinitum Entretenimiento+ 30  (Netflix 1 dispositivo)Residencial</v>
      </c>
      <c r="D569" s="95">
        <f t="shared" si="140"/>
        <v>39</v>
      </c>
      <c r="E569" s="101" t="str">
        <v>Paquete infinitum Entretenimiento+ 30  (Netflix 1 dispositivo)</v>
      </c>
      <c r="F569" s="101" t="str">
        <f t="shared" si="136"/>
        <v>Residencial</v>
      </c>
      <c r="G569" s="101" t="str">
        <f t="shared" si="137"/>
        <v>Telefonía fija + Internet fijo</v>
      </c>
      <c r="H569" s="263" t="s">
        <v>221</v>
      </c>
      <c r="I569" s="111"/>
      <c r="J569" s="111"/>
      <c r="K569" s="111"/>
      <c r="L569" s="110"/>
      <c r="M569" s="110">
        <f t="shared" si="141"/>
        <v>7553.5959833413326</v>
      </c>
      <c r="N569" s="110">
        <f t="shared" si="141"/>
        <v>27186.92957705908</v>
      </c>
      <c r="O569" s="44"/>
      <c r="P569" s="102"/>
      <c r="Q569" s="44"/>
      <c r="R569" s="102" t="s">
        <v>189</v>
      </c>
    </row>
    <row r="570" spans="3:18" ht="12" x14ac:dyDescent="0.25">
      <c r="C570" s="579" t="str">
        <f t="shared" si="139"/>
        <v>Paquete infinitum Entretenimiento+ 30  (Netflix 2 dispositivos)Residencial</v>
      </c>
      <c r="D570" s="95">
        <f t="shared" si="140"/>
        <v>40</v>
      </c>
      <c r="E570" s="101" t="str">
        <v>Paquete infinitum Entretenimiento+ 30  (Netflix 2 dispositivos)</v>
      </c>
      <c r="F570" s="101" t="str">
        <f t="shared" si="136"/>
        <v>Residencial</v>
      </c>
      <c r="G570" s="101" t="str">
        <f t="shared" si="137"/>
        <v>Telefonía fija + Internet fijo</v>
      </c>
      <c r="H570" s="263" t="s">
        <v>221</v>
      </c>
      <c r="I570" s="111"/>
      <c r="J570" s="111"/>
      <c r="K570" s="111"/>
      <c r="L570" s="110"/>
      <c r="M570" s="110">
        <f t="shared" si="141"/>
        <v>7574.1147866502788</v>
      </c>
      <c r="N570" s="110">
        <f t="shared" si="141"/>
        <v>35081.20442175652</v>
      </c>
      <c r="O570" s="44"/>
      <c r="P570" s="102"/>
      <c r="Q570" s="44"/>
      <c r="R570" s="102" t="s">
        <v>189</v>
      </c>
    </row>
    <row r="571" spans="3:18" ht="12" x14ac:dyDescent="0.25">
      <c r="C571" s="579" t="str">
        <f t="shared" si="139"/>
        <v>Paquete infinitum Entretenimiento+ 30  (Netflix 4 dispositivos)Residencial</v>
      </c>
      <c r="D571" s="95">
        <f t="shared" si="140"/>
        <v>41</v>
      </c>
      <c r="E571" s="101" t="str">
        <v>Paquete infinitum Entretenimiento+ 30  (Netflix 4 dispositivos)</v>
      </c>
      <c r="F571" s="101" t="str">
        <f t="shared" si="136"/>
        <v>Residencial</v>
      </c>
      <c r="G571" s="101" t="str">
        <f t="shared" si="137"/>
        <v>Telefonía fija + Internet fijo</v>
      </c>
      <c r="H571" s="263" t="s">
        <v>221</v>
      </c>
      <c r="I571" s="111"/>
      <c r="J571" s="111"/>
      <c r="K571" s="111"/>
      <c r="L571" s="110"/>
      <c r="M571" s="110">
        <f t="shared" ref="M571:N592" si="142">IFERROR(VLOOKUP($C571,AEP.broadband.subs.by.plan,M$528,FALSE),0)</f>
        <v>5317.9385445491534</v>
      </c>
      <c r="N571" s="110">
        <f t="shared" si="142"/>
        <v>28098.871352947041</v>
      </c>
      <c r="O571" s="44"/>
      <c r="P571" s="102"/>
      <c r="Q571" s="44"/>
      <c r="R571" s="102" t="s">
        <v>189</v>
      </c>
    </row>
    <row r="572" spans="3:18" ht="12" x14ac:dyDescent="0.25">
      <c r="C572" s="579" t="str">
        <f t="shared" si="139"/>
        <v>Paquete Infinitum Entretenimiento+ 70   (Netflix 2 dispositivos)Residencial</v>
      </c>
      <c r="D572" s="95">
        <f t="shared" si="140"/>
        <v>42</v>
      </c>
      <c r="E572" s="101" t="str">
        <v>Paquete Infinitum Entretenimiento+ 70   (Netflix 2 dispositivos)</v>
      </c>
      <c r="F572" s="101" t="str">
        <f t="shared" si="136"/>
        <v>Residencial</v>
      </c>
      <c r="G572" s="101" t="str">
        <f t="shared" si="137"/>
        <v>Telefonía fija + Internet fijo</v>
      </c>
      <c r="H572" s="263" t="s">
        <v>221</v>
      </c>
      <c r="I572" s="111"/>
      <c r="J572" s="111"/>
      <c r="K572" s="111"/>
      <c r="L572" s="110"/>
      <c r="M572" s="110">
        <f t="shared" si="142"/>
        <v>3489.0886844039155</v>
      </c>
      <c r="N572" s="110">
        <f t="shared" si="142"/>
        <v>10733.608240857413</v>
      </c>
      <c r="O572" s="44"/>
      <c r="P572" s="102"/>
      <c r="Q572" s="44"/>
      <c r="R572" s="102" t="s">
        <v>189</v>
      </c>
    </row>
    <row r="573" spans="3:18" ht="12" x14ac:dyDescent="0.25">
      <c r="C573" s="579" t="str">
        <f t="shared" si="139"/>
        <v>Paquete Infinitum Entretenimiento+ 70   (Netflix 4 dispositivos)Residencial</v>
      </c>
      <c r="D573" s="95">
        <f t="shared" si="140"/>
        <v>43</v>
      </c>
      <c r="E573" s="101" t="str">
        <v>Paquete Infinitum Entretenimiento+ 70   (Netflix 4 dispositivos)</v>
      </c>
      <c r="F573" s="101" t="str">
        <f t="shared" si="136"/>
        <v>Residencial</v>
      </c>
      <c r="G573" s="101" t="str">
        <f t="shared" si="137"/>
        <v>Telefonía fija + Internet fijo</v>
      </c>
      <c r="H573" s="263" t="s">
        <v>221</v>
      </c>
      <c r="I573" s="111"/>
      <c r="J573" s="111"/>
      <c r="K573" s="111"/>
      <c r="L573" s="110"/>
      <c r="M573" s="110">
        <f t="shared" si="142"/>
        <v>2042.066990181683</v>
      </c>
      <c r="N573" s="110">
        <f t="shared" si="142"/>
        <v>4458.8777437496456</v>
      </c>
      <c r="O573" s="44"/>
      <c r="P573" s="102"/>
      <c r="Q573" s="44"/>
      <c r="R573" s="102" t="s">
        <v>189</v>
      </c>
    </row>
    <row r="574" spans="3:18" ht="12" x14ac:dyDescent="0.25">
      <c r="C574" s="579" t="str">
        <f t="shared" si="139"/>
        <v>Paquete Infinitum Entretenimiento+ 120    (Netflix 2 dispositivos)Residencial</v>
      </c>
      <c r="D574" s="95">
        <f t="shared" si="140"/>
        <v>44</v>
      </c>
      <c r="E574" s="101" t="str">
        <v>Paquete Infinitum Entretenimiento+ 120    (Netflix 2 dispositivos)</v>
      </c>
      <c r="F574" s="101" t="str">
        <f t="shared" si="136"/>
        <v>Residencial</v>
      </c>
      <c r="G574" s="101" t="str">
        <f t="shared" si="137"/>
        <v>Telefonía fija + Internet fijo</v>
      </c>
      <c r="H574" s="263" t="s">
        <v>221</v>
      </c>
      <c r="I574" s="111"/>
      <c r="J574" s="111"/>
      <c r="K574" s="111"/>
      <c r="L574" s="110"/>
      <c r="M574" s="110">
        <f t="shared" si="142"/>
        <v>1321.2325087195597</v>
      </c>
      <c r="N574" s="110">
        <f t="shared" si="142"/>
        <v>4271.4924473343117</v>
      </c>
      <c r="O574" s="44"/>
      <c r="P574" s="102"/>
      <c r="Q574" s="44"/>
      <c r="R574" s="102" t="s">
        <v>189</v>
      </c>
    </row>
    <row r="575" spans="3:18" ht="12" x14ac:dyDescent="0.25">
      <c r="C575" s="579" t="str">
        <f t="shared" si="139"/>
        <v>Paquete Infinitum Entretenimiento+ 120    (Netflix 4 dispositivos)Residencial</v>
      </c>
      <c r="D575" s="95">
        <f t="shared" si="140"/>
        <v>45</v>
      </c>
      <c r="E575" s="101" t="str">
        <v>Paquete Infinitum Entretenimiento+ 120    (Netflix 4 dispositivos)</v>
      </c>
      <c r="F575" s="101" t="str">
        <f t="shared" si="136"/>
        <v>Residencial</v>
      </c>
      <c r="G575" s="101" t="str">
        <f t="shared" si="137"/>
        <v>Telefonía fija + Internet fijo</v>
      </c>
      <c r="H575" s="263" t="s">
        <v>221</v>
      </c>
      <c r="I575" s="111"/>
      <c r="J575" s="111"/>
      <c r="K575" s="111"/>
      <c r="L575" s="110"/>
      <c r="M575" s="110">
        <f t="shared" si="142"/>
        <v>878.74005475271201</v>
      </c>
      <c r="N575" s="110">
        <f t="shared" si="142"/>
        <v>3227.4886530203062</v>
      </c>
      <c r="O575" s="44"/>
      <c r="P575" s="102"/>
      <c r="Q575" s="44"/>
      <c r="R575" s="102" t="s">
        <v>189</v>
      </c>
    </row>
    <row r="576" spans="3:18" ht="12" x14ac:dyDescent="0.25">
      <c r="C576" s="579" t="str">
        <f t="shared" si="139"/>
        <v>Paquete infinitum Entretenimiento+ 200  (Netflix 4 dispositivos)Residencial</v>
      </c>
      <c r="D576" s="95">
        <f t="shared" si="140"/>
        <v>46</v>
      </c>
      <c r="E576" s="101" t="str">
        <v>Paquete infinitum Entretenimiento+ 200  (Netflix 4 dispositivos)</v>
      </c>
      <c r="F576" s="101" t="str">
        <f t="shared" si="136"/>
        <v>Residencial</v>
      </c>
      <c r="G576" s="101" t="str">
        <f t="shared" si="137"/>
        <v>Telefonía fija + Internet fijo</v>
      </c>
      <c r="H576" s="263" t="s">
        <v>221</v>
      </c>
      <c r="I576" s="111"/>
      <c r="J576" s="111"/>
      <c r="K576" s="111"/>
      <c r="L576" s="110"/>
      <c r="M576" s="110">
        <f t="shared" si="142"/>
        <v>6019.1463445853278</v>
      </c>
      <c r="N576" s="110">
        <f t="shared" si="142"/>
        <v>20226.011970697065</v>
      </c>
      <c r="O576" s="44"/>
      <c r="P576" s="102"/>
      <c r="Q576" s="44"/>
      <c r="R576" s="102" t="s">
        <v>189</v>
      </c>
    </row>
    <row r="577" spans="3:18" ht="12" x14ac:dyDescent="0.25">
      <c r="C577" s="579" t="str">
        <f t="shared" si="139"/>
        <v>Paquete infinitum Entretenimiento+ 200  (Netflix 2 dispositivos)Residencial</v>
      </c>
      <c r="D577" s="95">
        <f t="shared" si="140"/>
        <v>47</v>
      </c>
      <c r="E577" s="101" t="str">
        <v>Paquete infinitum Entretenimiento+ 200  (Netflix 2 dispositivos)</v>
      </c>
      <c r="F577" s="101" t="str">
        <f t="shared" si="136"/>
        <v>Residencial</v>
      </c>
      <c r="G577" s="101" t="str">
        <f t="shared" si="137"/>
        <v>Telefonía fija + Internet fijo</v>
      </c>
      <c r="H577" s="263" t="s">
        <v>221</v>
      </c>
      <c r="I577" s="111"/>
      <c r="J577" s="111"/>
      <c r="K577" s="111"/>
      <c r="L577" s="110"/>
      <c r="M577" s="110">
        <f t="shared" si="142"/>
        <v>860.00549520976085</v>
      </c>
      <c r="N577" s="110">
        <f t="shared" si="142"/>
        <v>3025.826381639994</v>
      </c>
      <c r="O577" s="44"/>
      <c r="P577" s="102"/>
      <c r="Q577" s="44"/>
      <c r="R577" s="102" t="s">
        <v>189</v>
      </c>
    </row>
    <row r="578" spans="3:18" ht="12" x14ac:dyDescent="0.25">
      <c r="C578" s="579" t="str">
        <f t="shared" si="139"/>
        <v>Paquete infinitum Entretenimiento+ 500 (Netflix 4 dispositivos)Residencial</v>
      </c>
      <c r="D578" s="95">
        <f t="shared" si="140"/>
        <v>48</v>
      </c>
      <c r="E578" s="101" t="str">
        <v>Paquete infinitum Entretenimiento+ 500 (Netflix 4 dispositivos)</v>
      </c>
      <c r="F578" s="101" t="str">
        <f t="shared" si="136"/>
        <v>Residencial</v>
      </c>
      <c r="G578" s="101" t="str">
        <f t="shared" si="137"/>
        <v>Telefonía fija + Internet fijo</v>
      </c>
      <c r="H578" s="263" t="s">
        <v>221</v>
      </c>
      <c r="I578" s="111"/>
      <c r="J578" s="111"/>
      <c r="K578" s="111"/>
      <c r="L578" s="110"/>
      <c r="M578" s="110">
        <f t="shared" si="142"/>
        <v>806.4781822299002</v>
      </c>
      <c r="N578" s="110">
        <f t="shared" si="142"/>
        <v>2087.1152776927001</v>
      </c>
      <c r="O578" s="44"/>
      <c r="P578" s="102"/>
      <c r="Q578" s="44"/>
      <c r="R578" s="102" t="s">
        <v>189</v>
      </c>
    </row>
    <row r="579" spans="3:18" ht="12" x14ac:dyDescent="0.25">
      <c r="C579" s="579" t="str">
        <f t="shared" si="139"/>
        <v>Paquete infinitum Entretenimiento+ 500  (Netflix 2 dispositivos)Residencial</v>
      </c>
      <c r="D579" s="95">
        <f t="shared" si="140"/>
        <v>49</v>
      </c>
      <c r="E579" s="101" t="str">
        <v>Paquete infinitum Entretenimiento+ 500  (Netflix 2 dispositivos)</v>
      </c>
      <c r="F579" s="101" t="str">
        <f t="shared" si="136"/>
        <v>Residencial</v>
      </c>
      <c r="G579" s="101" t="str">
        <f t="shared" si="137"/>
        <v>Telefonía fija + Internet fijo</v>
      </c>
      <c r="H579" s="263" t="s">
        <v>221</v>
      </c>
      <c r="I579" s="111"/>
      <c r="J579" s="111"/>
      <c r="K579" s="111"/>
      <c r="L579" s="110"/>
      <c r="M579" s="110">
        <f t="shared" si="142"/>
        <v>133.81828244965158</v>
      </c>
      <c r="N579" s="110">
        <f t="shared" si="142"/>
        <v>255.20092749897915</v>
      </c>
      <c r="O579" s="44"/>
      <c r="P579" s="102"/>
      <c r="Q579" s="44"/>
      <c r="R579" s="102" t="s">
        <v>189</v>
      </c>
    </row>
    <row r="580" spans="3:18" s="262" customFormat="1" ht="12" x14ac:dyDescent="0.25">
      <c r="C580" s="579" t="str">
        <f t="shared" si="139"/>
        <v>Velocidad Simétrica Conectes NegocioNo Residencial</v>
      </c>
      <c r="D580" s="95">
        <f t="shared" si="140"/>
        <v>50</v>
      </c>
      <c r="E580" s="101" t="str">
        <v>Velocidad Simétrica Conectes Negocio</v>
      </c>
      <c r="F580" s="101" t="str">
        <f t="shared" si="136"/>
        <v>No Residencial</v>
      </c>
      <c r="G580" s="101" t="str">
        <f t="shared" si="137"/>
        <v>Telefonía fija + Internet fijo</v>
      </c>
      <c r="H580" s="263" t="s">
        <v>221</v>
      </c>
      <c r="I580" s="111"/>
      <c r="J580" s="111"/>
      <c r="K580" s="111"/>
      <c r="L580" s="110"/>
      <c r="M580" s="110">
        <f t="shared" si="142"/>
        <v>6787.2632858463276</v>
      </c>
      <c r="N580" s="110">
        <f t="shared" si="142"/>
        <v>10304.406680972766</v>
      </c>
      <c r="P580" s="102"/>
      <c r="R580" s="102" t="s">
        <v>189</v>
      </c>
    </row>
    <row r="581" spans="3:18" s="262" customFormat="1" ht="12" x14ac:dyDescent="0.25">
      <c r="C581" s="579" t="str">
        <f t="shared" si="139"/>
        <v>Velocidad Simétrica Mi NegocioNo Residencial</v>
      </c>
      <c r="D581" s="95">
        <f t="shared" si="140"/>
        <v>51</v>
      </c>
      <c r="E581" s="101" t="str">
        <v>Velocidad Simétrica Mi Negocio</v>
      </c>
      <c r="F581" s="101" t="str">
        <f t="shared" si="136"/>
        <v>No Residencial</v>
      </c>
      <c r="G581" s="101" t="str">
        <f t="shared" si="137"/>
        <v>Telefonía fija + Internet fijo</v>
      </c>
      <c r="H581" s="263" t="s">
        <v>221</v>
      </c>
      <c r="I581" s="111"/>
      <c r="J581" s="111"/>
      <c r="K581" s="111"/>
      <c r="L581" s="110"/>
      <c r="M581" s="110">
        <f t="shared" si="142"/>
        <v>8830.2223979110095</v>
      </c>
      <c r="N581" s="110">
        <f t="shared" si="142"/>
        <v>10873.701057701259</v>
      </c>
      <c r="P581" s="102"/>
      <c r="R581" s="102" t="s">
        <v>189</v>
      </c>
    </row>
    <row r="582" spans="3:18" s="262" customFormat="1" ht="12" x14ac:dyDescent="0.25">
      <c r="C582" s="579" t="str">
        <f t="shared" si="139"/>
        <v>Velocidad Simétrica SupernegocioNo Residencial</v>
      </c>
      <c r="D582" s="95">
        <f t="shared" si="140"/>
        <v>52</v>
      </c>
      <c r="E582" s="101" t="str">
        <v>Velocidad Simétrica Supernegocio</v>
      </c>
      <c r="F582" s="101" t="str">
        <f t="shared" si="136"/>
        <v>No Residencial</v>
      </c>
      <c r="G582" s="101" t="str">
        <f t="shared" si="137"/>
        <v>Telefonía fija + Internet fijo</v>
      </c>
      <c r="H582" s="263" t="s">
        <v>221</v>
      </c>
      <c r="I582" s="111"/>
      <c r="J582" s="111"/>
      <c r="K582" s="111"/>
      <c r="L582" s="110"/>
      <c r="M582" s="110">
        <f t="shared" si="142"/>
        <v>6173.4834303439256</v>
      </c>
      <c r="N582" s="110">
        <f t="shared" si="142"/>
        <v>7362.4575272520169</v>
      </c>
      <c r="P582" s="102"/>
      <c r="R582" s="102" t="s">
        <v>189</v>
      </c>
    </row>
    <row r="583" spans="3:18" s="262" customFormat="1" ht="12" x14ac:dyDescent="0.25">
      <c r="C583" s="579" t="str">
        <f t="shared" si="139"/>
        <v>Velocidad Simétrica Telmex Negocio Sin Límites 1No Residencial</v>
      </c>
      <c r="D583" s="95">
        <f t="shared" si="140"/>
        <v>53</v>
      </c>
      <c r="E583" s="101" t="str">
        <v>Velocidad Simétrica Telmex Negocio Sin Límites 1</v>
      </c>
      <c r="F583" s="101" t="str">
        <f t="shared" si="136"/>
        <v>No Residencial</v>
      </c>
      <c r="G583" s="101" t="str">
        <f t="shared" si="137"/>
        <v>Telefonía fija + Internet fijo</v>
      </c>
      <c r="H583" s="263" t="s">
        <v>221</v>
      </c>
      <c r="I583" s="111"/>
      <c r="J583" s="111"/>
      <c r="K583" s="111"/>
      <c r="L583" s="110"/>
      <c r="M583" s="110">
        <f t="shared" si="142"/>
        <v>1992.1081647338131</v>
      </c>
      <c r="N583" s="110">
        <f t="shared" si="142"/>
        <v>2280.7467506552121</v>
      </c>
      <c r="P583" s="102"/>
      <c r="R583" s="102" t="s">
        <v>189</v>
      </c>
    </row>
    <row r="584" spans="3:18" s="262" customFormat="1" ht="12" x14ac:dyDescent="0.25">
      <c r="C584" s="579" t="str">
        <f t="shared" si="139"/>
        <v>Velocidad Simétrica Telmex Negocio Sin Límites 2No Residencial</v>
      </c>
      <c r="D584" s="95">
        <f t="shared" si="140"/>
        <v>54</v>
      </c>
      <c r="E584" s="101" t="str">
        <v>Velocidad Simétrica Telmex Negocio Sin Límites 2</v>
      </c>
      <c r="F584" s="101" t="str">
        <f t="shared" si="136"/>
        <v>No Residencial</v>
      </c>
      <c r="G584" s="101" t="str">
        <f t="shared" si="137"/>
        <v>Telefonía fija + Internet fijo</v>
      </c>
      <c r="H584" s="263" t="s">
        <v>221</v>
      </c>
      <c r="I584" s="111"/>
      <c r="J584" s="111"/>
      <c r="K584" s="111"/>
      <c r="L584" s="110"/>
      <c r="M584" s="110">
        <f t="shared" si="142"/>
        <v>2585.3692169272686</v>
      </c>
      <c r="N584" s="110">
        <f t="shared" si="142"/>
        <v>3325.6428559045289</v>
      </c>
      <c r="P584" s="102"/>
      <c r="R584" s="102" t="s">
        <v>189</v>
      </c>
    </row>
    <row r="585" spans="3:18" s="262" customFormat="1" ht="12" x14ac:dyDescent="0.25">
      <c r="C585" s="579" t="str">
        <f t="shared" si="139"/>
        <v>Velocidad Simétrica Telmex Negocio Sin Límites 3No Residencial</v>
      </c>
      <c r="D585" s="95">
        <f t="shared" si="140"/>
        <v>55</v>
      </c>
      <c r="E585" s="101" t="str">
        <v>Velocidad Simétrica Telmex Negocio Sin Límites 3</v>
      </c>
      <c r="F585" s="101" t="str">
        <f t="shared" si="136"/>
        <v>No Residencial</v>
      </c>
      <c r="G585" s="101" t="str">
        <f t="shared" si="137"/>
        <v>Telefonía fija + Internet fijo</v>
      </c>
      <c r="H585" s="263" t="s">
        <v>221</v>
      </c>
      <c r="I585" s="111"/>
      <c r="J585" s="111"/>
      <c r="K585" s="111"/>
      <c r="L585" s="110"/>
      <c r="M585" s="110">
        <f t="shared" si="142"/>
        <v>2655.8468456840847</v>
      </c>
      <c r="N585" s="110">
        <f t="shared" si="142"/>
        <v>2020.1919575443665</v>
      </c>
      <c r="P585" s="102"/>
      <c r="R585" s="102" t="s">
        <v>189</v>
      </c>
    </row>
    <row r="586" spans="3:18" s="262" customFormat="1" ht="12" x14ac:dyDescent="0.25">
      <c r="C586" s="579" t="str">
        <f t="shared" si="139"/>
        <v>Velocidad Simétrica Conectes Negocio Netflix (1 dispositivo)No Residencial</v>
      </c>
      <c r="D586" s="95">
        <f t="shared" si="140"/>
        <v>56</v>
      </c>
      <c r="E586" s="101" t="str">
        <v>Velocidad Simétrica Conectes Negocio Netflix (1 dispositivo)</v>
      </c>
      <c r="F586" s="101" t="str">
        <f t="shared" si="136"/>
        <v>No Residencial</v>
      </c>
      <c r="G586" s="101" t="str">
        <f t="shared" si="137"/>
        <v>Telefonía fija + Internet fijo</v>
      </c>
      <c r="H586" s="263" t="s">
        <v>221</v>
      </c>
      <c r="I586" s="111"/>
      <c r="J586" s="111"/>
      <c r="K586" s="111"/>
      <c r="L586" s="110"/>
      <c r="M586" s="110">
        <f t="shared" si="142"/>
        <v>0</v>
      </c>
      <c r="N586" s="110">
        <f t="shared" si="142"/>
        <v>4.4615546765555791</v>
      </c>
      <c r="P586" s="102"/>
      <c r="R586" s="102" t="s">
        <v>189</v>
      </c>
    </row>
    <row r="587" spans="3:18" s="262" customFormat="1" ht="12" x14ac:dyDescent="0.25">
      <c r="C587" s="579" t="str">
        <f t="shared" si="139"/>
        <v>Velocidad Simétrica Conectes Negocio Netflix (2 dispositivos)No Residencial</v>
      </c>
      <c r="D587" s="95">
        <f t="shared" si="140"/>
        <v>57</v>
      </c>
      <c r="E587" s="101" t="str">
        <v>Velocidad Simétrica Conectes Negocio Netflix (2 dispositivos)</v>
      </c>
      <c r="F587" s="101" t="str">
        <f t="shared" si="136"/>
        <v>No Residencial</v>
      </c>
      <c r="G587" s="101" t="str">
        <f t="shared" si="137"/>
        <v>Telefonía fija + Internet fijo</v>
      </c>
      <c r="H587" s="263" t="s">
        <v>221</v>
      </c>
      <c r="I587" s="111"/>
      <c r="J587" s="111"/>
      <c r="K587" s="111"/>
      <c r="L587" s="110"/>
      <c r="M587" s="110">
        <f t="shared" si="142"/>
        <v>0</v>
      </c>
      <c r="N587" s="110">
        <f t="shared" si="142"/>
        <v>4.4615546765555791</v>
      </c>
      <c r="P587" s="102"/>
      <c r="R587" s="102" t="s">
        <v>189</v>
      </c>
    </row>
    <row r="588" spans="3:18" s="262" customFormat="1" ht="12" x14ac:dyDescent="0.25">
      <c r="C588" s="579" t="str">
        <f t="shared" si="139"/>
        <v>Velocidad Simétrica Conectes Negocio Netflix (4 dispositivos)No Residencial</v>
      </c>
      <c r="D588" s="95">
        <f t="shared" si="140"/>
        <v>58</v>
      </c>
      <c r="E588" s="101" t="str">
        <v>Velocidad Simétrica Conectes Negocio Netflix (4 dispositivos)</v>
      </c>
      <c r="F588" s="101" t="str">
        <f t="shared" si="136"/>
        <v>No Residencial</v>
      </c>
      <c r="G588" s="101" t="str">
        <f t="shared" si="137"/>
        <v>Telefonía fija + Internet fijo</v>
      </c>
      <c r="H588" s="263" t="s">
        <v>221</v>
      </c>
      <c r="I588" s="111"/>
      <c r="J588" s="111"/>
      <c r="K588" s="111"/>
      <c r="L588" s="110"/>
      <c r="M588" s="110">
        <f t="shared" si="142"/>
        <v>0</v>
      </c>
      <c r="N588" s="110">
        <f t="shared" si="142"/>
        <v>3.5692437412444638</v>
      </c>
      <c r="P588" s="102"/>
      <c r="R588" s="102" t="s">
        <v>189</v>
      </c>
    </row>
    <row r="589" spans="3:18" s="262" customFormat="1" ht="12" x14ac:dyDescent="0.25">
      <c r="C589" s="579" t="str">
        <f t="shared" si="139"/>
        <v>Velocidad Simétrica Mi Negocio Netflix (2 dispositivos)No Residencial</v>
      </c>
      <c r="D589" s="95">
        <f t="shared" si="140"/>
        <v>59</v>
      </c>
      <c r="E589" s="101" t="str">
        <v>Velocidad Simétrica Mi Negocio Netflix (2 dispositivos)</v>
      </c>
      <c r="F589" s="101" t="str">
        <f t="shared" si="136"/>
        <v>No Residencial</v>
      </c>
      <c r="G589" s="101" t="str">
        <f t="shared" si="137"/>
        <v>Telefonía fija + Internet fijo</v>
      </c>
      <c r="H589" s="263" t="s">
        <v>221</v>
      </c>
      <c r="I589" s="111"/>
      <c r="J589" s="111"/>
      <c r="K589" s="111"/>
      <c r="L589" s="110"/>
      <c r="M589" s="110">
        <f t="shared" si="142"/>
        <v>0.89212188299767725</v>
      </c>
      <c r="N589" s="110">
        <f t="shared" si="142"/>
        <v>16.061596835600085</v>
      </c>
      <c r="P589" s="102"/>
      <c r="R589" s="102" t="s">
        <v>189</v>
      </c>
    </row>
    <row r="590" spans="3:18" s="262" customFormat="1" ht="12" x14ac:dyDescent="0.25">
      <c r="C590" s="579" t="str">
        <f t="shared" si="139"/>
        <v>Velocidad Simétrica Mi Negocio Netflix (4 dispositivos)No Residencial</v>
      </c>
      <c r="D590" s="95">
        <f t="shared" si="140"/>
        <v>60</v>
      </c>
      <c r="E590" s="101" t="str">
        <v>Velocidad Simétrica Mi Negocio Netflix (4 dispositivos)</v>
      </c>
      <c r="F590" s="101" t="str">
        <f t="shared" si="136"/>
        <v>No Residencial</v>
      </c>
      <c r="G590" s="101" t="str">
        <f t="shared" si="137"/>
        <v>Telefonía fija + Internet fijo</v>
      </c>
      <c r="H590" s="263" t="s">
        <v>221</v>
      </c>
      <c r="I590" s="111"/>
      <c r="J590" s="111"/>
      <c r="K590" s="111"/>
      <c r="L590" s="110"/>
      <c r="M590" s="110">
        <f t="shared" si="142"/>
        <v>0.89212188299767725</v>
      </c>
      <c r="N590" s="110">
        <f t="shared" si="142"/>
        <v>3.5692437412444638</v>
      </c>
      <c r="P590" s="102"/>
      <c r="R590" s="102" t="s">
        <v>189</v>
      </c>
    </row>
    <row r="591" spans="3:18" s="262" customFormat="1" ht="12" x14ac:dyDescent="0.25">
      <c r="C591" s="579" t="str">
        <f t="shared" si="139"/>
        <v>Velocidad Simétrica Supernegocio Netflix (2 dispositivos)No Residencial</v>
      </c>
      <c r="D591" s="95">
        <f t="shared" si="140"/>
        <v>61</v>
      </c>
      <c r="E591" s="101" t="str">
        <v>Velocidad Simétrica Supernegocio Netflix (2 dispositivos)</v>
      </c>
      <c r="F591" s="101" t="str">
        <f t="shared" si="136"/>
        <v>No Residencial</v>
      </c>
      <c r="G591" s="101" t="str">
        <f t="shared" si="137"/>
        <v>Telefonía fija + Internet fijo</v>
      </c>
      <c r="H591" s="263" t="s">
        <v>221</v>
      </c>
      <c r="I591" s="111"/>
      <c r="J591" s="111"/>
      <c r="K591" s="111"/>
      <c r="L591" s="110"/>
      <c r="M591" s="110">
        <f t="shared" si="142"/>
        <v>5.3527312979860628</v>
      </c>
      <c r="N591" s="110">
        <f t="shared" si="142"/>
        <v>33.907815541822401</v>
      </c>
      <c r="P591" s="102"/>
      <c r="R591" s="102" t="s">
        <v>189</v>
      </c>
    </row>
    <row r="592" spans="3:18" s="262" customFormat="1" ht="12" x14ac:dyDescent="0.25">
      <c r="C592" s="579" t="str">
        <f t="shared" si="139"/>
        <v>Velocidad Simétrica Supernegocio Netflix (4 dispositivos)No Residencial</v>
      </c>
      <c r="D592" s="95">
        <f t="shared" si="140"/>
        <v>62</v>
      </c>
      <c r="E592" s="101" t="str">
        <v>Velocidad Simétrica Supernegocio Netflix (4 dispositivos)</v>
      </c>
      <c r="F592" s="101" t="str">
        <f t="shared" si="136"/>
        <v>No Residencial</v>
      </c>
      <c r="G592" s="101" t="str">
        <f t="shared" si="137"/>
        <v>Telefonía fija + Internet fijo</v>
      </c>
      <c r="H592" s="263" t="s">
        <v>221</v>
      </c>
      <c r="I592" s="111"/>
      <c r="J592" s="111"/>
      <c r="K592" s="111"/>
      <c r="L592" s="110"/>
      <c r="M592" s="110">
        <f t="shared" si="142"/>
        <v>3.568487531990709</v>
      </c>
      <c r="N592" s="110">
        <f t="shared" si="142"/>
        <v>40.153992089000219</v>
      </c>
      <c r="P592" s="102"/>
      <c r="R592" s="102" t="s">
        <v>189</v>
      </c>
    </row>
    <row r="593" spans="3:18" s="262" customFormat="1" ht="12" x14ac:dyDescent="0.25">
      <c r="C593" s="579" t="str">
        <f t="shared" si="139"/>
        <v>Renta Mensual de la Línea ResidencialResidencial</v>
      </c>
      <c r="D593" s="95">
        <f t="shared" si="140"/>
        <v>63</v>
      </c>
      <c r="E593" s="101" t="str">
        <v>Renta Mensual de la Línea Residencial</v>
      </c>
      <c r="F593" s="135" t="s">
        <v>240</v>
      </c>
      <c r="G593" s="135" t="s">
        <v>174</v>
      </c>
      <c r="H593" s="263" t="s">
        <v>221</v>
      </c>
      <c r="I593" s="111"/>
      <c r="J593" s="111"/>
      <c r="K593" s="111"/>
      <c r="L593" s="117"/>
      <c r="M593" s="117">
        <f>M389</f>
        <v>1014860.4366986202</v>
      </c>
      <c r="N593" s="117">
        <f>N389</f>
        <v>941578.72974916431</v>
      </c>
      <c r="P593" s="102"/>
      <c r="R593" s="102" t="s">
        <v>189</v>
      </c>
    </row>
    <row r="594" spans="3:18" s="262" customFormat="1" ht="12.5" thickBot="1" x14ac:dyDescent="0.3">
      <c r="C594" s="579" t="str">
        <f t="shared" si="139"/>
        <v>Renta Mensual de la Línea ComercialNo Residencial</v>
      </c>
      <c r="D594" s="95">
        <f t="shared" si="140"/>
        <v>64</v>
      </c>
      <c r="E594" s="101" t="str">
        <v>Renta Mensual de la Línea Comercial</v>
      </c>
      <c r="F594" s="135" t="s">
        <v>242</v>
      </c>
      <c r="G594" s="135" t="s">
        <v>174</v>
      </c>
      <c r="H594" s="263" t="s">
        <v>221</v>
      </c>
      <c r="I594" s="111"/>
      <c r="J594" s="111"/>
      <c r="K594" s="111"/>
      <c r="L594" s="117"/>
      <c r="M594" s="117">
        <f>M388</f>
        <v>1397945.0220209034</v>
      </c>
      <c r="N594" s="117">
        <f>N388</f>
        <v>1476266.6373775213</v>
      </c>
      <c r="P594" s="102"/>
      <c r="R594" s="102" t="s">
        <v>189</v>
      </c>
    </row>
    <row r="595" spans="3:18" s="262" customFormat="1" hidden="1" outlineLevel="1" x14ac:dyDescent="0.25">
      <c r="D595" s="95">
        <f t="shared" si="140"/>
        <v>65</v>
      </c>
      <c r="E595" s="101">
        <v>0</v>
      </c>
      <c r="F595" s="265"/>
      <c r="G595" s="265"/>
      <c r="H595" s="263"/>
      <c r="I595" s="111"/>
      <c r="J595" s="111"/>
      <c r="K595" s="111"/>
      <c r="L595" s="110"/>
      <c r="M595" s="110"/>
      <c r="P595" s="102"/>
    </row>
    <row r="596" spans="3:18" s="262" customFormat="1" hidden="1" outlineLevel="1" x14ac:dyDescent="0.25">
      <c r="D596" s="95">
        <f t="shared" si="140"/>
        <v>66</v>
      </c>
      <c r="E596" s="101">
        <v>0</v>
      </c>
      <c r="F596" s="265"/>
      <c r="G596" s="265"/>
      <c r="H596" s="263"/>
      <c r="I596" s="111"/>
      <c r="J596" s="111"/>
      <c r="K596" s="111"/>
      <c r="L596" s="110"/>
      <c r="M596" s="110"/>
      <c r="P596" s="102"/>
    </row>
    <row r="597" spans="3:18" s="262" customFormat="1" hidden="1" outlineLevel="1" x14ac:dyDescent="0.25">
      <c r="D597" s="95">
        <f t="shared" ref="D597:D611" si="143">1+D596</f>
        <v>67</v>
      </c>
      <c r="E597" s="101">
        <v>0</v>
      </c>
      <c r="F597" s="265"/>
      <c r="G597" s="265"/>
      <c r="H597" s="263"/>
      <c r="I597" s="111"/>
      <c r="J597" s="111"/>
      <c r="K597" s="111"/>
      <c r="L597" s="110"/>
      <c r="M597" s="110"/>
      <c r="P597" s="102"/>
    </row>
    <row r="598" spans="3:18" s="262" customFormat="1" hidden="1" outlineLevel="1" x14ac:dyDescent="0.25">
      <c r="D598" s="95">
        <f t="shared" si="143"/>
        <v>68</v>
      </c>
      <c r="E598" s="101">
        <v>0</v>
      </c>
      <c r="F598" s="265"/>
      <c r="G598" s="265"/>
      <c r="H598" s="263"/>
      <c r="I598" s="111"/>
      <c r="J598" s="111"/>
      <c r="K598" s="111"/>
      <c r="L598" s="110"/>
      <c r="M598" s="110"/>
      <c r="P598" s="102"/>
    </row>
    <row r="599" spans="3:18" s="262" customFormat="1" hidden="1" outlineLevel="1" x14ac:dyDescent="0.25">
      <c r="D599" s="95">
        <f t="shared" si="143"/>
        <v>69</v>
      </c>
      <c r="E599" s="101"/>
      <c r="F599" s="265"/>
      <c r="G599" s="265"/>
      <c r="H599" s="263"/>
      <c r="I599" s="111"/>
      <c r="J599" s="111"/>
      <c r="K599" s="111"/>
      <c r="L599" s="110"/>
      <c r="M599" s="110"/>
      <c r="P599" s="102"/>
    </row>
    <row r="600" spans="3:18" s="262" customFormat="1" hidden="1" outlineLevel="1" x14ac:dyDescent="0.25">
      <c r="D600" s="95">
        <f t="shared" si="143"/>
        <v>70</v>
      </c>
      <c r="E600" s="101"/>
      <c r="F600" s="265"/>
      <c r="G600" s="265"/>
      <c r="H600" s="263"/>
      <c r="I600" s="111"/>
      <c r="J600" s="111"/>
      <c r="K600" s="111"/>
      <c r="L600" s="110"/>
      <c r="M600" s="110"/>
      <c r="P600" s="102"/>
    </row>
    <row r="601" spans="3:18" s="262" customFormat="1" hidden="1" outlineLevel="1" x14ac:dyDescent="0.25">
      <c r="D601" s="95">
        <f t="shared" si="143"/>
        <v>71</v>
      </c>
      <c r="E601" s="101"/>
      <c r="F601" s="265"/>
      <c r="G601" s="265"/>
      <c r="H601" s="263"/>
      <c r="I601" s="111"/>
      <c r="J601" s="111"/>
      <c r="K601" s="111"/>
      <c r="L601" s="110"/>
      <c r="M601" s="110"/>
      <c r="P601" s="102"/>
    </row>
    <row r="602" spans="3:18" s="262" customFormat="1" hidden="1" outlineLevel="1" x14ac:dyDescent="0.25">
      <c r="D602" s="95">
        <f t="shared" si="143"/>
        <v>72</v>
      </c>
      <c r="E602" s="101"/>
      <c r="F602" s="265"/>
      <c r="G602" s="265"/>
      <c r="H602" s="263"/>
      <c r="I602" s="111"/>
      <c r="J602" s="111"/>
      <c r="K602" s="111"/>
      <c r="L602" s="110"/>
      <c r="M602" s="110"/>
      <c r="P602" s="102"/>
    </row>
    <row r="603" spans="3:18" s="262" customFormat="1" hidden="1" outlineLevel="1" x14ac:dyDescent="0.25">
      <c r="D603" s="95">
        <f t="shared" si="143"/>
        <v>73</v>
      </c>
      <c r="E603" s="101"/>
      <c r="F603" s="265"/>
      <c r="G603" s="265"/>
      <c r="H603" s="263"/>
      <c r="I603" s="111"/>
      <c r="J603" s="111"/>
      <c r="K603" s="111"/>
      <c r="L603" s="110"/>
      <c r="M603" s="110"/>
      <c r="P603" s="102"/>
    </row>
    <row r="604" spans="3:18" s="262" customFormat="1" hidden="1" outlineLevel="1" x14ac:dyDescent="0.25">
      <c r="D604" s="95">
        <f t="shared" si="143"/>
        <v>74</v>
      </c>
      <c r="E604" s="101"/>
      <c r="F604" s="265"/>
      <c r="G604" s="265"/>
      <c r="H604" s="263"/>
      <c r="I604" s="111"/>
      <c r="J604" s="111"/>
      <c r="K604" s="111"/>
      <c r="L604" s="110"/>
      <c r="M604" s="110"/>
      <c r="P604" s="102"/>
    </row>
    <row r="605" spans="3:18" s="262" customFormat="1" hidden="1" outlineLevel="1" x14ac:dyDescent="0.25">
      <c r="D605" s="95">
        <f t="shared" si="143"/>
        <v>75</v>
      </c>
      <c r="E605" s="101"/>
      <c r="F605" s="265"/>
      <c r="G605" s="265"/>
      <c r="H605" s="263"/>
      <c r="I605" s="111"/>
      <c r="J605" s="111"/>
      <c r="K605" s="111"/>
      <c r="L605" s="110"/>
      <c r="M605" s="110"/>
      <c r="P605" s="102"/>
    </row>
    <row r="606" spans="3:18" s="262" customFormat="1" hidden="1" outlineLevel="1" x14ac:dyDescent="0.25">
      <c r="D606" s="95">
        <f t="shared" si="143"/>
        <v>76</v>
      </c>
      <c r="E606" s="101"/>
      <c r="F606" s="265"/>
      <c r="G606" s="265"/>
      <c r="H606" s="263"/>
      <c r="I606" s="111"/>
      <c r="J606" s="111"/>
      <c r="K606" s="111"/>
      <c r="L606" s="110"/>
      <c r="M606" s="110"/>
      <c r="P606" s="102"/>
    </row>
    <row r="607" spans="3:18" s="262" customFormat="1" hidden="1" outlineLevel="1" x14ac:dyDescent="0.25">
      <c r="D607" s="95">
        <f t="shared" si="143"/>
        <v>77</v>
      </c>
      <c r="E607" s="101"/>
      <c r="F607" s="265"/>
      <c r="G607" s="265"/>
      <c r="H607" s="263"/>
      <c r="I607" s="111"/>
      <c r="J607" s="111"/>
      <c r="K607" s="111"/>
      <c r="L607" s="110"/>
      <c r="M607" s="110"/>
      <c r="P607" s="102"/>
    </row>
    <row r="608" spans="3:18" s="262" customFormat="1" hidden="1" outlineLevel="1" x14ac:dyDescent="0.25">
      <c r="D608" s="95">
        <f t="shared" si="143"/>
        <v>78</v>
      </c>
      <c r="E608" s="101"/>
      <c r="F608" s="265"/>
      <c r="G608" s="265"/>
      <c r="H608" s="263"/>
      <c r="I608" s="111"/>
      <c r="J608" s="111"/>
      <c r="K608" s="111"/>
      <c r="L608" s="110"/>
      <c r="M608" s="110"/>
      <c r="P608" s="102"/>
    </row>
    <row r="609" spans="1:53" s="262" customFormat="1" hidden="1" outlineLevel="1" x14ac:dyDescent="0.25">
      <c r="D609" s="95">
        <f t="shared" si="143"/>
        <v>79</v>
      </c>
      <c r="E609" s="101"/>
      <c r="F609" s="265"/>
      <c r="G609" s="265"/>
      <c r="H609" s="263"/>
      <c r="I609" s="111"/>
      <c r="J609" s="111"/>
      <c r="K609" s="111"/>
      <c r="L609" s="110"/>
      <c r="M609" s="110"/>
      <c r="P609" s="102"/>
    </row>
    <row r="610" spans="1:53" s="262" customFormat="1" hidden="1" outlineLevel="1" x14ac:dyDescent="0.25">
      <c r="D610" s="95">
        <f t="shared" si="143"/>
        <v>80</v>
      </c>
      <c r="E610" s="101"/>
      <c r="F610" s="265"/>
      <c r="G610" s="265"/>
      <c r="H610" s="263"/>
      <c r="I610" s="111"/>
      <c r="J610" s="111"/>
      <c r="K610" s="111"/>
      <c r="L610" s="110"/>
      <c r="M610" s="110"/>
      <c r="P610" s="102"/>
    </row>
    <row r="611" spans="1:53" s="262" customFormat="1" ht="12" hidden="1" outlineLevel="1" thickBot="1" x14ac:dyDescent="0.3">
      <c r="D611" s="95">
        <f t="shared" si="143"/>
        <v>81</v>
      </c>
      <c r="E611" s="101"/>
      <c r="F611" s="265"/>
      <c r="G611" s="265"/>
      <c r="H611" s="263"/>
      <c r="I611" s="111"/>
      <c r="J611" s="111"/>
      <c r="K611" s="111"/>
      <c r="L611" s="110"/>
      <c r="M611" s="110"/>
      <c r="P611" s="102"/>
    </row>
    <row r="612" spans="1:53" ht="12" collapsed="1" x14ac:dyDescent="0.25">
      <c r="C612" s="44"/>
      <c r="E612" s="109"/>
      <c r="F612" s="41"/>
      <c r="G612" s="41"/>
      <c r="H612" s="41"/>
      <c r="I612" s="41"/>
      <c r="J612" s="41"/>
      <c r="K612" s="41"/>
      <c r="L612" s="270"/>
      <c r="M612" s="270"/>
      <c r="N612" s="458" t="s">
        <v>250</v>
      </c>
      <c r="O612" s="41"/>
      <c r="P612" s="41"/>
      <c r="Q612" s="44"/>
    </row>
    <row r="616" spans="1:53" s="44" customFormat="1" x14ac:dyDescent="0.25">
      <c r="A616" s="100" t="s">
        <v>425</v>
      </c>
      <c r="B616" s="100" t="s">
        <v>400</v>
      </c>
      <c r="C616" s="40"/>
      <c r="D616" s="40"/>
      <c r="E616" s="40"/>
      <c r="F616" s="40"/>
      <c r="G616" s="40"/>
      <c r="H616" s="40"/>
      <c r="I616" s="40"/>
      <c r="J616" s="40"/>
      <c r="K616" s="40"/>
      <c r="L616" s="40"/>
      <c r="M616" s="40"/>
      <c r="N616" s="40"/>
      <c r="O616" s="40"/>
      <c r="P616" s="40"/>
      <c r="Q616" s="40"/>
      <c r="R616" s="40"/>
      <c r="S616" s="40"/>
      <c r="T616" s="40"/>
      <c r="U616" s="40"/>
      <c r="V616" s="40"/>
      <c r="W616" s="40"/>
      <c r="X616" s="40"/>
      <c r="Y616" s="40"/>
      <c r="Z616" s="40"/>
      <c r="AA616" s="40"/>
      <c r="AB616" s="40"/>
      <c r="AC616" s="40"/>
      <c r="AD616" s="40"/>
      <c r="AE616" s="40"/>
      <c r="AF616" s="40"/>
      <c r="AG616" s="40"/>
      <c r="AH616" s="40"/>
      <c r="AI616" s="40"/>
      <c r="AJ616" s="40"/>
      <c r="AK616" s="40"/>
      <c r="AL616" s="40"/>
      <c r="AM616" s="40"/>
      <c r="AN616" s="40"/>
      <c r="AO616" s="40"/>
      <c r="AP616" s="40"/>
      <c r="AQ616" s="40"/>
      <c r="AR616" s="40"/>
      <c r="AS616" s="40"/>
      <c r="AT616" s="40"/>
      <c r="AU616" s="40"/>
      <c r="AV616" s="40"/>
      <c r="AW616" s="40"/>
      <c r="AX616" s="40"/>
      <c r="AY616" s="40"/>
      <c r="AZ616" s="40"/>
      <c r="BA616" s="40"/>
    </row>
    <row r="617" spans="1:53" s="44" customFormat="1" x14ac:dyDescent="0.25"/>
    <row r="618" spans="1:53" s="44" customFormat="1" x14ac:dyDescent="0.25"/>
    <row r="619" spans="1:53" s="44" customFormat="1" x14ac:dyDescent="0.25"/>
    <row r="620" spans="1:53" s="44" customFormat="1" ht="12" x14ac:dyDescent="0.25">
      <c r="N620" s="45"/>
    </row>
    <row r="621" spans="1:53" s="44" customFormat="1" x14ac:dyDescent="0.25"/>
    <row r="622" spans="1:53" s="44" customFormat="1" x14ac:dyDescent="0.25"/>
    <row r="623" spans="1:53" s="44" customFormat="1" x14ac:dyDescent="0.25"/>
    <row r="624" spans="1:53" s="44" customFormat="1" x14ac:dyDescent="0.25"/>
    <row r="625" spans="14:14" s="44" customFormat="1" x14ac:dyDescent="0.25"/>
    <row r="626" spans="14:14" s="44" customFormat="1" x14ac:dyDescent="0.25"/>
    <row r="627" spans="14:14" s="44" customFormat="1" x14ac:dyDescent="0.25"/>
    <row r="628" spans="14:14" s="44" customFormat="1" ht="12" x14ac:dyDescent="0.25">
      <c r="N628" s="45"/>
    </row>
  </sheetData>
  <pageMargins left="0.7" right="0.7" top="0.75" bottom="0.75" header="0.3" footer="0.3"/>
  <pageSetup orientation="portrait" r:id="rId1"/>
  <ignoredErrors>
    <ignoredError sqref="I281:J281 I303:J303 I317:J319 D389 D391:H436 D390:E390 D333:D381 F332:G333 H390 I285:J285 H547 H460 I325:J329 I283:J283 D22:D94 D150:D219 M21:N128 M149:N257 M303:N303 M280:N286 M316:N321 M388:N389 D445:D524 D532:D579 M444:N507 M332:N333 M322:N324 M531:M592 N531:N592" unlockedFormula="1"/>
    <ignoredError sqref="C586" evalError="1"/>
  </ignoredError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4"/>
  <dimension ref="A1:BG809"/>
  <sheetViews>
    <sheetView showGridLines="0" zoomScale="85" zoomScaleNormal="85" workbookViewId="0">
      <selection sqref="A1:XFD1048576"/>
    </sheetView>
  </sheetViews>
  <sheetFormatPr baseColWidth="10" defaultRowHeight="11.5" outlineLevelRow="2" x14ac:dyDescent="0.25"/>
  <cols>
    <col min="1" max="1" width="10.59765625" customWidth="1"/>
    <col min="2" max="2" width="12.09765625" bestFit="1" customWidth="1"/>
    <col min="3" max="3" width="4.19921875" customWidth="1"/>
    <col min="4" max="4" width="50.796875" customWidth="1"/>
    <col min="5" max="5" width="16.19921875" customWidth="1"/>
    <col min="6" max="6" width="24.3984375" customWidth="1"/>
    <col min="7" max="7" width="24.59765625" customWidth="1"/>
    <col min="8" max="8" width="18.19921875" customWidth="1"/>
    <col min="9" max="9" width="20.796875" customWidth="1"/>
    <col min="10" max="10" width="21.19921875" customWidth="1"/>
    <col min="11" max="11" width="20.19921875" customWidth="1"/>
    <col min="12" max="12" width="18.19921875" customWidth="1"/>
    <col min="13" max="13" width="18.796875" customWidth="1"/>
    <col min="14" max="14" width="14.3984375" customWidth="1"/>
    <col min="15" max="15" width="19" customWidth="1"/>
    <col min="16" max="16" width="11.3984375" customWidth="1"/>
    <col min="17" max="17" width="16.59765625" customWidth="1"/>
    <col min="18" max="18" width="14.59765625" customWidth="1"/>
    <col min="19" max="20" width="11.3984375" customWidth="1"/>
    <col min="21" max="21" width="23.19921875" customWidth="1"/>
    <col min="22" max="22" width="12.796875" style="262" customWidth="1"/>
    <col min="23" max="23" width="20.19921875" customWidth="1"/>
    <col min="24" max="25" width="20.59765625" style="262" customWidth="1"/>
    <col min="26" max="26" width="42.19921875" customWidth="1"/>
    <col min="27" max="27" width="42.19921875" style="262" customWidth="1"/>
    <col min="28" max="28" width="18.59765625" customWidth="1"/>
    <col min="30" max="31" width="11.19921875" style="262"/>
  </cols>
  <sheetData>
    <row r="1" spans="1:59" s="93" customFormat="1" ht="33.75" customHeight="1" x14ac:dyDescent="0.25">
      <c r="C1" s="94" t="s">
        <v>617</v>
      </c>
      <c r="D1" s="94"/>
      <c r="E1" s="94"/>
      <c r="F1" s="94"/>
    </row>
    <row r="2" spans="1:59" s="44" customFormat="1" x14ac:dyDescent="0.25">
      <c r="A2" s="100">
        <v>1</v>
      </c>
      <c r="B2" s="100" t="s">
        <v>710</v>
      </c>
      <c r="C2" s="40"/>
      <c r="D2" s="40"/>
      <c r="E2" s="40"/>
      <c r="F2" s="40"/>
      <c r="G2" s="40"/>
      <c r="H2" s="40"/>
      <c r="I2" s="40"/>
      <c r="J2" s="40"/>
      <c r="K2" s="40"/>
      <c r="L2" s="40"/>
      <c r="M2" s="40"/>
      <c r="N2" s="40"/>
      <c r="O2" s="40"/>
      <c r="P2" s="40"/>
      <c r="Q2" s="40"/>
      <c r="R2" s="40"/>
      <c r="S2" s="40"/>
      <c r="T2" s="40"/>
      <c r="U2" s="40"/>
      <c r="V2" s="265"/>
      <c r="W2" s="40"/>
      <c r="X2" s="265"/>
      <c r="Y2" s="265"/>
      <c r="Z2" s="40"/>
      <c r="AA2" s="265"/>
      <c r="AB2" s="40"/>
      <c r="AC2" s="40"/>
      <c r="AD2" s="265"/>
      <c r="AE2" s="265"/>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row>
    <row r="5" spans="1:59" ht="34.5" x14ac:dyDescent="0.25">
      <c r="C5" s="72" t="s">
        <v>161</v>
      </c>
      <c r="D5" s="68" t="s">
        <v>166</v>
      </c>
      <c r="E5" s="72"/>
      <c r="F5" s="1" t="s">
        <v>167</v>
      </c>
      <c r="G5" s="1" t="s">
        <v>426</v>
      </c>
      <c r="H5" s="1" t="s">
        <v>481</v>
      </c>
      <c r="I5" s="1" t="s">
        <v>482</v>
      </c>
      <c r="J5" s="1" t="s">
        <v>168</v>
      </c>
      <c r="K5" s="1" t="s">
        <v>475</v>
      </c>
      <c r="L5" s="1" t="s">
        <v>170</v>
      </c>
      <c r="M5" s="1"/>
    </row>
    <row r="6" spans="1:59" x14ac:dyDescent="0.25">
      <c r="C6" s="96">
        <v>1</v>
      </c>
      <c r="D6" t="s">
        <v>474</v>
      </c>
      <c r="F6" s="77" t="s">
        <v>476</v>
      </c>
      <c r="G6" s="211">
        <v>20</v>
      </c>
      <c r="H6" s="40"/>
      <c r="I6" s="40"/>
      <c r="K6" s="142" t="s">
        <v>1256</v>
      </c>
      <c r="L6" s="44" t="s">
        <v>487</v>
      </c>
    </row>
    <row r="7" spans="1:59" ht="12" x14ac:dyDescent="0.25">
      <c r="C7" s="95">
        <f>1+C6</f>
        <v>2</v>
      </c>
      <c r="D7" t="s">
        <v>473</v>
      </c>
      <c r="F7" s="77" t="s">
        <v>477</v>
      </c>
      <c r="G7" s="211">
        <v>25</v>
      </c>
      <c r="H7" s="222">
        <v>1</v>
      </c>
      <c r="I7" s="133">
        <f>G7/H7</f>
        <v>25</v>
      </c>
      <c r="J7" s="45" t="s">
        <v>483</v>
      </c>
      <c r="K7" s="142" t="s">
        <v>1256</v>
      </c>
      <c r="L7" s="266" t="s">
        <v>1257</v>
      </c>
    </row>
    <row r="8" spans="1:59" ht="12" x14ac:dyDescent="0.25">
      <c r="C8" s="95">
        <f>1+C7</f>
        <v>3</v>
      </c>
      <c r="D8" t="s">
        <v>478</v>
      </c>
      <c r="F8" s="77" t="s">
        <v>477</v>
      </c>
      <c r="G8" s="211">
        <v>50</v>
      </c>
      <c r="H8" s="222">
        <v>3</v>
      </c>
      <c r="I8" s="133">
        <f>G8/H8</f>
        <v>16.666666666666668</v>
      </c>
      <c r="J8" s="45" t="s">
        <v>484</v>
      </c>
      <c r="K8" s="142" t="s">
        <v>1256</v>
      </c>
      <c r="L8" s="266" t="s">
        <v>1257</v>
      </c>
    </row>
    <row r="9" spans="1:59" ht="12" x14ac:dyDescent="0.25">
      <c r="C9" s="95">
        <f>1+C8</f>
        <v>4</v>
      </c>
      <c r="D9" t="s">
        <v>479</v>
      </c>
      <c r="F9" s="77" t="s">
        <v>477</v>
      </c>
      <c r="G9" s="211">
        <v>65</v>
      </c>
      <c r="H9" s="222">
        <v>4</v>
      </c>
      <c r="I9" s="133">
        <f>G9/H9</f>
        <v>16.25</v>
      </c>
      <c r="J9" s="45" t="s">
        <v>485</v>
      </c>
      <c r="K9" s="142" t="s">
        <v>1256</v>
      </c>
      <c r="L9" s="266" t="s">
        <v>1257</v>
      </c>
    </row>
    <row r="10" spans="1:59" ht="12.5" thickBot="1" x14ac:dyDescent="0.3">
      <c r="C10" s="95">
        <f>1+C9</f>
        <v>5</v>
      </c>
      <c r="D10" t="s">
        <v>480</v>
      </c>
      <c r="F10" s="77" t="s">
        <v>477</v>
      </c>
      <c r="G10" s="211">
        <v>80</v>
      </c>
      <c r="H10" s="222">
        <v>5</v>
      </c>
      <c r="I10" s="133">
        <f>G10/H10</f>
        <v>16</v>
      </c>
      <c r="J10" s="45" t="s">
        <v>486</v>
      </c>
      <c r="K10" s="142" t="s">
        <v>1256</v>
      </c>
      <c r="L10" s="266" t="s">
        <v>1257</v>
      </c>
    </row>
    <row r="11" spans="1:59" x14ac:dyDescent="0.25">
      <c r="D11" s="41"/>
      <c r="E11" s="41"/>
      <c r="F11" s="41"/>
      <c r="G11" s="41"/>
      <c r="H11" s="41"/>
      <c r="I11" s="41"/>
      <c r="J11" s="41"/>
      <c r="K11" s="41"/>
      <c r="L11" s="41"/>
      <c r="M11" s="41"/>
    </row>
    <row r="12" spans="1:59" s="44" customFormat="1" x14ac:dyDescent="0.25">
      <c r="A12" s="100">
        <v>2</v>
      </c>
      <c r="B12" s="100" t="s">
        <v>720</v>
      </c>
      <c r="C12" s="40"/>
      <c r="D12" s="40"/>
      <c r="E12" s="40"/>
      <c r="F12" s="40"/>
      <c r="G12" s="40"/>
      <c r="H12" s="40"/>
      <c r="I12" s="40"/>
      <c r="J12" s="40"/>
      <c r="K12" s="40"/>
      <c r="L12" s="40"/>
      <c r="M12" s="40"/>
      <c r="N12" s="40"/>
      <c r="O12" s="40"/>
      <c r="P12" s="40"/>
      <c r="Q12" s="40"/>
      <c r="R12" s="40"/>
      <c r="S12" s="40"/>
      <c r="T12" s="40"/>
      <c r="U12" s="40"/>
      <c r="V12" s="265"/>
      <c r="W12" s="40"/>
      <c r="X12" s="265"/>
      <c r="Y12" s="265"/>
      <c r="Z12" s="40"/>
      <c r="AA12" s="265"/>
      <c r="AB12" s="40"/>
      <c r="AC12" s="40"/>
      <c r="AD12" s="265"/>
      <c r="AE12" s="265"/>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row>
    <row r="13" spans="1:59" x14ac:dyDescent="0.25">
      <c r="G13" s="407"/>
    </row>
    <row r="15" spans="1:59" x14ac:dyDescent="0.25">
      <c r="C15" s="68" t="s">
        <v>161</v>
      </c>
      <c r="D15" s="68" t="s">
        <v>166</v>
      </c>
      <c r="E15" s="72"/>
      <c r="F15" s="1"/>
      <c r="G15" s="1"/>
      <c r="H15" s="1" t="s">
        <v>167</v>
      </c>
      <c r="I15" s="1" t="s">
        <v>426</v>
      </c>
      <c r="J15" s="1" t="s">
        <v>168</v>
      </c>
      <c r="K15" s="1" t="s">
        <v>475</v>
      </c>
      <c r="L15" s="1" t="s">
        <v>170</v>
      </c>
      <c r="M15" s="1"/>
    </row>
    <row r="16" spans="1:59" ht="12" x14ac:dyDescent="0.25">
      <c r="D16" s="102" t="str">
        <f>"Duración de llamadas locales a numeros fijos - "&amp;Year.selected</f>
        <v>Duración de llamadas locales a numeros fijos - 2022</v>
      </c>
      <c r="G16" s="145" t="s">
        <v>488</v>
      </c>
      <c r="H16" s="131" t="s">
        <v>489</v>
      </c>
      <c r="I16" s="742">
        <f>VLOOKUP(Year.selected,G17:I22,3,FALSE)</f>
        <v>4</v>
      </c>
      <c r="J16" s="45" t="s">
        <v>490</v>
      </c>
      <c r="M16" s="44"/>
    </row>
    <row r="17" spans="3:31" ht="12" x14ac:dyDescent="0.25">
      <c r="C17" s="96">
        <v>1</v>
      </c>
      <c r="D17" t="str">
        <f t="shared" ref="D17:D22" si="0">"Duración de llamadas salientes locales -"&amp;G17</f>
        <v>Duración de llamadas salientes locales -2017</v>
      </c>
      <c r="G17" s="145">
        <f t="shared" ref="G17:G22" si="1">INDEX(Years,C17)</f>
        <v>2017</v>
      </c>
      <c r="H17" s="131" t="s">
        <v>489</v>
      </c>
      <c r="I17" s="143"/>
      <c r="K17" s="77" t="s">
        <v>500</v>
      </c>
      <c r="M17" s="44"/>
    </row>
    <row r="18" spans="3:31" ht="12" x14ac:dyDescent="0.25">
      <c r="C18" s="95">
        <f>1+C17</f>
        <v>2</v>
      </c>
      <c r="D18" s="44" t="str">
        <f t="shared" si="0"/>
        <v>Duración de llamadas salientes locales -2018</v>
      </c>
      <c r="G18" s="145">
        <f t="shared" si="1"/>
        <v>2018</v>
      </c>
      <c r="H18" s="131" t="s">
        <v>489</v>
      </c>
      <c r="I18" s="143"/>
      <c r="K18" s="77" t="s">
        <v>500</v>
      </c>
      <c r="M18" s="44"/>
    </row>
    <row r="19" spans="3:31" ht="12" x14ac:dyDescent="0.25">
      <c r="C19" s="95">
        <f>1+C18</f>
        <v>3</v>
      </c>
      <c r="D19" s="44" t="str">
        <f t="shared" si="0"/>
        <v>Duración de llamadas salientes locales -2019</v>
      </c>
      <c r="G19" s="145">
        <f t="shared" si="1"/>
        <v>2019</v>
      </c>
      <c r="H19" s="131" t="s">
        <v>489</v>
      </c>
      <c r="I19" s="143"/>
      <c r="K19" s="263" t="s">
        <v>500</v>
      </c>
      <c r="M19" s="44"/>
    </row>
    <row r="20" spans="3:31" ht="12" x14ac:dyDescent="0.25">
      <c r="C20" s="95">
        <f>1+C19</f>
        <v>4</v>
      </c>
      <c r="D20" s="44" t="str">
        <f t="shared" si="0"/>
        <v>Duración de llamadas salientes locales -2020</v>
      </c>
      <c r="G20" s="145">
        <f t="shared" si="1"/>
        <v>2020</v>
      </c>
      <c r="H20" s="131" t="s">
        <v>489</v>
      </c>
      <c r="I20" s="143"/>
      <c r="K20" s="263" t="s">
        <v>500</v>
      </c>
      <c r="M20" s="44"/>
    </row>
    <row r="21" spans="3:31" ht="12" x14ac:dyDescent="0.25">
      <c r="C21" s="95">
        <f t="shared" ref="C21:C22" si="2">1+C20</f>
        <v>5</v>
      </c>
      <c r="D21" s="44" t="str">
        <f t="shared" si="0"/>
        <v>Duración de llamadas salientes locales -2021</v>
      </c>
      <c r="G21" s="145">
        <f t="shared" si="1"/>
        <v>2021</v>
      </c>
      <c r="H21" s="131" t="s">
        <v>489</v>
      </c>
      <c r="I21" s="143"/>
      <c r="K21" s="263" t="s">
        <v>500</v>
      </c>
      <c r="M21" s="44"/>
    </row>
    <row r="22" spans="3:31" s="262" customFormat="1" ht="12" x14ac:dyDescent="0.25">
      <c r="C22" s="95">
        <f t="shared" si="2"/>
        <v>6</v>
      </c>
      <c r="D22" s="262" t="str">
        <f t="shared" si="0"/>
        <v>Duración de llamadas salientes locales -2022</v>
      </c>
      <c r="G22" s="145">
        <f t="shared" si="1"/>
        <v>2022</v>
      </c>
      <c r="H22" s="131" t="s">
        <v>489</v>
      </c>
      <c r="I22" s="746">
        <f>'Info planes y paquetes'!D1371</f>
        <v>4</v>
      </c>
      <c r="K22" s="263" t="s">
        <v>500</v>
      </c>
    </row>
    <row r="23" spans="3:31" s="44" customFormat="1" ht="12" x14ac:dyDescent="0.25">
      <c r="G23" s="145"/>
      <c r="V23" s="262"/>
      <c r="X23" s="262"/>
      <c r="Y23" s="262"/>
      <c r="AA23" s="262"/>
      <c r="AD23" s="262"/>
      <c r="AE23" s="262"/>
    </row>
    <row r="24" spans="3:31" ht="12" x14ac:dyDescent="0.25">
      <c r="D24" s="102" t="str">
        <f>"Duración de llamadas a Larga Distancia Internacional (Estados Unidos y Canadá) - "&amp;Year.selected</f>
        <v>Duración de llamadas a Larga Distancia Internacional (Estados Unidos y Canadá) - 2022</v>
      </c>
      <c r="G24" s="145" t="s">
        <v>488</v>
      </c>
      <c r="H24" s="131" t="s">
        <v>489</v>
      </c>
      <c r="I24" s="743">
        <f>VLOOKUP(Year.selected,G25:I30,3,FALSE)</f>
        <v>10</v>
      </c>
      <c r="J24" s="45" t="s">
        <v>491</v>
      </c>
      <c r="M24" s="44"/>
    </row>
    <row r="25" spans="3:31" ht="12" x14ac:dyDescent="0.25">
      <c r="C25" s="96">
        <v>1</v>
      </c>
      <c r="D25" t="str">
        <f t="shared" ref="D25:D30" si="3">"Duración de llamadas a Larga Distancia Internacional (Estados Unidos y Canadá) - "&amp;G25</f>
        <v>Duración de llamadas a Larga Distancia Internacional (Estados Unidos y Canadá) - 2017</v>
      </c>
      <c r="G25" s="145">
        <f t="shared" ref="G25:G30" si="4">INDEX(Years,C25)</f>
        <v>2017</v>
      </c>
      <c r="H25" s="131" t="s">
        <v>489</v>
      </c>
      <c r="I25" s="143"/>
      <c r="K25" s="77" t="s">
        <v>500</v>
      </c>
      <c r="M25" s="44"/>
    </row>
    <row r="26" spans="3:31" ht="12" x14ac:dyDescent="0.25">
      <c r="C26" s="95">
        <f>1+C25</f>
        <v>2</v>
      </c>
      <c r="D26" s="44" t="str">
        <f t="shared" si="3"/>
        <v>Duración de llamadas a Larga Distancia Internacional (Estados Unidos y Canadá) - 2018</v>
      </c>
      <c r="G26" s="145">
        <f t="shared" si="4"/>
        <v>2018</v>
      </c>
      <c r="H26" s="131" t="s">
        <v>489</v>
      </c>
      <c r="I26" s="143"/>
      <c r="K26" s="77" t="s">
        <v>500</v>
      </c>
      <c r="M26" s="44"/>
    </row>
    <row r="27" spans="3:31" ht="12" x14ac:dyDescent="0.25">
      <c r="C27" s="95">
        <f>1+C26</f>
        <v>3</v>
      </c>
      <c r="D27" s="44" t="str">
        <f t="shared" si="3"/>
        <v>Duración de llamadas a Larga Distancia Internacional (Estados Unidos y Canadá) - 2019</v>
      </c>
      <c r="G27" s="145">
        <f t="shared" si="4"/>
        <v>2019</v>
      </c>
      <c r="H27" s="131" t="s">
        <v>489</v>
      </c>
      <c r="I27" s="143"/>
      <c r="K27" s="263" t="s">
        <v>500</v>
      </c>
      <c r="M27" s="44"/>
    </row>
    <row r="28" spans="3:31" ht="12" x14ac:dyDescent="0.25">
      <c r="C28" s="95">
        <f>1+C27</f>
        <v>4</v>
      </c>
      <c r="D28" s="44" t="str">
        <f t="shared" si="3"/>
        <v>Duración de llamadas a Larga Distancia Internacional (Estados Unidos y Canadá) - 2020</v>
      </c>
      <c r="G28" s="145">
        <f t="shared" si="4"/>
        <v>2020</v>
      </c>
      <c r="H28" s="131" t="s">
        <v>489</v>
      </c>
      <c r="I28" s="143"/>
      <c r="K28" s="263" t="s">
        <v>500</v>
      </c>
      <c r="M28" s="44"/>
    </row>
    <row r="29" spans="3:31" ht="12" x14ac:dyDescent="0.25">
      <c r="C29" s="95">
        <f t="shared" ref="C29:C30" si="5">1+C28</f>
        <v>5</v>
      </c>
      <c r="D29" s="44" t="str">
        <f t="shared" si="3"/>
        <v>Duración de llamadas a Larga Distancia Internacional (Estados Unidos y Canadá) - 2021</v>
      </c>
      <c r="E29" s="44"/>
      <c r="F29" s="44"/>
      <c r="G29" s="145">
        <f t="shared" si="4"/>
        <v>2021</v>
      </c>
      <c r="H29" s="131" t="s">
        <v>489</v>
      </c>
      <c r="I29" s="143"/>
      <c r="K29" s="263" t="s">
        <v>500</v>
      </c>
      <c r="M29" s="44"/>
    </row>
    <row r="30" spans="3:31" s="262" customFormat="1" ht="12" x14ac:dyDescent="0.25">
      <c r="C30" s="95">
        <f t="shared" si="5"/>
        <v>6</v>
      </c>
      <c r="D30" s="262" t="str">
        <f t="shared" si="3"/>
        <v>Duración de llamadas a Larga Distancia Internacional (Estados Unidos y Canadá) - 2022</v>
      </c>
      <c r="G30" s="145">
        <f t="shared" si="4"/>
        <v>2022</v>
      </c>
      <c r="H30" s="131" t="s">
        <v>489</v>
      </c>
      <c r="I30" s="746">
        <f>'Info planes y paquetes'!D1372</f>
        <v>10</v>
      </c>
      <c r="K30" s="263" t="s">
        <v>500</v>
      </c>
    </row>
    <row r="31" spans="3:31" s="44" customFormat="1" ht="12" x14ac:dyDescent="0.25">
      <c r="G31" s="145"/>
      <c r="V31" s="262"/>
      <c r="X31" s="262"/>
      <c r="Y31" s="262"/>
      <c r="AA31" s="262"/>
      <c r="AD31" s="262"/>
      <c r="AE31" s="262"/>
    </row>
    <row r="32" spans="3:31" ht="12" x14ac:dyDescent="0.25">
      <c r="D32" s="102" t="str">
        <f>"Duración de llamadas a Larga Distancia Mundial  - "&amp;Year.selected</f>
        <v>Duración de llamadas a Larga Distancia Mundial  - 2022</v>
      </c>
      <c r="G32" s="145" t="s">
        <v>488</v>
      </c>
      <c r="H32" s="131" t="s">
        <v>489</v>
      </c>
      <c r="I32" s="742">
        <f>VLOOKUP(Year.selected,G33:I38,3,FALSE)</f>
        <v>7</v>
      </c>
      <c r="J32" s="45" t="s">
        <v>492</v>
      </c>
      <c r="M32" s="44"/>
    </row>
    <row r="33" spans="1:59" ht="12" x14ac:dyDescent="0.25">
      <c r="C33" s="96">
        <v>1</v>
      </c>
      <c r="D33" t="str">
        <f t="shared" ref="D33:D38" si="6">"Duración de llamadas a Larga Distancia Mundial - "&amp;G33</f>
        <v>Duración de llamadas a Larga Distancia Mundial - 2017</v>
      </c>
      <c r="G33" s="145">
        <f t="shared" ref="G33:G38" si="7">INDEX(Years,C33)</f>
        <v>2017</v>
      </c>
      <c r="H33" s="131" t="s">
        <v>489</v>
      </c>
      <c r="I33" s="144"/>
      <c r="K33" s="77" t="s">
        <v>500</v>
      </c>
      <c r="M33" s="44"/>
    </row>
    <row r="34" spans="1:59" ht="12" x14ac:dyDescent="0.25">
      <c r="C34" s="95">
        <f>1+C33</f>
        <v>2</v>
      </c>
      <c r="D34" s="44" t="str">
        <f t="shared" si="6"/>
        <v>Duración de llamadas a Larga Distancia Mundial - 2018</v>
      </c>
      <c r="G34" s="145">
        <f t="shared" si="7"/>
        <v>2018</v>
      </c>
      <c r="H34" s="131" t="s">
        <v>489</v>
      </c>
      <c r="I34" s="144"/>
      <c r="K34" s="77" t="s">
        <v>500</v>
      </c>
      <c r="M34" s="44"/>
    </row>
    <row r="35" spans="1:59" ht="12" x14ac:dyDescent="0.25">
      <c r="C35" s="95">
        <f>1+C34</f>
        <v>3</v>
      </c>
      <c r="D35" s="44" t="str">
        <f t="shared" si="6"/>
        <v>Duración de llamadas a Larga Distancia Mundial - 2019</v>
      </c>
      <c r="G35" s="145">
        <f t="shared" si="7"/>
        <v>2019</v>
      </c>
      <c r="H35" s="131" t="s">
        <v>489</v>
      </c>
      <c r="I35" s="144"/>
      <c r="K35" s="263" t="s">
        <v>500</v>
      </c>
      <c r="M35" s="44"/>
    </row>
    <row r="36" spans="1:59" ht="12" x14ac:dyDescent="0.25">
      <c r="C36" s="95">
        <f>1+C35</f>
        <v>4</v>
      </c>
      <c r="D36" s="44" t="str">
        <f t="shared" si="6"/>
        <v>Duración de llamadas a Larga Distancia Mundial - 2020</v>
      </c>
      <c r="G36" s="145">
        <f t="shared" si="7"/>
        <v>2020</v>
      </c>
      <c r="H36" s="131" t="s">
        <v>489</v>
      </c>
      <c r="I36" s="144"/>
      <c r="K36" s="263" t="s">
        <v>500</v>
      </c>
      <c r="M36" s="44"/>
    </row>
    <row r="37" spans="1:59" ht="12" x14ac:dyDescent="0.25">
      <c r="C37" s="95">
        <f t="shared" ref="C37:C38" si="8">1+C36</f>
        <v>5</v>
      </c>
      <c r="D37" s="44" t="str">
        <f t="shared" si="6"/>
        <v>Duración de llamadas a Larga Distancia Mundial - 2021</v>
      </c>
      <c r="E37" s="44"/>
      <c r="F37" s="44"/>
      <c r="G37" s="145">
        <f t="shared" si="7"/>
        <v>2021</v>
      </c>
      <c r="H37" s="131" t="s">
        <v>489</v>
      </c>
      <c r="I37" s="144"/>
      <c r="K37" s="263" t="s">
        <v>500</v>
      </c>
      <c r="M37" s="44"/>
    </row>
    <row r="38" spans="1:59" s="262" customFormat="1" ht="12" x14ac:dyDescent="0.25">
      <c r="C38" s="95">
        <f t="shared" si="8"/>
        <v>6</v>
      </c>
      <c r="D38" s="262" t="str">
        <f t="shared" si="6"/>
        <v>Duración de llamadas a Larga Distancia Mundial - 2022</v>
      </c>
      <c r="G38" s="145">
        <f t="shared" si="7"/>
        <v>2022</v>
      </c>
      <c r="H38" s="131" t="s">
        <v>489</v>
      </c>
      <c r="I38" s="747">
        <f>'Info planes y paquetes'!D1373</f>
        <v>7</v>
      </c>
      <c r="K38" s="263" t="s">
        <v>500</v>
      </c>
    </row>
    <row r="39" spans="1:59" s="44" customFormat="1" x14ac:dyDescent="0.25">
      <c r="G39" s="77"/>
      <c r="V39" s="262"/>
      <c r="X39" s="262"/>
      <c r="Y39" s="262"/>
      <c r="AA39" s="262"/>
      <c r="AD39" s="262"/>
      <c r="AE39" s="262"/>
    </row>
    <row r="40" spans="1:59" ht="12" x14ac:dyDescent="0.25">
      <c r="D40" s="102" t="str">
        <f>"Duración de llamadas a celular (modalidad “El que llama paga”  - "&amp;Year.selected</f>
        <v>Duración de llamadas a celular (modalidad “El que llama paga”  - 2022</v>
      </c>
      <c r="G40" s="145" t="s">
        <v>488</v>
      </c>
      <c r="H40" s="131" t="s">
        <v>489</v>
      </c>
      <c r="I40" s="742">
        <f>VLOOKUP(Year.selected,G41:I46,3,FALSE)</f>
        <v>2</v>
      </c>
      <c r="J40" s="45" t="s">
        <v>493</v>
      </c>
      <c r="M40" s="44"/>
    </row>
    <row r="41" spans="1:59" ht="12" x14ac:dyDescent="0.25">
      <c r="C41" s="96">
        <v>1</v>
      </c>
      <c r="D41" t="str">
        <f t="shared" ref="D41:D46" si="9">"Duración de llamadas a celular- "&amp;G41</f>
        <v>Duración de llamadas a celular- 2017</v>
      </c>
      <c r="G41" s="145">
        <f t="shared" ref="G41:G46" si="10">INDEX(Years,C41)</f>
        <v>2017</v>
      </c>
      <c r="H41" s="131" t="s">
        <v>489</v>
      </c>
      <c r="I41" s="143"/>
      <c r="K41" s="77" t="s">
        <v>500</v>
      </c>
      <c r="M41" s="44"/>
    </row>
    <row r="42" spans="1:59" ht="12" x14ac:dyDescent="0.25">
      <c r="C42" s="95">
        <f>1+C41</f>
        <v>2</v>
      </c>
      <c r="D42" s="44" t="str">
        <f t="shared" si="9"/>
        <v>Duración de llamadas a celular- 2018</v>
      </c>
      <c r="G42" s="145">
        <f t="shared" si="10"/>
        <v>2018</v>
      </c>
      <c r="H42" s="131" t="s">
        <v>489</v>
      </c>
      <c r="I42" s="143"/>
      <c r="K42" s="77" t="s">
        <v>500</v>
      </c>
      <c r="M42" s="44"/>
    </row>
    <row r="43" spans="1:59" ht="12" x14ac:dyDescent="0.25">
      <c r="C43" s="95">
        <f>1+C42</f>
        <v>3</v>
      </c>
      <c r="D43" s="44" t="str">
        <f t="shared" si="9"/>
        <v>Duración de llamadas a celular- 2019</v>
      </c>
      <c r="G43" s="145">
        <f t="shared" si="10"/>
        <v>2019</v>
      </c>
      <c r="H43" s="131" t="s">
        <v>489</v>
      </c>
      <c r="I43" s="143"/>
      <c r="K43" s="263" t="s">
        <v>500</v>
      </c>
      <c r="M43" s="44"/>
    </row>
    <row r="44" spans="1:59" ht="12" x14ac:dyDescent="0.25">
      <c r="C44" s="95">
        <f>1+C43</f>
        <v>4</v>
      </c>
      <c r="D44" s="44" t="str">
        <f t="shared" si="9"/>
        <v>Duración de llamadas a celular- 2020</v>
      </c>
      <c r="G44" s="145">
        <f t="shared" si="10"/>
        <v>2020</v>
      </c>
      <c r="H44" s="131" t="s">
        <v>489</v>
      </c>
      <c r="I44" s="143"/>
      <c r="K44" s="263" t="s">
        <v>500</v>
      </c>
      <c r="M44" s="44"/>
    </row>
    <row r="45" spans="1:59" s="44" customFormat="1" ht="12" x14ac:dyDescent="0.25">
      <c r="C45" s="95">
        <f t="shared" ref="C45:C46" si="11">1+C44</f>
        <v>5</v>
      </c>
      <c r="D45" s="44" t="str">
        <f t="shared" si="9"/>
        <v>Duración de llamadas a celular- 2021</v>
      </c>
      <c r="G45" s="145">
        <f t="shared" si="10"/>
        <v>2021</v>
      </c>
      <c r="H45" s="131" t="s">
        <v>489</v>
      </c>
      <c r="I45" s="143"/>
      <c r="K45" s="263" t="s">
        <v>500</v>
      </c>
      <c r="V45" s="262"/>
      <c r="X45" s="262"/>
      <c r="Y45" s="262"/>
      <c r="AA45" s="262"/>
      <c r="AD45" s="262"/>
      <c r="AE45" s="262"/>
    </row>
    <row r="46" spans="1:59" s="262" customFormat="1" ht="12.5" thickBot="1" x14ac:dyDescent="0.3">
      <c r="C46" s="95">
        <f t="shared" si="11"/>
        <v>6</v>
      </c>
      <c r="D46" s="262" t="str">
        <f t="shared" si="9"/>
        <v>Duración de llamadas a celular- 2022</v>
      </c>
      <c r="G46" s="145">
        <f t="shared" si="10"/>
        <v>2022</v>
      </c>
      <c r="H46" s="131" t="s">
        <v>489</v>
      </c>
      <c r="I46" s="746">
        <f>'Info planes y paquetes'!D1374</f>
        <v>2</v>
      </c>
      <c r="K46" s="263" t="s">
        <v>500</v>
      </c>
    </row>
    <row r="47" spans="1:59" x14ac:dyDescent="0.25">
      <c r="D47" s="41"/>
      <c r="E47" s="41"/>
      <c r="F47" s="41"/>
      <c r="G47" s="41"/>
      <c r="H47" s="41"/>
      <c r="I47" s="41"/>
      <c r="J47" s="41"/>
      <c r="K47" s="41"/>
      <c r="L47" s="41"/>
      <c r="M47" s="41"/>
    </row>
    <row r="48" spans="1:59" s="44" customFormat="1" x14ac:dyDescent="0.25">
      <c r="A48" s="100">
        <v>3</v>
      </c>
      <c r="B48" s="100" t="s">
        <v>494</v>
      </c>
      <c r="C48" s="40"/>
      <c r="D48" s="40"/>
      <c r="E48" s="40"/>
      <c r="F48" s="40"/>
      <c r="G48" s="40"/>
      <c r="H48" s="40"/>
      <c r="I48" s="40"/>
      <c r="J48" s="40"/>
      <c r="K48" s="40"/>
      <c r="L48" s="40"/>
      <c r="M48" s="40"/>
      <c r="N48" s="40"/>
      <c r="O48" s="40"/>
      <c r="P48" s="40"/>
      <c r="Q48" s="40"/>
      <c r="R48" s="40"/>
      <c r="S48" s="40"/>
      <c r="T48" s="40"/>
      <c r="U48" s="40"/>
      <c r="V48" s="265"/>
      <c r="W48" s="40"/>
      <c r="X48" s="265"/>
      <c r="Y48" s="265"/>
      <c r="Z48" s="40"/>
      <c r="AA48" s="265"/>
      <c r="AB48" s="40"/>
      <c r="AC48" s="40"/>
      <c r="AD48" s="265"/>
      <c r="AE48" s="265"/>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row>
    <row r="50" spans="1:59" x14ac:dyDescent="0.25">
      <c r="D50" t="s">
        <v>1301</v>
      </c>
    </row>
    <row r="51" spans="1:59" ht="23" x14ac:dyDescent="0.25">
      <c r="C51" s="68" t="s">
        <v>161</v>
      </c>
      <c r="D51" s="68" t="s">
        <v>495</v>
      </c>
      <c r="E51" s="72"/>
      <c r="F51" s="1" t="s">
        <v>182</v>
      </c>
      <c r="G51" s="1" t="s">
        <v>181</v>
      </c>
      <c r="H51" s="1" t="s">
        <v>334</v>
      </c>
      <c r="I51" s="1" t="s">
        <v>337</v>
      </c>
      <c r="J51" s="1" t="s">
        <v>501</v>
      </c>
      <c r="K51" s="1" t="s">
        <v>502</v>
      </c>
      <c r="L51" s="1" t="s">
        <v>170</v>
      </c>
      <c r="M51" s="1"/>
    </row>
    <row r="52" spans="1:59" ht="11" customHeight="1" thickBot="1" x14ac:dyDescent="0.3">
      <c r="C52" s="96">
        <v>1</v>
      </c>
      <c r="D52" s="44" t="s">
        <v>309</v>
      </c>
      <c r="E52" s="44"/>
      <c r="F52" s="113" t="e">
        <f>VLOOKUP(D52,#REF!,2,FALSE)</f>
        <v>#REF!</v>
      </c>
      <c r="G52" s="113" t="e">
        <f>VLOOKUP(D52,#REF!,3,FALSE)</f>
        <v>#REF!</v>
      </c>
      <c r="H52" s="663">
        <v>125.54</v>
      </c>
      <c r="I52" s="147">
        <v>1000</v>
      </c>
      <c r="J52" s="95">
        <f>IFERROR(H52/I52,0)</f>
        <v>0.12554000000000001</v>
      </c>
      <c r="K52" s="141">
        <f>IFERROR(J52/loading.call.durations.to.local.fixed.numbers,"")</f>
        <v>3.1385000000000003E-2</v>
      </c>
    </row>
    <row r="53" spans="1:59" x14ac:dyDescent="0.25">
      <c r="D53" s="41"/>
      <c r="E53" s="41"/>
      <c r="F53" s="41"/>
      <c r="G53" s="41"/>
      <c r="H53" s="41"/>
      <c r="I53" s="41"/>
      <c r="J53" s="41"/>
      <c r="K53" s="41"/>
      <c r="L53" s="41"/>
      <c r="M53" s="41"/>
    </row>
    <row r="54" spans="1:59" x14ac:dyDescent="0.25">
      <c r="D54" s="146" t="s">
        <v>496</v>
      </c>
      <c r="E54" s="72"/>
      <c r="F54" s="1"/>
      <c r="G54" s="1" t="s">
        <v>182</v>
      </c>
      <c r="H54" s="1" t="s">
        <v>426</v>
      </c>
      <c r="I54" s="1" t="s">
        <v>168</v>
      </c>
      <c r="J54" s="1" t="s">
        <v>170</v>
      </c>
      <c r="K54" s="1"/>
      <c r="L54" s="1"/>
      <c r="M54" s="1"/>
      <c r="O54" s="262"/>
    </row>
    <row r="55" spans="1:59" ht="12.5" thickBot="1" x14ac:dyDescent="0.3">
      <c r="C55" s="197">
        <f>C52+1</f>
        <v>2</v>
      </c>
      <c r="D55" s="44" t="s">
        <v>497</v>
      </c>
      <c r="G55" s="131" t="s">
        <v>240</v>
      </c>
      <c r="H55" s="298">
        <f>SUMPRODUCT('Cálculos principales'!$I104:$DN104,vector.plans.with.line.rental.residential,vector.users.telephone)/SUMPRODUCT(vector.plans.with.line.rental.residential,vector.users.telephone)/100</f>
        <v>5.815970035697364E-2</v>
      </c>
      <c r="I55" s="45" t="s">
        <v>503</v>
      </c>
      <c r="J55" s="262" t="s">
        <v>504</v>
      </c>
      <c r="O55" s="262"/>
    </row>
    <row r="56" spans="1:59" x14ac:dyDescent="0.25">
      <c r="C56" s="44"/>
      <c r="D56" s="41"/>
      <c r="E56" s="41"/>
      <c r="F56" s="41"/>
      <c r="G56" s="41"/>
      <c r="H56" s="287"/>
      <c r="I56" s="41"/>
      <c r="J56" s="41"/>
      <c r="K56" s="41"/>
      <c r="L56" s="41"/>
      <c r="M56" s="41"/>
    </row>
    <row r="58" spans="1:59" x14ac:dyDescent="0.25">
      <c r="C58" s="95">
        <f>1+C56</f>
        <v>1</v>
      </c>
      <c r="D58" s="146" t="s">
        <v>498</v>
      </c>
      <c r="E58" s="72"/>
      <c r="F58" s="1"/>
      <c r="G58" s="1"/>
      <c r="H58" s="1"/>
      <c r="I58" s="1"/>
      <c r="J58" s="1"/>
      <c r="K58" s="1"/>
      <c r="L58" s="1"/>
      <c r="M58" s="1"/>
    </row>
    <row r="59" spans="1:59" ht="12.5" thickBot="1" x14ac:dyDescent="0.3">
      <c r="C59" s="95">
        <f>1+C58</f>
        <v>2</v>
      </c>
      <c r="D59" s="44" t="s">
        <v>499</v>
      </c>
      <c r="E59" s="44"/>
      <c r="F59" s="44"/>
      <c r="G59" s="131" t="s">
        <v>505</v>
      </c>
      <c r="H59" s="308">
        <f>K52/index.use.residential</f>
        <v>0.53963482974232324</v>
      </c>
      <c r="I59" s="45" t="s">
        <v>506</v>
      </c>
      <c r="J59" s="44" t="s">
        <v>507</v>
      </c>
      <c r="K59" s="44"/>
      <c r="L59" s="44"/>
      <c r="M59" s="44"/>
    </row>
    <row r="60" spans="1:59" x14ac:dyDescent="0.25">
      <c r="D60" s="41"/>
      <c r="E60" s="41"/>
      <c r="F60" s="41"/>
      <c r="G60" s="41"/>
      <c r="H60" s="41"/>
      <c r="I60" s="41"/>
      <c r="J60" s="41"/>
      <c r="K60" s="41"/>
      <c r="L60" s="41"/>
      <c r="M60" s="41"/>
    </row>
    <row r="61" spans="1:59" s="44" customFormat="1" x14ac:dyDescent="0.25">
      <c r="V61" s="262"/>
      <c r="X61" s="262"/>
      <c r="Y61" s="262"/>
      <c r="AA61" s="262"/>
      <c r="AD61" s="262"/>
      <c r="AE61" s="262"/>
    </row>
    <row r="62" spans="1:59" s="44" customFormat="1" x14ac:dyDescent="0.25">
      <c r="A62" s="100">
        <v>4</v>
      </c>
      <c r="B62" s="100" t="s">
        <v>927</v>
      </c>
      <c r="C62" s="40"/>
      <c r="D62" s="40"/>
      <c r="E62" s="40"/>
      <c r="F62" s="40"/>
      <c r="G62" s="40"/>
      <c r="H62" s="40"/>
      <c r="I62" s="40"/>
      <c r="J62" s="40"/>
      <c r="K62" s="40"/>
      <c r="L62" s="40"/>
      <c r="M62" s="40"/>
      <c r="N62" s="40"/>
      <c r="O62" s="40"/>
      <c r="P62" s="40"/>
      <c r="Q62" s="40"/>
      <c r="R62" s="40"/>
      <c r="S62" s="40"/>
      <c r="T62" s="40"/>
      <c r="U62" s="40"/>
      <c r="V62" s="265"/>
      <c r="W62" s="40"/>
      <c r="X62" s="265"/>
      <c r="Y62" s="265"/>
      <c r="Z62" s="40"/>
      <c r="AA62" s="265"/>
      <c r="AB62" s="40"/>
      <c r="AC62" s="40"/>
      <c r="AD62" s="265"/>
      <c r="AE62" s="265"/>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40"/>
      <c r="BG62" s="40"/>
    </row>
    <row r="63" spans="1:59" s="44" customFormat="1" x14ac:dyDescent="0.25">
      <c r="V63" s="262"/>
      <c r="X63" s="262"/>
      <c r="Y63" s="262"/>
      <c r="AA63" s="262"/>
      <c r="AD63" s="262"/>
      <c r="AE63" s="262"/>
    </row>
    <row r="64" spans="1:59" s="44" customFormat="1" x14ac:dyDescent="0.25">
      <c r="C64" s="290" t="s">
        <v>926</v>
      </c>
      <c r="H64" s="347">
        <v>7</v>
      </c>
      <c r="I64" s="348">
        <v>8</v>
      </c>
      <c r="J64" s="348">
        <v>0</v>
      </c>
      <c r="V64" s="262"/>
      <c r="X64" s="262"/>
      <c r="Y64" s="262"/>
      <c r="AA64" s="262"/>
      <c r="AD64" s="262"/>
      <c r="AE64" s="262"/>
    </row>
    <row r="65" spans="3:31" s="44" customFormat="1" x14ac:dyDescent="0.25">
      <c r="H65" s="39" t="str">
        <f>"Distribución "&amp;Year.selected&amp;" de suscriptores por medio de transmisión"</f>
        <v>Distribución 2022 de suscriptores por medio de transmisión</v>
      </c>
      <c r="I65" s="39"/>
      <c r="V65" s="262"/>
      <c r="X65" s="262"/>
      <c r="Y65" s="262"/>
      <c r="AA65" s="262"/>
      <c r="AD65" s="262"/>
      <c r="AE65" s="262"/>
    </row>
    <row r="66" spans="3:31" s="44" customFormat="1" ht="34.5" x14ac:dyDescent="0.25">
      <c r="C66" s="68" t="s">
        <v>161</v>
      </c>
      <c r="D66" s="68" t="s">
        <v>495</v>
      </c>
      <c r="E66" s="1" t="s">
        <v>605</v>
      </c>
      <c r="F66" s="1" t="s">
        <v>182</v>
      </c>
      <c r="G66" s="1" t="s">
        <v>181</v>
      </c>
      <c r="H66" s="1" t="s">
        <v>372</v>
      </c>
      <c r="I66" s="1" t="s">
        <v>561</v>
      </c>
      <c r="J66" s="1" t="s">
        <v>94</v>
      </c>
      <c r="K66" s="268"/>
      <c r="L66" s="1"/>
      <c r="M66" s="1" t="s">
        <v>170</v>
      </c>
      <c r="V66" s="262"/>
      <c r="X66" s="262"/>
      <c r="Y66" s="262"/>
      <c r="AA66" s="262"/>
      <c r="AD66" s="262"/>
      <c r="AE66" s="262"/>
    </row>
    <row r="67" spans="3:31" s="44" customFormat="1" x14ac:dyDescent="0.25">
      <c r="C67" s="96">
        <v>1</v>
      </c>
      <c r="D67" s="101" t="str">
        <f t="array" ref="D67:D177">'Info planes y paquetes'!$C$767:$C$874</f>
        <v>Infinitum 50</v>
      </c>
      <c r="E67" s="157">
        <f>H194</f>
        <v>50</v>
      </c>
      <c r="F67" s="113" t="str">
        <f>VLOOKUP($D67,'Info planes y paquetes'!$C$767:$L$874,2,FALSE)</f>
        <v>Residencial</v>
      </c>
      <c r="G67" s="113" t="str">
        <f>VLOOKUP($D67,'Info planes y paquetes'!$C$767:$L$874,3,FALSE)</f>
        <v>Internet fijo</v>
      </c>
      <c r="H67" s="166">
        <f>IFERROR(VLOOKUP($D67,$D$194:$K$313,H$64,FALSE)/SUM(VLOOKUP($D67,$D$194:$K313,H$64,FALSE),VLOOKUP($D67,$D$194:$K$313,I$64,FALSE)),"")</f>
        <v>0.4226433563695452</v>
      </c>
      <c r="I67" s="166">
        <f t="shared" ref="I67:I98" si="12">IFERROR(VLOOKUP($D67,$D$194:$K$313,I$64,FALSE)/SUM(VLOOKUP($D67,$D$194:$K$313,H$64,FALSE),VLOOKUP($D67,$D$194:$K$313,I$64,FALSE)),"")</f>
        <v>0.5773566436304548</v>
      </c>
      <c r="J67" s="166">
        <f>SUM(H67:I67)</f>
        <v>1</v>
      </c>
      <c r="K67" s="148"/>
      <c r="V67" s="262"/>
      <c r="X67" s="262"/>
      <c r="Y67" s="262"/>
      <c r="AA67" s="262"/>
      <c r="AD67" s="262"/>
      <c r="AE67" s="262"/>
    </row>
    <row r="68" spans="3:31" s="44" customFormat="1" x14ac:dyDescent="0.25">
      <c r="C68" s="95">
        <f>1+C67</f>
        <v>2</v>
      </c>
      <c r="D68" s="101" t="str">
        <v>Infinitum 500</v>
      </c>
      <c r="E68" s="269">
        <f t="shared" ref="E68:E131" si="13">H195</f>
        <v>500</v>
      </c>
      <c r="F68" s="113" t="str">
        <f>VLOOKUP($D68,'Info planes y paquetes'!$C$767:$L$874,2,FALSE)</f>
        <v>Residencial</v>
      </c>
      <c r="G68" s="113" t="str">
        <f>VLOOKUP($D68,'Info planes y paquetes'!$C$767:$L$874,3,FALSE)</f>
        <v>Internet fijo</v>
      </c>
      <c r="H68" s="166">
        <f>IFERROR(VLOOKUP($D68,$D$194:$K$313,H$64,FALSE)/SUM(VLOOKUP($D68,$D$194:$K313,H$64,FALSE),VLOOKUP($D68,$D$194:$K$313,I$64,FALSE)),"")</f>
        <v>1.1238059561715678E-3</v>
      </c>
      <c r="I68" s="166">
        <f t="shared" si="12"/>
        <v>0.99887619404382844</v>
      </c>
      <c r="J68" s="166">
        <f>SUM(H68:I68)</f>
        <v>1</v>
      </c>
      <c r="K68" s="148"/>
      <c r="V68" s="262"/>
      <c r="X68" s="262"/>
      <c r="Y68" s="262"/>
      <c r="AA68" s="262"/>
      <c r="AD68" s="262"/>
      <c r="AE68" s="262"/>
    </row>
    <row r="69" spans="3:31" s="44" customFormat="1" x14ac:dyDescent="0.25">
      <c r="C69" s="95">
        <f t="shared" ref="C69:C132" si="14">1+C68</f>
        <v>3</v>
      </c>
      <c r="D69" s="101" t="str">
        <v>Infinitum 60</v>
      </c>
      <c r="E69" s="269">
        <f t="shared" si="13"/>
        <v>60</v>
      </c>
      <c r="F69" s="113" t="str">
        <f>VLOOKUP($D69,'Info planes y paquetes'!$C$767:$L$874,2,FALSE)</f>
        <v>Residencial</v>
      </c>
      <c r="G69" s="113" t="str">
        <f>VLOOKUP($D69,'Info planes y paquetes'!$C$767:$L$874,3,FALSE)</f>
        <v>Internet fijo</v>
      </c>
      <c r="H69" s="166">
        <f>IFERROR(VLOOKUP($D69,$D$194:$K$313,H$64,FALSE)/SUM(VLOOKUP($D69,$D$194:$K314,H$64,FALSE),VLOOKUP($D69,$D$194:$K$313,I$64,FALSE)),"")</f>
        <v>0.17524070121258914</v>
      </c>
      <c r="I69" s="166">
        <f t="shared" si="12"/>
        <v>0.82475929878741083</v>
      </c>
      <c r="J69" s="166">
        <f>SUM(H69:I69)</f>
        <v>1</v>
      </c>
      <c r="K69" s="148"/>
      <c r="V69" s="262"/>
      <c r="X69" s="262"/>
      <c r="Y69" s="262"/>
      <c r="AA69" s="262"/>
      <c r="AD69" s="262"/>
      <c r="AE69" s="262"/>
    </row>
    <row r="70" spans="3:31" s="44" customFormat="1" x14ac:dyDescent="0.25">
      <c r="C70" s="95">
        <f t="shared" si="14"/>
        <v>4</v>
      </c>
      <c r="D70" s="101" t="str">
        <v>Infinitum 100</v>
      </c>
      <c r="E70" s="269">
        <f t="shared" si="13"/>
        <v>100</v>
      </c>
      <c r="F70" s="113" t="str">
        <f>VLOOKUP($D70,'Info planes y paquetes'!$C$767:$L$874,2,FALSE)</f>
        <v>Residencial</v>
      </c>
      <c r="G70" s="113" t="str">
        <f>VLOOKUP($D70,'Info planes y paquetes'!$C$767:$L$874,3,FALSE)</f>
        <v>Internet fijo</v>
      </c>
      <c r="H70" s="166">
        <f>IFERROR(VLOOKUP($D70,$D$194:$K$313,H$64,FALSE)/SUM(VLOOKUP($D70,$D$194:$K315,H$64,FALSE),VLOOKUP($D70,$D$194:$K$313,I$64,FALSE)),"")</f>
        <v>1.17096018735363E-3</v>
      </c>
      <c r="I70" s="166">
        <f t="shared" si="12"/>
        <v>0.99882903981264637</v>
      </c>
      <c r="J70" s="166">
        <f>SUM(H70:I70)</f>
        <v>1</v>
      </c>
      <c r="K70" s="148"/>
      <c r="V70" s="262"/>
      <c r="X70" s="262"/>
      <c r="Y70" s="262"/>
      <c r="AA70" s="262"/>
      <c r="AD70" s="262"/>
      <c r="AE70" s="262"/>
    </row>
    <row r="71" spans="3:31" s="44" customFormat="1" x14ac:dyDescent="0.25">
      <c r="C71" s="95">
        <f t="shared" si="14"/>
        <v>5</v>
      </c>
      <c r="D71" s="101" t="str">
        <v>Infinitum 200</v>
      </c>
      <c r="E71" s="269">
        <f t="shared" si="13"/>
        <v>200</v>
      </c>
      <c r="F71" s="113" t="str">
        <f>VLOOKUP($D71,'Info planes y paquetes'!$C$767:$L$874,2,FALSE)</f>
        <v>Residencial</v>
      </c>
      <c r="G71" s="113" t="str">
        <f>VLOOKUP($D71,'Info planes y paquetes'!$C$767:$L$874,3,FALSE)</f>
        <v>Internet fijo</v>
      </c>
      <c r="H71" s="166">
        <f>IFERROR(VLOOKUP($D71,$D$194:$K$313,H$64,FALSE)/SUM(VLOOKUP($D71,$D$194:$K316,H$64,FALSE),VLOOKUP($D71,$D$194:$K$313,I$64,FALSE)),"")</f>
        <v>1.861601496200041E-2</v>
      </c>
      <c r="I71" s="166">
        <f t="shared" si="12"/>
        <v>0.98138398503799962</v>
      </c>
      <c r="J71" s="166">
        <f t="shared" ref="J71:J134" si="15">SUM(H71:I71)</f>
        <v>1</v>
      </c>
      <c r="K71" s="148"/>
      <c r="V71" s="262"/>
      <c r="X71" s="262"/>
      <c r="Y71" s="262"/>
      <c r="AA71" s="262"/>
      <c r="AD71" s="262"/>
      <c r="AE71" s="262"/>
    </row>
    <row r="72" spans="3:31" s="44" customFormat="1" x14ac:dyDescent="0.25">
      <c r="C72" s="95">
        <f t="shared" si="14"/>
        <v>6</v>
      </c>
      <c r="D72" s="101" t="str">
        <v>Infinitum 279</v>
      </c>
      <c r="E72" s="269">
        <f t="shared" si="13"/>
        <v>30</v>
      </c>
      <c r="F72" s="113" t="str">
        <f>VLOOKUP($D72,'Info planes y paquetes'!$C$767:$L$874,2,FALSE)</f>
        <v>Residencial</v>
      </c>
      <c r="G72" s="113" t="str">
        <f>VLOOKUP($D72,'Info planes y paquetes'!$C$767:$L$874,3,FALSE)</f>
        <v>Internet fijo</v>
      </c>
      <c r="H72" s="166">
        <f>IFERROR(VLOOKUP($D72,$D$194:$K$313,H$64,FALSE)/SUM(VLOOKUP($D72,$D$194:$K317,H$64,FALSE),VLOOKUP($D72,$D$194:$K$313,I$64,FALSE)),"")</f>
        <v>0.47247948726978201</v>
      </c>
      <c r="I72" s="166">
        <f t="shared" si="12"/>
        <v>0.52752051273021794</v>
      </c>
      <c r="J72" s="166">
        <f t="shared" si="15"/>
        <v>1</v>
      </c>
      <c r="K72" s="148"/>
      <c r="V72" s="262"/>
      <c r="X72" s="262"/>
      <c r="Y72" s="262"/>
      <c r="AA72" s="262"/>
      <c r="AD72" s="262"/>
      <c r="AE72" s="262"/>
    </row>
    <row r="73" spans="3:31" s="44" customFormat="1" x14ac:dyDescent="0.25">
      <c r="C73" s="95">
        <f t="shared" si="14"/>
        <v>7</v>
      </c>
      <c r="D73" s="101" t="str">
        <v>Infinitum 299</v>
      </c>
      <c r="E73" s="269">
        <f t="shared" si="13"/>
        <v>40</v>
      </c>
      <c r="F73" s="113" t="str">
        <f>VLOOKUP($D73,'Info planes y paquetes'!$C$767:$L$874,2,FALSE)</f>
        <v>Residencial</v>
      </c>
      <c r="G73" s="113" t="str">
        <f>VLOOKUP($D73,'Info planes y paquetes'!$C$767:$L$874,3,FALSE)</f>
        <v>Internet fijo</v>
      </c>
      <c r="H73" s="166">
        <f>IFERROR(VLOOKUP($D73,$D$194:$K$313,H$64,FALSE)/SUM(VLOOKUP($D73,$D$194:$K318,H$64,FALSE),VLOOKUP($D73,$D$194:$K$313,I$64,FALSE)),"")</f>
        <v>0.3</v>
      </c>
      <c r="I73" s="166">
        <f t="shared" si="12"/>
        <v>0.7</v>
      </c>
      <c r="J73" s="166">
        <f t="shared" si="15"/>
        <v>1</v>
      </c>
      <c r="K73" s="148"/>
      <c r="V73" s="262"/>
      <c r="X73" s="262"/>
      <c r="Y73" s="262"/>
      <c r="AA73" s="262"/>
      <c r="AD73" s="262"/>
      <c r="AE73" s="262"/>
    </row>
    <row r="74" spans="3:31" s="44" customFormat="1" x14ac:dyDescent="0.25">
      <c r="C74" s="95">
        <f t="shared" si="14"/>
        <v>8</v>
      </c>
      <c r="D74" s="101" t="str">
        <v>Infinitum 299</v>
      </c>
      <c r="E74" s="269">
        <f t="shared" si="13"/>
        <v>40</v>
      </c>
      <c r="F74" s="113" t="s">
        <v>242</v>
      </c>
      <c r="G74" s="113" t="str">
        <f>VLOOKUP($D74,'Info planes y paquetes'!$C$767:$L$874,3,FALSE)</f>
        <v>Internet fijo</v>
      </c>
      <c r="H74" s="166">
        <f>IFERROR(VLOOKUP($D74,$D$194:$K$313,H$64,FALSE)/SUM(VLOOKUP($D74,$D$194:$K318,H$64,FALSE),VLOOKUP($D74,$D$194:$K$313,I$64,FALSE)),"")</f>
        <v>0.3</v>
      </c>
      <c r="I74" s="166">
        <f t="shared" si="12"/>
        <v>0.7</v>
      </c>
      <c r="J74" s="166">
        <f t="shared" si="15"/>
        <v>1</v>
      </c>
      <c r="K74" s="148"/>
      <c r="V74" s="262"/>
      <c r="X74" s="262"/>
      <c r="Y74" s="262"/>
      <c r="AA74" s="262"/>
      <c r="AD74" s="262"/>
      <c r="AE74" s="262"/>
    </row>
    <row r="75" spans="3:31" s="44" customFormat="1" x14ac:dyDescent="0.25">
      <c r="C75" s="95">
        <f t="shared" si="14"/>
        <v>9</v>
      </c>
      <c r="D75" s="101" t="str">
        <v>Infinitum Negocio 20 Mb</v>
      </c>
      <c r="E75" s="269">
        <f t="shared" si="13"/>
        <v>20</v>
      </c>
      <c r="F75" s="113" t="str">
        <f>VLOOKUP($D75,'Info planes y paquetes'!$C$767:$L$874,2,FALSE)</f>
        <v>No Residencial</v>
      </c>
      <c r="G75" s="113" t="str">
        <f>VLOOKUP($D75,'Info planes y paquetes'!$C$767:$L$874,3,FALSE)</f>
        <v>Internet fijo</v>
      </c>
      <c r="H75" s="166">
        <f>IFERROR(VLOOKUP($D75,$D$194:$K$313,H$64,FALSE)/SUM(VLOOKUP($D75,$D$194:$K319,H$64,FALSE),VLOOKUP($D75,$D$194:$K$313,I$64,FALSE)),"")</f>
        <v>0.37407118152404328</v>
      </c>
      <c r="I75" s="166">
        <f t="shared" si="12"/>
        <v>0.62592881847595672</v>
      </c>
      <c r="J75" s="166">
        <f t="shared" si="15"/>
        <v>1</v>
      </c>
      <c r="K75" s="148"/>
      <c r="V75" s="262"/>
      <c r="X75" s="262"/>
      <c r="Y75" s="262"/>
      <c r="AA75" s="262"/>
      <c r="AD75" s="262"/>
      <c r="AE75" s="262"/>
    </row>
    <row r="76" spans="3:31" s="44" customFormat="1" x14ac:dyDescent="0.25">
      <c r="C76" s="95">
        <f t="shared" si="14"/>
        <v>10</v>
      </c>
      <c r="D76" s="101" t="str">
        <v>Infinitum Negocio 60</v>
      </c>
      <c r="E76" s="269">
        <f t="shared" si="13"/>
        <v>60</v>
      </c>
      <c r="F76" s="113" t="str">
        <f>VLOOKUP($D76,'Info planes y paquetes'!$C$767:$L$874,2,FALSE)</f>
        <v>No Residencial</v>
      </c>
      <c r="G76" s="113" t="str">
        <f>VLOOKUP($D76,'Info planes y paquetes'!$C$767:$L$874,3,FALSE)</f>
        <v>Internet fijo</v>
      </c>
      <c r="H76" s="166">
        <f>IFERROR(VLOOKUP($D76,$D$194:$K$313,H$64,FALSE)/SUM(VLOOKUP($D76,$D$194:$K319,H$64,FALSE),VLOOKUP($D76,$D$194:$K$313,I$64,FALSE)),"")</f>
        <v>0.30626642689168626</v>
      </c>
      <c r="I76" s="166">
        <f t="shared" si="12"/>
        <v>0.69373357310831374</v>
      </c>
      <c r="J76" s="166">
        <f t="shared" si="15"/>
        <v>1</v>
      </c>
      <c r="K76" s="148"/>
      <c r="V76" s="262"/>
      <c r="X76" s="262"/>
      <c r="Y76" s="262"/>
      <c r="AA76" s="262"/>
      <c r="AD76" s="262"/>
      <c r="AE76" s="262"/>
    </row>
    <row r="77" spans="3:31" s="44" customFormat="1" x14ac:dyDescent="0.25">
      <c r="C77" s="95">
        <f t="shared" si="14"/>
        <v>11</v>
      </c>
      <c r="D77" s="101" t="str">
        <v>Infinitum Negocio 200</v>
      </c>
      <c r="E77" s="269">
        <f t="shared" si="13"/>
        <v>200</v>
      </c>
      <c r="F77" s="113" t="str">
        <f>VLOOKUP($D77,'Info planes y paquetes'!$C$767:$L$874,2,FALSE)</f>
        <v>No Residencial</v>
      </c>
      <c r="G77" s="113" t="str">
        <f>VLOOKUP($D77,'Info planes y paquetes'!$C$767:$L$874,3,FALSE)</f>
        <v>Internet fijo</v>
      </c>
      <c r="H77" s="166">
        <f>IFERROR(VLOOKUP($D77,$D$194:$K$313,H$64,FALSE)/SUM(VLOOKUP($D77,$D$194:$K320,H$64,FALSE),VLOOKUP($D77,$D$194:$K$313,I$64,FALSE)),"")</f>
        <v>4.1319733555370525E-2</v>
      </c>
      <c r="I77" s="166">
        <f t="shared" si="12"/>
        <v>0.95868026644462945</v>
      </c>
      <c r="J77" s="166">
        <f t="shared" si="15"/>
        <v>1</v>
      </c>
      <c r="K77" s="148"/>
      <c r="V77" s="262"/>
      <c r="X77" s="262"/>
      <c r="Y77" s="262"/>
      <c r="AA77" s="262"/>
      <c r="AD77" s="262"/>
      <c r="AE77" s="262"/>
    </row>
    <row r="78" spans="3:31" s="44" customFormat="1" x14ac:dyDescent="0.25">
      <c r="C78" s="95">
        <f t="shared" si="14"/>
        <v>12</v>
      </c>
      <c r="D78" s="101" t="str">
        <v>Infinitum Negocio 500</v>
      </c>
      <c r="E78" s="269">
        <f t="shared" si="13"/>
        <v>500</v>
      </c>
      <c r="F78" s="113" t="str">
        <f>VLOOKUP($D78,'Info planes y paquetes'!$C$767:$L$874,2,FALSE)</f>
        <v>No Residencial</v>
      </c>
      <c r="G78" s="113" t="str">
        <f>VLOOKUP($D78,'Info planes y paquetes'!$C$767:$L$874,3,FALSE)</f>
        <v>Internet fijo</v>
      </c>
      <c r="H78" s="166">
        <f>IFERROR(VLOOKUP($D78,$D$194:$K$313,H$64,FALSE)/SUM(VLOOKUP($D78,$D$194:$K321,H$64,FALSE),VLOOKUP($D78,$D$194:$K$313,I$64,FALSE)),"")</f>
        <v>6.6079295154185024E-3</v>
      </c>
      <c r="I78" s="166">
        <f t="shared" si="12"/>
        <v>0.99339207048458145</v>
      </c>
      <c r="J78" s="166">
        <f t="shared" si="15"/>
        <v>1</v>
      </c>
      <c r="K78" s="148"/>
      <c r="V78" s="262"/>
      <c r="X78" s="262"/>
      <c r="Y78" s="262"/>
      <c r="AA78" s="262"/>
      <c r="AD78" s="262"/>
      <c r="AE78" s="262"/>
    </row>
    <row r="79" spans="3:31" s="44" customFormat="1" x14ac:dyDescent="0.25">
      <c r="C79" s="95">
        <f t="shared" si="14"/>
        <v>13</v>
      </c>
      <c r="D79" s="101" t="str">
        <v>Paquete 249</v>
      </c>
      <c r="E79" s="269">
        <f t="shared" si="13"/>
        <v>5</v>
      </c>
      <c r="F79" s="113" t="str">
        <f>VLOOKUP($D79,'Info planes y paquetes'!$C$767:$L$874,2,FALSE)</f>
        <v>Residencial</v>
      </c>
      <c r="G79" s="113" t="str">
        <f>VLOOKUP($D79,'Info planes y paquetes'!$C$767:$L$874,3,FALSE)</f>
        <v>Telefonía fija + Internet fijo</v>
      </c>
      <c r="H79" s="166">
        <f>IFERROR(VLOOKUP($D79,$D$194:$K$313,H$64,FALSE)/SUM(VLOOKUP($D79,$D$194:$K322,H$64,FALSE),VLOOKUP($D79,$D$194:$K$313,I$64,FALSE)),"")</f>
        <v>0.47499841862230374</v>
      </c>
      <c r="I79" s="166">
        <f t="shared" si="12"/>
        <v>0.52500158137769626</v>
      </c>
      <c r="J79" s="166">
        <f t="shared" si="15"/>
        <v>1</v>
      </c>
      <c r="K79" s="148"/>
      <c r="V79" s="262"/>
      <c r="X79" s="262"/>
      <c r="Y79" s="262"/>
      <c r="AA79" s="262"/>
      <c r="AD79" s="262"/>
      <c r="AE79" s="262"/>
    </row>
    <row r="80" spans="3:31" s="44" customFormat="1" x14ac:dyDescent="0.25">
      <c r="C80" s="95">
        <f t="shared" si="14"/>
        <v>14</v>
      </c>
      <c r="D80" s="101" t="str">
        <v>Paquete 289</v>
      </c>
      <c r="E80" s="269">
        <f t="shared" si="13"/>
        <v>5</v>
      </c>
      <c r="F80" s="113" t="str">
        <f>VLOOKUP($D80,'Info planes y paquetes'!$C$767:$L$874,2,FALSE)</f>
        <v>Residencial</v>
      </c>
      <c r="G80" s="113" t="str">
        <f>VLOOKUP($D80,'Info planes y paquetes'!$C$767:$L$874,3,FALSE)</f>
        <v>Telefonía fija + Internet fijo</v>
      </c>
      <c r="H80" s="166">
        <f>IFERROR(VLOOKUP($D80,$D$194:$K$313,H$64,FALSE)/SUM(VLOOKUP($D80,$D$194:$K323,H$64,FALSE),VLOOKUP($D80,$D$194:$K$313,I$64,FALSE)),"")</f>
        <v>0.577923787376873</v>
      </c>
      <c r="I80" s="166">
        <f t="shared" si="12"/>
        <v>0.42207621262312706</v>
      </c>
      <c r="J80" s="166">
        <f t="shared" si="15"/>
        <v>1</v>
      </c>
      <c r="K80" s="148"/>
      <c r="V80" s="262"/>
      <c r="X80" s="262"/>
      <c r="Y80" s="262"/>
      <c r="AA80" s="262"/>
      <c r="AD80" s="262"/>
      <c r="AE80" s="262"/>
    </row>
    <row r="81" spans="3:31" s="44" customFormat="1" x14ac:dyDescent="0.25">
      <c r="C81" s="95">
        <f t="shared" si="14"/>
        <v>15</v>
      </c>
      <c r="D81" s="101" t="str">
        <v>Paquete 435</v>
      </c>
      <c r="E81" s="269">
        <f t="shared" si="13"/>
        <v>30</v>
      </c>
      <c r="F81" s="113" t="str">
        <f>VLOOKUP($D81,'Info planes y paquetes'!$C$767:$L$874,2,FALSE)</f>
        <v>Residencial</v>
      </c>
      <c r="G81" s="113" t="str">
        <f>VLOOKUP($D81,'Info planes y paquetes'!$C$767:$L$874,3,FALSE)</f>
        <v>Telefonía fija + Internet fijo</v>
      </c>
      <c r="H81" s="166">
        <f>IFERROR(VLOOKUP($D81,$D$194:$K$313,H$64,FALSE)/SUM(VLOOKUP($D81,$D$194:$K326,H$64,FALSE),VLOOKUP($D81,$D$194:$K$313,I$64,FALSE)),"")</f>
        <v>0.13798029388701374</v>
      </c>
      <c r="I81" s="166">
        <f t="shared" si="12"/>
        <v>0.86201970611298628</v>
      </c>
      <c r="J81" s="166">
        <f t="shared" si="15"/>
        <v>1</v>
      </c>
      <c r="K81" s="148"/>
      <c r="V81" s="262"/>
      <c r="X81" s="262"/>
      <c r="Y81" s="262"/>
      <c r="AA81" s="262"/>
      <c r="AD81" s="262"/>
      <c r="AE81" s="262"/>
    </row>
    <row r="82" spans="3:31" s="44" customFormat="1" x14ac:dyDescent="0.25">
      <c r="C82" s="95">
        <f t="shared" si="14"/>
        <v>16</v>
      </c>
      <c r="D82" s="101" t="str">
        <v>Paquete 499</v>
      </c>
      <c r="E82" s="269">
        <f t="shared" si="13"/>
        <v>40</v>
      </c>
      <c r="F82" s="113" t="str">
        <f>VLOOKUP($D82,'Info planes y paquetes'!$C$767:$L$874,2,FALSE)</f>
        <v>Residencial</v>
      </c>
      <c r="G82" s="113" t="str">
        <f>VLOOKUP($D82,'Info planes y paquetes'!$C$767:$L$874,3,FALSE)</f>
        <v>Telefonía fija + Internet fijo</v>
      </c>
      <c r="H82" s="166">
        <f>IFERROR(VLOOKUP($D82,$D$194:$K$313,H$64,FALSE)/SUM(VLOOKUP($D82,$D$194:$K328,H$64,FALSE),VLOOKUP($D82,$D$194:$K$313,I$64,FALSE)),"")</f>
        <v>0.10879049431807473</v>
      </c>
      <c r="I82" s="166">
        <f t="shared" si="12"/>
        <v>0.89120950568192525</v>
      </c>
      <c r="J82" s="166">
        <f t="shared" si="15"/>
        <v>1</v>
      </c>
      <c r="K82" s="148"/>
      <c r="V82" s="262"/>
      <c r="X82" s="262"/>
      <c r="Y82" s="262"/>
      <c r="AA82" s="262"/>
      <c r="AD82" s="262"/>
      <c r="AE82" s="262"/>
    </row>
    <row r="83" spans="3:31" s="44" customFormat="1" x14ac:dyDescent="0.25">
      <c r="C83" s="95">
        <f t="shared" si="14"/>
        <v>17</v>
      </c>
      <c r="D83" s="101" t="str">
        <v>Paquete 599</v>
      </c>
      <c r="E83" s="269">
        <f t="shared" si="13"/>
        <v>150</v>
      </c>
      <c r="F83" s="113" t="str">
        <f>VLOOKUP($D83,'Info planes y paquetes'!$C$767:$L$874,2,FALSE)</f>
        <v>Residencial</v>
      </c>
      <c r="G83" s="113" t="str">
        <f>VLOOKUP($D83,'Info planes y paquetes'!$C$767:$L$874,3,FALSE)</f>
        <v>Telefonía fija + Internet fijo</v>
      </c>
      <c r="H83" s="166">
        <f>IFERROR(VLOOKUP($D83,$D$194:$K$313,H$64,FALSE)/SUM(VLOOKUP($D83,$D$194:$K329,H$64,FALSE),VLOOKUP($D83,$D$194:$K$313,I$64,FALSE)),"")</f>
        <v>0.22167472466364943</v>
      </c>
      <c r="I83" s="166">
        <f t="shared" si="12"/>
        <v>0.77832527533635054</v>
      </c>
      <c r="J83" s="166">
        <f t="shared" si="15"/>
        <v>1</v>
      </c>
      <c r="K83" s="148"/>
      <c r="V83" s="262"/>
      <c r="X83" s="262"/>
      <c r="Y83" s="262"/>
      <c r="AA83" s="262"/>
      <c r="AD83" s="262"/>
      <c r="AE83" s="262"/>
    </row>
    <row r="84" spans="3:31" s="44" customFormat="1" x14ac:dyDescent="0.25">
      <c r="C84" s="95">
        <f t="shared" si="14"/>
        <v>18</v>
      </c>
      <c r="D84" s="101" t="str">
        <v>Paquete 389</v>
      </c>
      <c r="E84" s="269">
        <f t="shared" si="13"/>
        <v>20</v>
      </c>
      <c r="F84" s="113" t="str">
        <f>VLOOKUP($D84,'Info planes y paquetes'!$C$767:$L$874,2,FALSE)</f>
        <v>Residencial</v>
      </c>
      <c r="G84" s="113" t="str">
        <f>VLOOKUP($D84,'Info planes y paquetes'!$C$767:$L$874,3,FALSE)</f>
        <v>Telefonía fija + Internet fijo</v>
      </c>
      <c r="H84" s="166">
        <f>IFERROR(VLOOKUP($D84,$D$194:$K$313,H$64,FALSE)/SUM(VLOOKUP($D84,$D$194:$K331,H$64,FALSE),VLOOKUP($D84,$D$194:$K$313,I$64,FALSE)),"")</f>
        <v>0.55259005499559077</v>
      </c>
      <c r="I84" s="166">
        <f t="shared" si="12"/>
        <v>0.44740994500440923</v>
      </c>
      <c r="J84" s="166">
        <f t="shared" si="15"/>
        <v>1</v>
      </c>
      <c r="K84" s="148"/>
      <c r="V84" s="262"/>
      <c r="X84" s="262"/>
      <c r="Y84" s="262"/>
      <c r="AA84" s="262"/>
      <c r="AD84" s="262"/>
      <c r="AE84" s="262"/>
    </row>
    <row r="85" spans="3:31" s="44" customFormat="1" x14ac:dyDescent="0.25">
      <c r="C85" s="95">
        <f t="shared" si="14"/>
        <v>19</v>
      </c>
      <c r="D85" s="101" t="str">
        <v>Paquete Conectes Negocio</v>
      </c>
      <c r="E85" s="269">
        <f t="shared" si="13"/>
        <v>20</v>
      </c>
      <c r="F85" s="113" t="str">
        <f>VLOOKUP($D85,'Info planes y paquetes'!$C$767:$L$874,2,FALSE)</f>
        <v>No Residencial</v>
      </c>
      <c r="G85" s="113" t="str">
        <f>VLOOKUP($D85,'Info planes y paquetes'!$C$767:$L$874,3,FALSE)</f>
        <v>Telefonía fija + Internet fijo</v>
      </c>
      <c r="H85" s="166">
        <f>IFERROR(VLOOKUP($D85,$D$194:$K$313,H$64,FALSE)/SUM(VLOOKUP($D85,$D$194:$K332,H$64,FALSE),VLOOKUP($D85,$D$194:$K$313,I$64,FALSE)),"")</f>
        <v>0.45564070754849501</v>
      </c>
      <c r="I85" s="166">
        <f t="shared" si="12"/>
        <v>0.54435929245150505</v>
      </c>
      <c r="J85" s="166">
        <f t="shared" si="15"/>
        <v>1</v>
      </c>
      <c r="K85" s="148"/>
      <c r="V85" s="262"/>
      <c r="X85" s="262"/>
      <c r="Y85" s="262"/>
      <c r="AA85" s="262"/>
      <c r="AD85" s="262"/>
      <c r="AE85" s="262"/>
    </row>
    <row r="86" spans="3:31" s="44" customFormat="1" x14ac:dyDescent="0.25">
      <c r="C86" s="95">
        <f t="shared" si="14"/>
        <v>20</v>
      </c>
      <c r="D86" s="101" t="str">
        <v>Paquete 1499</v>
      </c>
      <c r="E86" s="269">
        <f t="shared" si="13"/>
        <v>1000</v>
      </c>
      <c r="F86" s="113" t="str">
        <f>VLOOKUP($D86,'Info planes y paquetes'!$C$767:$L$874,2,FALSE)</f>
        <v>Residencial</v>
      </c>
      <c r="G86" s="113" t="str">
        <f>VLOOKUP($D86,'Info planes y paquetes'!$C$767:$L$874,3,FALSE)</f>
        <v>Telefonía fija + Internet fijo</v>
      </c>
      <c r="H86" s="166">
        <f>IFERROR(VLOOKUP($D86,$D$194:$K$313,H$64,FALSE)/SUM(VLOOKUP($D86,$D$194:$K333,H$64,FALSE),VLOOKUP($D86,$D$194:$K$313,I$64,FALSE)),"")</f>
        <v>4.5748643879485001E-4</v>
      </c>
      <c r="I86" s="166">
        <f t="shared" si="12"/>
        <v>0.99954251356120516</v>
      </c>
      <c r="J86" s="166">
        <f t="shared" si="15"/>
        <v>1</v>
      </c>
      <c r="K86" s="148"/>
      <c r="V86" s="262"/>
      <c r="X86" s="262"/>
      <c r="Y86" s="262"/>
      <c r="AA86" s="262"/>
      <c r="AD86" s="262"/>
      <c r="AE86" s="262"/>
    </row>
    <row r="87" spans="3:31" s="44" customFormat="1" x14ac:dyDescent="0.25">
      <c r="C87" s="95">
        <f t="shared" si="14"/>
        <v>21</v>
      </c>
      <c r="D87" s="101" t="str">
        <v>Paquete 333</v>
      </c>
      <c r="E87" s="269">
        <f t="shared" si="13"/>
        <v>5</v>
      </c>
      <c r="F87" s="113" t="str">
        <f>VLOOKUP($D87,'Info planes y paquetes'!$C$767:$L$874,2,FALSE)</f>
        <v>Residencial</v>
      </c>
      <c r="G87" s="113" t="str">
        <f>VLOOKUP($D87,'Info planes y paquetes'!$C$767:$L$874,3,FALSE)</f>
        <v>Telefonía fija + Internet fijo</v>
      </c>
      <c r="H87" s="166">
        <f>IFERROR(VLOOKUP($D87,$D$194:$K$313,H$64,FALSE)/SUM(VLOOKUP($D87,$D$194:$K334,H$64,FALSE),VLOOKUP($D87,$D$194:$K$313,I$64,FALSE)),"")</f>
        <v>0.53448588709677425</v>
      </c>
      <c r="I87" s="166">
        <f t="shared" si="12"/>
        <v>0.46551411290322581</v>
      </c>
      <c r="J87" s="166">
        <f t="shared" si="15"/>
        <v>1</v>
      </c>
      <c r="K87" s="302"/>
      <c r="V87" s="262"/>
      <c r="X87" s="262"/>
      <c r="Y87" s="262"/>
      <c r="AA87" s="262"/>
      <c r="AD87" s="262"/>
      <c r="AE87" s="262"/>
    </row>
    <row r="88" spans="3:31" s="44" customFormat="1" x14ac:dyDescent="0.25">
      <c r="C88" s="95">
        <f t="shared" si="14"/>
        <v>22</v>
      </c>
      <c r="D88" s="101" t="str">
        <v>Paquete Mi Negocio</v>
      </c>
      <c r="E88" s="269">
        <f t="shared" si="13"/>
        <v>100</v>
      </c>
      <c r="F88" s="113" t="str">
        <f>VLOOKUP($D88,'Info planes y paquetes'!$C$767:$L$874,2,FALSE)</f>
        <v>No Residencial</v>
      </c>
      <c r="G88" s="113" t="str">
        <f>VLOOKUP($D88,'Info planes y paquetes'!$C$767:$L$874,3,FALSE)</f>
        <v>Telefonía fija + Internet fijo</v>
      </c>
      <c r="H88" s="166">
        <f>IFERROR(VLOOKUP($D88,$D$194:$K$313,H$64,FALSE)/SUM(VLOOKUP($D88,$D$194:$K335,H$64,FALSE),VLOOKUP($D88,$D$194:$K$313,I$64,FALSE)),"")</f>
        <v>0.36795910424739925</v>
      </c>
      <c r="I88" s="166">
        <f t="shared" si="12"/>
        <v>0.63204089575260081</v>
      </c>
      <c r="J88" s="166">
        <f t="shared" si="15"/>
        <v>1</v>
      </c>
      <c r="K88" s="148"/>
      <c r="V88" s="262"/>
      <c r="X88" s="262"/>
      <c r="Y88" s="262"/>
      <c r="AA88" s="262"/>
      <c r="AD88" s="262"/>
      <c r="AE88" s="262"/>
    </row>
    <row r="89" spans="3:31" s="44" customFormat="1" x14ac:dyDescent="0.25">
      <c r="C89" s="95">
        <f t="shared" si="14"/>
        <v>23</v>
      </c>
      <c r="D89" s="101" t="str">
        <v>Paquete SuperNegocio</v>
      </c>
      <c r="E89" s="269">
        <f t="shared" si="13"/>
        <v>200</v>
      </c>
      <c r="F89" s="113" t="str">
        <f>VLOOKUP($D89,'Info planes y paquetes'!$C$767:$L$874,2,FALSE)</f>
        <v>No Residencial</v>
      </c>
      <c r="G89" s="113" t="str">
        <f>VLOOKUP($D89,'Info planes y paquetes'!$C$767:$L$874,3,FALSE)</f>
        <v>Telefonía fija + Internet fijo</v>
      </c>
      <c r="H89" s="166">
        <f>IFERROR(VLOOKUP($D89,$D$194:$K$313,H$64,FALSE)/SUM(VLOOKUP($D89,$D$194:$K336,H$64,FALSE),VLOOKUP($D89,$D$194:$K$313,I$64,FALSE)),"")</f>
        <v>0.31032639837792569</v>
      </c>
      <c r="I89" s="166">
        <f t="shared" si="12"/>
        <v>0.68967360162207436</v>
      </c>
      <c r="J89" s="166">
        <f t="shared" si="15"/>
        <v>1</v>
      </c>
      <c r="K89" s="148"/>
      <c r="V89" s="262"/>
      <c r="X89" s="262"/>
      <c r="Y89" s="262"/>
      <c r="AA89" s="262"/>
      <c r="AD89" s="262"/>
      <c r="AE89" s="262"/>
    </row>
    <row r="90" spans="3:31" s="44" customFormat="1" x14ac:dyDescent="0.25">
      <c r="C90" s="95">
        <f t="shared" si="14"/>
        <v>24</v>
      </c>
      <c r="D90" s="101" t="str">
        <v>Paquete Infinitum 500</v>
      </c>
      <c r="E90" s="269">
        <f t="shared" si="13"/>
        <v>500</v>
      </c>
      <c r="F90" s="113" t="str">
        <f>VLOOKUP($D90,'Info planes y paquetes'!$C$767:$L$874,2,FALSE)</f>
        <v>Residencial</v>
      </c>
      <c r="G90" s="113" t="str">
        <f>VLOOKUP($D90,'Info planes y paquetes'!$C$767:$L$874,3,FALSE)</f>
        <v>Telefonía fija + Internet fijo</v>
      </c>
      <c r="H90" s="166">
        <f>IFERROR(VLOOKUP($D90,$D$194:$K$313,H$64,FALSE)/SUM(VLOOKUP($D90,$D$194:$K337,H$64,FALSE),VLOOKUP($D90,$D$194:$K$313,I$64,FALSE)),"")</f>
        <v>7.4664208585725575E-2</v>
      </c>
      <c r="I90" s="166">
        <f t="shared" si="12"/>
        <v>0.92533579141427447</v>
      </c>
      <c r="J90" s="166">
        <f t="shared" si="15"/>
        <v>1</v>
      </c>
      <c r="K90" s="148"/>
      <c r="V90" s="262"/>
      <c r="X90" s="262"/>
      <c r="Y90" s="262"/>
      <c r="AA90" s="262"/>
      <c r="AD90" s="262"/>
      <c r="AE90" s="262"/>
    </row>
    <row r="91" spans="3:31" s="44" customFormat="1" x14ac:dyDescent="0.25">
      <c r="C91" s="95">
        <f t="shared" si="14"/>
        <v>25</v>
      </c>
      <c r="D91" s="101" t="str">
        <v>Paquete Telmex Negocio Sin Límites 1</v>
      </c>
      <c r="E91" s="269">
        <f t="shared" si="13"/>
        <v>500</v>
      </c>
      <c r="F91" s="113" t="str">
        <f>VLOOKUP($D91,'Info planes y paquetes'!$C$767:$L$874,2,FALSE)</f>
        <v>No Residencial</v>
      </c>
      <c r="G91" s="113" t="str">
        <f>VLOOKUP($D91,'Info planes y paquetes'!$C$767:$L$874,3,FALSE)</f>
        <v>Telefonía fija + Internet fijo</v>
      </c>
      <c r="H91" s="166">
        <f>IFERROR(VLOOKUP($D91,$D$194:$K$313,H$64,FALSE)/SUM(VLOOKUP($D91,$D$194:$K338,H$64,FALSE),VLOOKUP($D91,$D$194:$K$313,I$64,FALSE)),"")</f>
        <v>0.23528521712815856</v>
      </c>
      <c r="I91" s="166">
        <f t="shared" si="12"/>
        <v>0.76471478287184147</v>
      </c>
      <c r="J91" s="166">
        <f t="shared" si="15"/>
        <v>1</v>
      </c>
      <c r="K91" s="148"/>
      <c r="V91" s="262"/>
      <c r="X91" s="262"/>
      <c r="Y91" s="262"/>
      <c r="AA91" s="262"/>
      <c r="AD91" s="262"/>
      <c r="AE91" s="262"/>
    </row>
    <row r="92" spans="3:31" s="44" customFormat="1" x14ac:dyDescent="0.25">
      <c r="C92" s="95">
        <f t="shared" si="14"/>
        <v>26</v>
      </c>
      <c r="D92" s="101" t="str">
        <v>Paquete Telmex Negocio Sin Límites 2</v>
      </c>
      <c r="E92" s="269">
        <f t="shared" si="13"/>
        <v>500</v>
      </c>
      <c r="F92" s="113" t="str">
        <f>VLOOKUP($D92,'Info planes y paquetes'!$C$767:$L$874,2,FALSE)</f>
        <v>No Residencial</v>
      </c>
      <c r="G92" s="113" t="str">
        <f>VLOOKUP($D92,'Info planes y paquetes'!$C$767:$L$874,3,FALSE)</f>
        <v>Telefonía fija + Internet fijo</v>
      </c>
      <c r="H92" s="166">
        <f>IFERROR(VLOOKUP($D92,$D$194:$K$313,H$64,FALSE)/SUM(VLOOKUP($D92,$D$194:$K339,H$64,FALSE),VLOOKUP($D92,$D$194:$K$313,I$64,FALSE)),"")</f>
        <v>0.18001693480101608</v>
      </c>
      <c r="I92" s="166">
        <f t="shared" si="12"/>
        <v>0.8199830651989839</v>
      </c>
      <c r="J92" s="166">
        <f t="shared" si="15"/>
        <v>1</v>
      </c>
      <c r="K92" s="148"/>
      <c r="V92" s="262"/>
      <c r="X92" s="262"/>
      <c r="Y92" s="262"/>
      <c r="AA92" s="262"/>
      <c r="AD92" s="262"/>
      <c r="AE92" s="262"/>
    </row>
    <row r="93" spans="3:31" s="44" customFormat="1" x14ac:dyDescent="0.25">
      <c r="C93" s="95">
        <f t="shared" si="14"/>
        <v>27</v>
      </c>
      <c r="D93" s="101" t="str">
        <v>Paquete Telmex Negocio Sin Límites 3</v>
      </c>
      <c r="E93" s="269">
        <f t="shared" si="13"/>
        <v>1000</v>
      </c>
      <c r="F93" s="113" t="str">
        <f>VLOOKUP($D93,'Info planes y paquetes'!$C$767:$L$874,2,FALSE)</f>
        <v>No Residencial</v>
      </c>
      <c r="G93" s="113" t="str">
        <f>VLOOKUP($D93,'Info planes y paquetes'!$C$767:$L$874,3,FALSE)</f>
        <v>Telefonía fija + Internet fijo</v>
      </c>
      <c r="H93" s="166">
        <f>IFERROR(VLOOKUP($D93,$D$194:$K$313,H$64,FALSE)/SUM(VLOOKUP($D93,$D$194:$K340,H$64,FALSE),VLOOKUP($D93,$D$194:$K$313,I$64,FALSE)),"")</f>
        <v>0.20917431192660552</v>
      </c>
      <c r="I93" s="166">
        <f t="shared" si="12"/>
        <v>0.79082568807339448</v>
      </c>
      <c r="J93" s="166">
        <f t="shared" si="15"/>
        <v>1</v>
      </c>
      <c r="K93" s="148"/>
      <c r="V93" s="262"/>
      <c r="X93" s="262"/>
      <c r="Y93" s="262"/>
      <c r="AA93" s="262"/>
      <c r="AD93" s="262"/>
      <c r="AE93" s="262"/>
    </row>
    <row r="94" spans="3:31" s="44" customFormat="1" x14ac:dyDescent="0.25">
      <c r="C94" s="95">
        <f t="shared" si="14"/>
        <v>28</v>
      </c>
      <c r="D94" s="101" t="str">
        <v>Infinitum Negocio</v>
      </c>
      <c r="E94" s="269">
        <f t="shared" si="13"/>
        <v>30</v>
      </c>
      <c r="F94" s="113" t="str">
        <f>VLOOKUP($D94,'Info planes y paquetes'!$C$767:$L$874,2,FALSE)</f>
        <v>No Residencial</v>
      </c>
      <c r="G94" s="113" t="str">
        <f>VLOOKUP($D94,'Info planes y paquetes'!$C$767:$L$874,3,FALSE)</f>
        <v>Internet fijo</v>
      </c>
      <c r="H94" s="166">
        <f>IFERROR(VLOOKUP($D94,$D$194:$K$313,H$64,FALSE)/SUM(VLOOKUP($D94,$D$194:$K341,H$64,FALSE),VLOOKUP($D94,$D$194:$K$313,I$64,FALSE)),"")</f>
        <v>0.68952305217689902</v>
      </c>
      <c r="I94" s="166">
        <f t="shared" si="12"/>
        <v>0.31047694782310098</v>
      </c>
      <c r="J94" s="166">
        <f t="shared" si="15"/>
        <v>1</v>
      </c>
      <c r="K94" s="148"/>
      <c r="V94" s="262"/>
      <c r="X94" s="262"/>
      <c r="Y94" s="262"/>
      <c r="AA94" s="262"/>
      <c r="AD94" s="262"/>
      <c r="AE94" s="262"/>
    </row>
    <row r="95" spans="3:31" s="44" customFormat="1" x14ac:dyDescent="0.25">
      <c r="C95" s="95">
        <f t="shared" si="14"/>
        <v>29</v>
      </c>
      <c r="D95" s="101" t="str">
        <v>Infinitum Negocio Red</v>
      </c>
      <c r="E95" s="269">
        <f t="shared" si="13"/>
        <v>50</v>
      </c>
      <c r="F95" s="113" t="str">
        <f>VLOOKUP($D95,'Info planes y paquetes'!$C$767:$L$874,2,FALSE)</f>
        <v>No Residencial</v>
      </c>
      <c r="G95" s="113" t="str">
        <f>VLOOKUP($D95,'Info planes y paquetes'!$C$767:$L$874,3,FALSE)</f>
        <v>Internet fijo</v>
      </c>
      <c r="H95" s="166">
        <f>IFERROR(VLOOKUP($D95,$D$194:$K$313,H$64,FALSE)/SUM(VLOOKUP($D95,$D$194:$K342,H$64,FALSE),VLOOKUP($D95,$D$194:$K$313,I$64,FALSE)),"")</f>
        <v>0.56232686980609414</v>
      </c>
      <c r="I95" s="166">
        <f t="shared" si="12"/>
        <v>0.4376731301939058</v>
      </c>
      <c r="J95" s="166">
        <f t="shared" si="15"/>
        <v>1</v>
      </c>
      <c r="K95" s="148"/>
      <c r="V95" s="262"/>
      <c r="X95" s="262"/>
      <c r="Y95" s="262"/>
      <c r="AA95" s="262"/>
      <c r="AD95" s="262"/>
      <c r="AE95" s="262"/>
    </row>
    <row r="96" spans="3:31" s="44" customFormat="1" x14ac:dyDescent="0.25">
      <c r="C96" s="95">
        <f t="shared" si="14"/>
        <v>30</v>
      </c>
      <c r="D96" s="101" t="str">
        <v>Infinitum Negocio Premium</v>
      </c>
      <c r="E96" s="269">
        <f t="shared" si="13"/>
        <v>100</v>
      </c>
      <c r="F96" s="113" t="str">
        <f>VLOOKUP($D96,'Info planes y paquetes'!$C$767:$L$874,2,FALSE)</f>
        <v>No Residencial</v>
      </c>
      <c r="G96" s="113" t="str">
        <f>VLOOKUP($D96,'Info planes y paquetes'!$C$767:$L$874,3,FALSE)</f>
        <v>Internet fijo</v>
      </c>
      <c r="H96" s="166">
        <f>IFERROR(VLOOKUP($D96,$D$194:$K$313,H$64,FALSE)/SUM(VLOOKUP($D96,$D$194:$K343,H$64,FALSE),VLOOKUP($D96,$D$194:$K$313,I$64,FALSE)),"")</f>
        <v>0.34264538198403649</v>
      </c>
      <c r="I96" s="166">
        <f t="shared" si="12"/>
        <v>0.65735461801596351</v>
      </c>
      <c r="J96" s="166">
        <f t="shared" si="15"/>
        <v>1</v>
      </c>
      <c r="K96" s="148"/>
      <c r="V96" s="262"/>
      <c r="X96" s="262"/>
      <c r="Y96" s="262"/>
      <c r="AA96" s="262"/>
      <c r="AD96" s="262"/>
      <c r="AE96" s="262"/>
    </row>
    <row r="97" spans="3:31" s="44" customFormat="1" x14ac:dyDescent="0.25">
      <c r="C97" s="95">
        <f t="shared" si="14"/>
        <v>31</v>
      </c>
      <c r="D97" s="101" t="str">
        <v>Paquete Infinitum Play 20 (Netflix 1 dispositivo)</v>
      </c>
      <c r="E97" s="269">
        <f t="shared" si="13"/>
        <v>20</v>
      </c>
      <c r="F97" s="113" t="str">
        <f>VLOOKUP($D97,'Info planes y paquetes'!$C$767:$L$874,2,FALSE)</f>
        <v>Residencial</v>
      </c>
      <c r="G97" s="113" t="str">
        <f>VLOOKUP($D97,'Info planes y paquetes'!$C$767:$L$874,3,FALSE)</f>
        <v>Telefonía fija + Internet fijo</v>
      </c>
      <c r="H97" s="166">
        <f>IFERROR(VLOOKUP($D97,$D$194:$K$313,H$64,FALSE)/SUM(VLOOKUP($D97,$D$194:$K344,H$64,FALSE),VLOOKUP($D97,$D$194:$K$313,I$64,FALSE)),"")</f>
        <v>0.42468131350288274</v>
      </c>
      <c r="I97" s="166">
        <f t="shared" si="12"/>
        <v>0.57531868649711726</v>
      </c>
      <c r="J97" s="166">
        <f t="shared" si="15"/>
        <v>1</v>
      </c>
      <c r="K97" s="148"/>
      <c r="V97" s="262"/>
      <c r="X97" s="262"/>
      <c r="Y97" s="262"/>
      <c r="AA97" s="262"/>
      <c r="AD97" s="262"/>
      <c r="AE97" s="262"/>
    </row>
    <row r="98" spans="3:31" s="44" customFormat="1" x14ac:dyDescent="0.25">
      <c r="C98" s="95">
        <f t="shared" si="14"/>
        <v>32</v>
      </c>
      <c r="D98" s="101" t="str">
        <v>Paquete Infinitum Play 20 (Netflix 2 dispositivos)</v>
      </c>
      <c r="E98" s="269">
        <f t="shared" si="13"/>
        <v>20</v>
      </c>
      <c r="F98" s="113" t="str">
        <f>VLOOKUP($D98,'Info planes y paquetes'!$C$767:$L$874,2,FALSE)</f>
        <v>Residencial</v>
      </c>
      <c r="G98" s="113" t="str">
        <f>VLOOKUP($D98,'Info planes y paquetes'!$C$767:$L$874,3,FALSE)</f>
        <v>Telefonía fija + Internet fijo</v>
      </c>
      <c r="H98" s="166">
        <f>IFERROR(VLOOKUP($D98,$D$194:$K$313,H$64,FALSE)/SUM(VLOOKUP($D98,$D$194:$K345,H$64,FALSE),VLOOKUP($D98,$D$194:$K$313,I$64,FALSE)),"")</f>
        <v>0.42202078501496026</v>
      </c>
      <c r="I98" s="166">
        <f t="shared" si="12"/>
        <v>0.57797921498503979</v>
      </c>
      <c r="J98" s="166">
        <f t="shared" si="15"/>
        <v>1</v>
      </c>
      <c r="K98" s="148"/>
      <c r="V98" s="262"/>
      <c r="X98" s="262"/>
      <c r="Y98" s="262"/>
      <c r="AA98" s="262"/>
      <c r="AD98" s="262"/>
      <c r="AE98" s="262"/>
    </row>
    <row r="99" spans="3:31" s="44" customFormat="1" x14ac:dyDescent="0.25">
      <c r="C99" s="95">
        <f t="shared" si="14"/>
        <v>33</v>
      </c>
      <c r="D99" s="101" t="str">
        <v>Paquete Infinitum Play 20 (Netflix 4 dispositivos)</v>
      </c>
      <c r="E99" s="269">
        <f t="shared" si="13"/>
        <v>20</v>
      </c>
      <c r="F99" s="113" t="str">
        <f>VLOOKUP($D99,'Info planes y paquetes'!$C$767:$L$874,2,FALSE)</f>
        <v>Residencial</v>
      </c>
      <c r="G99" s="113" t="str">
        <f>VLOOKUP($D99,'Info planes y paquetes'!$C$767:$L$874,3,FALSE)</f>
        <v>Telefonía fija + Internet fijo</v>
      </c>
      <c r="H99" s="166">
        <f>IFERROR(VLOOKUP($D99,$D$194:$K$313,H$64,FALSE)/SUM(VLOOKUP($D99,$D$194:$K346,H$64,FALSE),VLOOKUP($D99,$D$194:$K$313,I$64,FALSE)),"")</f>
        <v>0.46656267151977354</v>
      </c>
      <c r="I99" s="166">
        <f t="shared" ref="I99:I118" si="16">IFERROR(VLOOKUP($D99,$D$194:$K$313,I$64,FALSE)/SUM(VLOOKUP($D99,$D$194:$K$313,H$64,FALSE),VLOOKUP($D99,$D$194:$K$313,I$64,FALSE)),"")</f>
        <v>0.53343732848022651</v>
      </c>
      <c r="J99" s="166">
        <f t="shared" si="15"/>
        <v>1</v>
      </c>
      <c r="K99" s="148"/>
      <c r="V99" s="262"/>
      <c r="X99" s="262"/>
      <c r="Y99" s="262"/>
      <c r="AA99" s="262"/>
      <c r="AD99" s="262"/>
      <c r="AE99" s="262"/>
    </row>
    <row r="100" spans="3:31" s="44" customFormat="1" x14ac:dyDescent="0.25">
      <c r="C100" s="95">
        <f t="shared" si="14"/>
        <v>34</v>
      </c>
      <c r="D100" s="101" t="str">
        <v>Paquete Infinitum Play 30 (Netflix 2 dispositivos)</v>
      </c>
      <c r="E100" s="269">
        <f t="shared" si="13"/>
        <v>30</v>
      </c>
      <c r="F100" s="113" t="str">
        <f>VLOOKUP($D100,'Info planes y paquetes'!$C$767:$L$874,2,FALSE)</f>
        <v>Residencial</v>
      </c>
      <c r="G100" s="113" t="str">
        <f>VLOOKUP($D100,'Info planes y paquetes'!$C$767:$L$874,3,FALSE)</f>
        <v>Telefonía fija + Internet fijo</v>
      </c>
      <c r="H100" s="166">
        <f>IFERROR(VLOOKUP($D100,$D$194:$K$313,H$64,FALSE)/SUM(VLOOKUP($D100,$D$194:$K347,H$64,FALSE),VLOOKUP($D100,$D$194:$K$313,I$64,FALSE)),"")</f>
        <v>0.15093952151144882</v>
      </c>
      <c r="I100" s="166">
        <f t="shared" si="16"/>
        <v>0.84906047848855115</v>
      </c>
      <c r="J100" s="166">
        <f t="shared" si="15"/>
        <v>1</v>
      </c>
      <c r="K100" s="148"/>
      <c r="V100" s="262"/>
      <c r="X100" s="262"/>
      <c r="Y100" s="262"/>
      <c r="AA100" s="262"/>
      <c r="AD100" s="262"/>
      <c r="AE100" s="262"/>
    </row>
    <row r="101" spans="3:31" s="44" customFormat="1" x14ac:dyDescent="0.25">
      <c r="C101" s="95">
        <f t="shared" si="14"/>
        <v>35</v>
      </c>
      <c r="D101" s="101" t="str">
        <v>Paquete Infinitum Play 30 (Netflix 4 dispositivos)</v>
      </c>
      <c r="E101" s="269">
        <f t="shared" si="13"/>
        <v>30</v>
      </c>
      <c r="F101" s="113" t="str">
        <f>VLOOKUP($D101,'Info planes y paquetes'!$C$767:$L$874,2,FALSE)</f>
        <v>Residencial</v>
      </c>
      <c r="G101" s="113" t="str">
        <f>VLOOKUP($D101,'Info planes y paquetes'!$C$767:$L$874,3,FALSE)</f>
        <v>Telefonía fija + Internet fijo</v>
      </c>
      <c r="H101" s="166">
        <f>IFERROR(VLOOKUP($D101,$D$194:$K$313,H$64,FALSE)/SUM(VLOOKUP($D101,$D$194:$K348,H$64,FALSE),VLOOKUP($D101,$D$194:$K$313,I$64,FALSE)),"")</f>
        <v>0.26916496945010182</v>
      </c>
      <c r="I101" s="166">
        <f t="shared" si="16"/>
        <v>0.73083503054989818</v>
      </c>
      <c r="J101" s="166">
        <f t="shared" si="15"/>
        <v>1</v>
      </c>
      <c r="K101" s="148"/>
      <c r="V101" s="262"/>
      <c r="X101" s="262"/>
      <c r="Y101" s="262"/>
      <c r="AA101" s="262"/>
      <c r="AD101" s="262"/>
      <c r="AE101" s="262"/>
    </row>
    <row r="102" spans="3:31" s="44" customFormat="1" x14ac:dyDescent="0.25">
      <c r="C102" s="95">
        <f t="shared" si="14"/>
        <v>36</v>
      </c>
      <c r="D102" s="101" t="str">
        <v>Paquete Infinitum Play 40 (Netflix 2 dispositivos)</v>
      </c>
      <c r="E102" s="269">
        <f t="shared" si="13"/>
        <v>40</v>
      </c>
      <c r="F102" s="113" t="str">
        <f>VLOOKUP($D102,'Info planes y paquetes'!$C$767:$L$874,2,FALSE)</f>
        <v>Residencial</v>
      </c>
      <c r="G102" s="113" t="str">
        <f>VLOOKUP($D102,'Info planes y paquetes'!$C$767:$L$874,3,FALSE)</f>
        <v>Telefonía fija + Internet fijo</v>
      </c>
      <c r="H102" s="166">
        <f>IFERROR(VLOOKUP($D102,$D$194:$K$313,H$64,FALSE)/SUM(VLOOKUP($D102,$D$194:$K349,H$64,FALSE),VLOOKUP($D102,$D$194:$K$313,I$64,FALSE)),"")</f>
        <v>8.8586879180304542E-2</v>
      </c>
      <c r="I102" s="166">
        <f t="shared" si="16"/>
        <v>0.9114131208196955</v>
      </c>
      <c r="J102" s="166">
        <f t="shared" si="15"/>
        <v>1</v>
      </c>
      <c r="K102" s="148"/>
      <c r="V102" s="262"/>
      <c r="X102" s="262"/>
      <c r="Y102" s="262"/>
      <c r="AA102" s="262"/>
      <c r="AD102" s="262"/>
      <c r="AE102" s="262"/>
    </row>
    <row r="103" spans="3:31" s="44" customFormat="1" x14ac:dyDescent="0.25">
      <c r="C103" s="95">
        <f t="shared" si="14"/>
        <v>37</v>
      </c>
      <c r="D103" s="101" t="str">
        <v>Paquete Infinitum Play 40 (Netflix 4 dispositivos)</v>
      </c>
      <c r="E103" s="269">
        <f t="shared" si="13"/>
        <v>40</v>
      </c>
      <c r="F103" s="113" t="str">
        <f>VLOOKUP($D103,'Info planes y paquetes'!$C$767:$L$874,2,FALSE)</f>
        <v>Residencial</v>
      </c>
      <c r="G103" s="113" t="str">
        <f>VLOOKUP($D103,'Info planes y paquetes'!$C$767:$L$874,3,FALSE)</f>
        <v>Telefonía fija + Internet fijo</v>
      </c>
      <c r="H103" s="166">
        <f>IFERROR(VLOOKUP($D103,$D$194:$K$313,H$64,FALSE)/SUM(VLOOKUP($D103,$D$194:$K350,H$64,FALSE),VLOOKUP($D103,$D$194:$K$313,I$64,FALSE)),"")</f>
        <v>0.16678297278436846</v>
      </c>
      <c r="I103" s="166">
        <f t="shared" si="16"/>
        <v>0.83321702721563151</v>
      </c>
      <c r="J103" s="166">
        <f t="shared" si="15"/>
        <v>1</v>
      </c>
      <c r="K103" s="148"/>
      <c r="V103" s="262"/>
      <c r="X103" s="262"/>
      <c r="Y103" s="262"/>
      <c r="AA103" s="262"/>
      <c r="AD103" s="262"/>
      <c r="AE103" s="262"/>
    </row>
    <row r="104" spans="3:31" s="44" customFormat="1" x14ac:dyDescent="0.25">
      <c r="C104" s="95">
        <f t="shared" si="14"/>
        <v>38</v>
      </c>
      <c r="D104" s="101" t="str">
        <v>Paquete Infinitum Play 150 (Netflix 4 dispositivos)</v>
      </c>
      <c r="E104" s="269">
        <f t="shared" si="13"/>
        <v>150</v>
      </c>
      <c r="F104" s="113" t="str">
        <f>VLOOKUP($D104,'Info planes y paquetes'!$C$767:$L$874,2,FALSE)</f>
        <v>Residencial</v>
      </c>
      <c r="G104" s="113" t="str">
        <f>VLOOKUP($D104,'Info planes y paquetes'!$C$767:$L$874,3,FALSE)</f>
        <v>Telefonía fija + Internet fijo</v>
      </c>
      <c r="H104" s="166">
        <f>IFERROR(VLOOKUP($D104,$D$194:$K$313,H$64,FALSE)/SUM(VLOOKUP($D104,$D$194:$K351,H$64,FALSE),VLOOKUP($D104,$D$194:$K$313,I$64,FALSE)),"")</f>
        <v>2.2917809292486092E-2</v>
      </c>
      <c r="I104" s="166">
        <f t="shared" si="16"/>
        <v>0.9770821907075139</v>
      </c>
      <c r="J104" s="166">
        <f t="shared" si="15"/>
        <v>1</v>
      </c>
      <c r="K104" s="148"/>
      <c r="V104" s="262"/>
      <c r="X104" s="262"/>
      <c r="Y104" s="262"/>
      <c r="AA104" s="262"/>
      <c r="AD104" s="262"/>
      <c r="AE104" s="262"/>
    </row>
    <row r="105" spans="3:31" s="44" customFormat="1" x14ac:dyDescent="0.25">
      <c r="C105" s="95">
        <f t="shared" si="14"/>
        <v>39</v>
      </c>
      <c r="D105" s="101" t="str">
        <v>Paquete Infinitum Play 150 (Netflix 2 dispositivos)</v>
      </c>
      <c r="E105" s="269">
        <f t="shared" si="13"/>
        <v>150</v>
      </c>
      <c r="F105" s="113" t="str">
        <f>VLOOKUP($D105,'Info planes y paquetes'!$C$767:$L$874,2,FALSE)</f>
        <v>Residencial</v>
      </c>
      <c r="G105" s="113" t="str">
        <f>VLOOKUP($D105,'Info planes y paquetes'!$C$767:$L$874,3,FALSE)</f>
        <v>Telefonía fija + Internet fijo</v>
      </c>
      <c r="H105" s="166">
        <f>IFERROR(VLOOKUP($D105,$D$194:$K$313,H$64,FALSE)/SUM(VLOOKUP($D105,$D$194:$K352,H$64,FALSE),VLOOKUP($D105,$D$194:$K$313,I$64,FALSE)),"")</f>
        <v>2.8800631246712258E-2</v>
      </c>
      <c r="I105" s="166">
        <f t="shared" si="16"/>
        <v>0.97119936875328772</v>
      </c>
      <c r="J105" s="166">
        <f t="shared" si="15"/>
        <v>1</v>
      </c>
      <c r="K105" s="148"/>
      <c r="V105" s="262"/>
      <c r="X105" s="262"/>
      <c r="Y105" s="262"/>
      <c r="AA105" s="262"/>
      <c r="AD105" s="262"/>
      <c r="AE105" s="262"/>
    </row>
    <row r="106" spans="3:31" s="44" customFormat="1" x14ac:dyDescent="0.25">
      <c r="C106" s="95">
        <f t="shared" si="14"/>
        <v>40</v>
      </c>
      <c r="D106" s="101" t="str">
        <v>Paquete Infinitum Netflix 500 (Netflix 4 dispositivos)</v>
      </c>
      <c r="E106" s="269">
        <f t="shared" si="13"/>
        <v>500</v>
      </c>
      <c r="F106" s="113" t="str">
        <f>VLOOKUP($D106,'Info planes y paquetes'!$C$767:$L$874,2,FALSE)</f>
        <v>Residencial</v>
      </c>
      <c r="G106" s="113" t="str">
        <f>VLOOKUP($D106,'Info planes y paquetes'!$C$767:$L$874,3,FALSE)</f>
        <v>Telefonía fija + Internet fijo</v>
      </c>
      <c r="H106" s="166">
        <f>IFERROR(VLOOKUP($D106,$D$194:$K$313,H$64,FALSE)/SUM(VLOOKUP($D106,$D$194:$K352,H$64,FALSE),VLOOKUP($D106,$D$194:$K$313,I$64,FALSE)),"")</f>
        <v>6.3331222292590248E-4</v>
      </c>
      <c r="I106" s="166">
        <f t="shared" si="16"/>
        <v>0.99936668777707405</v>
      </c>
      <c r="J106" s="166">
        <f t="shared" si="15"/>
        <v>1</v>
      </c>
      <c r="K106" s="148"/>
      <c r="V106" s="262"/>
      <c r="X106" s="262"/>
      <c r="Y106" s="262"/>
      <c r="AA106" s="262"/>
      <c r="AD106" s="262"/>
      <c r="AE106" s="262"/>
    </row>
    <row r="107" spans="3:31" s="44" customFormat="1" x14ac:dyDescent="0.25">
      <c r="C107" s="95">
        <f t="shared" si="14"/>
        <v>41</v>
      </c>
      <c r="D107" s="101" t="str">
        <v>Paquete Infinitum Netflix 500 (Netflix 2 dispositivos)</v>
      </c>
      <c r="E107" s="269">
        <f t="shared" si="13"/>
        <v>500</v>
      </c>
      <c r="F107" s="113" t="str">
        <f>VLOOKUP($D107,'Info planes y paquetes'!$C$767:$L$874,2,FALSE)</f>
        <v>Residencial</v>
      </c>
      <c r="G107" s="113" t="str">
        <f>VLOOKUP($D107,'Info planes y paquetes'!$C$767:$L$874,3,FALSE)</f>
        <v>Telefonía fija + Internet fijo</v>
      </c>
      <c r="H107" s="166">
        <f>IFERROR(VLOOKUP($D107,$D$194:$K$313,H$64,FALSE)/SUM(VLOOKUP($D107,$D$194:$K353,H$64,FALSE),VLOOKUP($D107,$D$194:$K$313,I$64,FALSE)),"")</f>
        <v>0</v>
      </c>
      <c r="I107" s="166">
        <f t="shared" si="16"/>
        <v>1</v>
      </c>
      <c r="J107" s="166">
        <f t="shared" si="15"/>
        <v>1</v>
      </c>
      <c r="K107" s="148"/>
      <c r="V107" s="262"/>
      <c r="X107" s="262"/>
      <c r="Y107" s="262"/>
      <c r="AA107" s="262"/>
      <c r="AD107" s="262"/>
      <c r="AE107" s="262"/>
    </row>
    <row r="108" spans="3:31" s="44" customFormat="1" x14ac:dyDescent="0.25">
      <c r="C108" s="95">
        <f t="shared" si="14"/>
        <v>42</v>
      </c>
      <c r="D108" s="101" t="str">
        <v>Infinitum Netflix 50 (Netflix 1 dispositivo)</v>
      </c>
      <c r="E108" s="269">
        <f t="shared" si="13"/>
        <v>50</v>
      </c>
      <c r="F108" s="113" t="str">
        <f>VLOOKUP($D108,'Info planes y paquetes'!$C$767:$L$874,2,FALSE)</f>
        <v>Residencial</v>
      </c>
      <c r="G108" s="113" t="str">
        <f>VLOOKUP($D108,'Info planes y paquetes'!$C$767:$L$874,3,FALSE)</f>
        <v>Internet fijo</v>
      </c>
      <c r="H108" s="166">
        <f>IFERROR(VLOOKUP($D108,$D$194:$K$313,H$64,FALSE)/SUM(VLOOKUP($D108,$D$194:$K354,H$64,FALSE),VLOOKUP($D108,$D$194:$K$313,I$64,FALSE)),"")</f>
        <v>0.44020423726003782</v>
      </c>
      <c r="I108" s="166">
        <f t="shared" si="16"/>
        <v>0.55979576273996223</v>
      </c>
      <c r="J108" s="166">
        <f t="shared" si="15"/>
        <v>1</v>
      </c>
      <c r="K108" s="148"/>
      <c r="V108" s="262"/>
      <c r="X108" s="262"/>
      <c r="Y108" s="262"/>
      <c r="AA108" s="262"/>
      <c r="AD108" s="262"/>
      <c r="AE108" s="262"/>
    </row>
    <row r="109" spans="3:31" s="44" customFormat="1" x14ac:dyDescent="0.25">
      <c r="C109" s="95">
        <f t="shared" si="14"/>
        <v>43</v>
      </c>
      <c r="D109" s="101" t="str">
        <v>Infinitum Netflix 50 (Netflix 2 dispositivos)</v>
      </c>
      <c r="E109" s="269">
        <f t="shared" si="13"/>
        <v>50</v>
      </c>
      <c r="F109" s="113" t="str">
        <f>VLOOKUP($D109,'Info planes y paquetes'!$C$767:$L$874,2,FALSE)</f>
        <v>Residencial</v>
      </c>
      <c r="G109" s="113" t="str">
        <f>VLOOKUP($D109,'Info planes y paquetes'!$C$767:$L$874,3,FALSE)</f>
        <v>Internet fijo</v>
      </c>
      <c r="H109" s="166">
        <f>IFERROR(VLOOKUP($D109,$D$194:$K$313,H$64,FALSE)/SUM(VLOOKUP($D109,$D$194:$K355,H$64,FALSE),VLOOKUP($D109,$D$194:$K$313,I$64,FALSE)),"")</f>
        <v>0.53083036448342014</v>
      </c>
      <c r="I109" s="166">
        <f t="shared" si="16"/>
        <v>0.46916963551657986</v>
      </c>
      <c r="J109" s="166">
        <f t="shared" si="15"/>
        <v>1</v>
      </c>
      <c r="K109" s="148"/>
      <c r="V109" s="262"/>
      <c r="X109" s="262"/>
      <c r="Y109" s="262"/>
      <c r="AA109" s="262"/>
      <c r="AD109" s="262"/>
      <c r="AE109" s="262"/>
    </row>
    <row r="110" spans="3:31" s="44" customFormat="1" x14ac:dyDescent="0.25">
      <c r="C110" s="95">
        <f t="shared" si="14"/>
        <v>44</v>
      </c>
      <c r="D110" s="101" t="str">
        <v>Infinitum Netflix 50 (Netflix 4 dispositivos)</v>
      </c>
      <c r="E110" s="269">
        <f t="shared" si="13"/>
        <v>50</v>
      </c>
      <c r="F110" s="113" t="str">
        <f>VLOOKUP($D110,'Info planes y paquetes'!$C$767:$L$874,2,FALSE)</f>
        <v>Residencial</v>
      </c>
      <c r="G110" s="113" t="str">
        <f>VLOOKUP($D110,'Info planes y paquetes'!$C$767:$L$874,3,FALSE)</f>
        <v>Internet fijo</v>
      </c>
      <c r="H110" s="166">
        <f>IFERROR(VLOOKUP($D110,$D$194:$K$313,H$64,FALSE)/SUM(VLOOKUP($D110,$D$194:$K356,H$64,FALSE),VLOOKUP($D110,$D$194:$K$313,I$64,FALSE)),"")</f>
        <v>0.39634793686743575</v>
      </c>
      <c r="I110" s="166">
        <f t="shared" si="16"/>
        <v>0.60365206313256425</v>
      </c>
      <c r="J110" s="166">
        <f t="shared" si="15"/>
        <v>1</v>
      </c>
      <c r="K110" s="148"/>
      <c r="V110" s="262"/>
      <c r="X110" s="262"/>
      <c r="Y110" s="262"/>
      <c r="AA110" s="262"/>
      <c r="AD110" s="262"/>
      <c r="AE110" s="262"/>
    </row>
    <row r="111" spans="3:31" s="44" customFormat="1" x14ac:dyDescent="0.25">
      <c r="C111" s="95">
        <f t="shared" si="14"/>
        <v>45</v>
      </c>
      <c r="D111" s="101" t="str">
        <v>Infinitum Netflix 60 (Netflix 2 dispositivos)</v>
      </c>
      <c r="E111" s="269">
        <f t="shared" si="13"/>
        <v>60</v>
      </c>
      <c r="F111" s="113" t="str">
        <f>VLOOKUP($D111,'Info planes y paquetes'!$C$767:$L$874,2,FALSE)</f>
        <v>Residencial</v>
      </c>
      <c r="G111" s="113" t="str">
        <f>VLOOKUP($D111,'Info planes y paquetes'!$C$767:$L$874,3,FALSE)</f>
        <v>Internet fijo</v>
      </c>
      <c r="H111" s="166">
        <f>IFERROR(VLOOKUP($D111,$D$194:$K$313,H$64,FALSE)/SUM(VLOOKUP($D111,$D$194:$K357,H$64,FALSE),VLOOKUP($D111,$D$194:$K$313,I$64,FALSE)),"")</f>
        <v>0.15279983428847616</v>
      </c>
      <c r="I111" s="166">
        <f t="shared" si="16"/>
        <v>0.8472001657115239</v>
      </c>
      <c r="J111" s="166">
        <f t="shared" si="15"/>
        <v>1</v>
      </c>
      <c r="K111" s="148"/>
      <c r="V111" s="262"/>
      <c r="X111" s="262"/>
      <c r="Y111" s="262"/>
      <c r="AA111" s="262"/>
      <c r="AD111" s="262"/>
      <c r="AE111" s="262"/>
    </row>
    <row r="112" spans="3:31" s="44" customFormat="1" x14ac:dyDescent="0.25">
      <c r="C112" s="95">
        <f t="shared" si="14"/>
        <v>46</v>
      </c>
      <c r="D112" s="101" t="str">
        <v>Infinitum Netflix 60 (Netflix 4 dispositivos)</v>
      </c>
      <c r="E112" s="269">
        <f t="shared" si="13"/>
        <v>60</v>
      </c>
      <c r="F112" s="113" t="str">
        <f>VLOOKUP($D112,'Info planes y paquetes'!$C$767:$L$874,2,FALSE)</f>
        <v>Residencial</v>
      </c>
      <c r="G112" s="113" t="str">
        <f>VLOOKUP($D112,'Info planes y paquetes'!$C$767:$L$874,3,FALSE)</f>
        <v>Internet fijo</v>
      </c>
      <c r="H112" s="166">
        <f>IFERROR(VLOOKUP($D112,$D$194:$K$313,H$64,FALSE)/SUM(VLOOKUP($D112,$D$194:$K358,H$64,FALSE),VLOOKUP($D112,$D$194:$K$313,I$64,FALSE)),"")</f>
        <v>0.17533761346026125</v>
      </c>
      <c r="I112" s="166">
        <f t="shared" si="16"/>
        <v>0.82466238653973878</v>
      </c>
      <c r="J112" s="166">
        <f t="shared" si="15"/>
        <v>1</v>
      </c>
      <c r="K112" s="148"/>
      <c r="V112" s="262"/>
      <c r="X112" s="262"/>
      <c r="Y112" s="262"/>
      <c r="AA112" s="262"/>
      <c r="AD112" s="262"/>
      <c r="AE112" s="262"/>
    </row>
    <row r="113" spans="3:31" s="44" customFormat="1" x14ac:dyDescent="0.25">
      <c r="C113" s="95">
        <f t="shared" si="14"/>
        <v>47</v>
      </c>
      <c r="D113" s="101" t="str">
        <v>Infinitum Netflix 200 (Netflix 4 dispositivos)</v>
      </c>
      <c r="E113" s="269">
        <f t="shared" si="13"/>
        <v>200</v>
      </c>
      <c r="F113" s="113" t="str">
        <f>VLOOKUP($D113,'Info planes y paquetes'!$C$767:$L$874,2,FALSE)</f>
        <v>Residencial</v>
      </c>
      <c r="G113" s="113" t="str">
        <f>VLOOKUP($D113,'Info planes y paquetes'!$C$767:$L$874,3,FALSE)</f>
        <v>Internet fijo</v>
      </c>
      <c r="H113" s="166">
        <f>IFERROR(VLOOKUP($D113,$D$194:$K$313,H$64,FALSE)/SUM(VLOOKUP($D113,$D$194:$K359,H$64,FALSE),VLOOKUP($D113,$D$194:$K$313,I$64,FALSE)),"")</f>
        <v>1.3036324515884065E-2</v>
      </c>
      <c r="I113" s="166">
        <f t="shared" si="16"/>
        <v>0.9869636754841159</v>
      </c>
      <c r="J113" s="166">
        <f t="shared" si="15"/>
        <v>1</v>
      </c>
      <c r="K113" s="148"/>
      <c r="V113" s="262"/>
      <c r="X113" s="262"/>
      <c r="Y113" s="262"/>
      <c r="AA113" s="262"/>
      <c r="AD113" s="262"/>
      <c r="AE113" s="262"/>
    </row>
    <row r="114" spans="3:31" s="44" customFormat="1" x14ac:dyDescent="0.25">
      <c r="C114" s="95">
        <f t="shared" si="14"/>
        <v>48</v>
      </c>
      <c r="D114" s="101" t="str">
        <v>Infinitum Netflix 200 (Netflix 2 dispositivos)</v>
      </c>
      <c r="E114" s="269">
        <f t="shared" si="13"/>
        <v>200</v>
      </c>
      <c r="F114" s="113" t="str">
        <f>VLOOKUP($D114,'Info planes y paquetes'!$C$767:$L$874,2,FALSE)</f>
        <v>Residencial</v>
      </c>
      <c r="G114" s="113" t="str">
        <f>VLOOKUP($D114,'Info planes y paquetes'!$C$767:$L$874,3,FALSE)</f>
        <v>Internet fijo</v>
      </c>
      <c r="H114" s="166">
        <f>IFERROR(VLOOKUP($D114,$D$194:$K$313,H$64,FALSE)/SUM(VLOOKUP($D114,$D$194:$K360,H$64,FALSE),VLOOKUP($D114,$D$194:$K$313,I$64,FALSE)),"")</f>
        <v>3.04077401520387E-2</v>
      </c>
      <c r="I114" s="166">
        <f t="shared" si="16"/>
        <v>0.96959225984796127</v>
      </c>
      <c r="J114" s="166">
        <f t="shared" si="15"/>
        <v>1</v>
      </c>
      <c r="K114" s="148"/>
      <c r="V114" s="262"/>
      <c r="X114" s="262"/>
      <c r="Y114" s="262"/>
      <c r="AA114" s="262"/>
      <c r="AD114" s="262"/>
      <c r="AE114" s="262"/>
    </row>
    <row r="115" spans="3:31" s="44" customFormat="1" x14ac:dyDescent="0.25">
      <c r="C115" s="95">
        <f t="shared" si="14"/>
        <v>49</v>
      </c>
      <c r="D115" s="101" t="str">
        <v>Infinitum Netflix 500 (Netflix 4 dispositivos)</v>
      </c>
      <c r="E115" s="269">
        <f t="shared" si="13"/>
        <v>500</v>
      </c>
      <c r="F115" s="113" t="str">
        <f>VLOOKUP($D115,'Info planes y paquetes'!$C$767:$L$874,2,FALSE)</f>
        <v>Residencial</v>
      </c>
      <c r="G115" s="113" t="str">
        <f>VLOOKUP($D115,'Info planes y paquetes'!$C$767:$L$874,3,FALSE)</f>
        <v>Internet fijo</v>
      </c>
      <c r="H115" s="166">
        <f>IFERROR(VLOOKUP($D115,$D$194:$K$313,H$64,FALSE)/SUM(VLOOKUP($D115,$D$194:$K361,H$64,FALSE),VLOOKUP($D115,$D$194:$K$313,I$64,FALSE)),"")</f>
        <v>1.0775862068965517E-3</v>
      </c>
      <c r="I115" s="166">
        <f t="shared" si="16"/>
        <v>0.99892241379310343</v>
      </c>
      <c r="J115" s="166">
        <f t="shared" si="15"/>
        <v>1</v>
      </c>
      <c r="K115" s="148"/>
      <c r="V115" s="262"/>
      <c r="X115" s="262"/>
      <c r="Y115" s="262"/>
      <c r="AA115" s="262"/>
      <c r="AD115" s="262"/>
      <c r="AE115" s="262"/>
    </row>
    <row r="116" spans="3:31" s="44" customFormat="1" x14ac:dyDescent="0.25">
      <c r="C116" s="95">
        <f t="shared" si="14"/>
        <v>50</v>
      </c>
      <c r="D116" s="101" t="str">
        <v>Infinitum Netflix 500 (Netflix 2 dispositivos)</v>
      </c>
      <c r="E116" s="269">
        <f t="shared" si="13"/>
        <v>500</v>
      </c>
      <c r="F116" s="113" t="str">
        <f>VLOOKUP($D116,'Info planes y paquetes'!$C$767:$L$874,2,FALSE)</f>
        <v>Residencial</v>
      </c>
      <c r="G116" s="113" t="str">
        <f>VLOOKUP($D116,'Info planes y paquetes'!$C$767:$L$874,3,FALSE)</f>
        <v>Internet fijo</v>
      </c>
      <c r="H116" s="166">
        <f>IFERROR(VLOOKUP($D116,$D$194:$K$313,H$64,FALSE)/SUM(VLOOKUP($D116,$D$194:$K362,H$64,FALSE),VLOOKUP($D116,$D$194:$K$313,I$64,FALSE)),"")</f>
        <v>0</v>
      </c>
      <c r="I116" s="166">
        <f t="shared" si="16"/>
        <v>1</v>
      </c>
      <c r="J116" s="166">
        <f t="shared" si="15"/>
        <v>1</v>
      </c>
      <c r="K116" s="148"/>
      <c r="V116" s="262"/>
      <c r="X116" s="262"/>
      <c r="Y116" s="262"/>
      <c r="AA116" s="262"/>
      <c r="AD116" s="262"/>
      <c r="AE116" s="262"/>
    </row>
    <row r="117" spans="3:31" s="262" customFormat="1" x14ac:dyDescent="0.25">
      <c r="C117" s="95">
        <f t="shared" si="14"/>
        <v>51</v>
      </c>
      <c r="D117" s="101" t="str">
        <v>Paquete Conectes Negocio Netflix (Netflix 1 dispositivo)</v>
      </c>
      <c r="E117" s="269">
        <f t="shared" si="13"/>
        <v>20</v>
      </c>
      <c r="F117" s="113" t="str">
        <f>VLOOKUP($D117,'Info planes y paquetes'!$C$767:$L$874,2,FALSE)</f>
        <v>No Residencial</v>
      </c>
      <c r="G117" s="113" t="str">
        <f>VLOOKUP($D117,'Info planes y paquetes'!$C$767:$L$874,3,FALSE)</f>
        <v>Telefonía fija + Internet fijo</v>
      </c>
      <c r="H117" s="166">
        <f>IFERROR(VLOOKUP($D117,$D$194:$K$313,H$64,FALSE)/SUM(VLOOKUP($D117,$D$194:$K363,H$64,FALSE),VLOOKUP($D117,$D$194:$K$313,I$64,FALSE)),"")</f>
        <v>0.36609222170470423</v>
      </c>
      <c r="I117" s="166">
        <f t="shared" si="16"/>
        <v>0.63390777829529577</v>
      </c>
      <c r="J117" s="166">
        <f t="shared" si="15"/>
        <v>1</v>
      </c>
      <c r="K117" s="148"/>
    </row>
    <row r="118" spans="3:31" s="262" customFormat="1" x14ac:dyDescent="0.25">
      <c r="C118" s="95">
        <f t="shared" si="14"/>
        <v>52</v>
      </c>
      <c r="D118" s="101" t="str">
        <v>Paquete Conectes Negocio Netflix (Netflix 2 dispositivos)</v>
      </c>
      <c r="E118" s="269">
        <f t="shared" si="13"/>
        <v>20</v>
      </c>
      <c r="F118" s="113" t="str">
        <f>VLOOKUP($D118,'Info planes y paquetes'!$C$767:$L$874,2,FALSE)</f>
        <v>No Residencial</v>
      </c>
      <c r="G118" s="113" t="str">
        <f>VLOOKUP($D118,'Info planes y paquetes'!$C$767:$L$874,3,FALSE)</f>
        <v>Telefonía fija + Internet fijo</v>
      </c>
      <c r="H118" s="166">
        <f>IFERROR(VLOOKUP($D118,$D$194:$K$313,H$64,FALSE)/SUM(VLOOKUP($D118,$D$194:$K364,H$64,FALSE),VLOOKUP($D118,$D$194:$K$313,I$64,FALSE)),"")</f>
        <v>0.30653710247349825</v>
      </c>
      <c r="I118" s="166">
        <f t="shared" si="16"/>
        <v>0.69346289752650181</v>
      </c>
      <c r="J118" s="166">
        <f t="shared" si="15"/>
        <v>1</v>
      </c>
      <c r="K118" s="148"/>
    </row>
    <row r="119" spans="3:31" s="262" customFormat="1" x14ac:dyDescent="0.25">
      <c r="C119" s="95">
        <f t="shared" si="14"/>
        <v>53</v>
      </c>
      <c r="D119" s="101" t="str">
        <v>Paquete Conectes Negocio Netflix (Netflix 4 dispositivos)</v>
      </c>
      <c r="E119" s="269">
        <f t="shared" si="13"/>
        <v>20</v>
      </c>
      <c r="F119" s="113" t="str">
        <f>VLOOKUP($D119,'Info planes y paquetes'!$C$767:$L$874,2,FALSE)</f>
        <v>No Residencial</v>
      </c>
      <c r="G119" s="113" t="str">
        <f>VLOOKUP($D119,'Info planes y paquetes'!$C$767:$L$874,3,FALSE)</f>
        <v>Telefonía fija + Internet fijo</v>
      </c>
      <c r="H119" s="166">
        <f>IFERROR(VLOOKUP($D119,$D$194:$K$313,H$64,FALSE)/SUM(VLOOKUP($D119,$D$194:$K365,H$64,FALSE),VLOOKUP($D119,$D$194:$K$313,I$64,FALSE)),"")</f>
        <v>0.36625000000000002</v>
      </c>
      <c r="I119" s="166">
        <f t="shared" ref="I119:I173" si="17">IFERROR(VLOOKUP($D119,$D$194:$K$313,I$64,FALSE)/SUM(VLOOKUP($D119,$D$194:$K$313,H$64,FALSE),VLOOKUP($D119,$D$194:$K$313,I$64,FALSE)),"")</f>
        <v>0.63375000000000004</v>
      </c>
      <c r="J119" s="166">
        <f t="shared" si="15"/>
        <v>1</v>
      </c>
      <c r="K119" s="148"/>
    </row>
    <row r="120" spans="3:31" s="262" customFormat="1" x14ac:dyDescent="0.25">
      <c r="C120" s="95">
        <f t="shared" si="14"/>
        <v>54</v>
      </c>
      <c r="D120" s="101" t="str">
        <v>Paquete Mi Negocio Netflix (Netflix 2 dispositivos)</v>
      </c>
      <c r="E120" s="269">
        <f t="shared" si="13"/>
        <v>100</v>
      </c>
      <c r="F120" s="113" t="str">
        <f>VLOOKUP($D120,'Info planes y paquetes'!$C$767:$L$874,2,FALSE)</f>
        <v>No Residencial</v>
      </c>
      <c r="G120" s="113" t="str">
        <f>VLOOKUP($D120,'Info planes y paquetes'!$C$767:$L$874,3,FALSE)</f>
        <v>Telefonía fija + Internet fijo</v>
      </c>
      <c r="H120" s="166">
        <f>IFERROR(VLOOKUP($D120,$D$194:$K$313,H$64,FALSE)/SUM(VLOOKUP($D120,$D$194:$K366,H$64,FALSE),VLOOKUP($D120,$D$194:$K$313,I$64,FALSE)),"")</f>
        <v>0.26375711574952559</v>
      </c>
      <c r="I120" s="166">
        <f t="shared" si="17"/>
        <v>0.73624288425047435</v>
      </c>
      <c r="J120" s="166">
        <f t="shared" si="15"/>
        <v>1</v>
      </c>
      <c r="K120" s="148"/>
    </row>
    <row r="121" spans="3:31" s="262" customFormat="1" x14ac:dyDescent="0.25">
      <c r="C121" s="95">
        <f t="shared" si="14"/>
        <v>55</v>
      </c>
      <c r="D121" s="101" t="str">
        <v>Paquete Mi Negocio Netflix (Netflix 4 dispositivos)</v>
      </c>
      <c r="E121" s="269">
        <f t="shared" si="13"/>
        <v>100</v>
      </c>
      <c r="F121" s="113" t="str">
        <f>VLOOKUP($D121,'Info planes y paquetes'!$C$767:$L$874,2,FALSE)</f>
        <v>No Residencial</v>
      </c>
      <c r="G121" s="113" t="str">
        <f>VLOOKUP($D121,'Info planes y paquetes'!$C$767:$L$874,3,FALSE)</f>
        <v>Telefonía fija + Internet fijo</v>
      </c>
      <c r="H121" s="166">
        <f>IFERROR(VLOOKUP($D121,$D$194:$K$313,H$64,FALSE)/SUM(VLOOKUP($D121,$D$194:$K367,H$64,FALSE),VLOOKUP($D121,$D$194:$K$313,I$64,FALSE)),"")</f>
        <v>0.22262773722627738</v>
      </c>
      <c r="I121" s="166">
        <f t="shared" si="17"/>
        <v>0.77737226277372262</v>
      </c>
      <c r="J121" s="166">
        <f t="shared" si="15"/>
        <v>1</v>
      </c>
      <c r="K121" s="148"/>
    </row>
    <row r="122" spans="3:31" s="262" customFormat="1" x14ac:dyDescent="0.25">
      <c r="C122" s="95">
        <f>1+C121</f>
        <v>56</v>
      </c>
      <c r="D122" s="101" t="str">
        <v>Paquete Supernegocio Netflix (Netflix 2 dispositivos)</v>
      </c>
      <c r="E122" s="269">
        <f t="shared" si="13"/>
        <v>200</v>
      </c>
      <c r="F122" s="113" t="str">
        <f>VLOOKUP($D122,'Info planes y paquetes'!$C$767:$L$874,2,FALSE)</f>
        <v>No Residencial</v>
      </c>
      <c r="G122" s="113" t="str">
        <f>VLOOKUP($D122,'Info planes y paquetes'!$C$767:$L$874,3,FALSE)</f>
        <v>Telefonía fija + Internet fijo</v>
      </c>
      <c r="H122" s="166">
        <f>IFERROR(VLOOKUP($D122,$D$194:$K$313,H$64,FALSE)/SUM(VLOOKUP($D122,$D$194:$K368,H$64,FALSE),VLOOKUP($D122,$D$194:$K$313,I$64,FALSE)),"")</f>
        <v>0.15140415140415139</v>
      </c>
      <c r="I122" s="166">
        <f t="shared" si="17"/>
        <v>0.84859584859584858</v>
      </c>
      <c r="J122" s="166">
        <f t="shared" si="15"/>
        <v>1</v>
      </c>
      <c r="K122" s="148"/>
    </row>
    <row r="123" spans="3:31" s="262" customFormat="1" x14ac:dyDescent="0.25">
      <c r="C123" s="95">
        <f t="shared" si="14"/>
        <v>57</v>
      </c>
      <c r="D123" s="101" t="str">
        <v>Paquete Supernegocio Netflix (Netflix 4 dispositivos)</v>
      </c>
      <c r="E123" s="269">
        <f t="shared" si="13"/>
        <v>200</v>
      </c>
      <c r="F123" s="113" t="str">
        <f>VLOOKUP($D123,'Info planes y paquetes'!$C$767:$L$874,2,FALSE)</f>
        <v>No Residencial</v>
      </c>
      <c r="G123" s="113" t="str">
        <f>VLOOKUP($D123,'Info planes y paquetes'!$C$767:$L$874,3,FALSE)</f>
        <v>Telefonía fija + Internet fijo</v>
      </c>
      <c r="H123" s="166">
        <f>IFERROR(VLOOKUP($D123,$D$194:$K$313,H$64,FALSE)/SUM(VLOOKUP($D123,$D$194:$K369,H$64,FALSE),VLOOKUP($D123,$D$194:$K$313,I$64,FALSE)),"")</f>
        <v>3.1728665207877461E-2</v>
      </c>
      <c r="I123" s="166">
        <f t="shared" si="17"/>
        <v>0.96827133479212257</v>
      </c>
      <c r="J123" s="166">
        <f t="shared" si="15"/>
        <v>1</v>
      </c>
      <c r="K123" s="148"/>
    </row>
    <row r="124" spans="3:31" s="262" customFormat="1" x14ac:dyDescent="0.25">
      <c r="C124" s="95">
        <f t="shared" si="14"/>
        <v>58</v>
      </c>
      <c r="D124" s="101" t="str">
        <v>Infinitum Netflix Negocio 50 (Netflix 1 dispositivo)</v>
      </c>
      <c r="E124" s="269">
        <f t="shared" si="13"/>
        <v>50</v>
      </c>
      <c r="F124" s="113" t="str">
        <f>VLOOKUP($D124,'Info planes y paquetes'!$C$767:$L$874,2,FALSE)</f>
        <v>No Residencial</v>
      </c>
      <c r="G124" s="113" t="str">
        <f>VLOOKUP($D124,'Info planes y paquetes'!$C$767:$L$874,3,FALSE)</f>
        <v>Internet fijo</v>
      </c>
      <c r="H124" s="166">
        <f>IFERROR(VLOOKUP($D124,$D$194:$K$313,H$64,FALSE)/SUM(VLOOKUP($D124,$D$194:$K370,H$64,FALSE),VLOOKUP($D124,$D$194:$K$313,I$64,FALSE)),"")</f>
        <v>0.27010050251256279</v>
      </c>
      <c r="I124" s="166">
        <f t="shared" si="17"/>
        <v>0.72989949748743721</v>
      </c>
      <c r="J124" s="166">
        <f t="shared" si="15"/>
        <v>1</v>
      </c>
      <c r="K124" s="148"/>
    </row>
    <row r="125" spans="3:31" s="262" customFormat="1" x14ac:dyDescent="0.25">
      <c r="C125" s="95">
        <f t="shared" si="14"/>
        <v>59</v>
      </c>
      <c r="D125" s="101" t="str">
        <v>Infinitum Netflix Negocio 50 (Netflix 2 dispositivos)</v>
      </c>
      <c r="E125" s="269">
        <f t="shared" si="13"/>
        <v>50</v>
      </c>
      <c r="F125" s="113" t="str">
        <f>VLOOKUP($D125,'Info planes y paquetes'!$C$767:$L$874,2,FALSE)</f>
        <v>No Residencial</v>
      </c>
      <c r="G125" s="113" t="str">
        <f>VLOOKUP($D125,'Info planes y paquetes'!$C$767:$L$874,3,FALSE)</f>
        <v>Internet fijo</v>
      </c>
      <c r="H125" s="166">
        <f>IFERROR(VLOOKUP($D125,$D$194:$K$313,H$64,FALSE)/SUM(VLOOKUP($D125,$D$194:$K371,H$64,FALSE),VLOOKUP($D125,$D$194:$K$313,I$64,FALSE)),"")</f>
        <v>0.30721003134796238</v>
      </c>
      <c r="I125" s="166">
        <f t="shared" si="17"/>
        <v>0.69278996865203757</v>
      </c>
      <c r="J125" s="166">
        <f t="shared" si="15"/>
        <v>1</v>
      </c>
      <c r="K125" s="148"/>
    </row>
    <row r="126" spans="3:31" s="262" customFormat="1" x14ac:dyDescent="0.25">
      <c r="C126" s="95">
        <f t="shared" si="14"/>
        <v>60</v>
      </c>
      <c r="D126" s="101" t="str">
        <v>Infinitum Netflix Negocio 50 (Netflix 4 dispositivos)</v>
      </c>
      <c r="E126" s="269">
        <f t="shared" si="13"/>
        <v>50</v>
      </c>
      <c r="F126" s="113" t="str">
        <f>VLOOKUP($D126,'Info planes y paquetes'!$C$767:$L$874,2,FALSE)</f>
        <v>No Residencial</v>
      </c>
      <c r="G126" s="113" t="str">
        <f>VLOOKUP($D126,'Info planes y paquetes'!$C$767:$L$874,3,FALSE)</f>
        <v>Internet fijo</v>
      </c>
      <c r="H126" s="166">
        <f>IFERROR(VLOOKUP($D126,$D$194:$K$313,H$64,FALSE)/SUM(VLOOKUP($D126,$D$194:$K372,H$64,FALSE),VLOOKUP($D126,$D$194:$K$313,I$64,FALSE)),"")</f>
        <v>0.3968253968253968</v>
      </c>
      <c r="I126" s="166">
        <f t="shared" si="17"/>
        <v>0.60317460317460314</v>
      </c>
      <c r="J126" s="166">
        <f t="shared" si="15"/>
        <v>1</v>
      </c>
      <c r="K126" s="148"/>
    </row>
    <row r="127" spans="3:31" s="262" customFormat="1" x14ac:dyDescent="0.25">
      <c r="C127" s="95">
        <f t="shared" si="14"/>
        <v>61</v>
      </c>
      <c r="D127" s="101" t="str">
        <v>Infinitum Netflix Negocio 60 (Netflix 2 dispositivos)</v>
      </c>
      <c r="E127" s="269">
        <f t="shared" si="13"/>
        <v>60</v>
      </c>
      <c r="F127" s="113" t="str">
        <f>VLOOKUP($D127,'Info planes y paquetes'!$C$767:$L$874,2,FALSE)</f>
        <v>No Residencial</v>
      </c>
      <c r="G127" s="113" t="str">
        <f>VLOOKUP($D127,'Info planes y paquetes'!$C$767:$L$874,3,FALSE)</f>
        <v>Internet fijo</v>
      </c>
      <c r="H127" s="166">
        <f>IFERROR(VLOOKUP($D127,$D$194:$K$313,H$64,FALSE)/SUM(VLOOKUP($D127,$D$194:$K373,H$64,FALSE),VLOOKUP($D127,$D$194:$K$313,I$64,FALSE)),"")</f>
        <v>0.15384615384615385</v>
      </c>
      <c r="I127" s="166">
        <f t="shared" si="17"/>
        <v>0.84615384615384615</v>
      </c>
      <c r="J127" s="166">
        <f t="shared" si="15"/>
        <v>1</v>
      </c>
      <c r="K127" s="148"/>
    </row>
    <row r="128" spans="3:31" s="262" customFormat="1" x14ac:dyDescent="0.25">
      <c r="C128" s="95">
        <f t="shared" si="14"/>
        <v>62</v>
      </c>
      <c r="D128" s="101" t="str">
        <v>Infinitum Netflix Negocio 60 (Netflix 4 dispositivos)</v>
      </c>
      <c r="E128" s="269">
        <f t="shared" si="13"/>
        <v>60</v>
      </c>
      <c r="F128" s="113" t="str">
        <f>VLOOKUP($D128,'Info planes y paquetes'!$C$767:$L$874,2,FALSE)</f>
        <v>No Residencial</v>
      </c>
      <c r="G128" s="113" t="str">
        <f>VLOOKUP($D128,'Info planes y paquetes'!$C$767:$L$874,3,FALSE)</f>
        <v>Internet fijo</v>
      </c>
      <c r="H128" s="166">
        <f>IFERROR(VLOOKUP($D128,$D$194:$K$313,H$64,FALSE)/SUM(VLOOKUP($D128,$D$194:$K374,H$64,FALSE),VLOOKUP($D128,$D$194:$K$313,I$64,FALSE)),"")</f>
        <v>7.3170731707317069E-2</v>
      </c>
      <c r="I128" s="166">
        <f t="shared" si="17"/>
        <v>0.92682926829268297</v>
      </c>
      <c r="J128" s="166">
        <f t="shared" si="15"/>
        <v>1</v>
      </c>
      <c r="K128" s="148"/>
    </row>
    <row r="129" spans="3:11" s="262" customFormat="1" x14ac:dyDescent="0.25">
      <c r="C129" s="95">
        <f t="shared" si="14"/>
        <v>63</v>
      </c>
      <c r="D129" s="101" t="str">
        <v>Infinitum Netflix Negocio 200 (Netflix 4 dispositivos)</v>
      </c>
      <c r="E129" s="269">
        <f t="shared" si="13"/>
        <v>200</v>
      </c>
      <c r="F129" s="113" t="str">
        <f>VLOOKUP($D129,'Info planes y paquetes'!$C$767:$L$874,2,FALSE)</f>
        <v>No Residencial</v>
      </c>
      <c r="G129" s="113" t="str">
        <f>VLOOKUP($D129,'Info planes y paquetes'!$C$767:$L$874,3,FALSE)</f>
        <v>Internet fijo</v>
      </c>
      <c r="H129" s="166">
        <f>IFERROR(VLOOKUP($D129,$D$194:$K$313,H$64,FALSE)/SUM(VLOOKUP($D129,$D$194:$K375,H$64,FALSE),VLOOKUP($D129,$D$194:$K$313,I$64,FALSE)),"")</f>
        <v>2.9940119760479042E-2</v>
      </c>
      <c r="I129" s="166">
        <f t="shared" si="17"/>
        <v>0.97005988023952094</v>
      </c>
      <c r="J129" s="166">
        <f t="shared" si="15"/>
        <v>1</v>
      </c>
      <c r="K129" s="148"/>
    </row>
    <row r="130" spans="3:11" s="262" customFormat="1" x14ac:dyDescent="0.25">
      <c r="C130" s="95">
        <f t="shared" si="14"/>
        <v>64</v>
      </c>
      <c r="D130" s="101" t="str">
        <v>Infinitum Netflix Negocio 200 (Netflix 2 dispositivos)</v>
      </c>
      <c r="E130" s="269">
        <f t="shared" si="13"/>
        <v>200</v>
      </c>
      <c r="F130" s="113" t="str">
        <f>VLOOKUP($D130,'Info planes y paquetes'!$C$767:$L$874,2,FALSE)</f>
        <v>No Residencial</v>
      </c>
      <c r="G130" s="113" t="str">
        <f>VLOOKUP($D130,'Info planes y paquetes'!$C$767:$L$874,3,FALSE)</f>
        <v>Internet fijo</v>
      </c>
      <c r="H130" s="166">
        <f>IFERROR(VLOOKUP($D130,$D$194:$K$313,H$64,FALSE)/SUM(VLOOKUP($D130,$D$194:$K376,H$64,FALSE),VLOOKUP($D130,$D$194:$K$313,I$64,FALSE)),"")</f>
        <v>3.9473684210526314E-2</v>
      </c>
      <c r="I130" s="166">
        <f t="shared" si="17"/>
        <v>0.96052631578947367</v>
      </c>
      <c r="J130" s="166">
        <f t="shared" si="15"/>
        <v>1</v>
      </c>
      <c r="K130" s="148"/>
    </row>
    <row r="131" spans="3:11" s="262" customFormat="1" x14ac:dyDescent="0.25">
      <c r="C131" s="95">
        <f t="shared" si="14"/>
        <v>65</v>
      </c>
      <c r="D131" s="101" t="str">
        <v>Infinitum Netflix Negocio 500 (Netflix 4 dispositivos)</v>
      </c>
      <c r="E131" s="269">
        <f t="shared" si="13"/>
        <v>500</v>
      </c>
      <c r="F131" s="113" t="str">
        <f>VLOOKUP($D131,'Info planes y paquetes'!$C$767:$L$874,2,FALSE)</f>
        <v>No Residencial</v>
      </c>
      <c r="G131" s="113" t="str">
        <f>VLOOKUP($D131,'Info planes y paquetes'!$C$767:$L$874,3,FALSE)</f>
        <v>Internet fijo</v>
      </c>
      <c r="H131" s="166">
        <f>IFERROR(VLOOKUP($D131,$D$194:$K$313,H$64,FALSE)/SUM(VLOOKUP($D131,$D$194:$K377,H$64,FALSE),VLOOKUP($D131,$D$194:$K$313,I$64,FALSE)),"")</f>
        <v>5.5248618784530384E-3</v>
      </c>
      <c r="I131" s="166">
        <f t="shared" si="17"/>
        <v>0.99447513812154698</v>
      </c>
      <c r="J131" s="166">
        <f t="shared" si="15"/>
        <v>1</v>
      </c>
      <c r="K131" s="148"/>
    </row>
    <row r="132" spans="3:11" s="262" customFormat="1" x14ac:dyDescent="0.25">
      <c r="C132" s="95">
        <f t="shared" si="14"/>
        <v>66</v>
      </c>
      <c r="D132" s="101" t="str">
        <v>Infinitum Netflix Negocio 500 (Netflix 2 dispositivos)</v>
      </c>
      <c r="E132" s="269">
        <f t="shared" ref="E132:E175" si="18">H259</f>
        <v>500</v>
      </c>
      <c r="F132" s="113" t="str">
        <f>VLOOKUP($D132,'Info planes y paquetes'!$C$767:$L$874,2,FALSE)</f>
        <v>No Residencial</v>
      </c>
      <c r="G132" s="113" t="str">
        <f>VLOOKUP($D132,'Info planes y paquetes'!$C$767:$L$874,3,FALSE)</f>
        <v>Internet fijo</v>
      </c>
      <c r="H132" s="166">
        <f>IFERROR(VLOOKUP($D132,$D$194:$K$313,H$64,FALSE)/SUM(VLOOKUP($D132,$D$194:$K378,H$64,FALSE),VLOOKUP($D132,$D$194:$K$313,I$64,FALSE)),"")</f>
        <v>0</v>
      </c>
      <c r="I132" s="166">
        <f t="shared" si="17"/>
        <v>1</v>
      </c>
      <c r="J132" s="166">
        <f t="shared" si="15"/>
        <v>1</v>
      </c>
      <c r="K132" s="148"/>
    </row>
    <row r="133" spans="3:11" s="262" customFormat="1" x14ac:dyDescent="0.25">
      <c r="C133" s="95">
        <f t="shared" ref="C133:C186" si="19">1+C132</f>
        <v>67</v>
      </c>
      <c r="D133" s="101" t="str">
        <v>Paquete Infinitum Entretenimiento 30</v>
      </c>
      <c r="E133" s="269">
        <f t="shared" si="18"/>
        <v>30</v>
      </c>
      <c r="F133" s="113" t="str">
        <f>VLOOKUP($D133,'Info planes y paquetes'!$C$767:$L$874,2,FALSE)</f>
        <v>Residencial</v>
      </c>
      <c r="G133" s="113" t="str">
        <f>VLOOKUP($D133,'Info planes y paquetes'!$C$767:$L$874,3,FALSE)</f>
        <v>Telefonía fija + Internet fijo</v>
      </c>
      <c r="H133" s="166">
        <f>IFERROR(VLOOKUP($D133,$D$194:$K$313,H$64,FALSE)/SUM(VLOOKUP($D133,$D$194:$K379,H$64,FALSE),VLOOKUP($D133,$D$194:$K$313,I$64,FALSE)),"")</f>
        <v>0.43763469050677711</v>
      </c>
      <c r="I133" s="166">
        <f t="shared" si="17"/>
        <v>0.56236530949322283</v>
      </c>
      <c r="J133" s="166">
        <f t="shared" si="15"/>
        <v>1</v>
      </c>
      <c r="K133" s="148"/>
    </row>
    <row r="134" spans="3:11" s="262" customFormat="1" x14ac:dyDescent="0.25">
      <c r="C134" s="95">
        <f t="shared" si="19"/>
        <v>68</v>
      </c>
      <c r="D134" s="101" t="str">
        <v>Paquete Infinitum  Entretenimiento 40</v>
      </c>
      <c r="E134" s="269">
        <f t="shared" si="18"/>
        <v>40</v>
      </c>
      <c r="F134" s="113" t="str">
        <f>VLOOKUP($D134,'Info planes y paquetes'!$C$767:$L$874,2,FALSE)</f>
        <v>Residencial</v>
      </c>
      <c r="G134" s="113" t="str">
        <f>VLOOKUP($D134,'Info planes y paquetes'!$C$767:$L$874,3,FALSE)</f>
        <v>Telefonía fija + Internet fijo</v>
      </c>
      <c r="H134" s="166">
        <f>IFERROR(VLOOKUP($D134,$D$194:$K$313,H$64,FALSE)/SUM(VLOOKUP($D134,$D$194:$K380,H$64,FALSE),VLOOKUP($D134,$D$194:$K$313,I$64,FALSE)),"")</f>
        <v>0.15366928530369803</v>
      </c>
      <c r="I134" s="166">
        <f t="shared" si="17"/>
        <v>0.84633071469630194</v>
      </c>
      <c r="J134" s="166">
        <f t="shared" si="15"/>
        <v>1</v>
      </c>
      <c r="K134" s="148"/>
    </row>
    <row r="135" spans="3:11" s="262" customFormat="1" x14ac:dyDescent="0.25">
      <c r="C135" s="95">
        <f t="shared" si="19"/>
        <v>69</v>
      </c>
      <c r="D135" s="101" t="str">
        <v>Paquete Infinitum Entretenimiento 50</v>
      </c>
      <c r="E135" s="269">
        <f t="shared" si="18"/>
        <v>50</v>
      </c>
      <c r="F135" s="113" t="str">
        <f>VLOOKUP($D135,'Info planes y paquetes'!$C$767:$L$874,2,FALSE)</f>
        <v>Residencial</v>
      </c>
      <c r="G135" s="113" t="str">
        <f>VLOOKUP($D135,'Info planes y paquetes'!$C$767:$L$874,3,FALSE)</f>
        <v>Telefonía fija + Internet fijo</v>
      </c>
      <c r="H135" s="166">
        <f>IFERROR(VLOOKUP($D135,$D$194:$K$313,H$64,FALSE)/SUM(VLOOKUP($D135,$D$194:$K381,H$64,FALSE),VLOOKUP($D135,$D$194:$K$313,I$64,FALSE)),"")</f>
        <v>0.149706457925636</v>
      </c>
      <c r="I135" s="166">
        <f t="shared" si="17"/>
        <v>0.85029354207436403</v>
      </c>
      <c r="J135" s="166">
        <f t="shared" ref="J135:J173" si="20">SUM(H135:I135)</f>
        <v>1</v>
      </c>
      <c r="K135" s="148"/>
    </row>
    <row r="136" spans="3:11" s="262" customFormat="1" x14ac:dyDescent="0.25">
      <c r="C136" s="95">
        <f t="shared" si="19"/>
        <v>70</v>
      </c>
      <c r="D136" s="101" t="str">
        <v>Paquete Infinitum Entretenimiento 250</v>
      </c>
      <c r="E136" s="269">
        <f t="shared" si="18"/>
        <v>250</v>
      </c>
      <c r="F136" s="113" t="str">
        <f>VLOOKUP($D136,'Info planes y paquetes'!$C$767:$L$874,2,FALSE)</f>
        <v>Residencial</v>
      </c>
      <c r="G136" s="113" t="str">
        <f>VLOOKUP($D136,'Info planes y paquetes'!$C$767:$L$874,3,FALSE)</f>
        <v>Telefonía fija + Internet fijo</v>
      </c>
      <c r="H136" s="166">
        <f>IFERROR(VLOOKUP($D136,$D$194:$K$313,H$64,FALSE)/SUM(VLOOKUP($D136,$D$194:$K382,H$64,FALSE),VLOOKUP($D136,$D$194:$K$313,I$64,FALSE)),"")</f>
        <v>0.12736222578919207</v>
      </c>
      <c r="I136" s="166">
        <f t="shared" si="17"/>
        <v>0.8726377742108079</v>
      </c>
      <c r="J136" s="166">
        <f t="shared" si="20"/>
        <v>1</v>
      </c>
      <c r="K136" s="148"/>
    </row>
    <row r="137" spans="3:11" s="262" customFormat="1" x14ac:dyDescent="0.25">
      <c r="C137" s="95">
        <f t="shared" si="19"/>
        <v>71</v>
      </c>
      <c r="D137" s="101" t="str">
        <v>Paquete Infinitum Entretenimiento 500</v>
      </c>
      <c r="E137" s="269">
        <f t="shared" si="18"/>
        <v>500</v>
      </c>
      <c r="F137" s="113" t="str">
        <f>VLOOKUP($D137,'Info planes y paquetes'!$C$767:$L$874,2,FALSE)</f>
        <v>Residencial</v>
      </c>
      <c r="G137" s="113" t="str">
        <f>VLOOKUP($D137,'Info planes y paquetes'!$C$767:$L$874,3,FALSE)</f>
        <v>Telefonía fija + Internet fijo</v>
      </c>
      <c r="H137" s="166">
        <f>IFERROR(VLOOKUP($D137,$D$194:$K$313,H$64,FALSE)/SUM(VLOOKUP($D137,$D$194:$K383,H$64,FALSE),VLOOKUP($D137,$D$194:$K$313,I$64,FALSE)),"")</f>
        <v>2.4807056229327454E-2</v>
      </c>
      <c r="I137" s="166">
        <f t="shared" si="17"/>
        <v>0.97519294377067256</v>
      </c>
      <c r="J137" s="166">
        <f t="shared" si="20"/>
        <v>1</v>
      </c>
      <c r="K137" s="148"/>
    </row>
    <row r="138" spans="3:11" s="262" customFormat="1" x14ac:dyDescent="0.25">
      <c r="C138" s="95">
        <f t="shared" si="19"/>
        <v>72</v>
      </c>
      <c r="D138" s="101" t="str">
        <v>Infinitum Entretenimiento 30</v>
      </c>
      <c r="E138" s="269">
        <f t="shared" si="18"/>
        <v>30</v>
      </c>
      <c r="F138" s="113" t="str">
        <f>VLOOKUP($D138,'Info planes y paquetes'!$C$767:$L$874,2,FALSE)</f>
        <v>Residencial</v>
      </c>
      <c r="G138" s="113" t="str">
        <f>VLOOKUP($D138,'Info planes y paquetes'!$C$767:$L$874,3,FALSE)</f>
        <v>Internet fijo</v>
      </c>
      <c r="H138" s="166">
        <f>IFERROR(VLOOKUP($D138,$D$194:$K$313,H$64,FALSE)/SUM(VLOOKUP($D138,$D$194:$K384,H$64,FALSE),VLOOKUP($D138,$D$194:$K$313,I$64,FALSE)),"")</f>
        <v>0.44668997729822824</v>
      </c>
      <c r="I138" s="166">
        <f t="shared" si="17"/>
        <v>0.55331002270177176</v>
      </c>
      <c r="J138" s="166">
        <f t="shared" si="20"/>
        <v>1</v>
      </c>
      <c r="K138" s="148"/>
    </row>
    <row r="139" spans="3:11" s="262" customFormat="1" x14ac:dyDescent="0.25">
      <c r="C139" s="95">
        <f t="shared" si="19"/>
        <v>73</v>
      </c>
      <c r="D139" s="101" t="str">
        <v>Infinitum Entretenimiento 40</v>
      </c>
      <c r="E139" s="269">
        <f t="shared" si="18"/>
        <v>40</v>
      </c>
      <c r="F139" s="113" t="str">
        <f>VLOOKUP($D139,'Info planes y paquetes'!$C$767:$L$874,2,FALSE)</f>
        <v>Residencial</v>
      </c>
      <c r="G139" s="113" t="str">
        <f>VLOOKUP($D139,'Info planes y paquetes'!$C$767:$L$874,3,FALSE)</f>
        <v>Internet fijo</v>
      </c>
      <c r="H139" s="166">
        <f>IFERROR(VLOOKUP($D139,$D$194:$K$313,H$64,FALSE)/SUM(VLOOKUP($D139,$D$194:$K385,H$64,FALSE),VLOOKUP($D139,$D$194:$K$313,I$64,FALSE)),"")</f>
        <v>0.17590281244799466</v>
      </c>
      <c r="I139" s="166">
        <f t="shared" si="17"/>
        <v>0.82409718755200534</v>
      </c>
      <c r="J139" s="166">
        <f t="shared" si="20"/>
        <v>1</v>
      </c>
      <c r="K139" s="148"/>
    </row>
    <row r="140" spans="3:11" s="262" customFormat="1" x14ac:dyDescent="0.25">
      <c r="C140" s="95">
        <f t="shared" si="19"/>
        <v>74</v>
      </c>
      <c r="D140" s="101" t="str">
        <v>Infinitum Entretenimiento 120</v>
      </c>
      <c r="E140" s="269">
        <f t="shared" si="18"/>
        <v>120</v>
      </c>
      <c r="F140" s="113" t="str">
        <f>VLOOKUP($D140,'Info planes y paquetes'!$C$767:$L$874,2,FALSE)</f>
        <v>Residencial</v>
      </c>
      <c r="G140" s="113" t="str">
        <f>VLOOKUP($D140,'Info planes y paquetes'!$C$767:$L$874,3,FALSE)</f>
        <v>Internet fijo</v>
      </c>
      <c r="H140" s="166">
        <f>IFERROR(VLOOKUP($D140,$D$194:$K$313,H$64,FALSE)/SUM(VLOOKUP($D140,$D$194:$K386,H$64,FALSE),VLOOKUP($D140,$D$194:$K$313,I$64,FALSE)),"")</f>
        <v>2.2075055187637969E-3</v>
      </c>
      <c r="I140" s="166">
        <f t="shared" si="17"/>
        <v>0.99779249448123619</v>
      </c>
      <c r="J140" s="166">
        <f t="shared" si="20"/>
        <v>1</v>
      </c>
      <c r="K140" s="148"/>
    </row>
    <row r="141" spans="3:11" s="262" customFormat="1" x14ac:dyDescent="0.25">
      <c r="C141" s="95">
        <f t="shared" si="19"/>
        <v>75</v>
      </c>
      <c r="D141" s="101" t="str">
        <v>Infinitum Entretenimiento 200</v>
      </c>
      <c r="E141" s="269">
        <f t="shared" si="18"/>
        <v>200</v>
      </c>
      <c r="F141" s="113" t="str">
        <f>VLOOKUP($D141,'Info planes y paquetes'!$C$767:$L$874,2,FALSE)</f>
        <v>Residencial</v>
      </c>
      <c r="G141" s="113" t="str">
        <f>VLOOKUP($D141,'Info planes y paquetes'!$C$767:$L$874,3,FALSE)</f>
        <v>Internet fijo</v>
      </c>
      <c r="H141" s="166">
        <f>IFERROR(VLOOKUP($D141,$D$194:$K$313,H$64,FALSE)/SUM(VLOOKUP($D141,$D$194:$K387,H$64,FALSE),VLOOKUP($D141,$D$194:$K$313,I$64,FALSE)),"")</f>
        <v>1.4834423854952299E-2</v>
      </c>
      <c r="I141" s="166">
        <f t="shared" si="17"/>
        <v>0.98516557614504774</v>
      </c>
      <c r="J141" s="166">
        <f t="shared" si="20"/>
        <v>1</v>
      </c>
      <c r="K141" s="148"/>
    </row>
    <row r="142" spans="3:11" s="262" customFormat="1" x14ac:dyDescent="0.25">
      <c r="C142" s="95">
        <f t="shared" si="19"/>
        <v>76</v>
      </c>
      <c r="D142" s="101" t="str">
        <v>Infinitum Entretenimiento 500</v>
      </c>
      <c r="E142" s="269">
        <f t="shared" si="18"/>
        <v>500</v>
      </c>
      <c r="F142" s="113" t="str">
        <f>VLOOKUP($D142,'Info planes y paquetes'!$C$767:$L$874,2,FALSE)</f>
        <v>Residencial</v>
      </c>
      <c r="G142" s="113" t="str">
        <f>VLOOKUP($D142,'Info planes y paquetes'!$C$767:$L$874,3,FALSE)</f>
        <v>Internet fijo</v>
      </c>
      <c r="H142" s="166">
        <f>IFERROR(VLOOKUP($D142,$D$194:$K$313,H$64,FALSE)/SUM(VLOOKUP($D142,$D$194:$K388,H$64,FALSE),VLOOKUP($D142,$D$194:$K$313,I$64,FALSE)),"")</f>
        <v>1.5031942878617061E-3</v>
      </c>
      <c r="I142" s="166">
        <f t="shared" si="17"/>
        <v>0.99849680571213828</v>
      </c>
      <c r="J142" s="166">
        <f t="shared" si="20"/>
        <v>1</v>
      </c>
      <c r="K142" s="148"/>
    </row>
    <row r="143" spans="3:11" s="262" customFormat="1" x14ac:dyDescent="0.25">
      <c r="C143" s="95">
        <f t="shared" si="19"/>
        <v>77</v>
      </c>
      <c r="D143" s="101" t="str">
        <v>Paquete infinitum Entretenimiento+ 30  (Netflix 1 dispositivo)</v>
      </c>
      <c r="E143" s="269">
        <f t="shared" si="18"/>
        <v>30</v>
      </c>
      <c r="F143" s="113" t="str">
        <f>VLOOKUP($D143,'Info planes y paquetes'!$C$767:$L$874,2,FALSE)</f>
        <v>Residencial</v>
      </c>
      <c r="G143" s="113" t="str">
        <f>VLOOKUP($D143,'Info planes y paquetes'!$C$767:$L$874,3,FALSE)</f>
        <v>Telefonía fija + Internet fijo</v>
      </c>
      <c r="H143" s="166">
        <f>IFERROR(VLOOKUP($D143,$D$194:$K$313,H$64,FALSE)/SUM(VLOOKUP($D143,$D$194:$K389,H$64,FALSE),VLOOKUP($D143,$D$194:$K$313,I$64,FALSE)),"")</f>
        <v>0.42014289006683569</v>
      </c>
      <c r="I143" s="166">
        <f t="shared" si="17"/>
        <v>0.57985710993316431</v>
      </c>
      <c r="J143" s="166">
        <f t="shared" si="20"/>
        <v>1</v>
      </c>
      <c r="K143" s="148"/>
    </row>
    <row r="144" spans="3:11" s="262" customFormat="1" x14ac:dyDescent="0.25">
      <c r="C144" s="95">
        <f t="shared" si="19"/>
        <v>78</v>
      </c>
      <c r="D144" s="101" t="str">
        <v>Paquete infinitum Entretenimiento+ 30  (Netflix 2 dispositivos)</v>
      </c>
      <c r="E144" s="269">
        <f t="shared" si="18"/>
        <v>30</v>
      </c>
      <c r="F144" s="113" t="str">
        <f>VLOOKUP($D144,'Info planes y paquetes'!$C$767:$L$874,2,FALSE)</f>
        <v>Residencial</v>
      </c>
      <c r="G144" s="113" t="str">
        <f>VLOOKUP($D144,'Info planes y paquetes'!$C$767:$L$874,3,FALSE)</f>
        <v>Telefonía fija + Internet fijo</v>
      </c>
      <c r="H144" s="166">
        <f>IFERROR(VLOOKUP($D144,$D$194:$K$313,H$64,FALSE)/SUM(VLOOKUP($D144,$D$194:$K390,H$64,FALSE),VLOOKUP($D144,$D$194:$K$313,I$64,FALSE)),"")</f>
        <v>0.55172327609907279</v>
      </c>
      <c r="I144" s="166">
        <f t="shared" si="17"/>
        <v>0.44827672390092727</v>
      </c>
      <c r="J144" s="166">
        <f t="shared" si="20"/>
        <v>1</v>
      </c>
      <c r="K144" s="148"/>
    </row>
    <row r="145" spans="3:11" s="262" customFormat="1" x14ac:dyDescent="0.25">
      <c r="C145" s="95">
        <f t="shared" si="19"/>
        <v>79</v>
      </c>
      <c r="D145" s="101" t="str">
        <v>Paquete infinitum Entretenimiento+ 30  (Netflix 4 dispositivos)</v>
      </c>
      <c r="E145" s="269">
        <f t="shared" si="18"/>
        <v>30</v>
      </c>
      <c r="F145" s="113" t="str">
        <f>VLOOKUP($D145,'Info planes y paquetes'!$C$767:$L$874,2,FALSE)</f>
        <v>Residencial</v>
      </c>
      <c r="G145" s="113" t="str">
        <f>VLOOKUP($D145,'Info planes y paquetes'!$C$767:$L$874,3,FALSE)</f>
        <v>Telefonía fija + Internet fijo</v>
      </c>
      <c r="H145" s="166">
        <f>IFERROR(VLOOKUP($D145,$D$194:$K$313,H$64,FALSE)/SUM(VLOOKUP($D145,$D$194:$K391,H$64,FALSE),VLOOKUP($D145,$D$194:$K$313,I$64,FALSE)),"")</f>
        <v>0.58781282393010514</v>
      </c>
      <c r="I145" s="166">
        <f t="shared" si="17"/>
        <v>0.41218717606989486</v>
      </c>
      <c r="J145" s="166">
        <f t="shared" si="20"/>
        <v>1</v>
      </c>
      <c r="K145" s="148"/>
    </row>
    <row r="146" spans="3:11" s="262" customFormat="1" x14ac:dyDescent="0.25">
      <c r="C146" s="95">
        <f t="shared" si="19"/>
        <v>80</v>
      </c>
      <c r="D146" s="101" t="str">
        <v>Paquete Infinitum Entretenimiento+ 70   (Netflix 2 dispositivos)</v>
      </c>
      <c r="E146" s="269">
        <f t="shared" si="18"/>
        <v>70</v>
      </c>
      <c r="F146" s="113" t="str">
        <f>VLOOKUP($D146,'Info planes y paquetes'!$C$767:$L$874,2,FALSE)</f>
        <v>Residencial</v>
      </c>
      <c r="G146" s="113" t="str">
        <f>VLOOKUP($D146,'Info planes y paquetes'!$C$767:$L$874,3,FALSE)</f>
        <v>Telefonía fija + Internet fijo</v>
      </c>
      <c r="H146" s="166">
        <f>IFERROR(VLOOKUP($D146,$D$194:$K$313,H$64,FALSE)/SUM(VLOOKUP($D146,$D$194:$K392,H$64,FALSE),VLOOKUP($D146,$D$194:$K$313,I$64,FALSE)),"")</f>
        <v>0.19625585023400935</v>
      </c>
      <c r="I146" s="166">
        <f t="shared" si="17"/>
        <v>0.80374414976599062</v>
      </c>
      <c r="J146" s="166">
        <f t="shared" si="20"/>
        <v>1</v>
      </c>
      <c r="K146" s="148"/>
    </row>
    <row r="147" spans="3:11" s="262" customFormat="1" x14ac:dyDescent="0.25">
      <c r="C147" s="95">
        <f t="shared" si="19"/>
        <v>81</v>
      </c>
      <c r="D147" s="101" t="str">
        <v>Paquete Infinitum Entretenimiento+ 70   (Netflix 4 dispositivos)</v>
      </c>
      <c r="E147" s="269">
        <f t="shared" si="18"/>
        <v>70</v>
      </c>
      <c r="F147" s="113" t="str">
        <f>VLOOKUP($D147,'Info planes y paquetes'!$C$767:$L$874,2,FALSE)</f>
        <v>Residencial</v>
      </c>
      <c r="G147" s="113" t="str">
        <f>VLOOKUP($D147,'Info planes y paquetes'!$C$767:$L$874,3,FALSE)</f>
        <v>Telefonía fija + Internet fijo</v>
      </c>
      <c r="H147" s="166">
        <f>IFERROR(VLOOKUP($D147,$D$194:$K$313,H$64,FALSE)/SUM(VLOOKUP($D147,$D$194:$K393,H$64,FALSE),VLOOKUP($D147,$D$194:$K$313,I$64,FALSE)),"")</f>
        <v>0.30914645789574186</v>
      </c>
      <c r="I147" s="166">
        <f t="shared" si="17"/>
        <v>0.6908535421042582</v>
      </c>
      <c r="J147" s="166">
        <f t="shared" si="20"/>
        <v>1</v>
      </c>
      <c r="K147" s="148"/>
    </row>
    <row r="148" spans="3:11" s="262" customFormat="1" x14ac:dyDescent="0.25">
      <c r="C148" s="95">
        <f t="shared" si="19"/>
        <v>82</v>
      </c>
      <c r="D148" s="101" t="str">
        <v>Paquete Infinitum Entretenimiento+ 120    (Netflix 2 dispositivos)</v>
      </c>
      <c r="E148" s="269">
        <f t="shared" si="18"/>
        <v>120</v>
      </c>
      <c r="F148" s="113" t="str">
        <f>VLOOKUP($D148,'Info planes y paquetes'!$C$767:$L$874,2,FALSE)</f>
        <v>Residencial</v>
      </c>
      <c r="G148" s="113" t="str">
        <f>VLOOKUP($D148,'Info planes y paquetes'!$C$767:$L$874,3,FALSE)</f>
        <v>Telefonía fija + Internet fijo</v>
      </c>
      <c r="H148" s="166">
        <f>IFERROR(VLOOKUP($D148,$D$194:$K$313,H$64,FALSE)/SUM(VLOOKUP($D148,$D$194:$K394,H$64,FALSE),VLOOKUP($D148,$D$194:$K$313,I$64,FALSE)),"")</f>
        <v>0.12856264096780809</v>
      </c>
      <c r="I148" s="166">
        <f t="shared" si="17"/>
        <v>0.87143735903219188</v>
      </c>
      <c r="J148" s="166">
        <f t="shared" si="20"/>
        <v>1</v>
      </c>
      <c r="K148" s="148"/>
    </row>
    <row r="149" spans="3:11" s="262" customFormat="1" x14ac:dyDescent="0.25">
      <c r="C149" s="95">
        <f t="shared" si="19"/>
        <v>83</v>
      </c>
      <c r="D149" s="101" t="str">
        <v>Paquete Infinitum Entretenimiento+ 120    (Netflix 4 dispositivos)</v>
      </c>
      <c r="E149" s="269">
        <f t="shared" si="18"/>
        <v>120</v>
      </c>
      <c r="F149" s="113" t="str">
        <f>VLOOKUP($D149,'Info planes y paquetes'!$C$767:$L$874,2,FALSE)</f>
        <v>Residencial</v>
      </c>
      <c r="G149" s="113" t="str">
        <f>VLOOKUP($D149,'Info planes y paquetes'!$C$767:$L$874,3,FALSE)</f>
        <v>Telefonía fija + Internet fijo</v>
      </c>
      <c r="H149" s="166">
        <f>IFERROR(VLOOKUP($D149,$D$194:$K$313,H$64,FALSE)/SUM(VLOOKUP($D149,$D$194:$K395,H$64,FALSE),VLOOKUP($D149,$D$194:$K$313,I$64,FALSE)),"")</f>
        <v>0.1530693595535477</v>
      </c>
      <c r="I149" s="166">
        <f t="shared" si="17"/>
        <v>0.84693064044645228</v>
      </c>
      <c r="J149" s="166">
        <f t="shared" si="20"/>
        <v>1</v>
      </c>
      <c r="K149" s="148"/>
    </row>
    <row r="150" spans="3:11" s="262" customFormat="1" x14ac:dyDescent="0.25">
      <c r="C150" s="95">
        <f t="shared" si="19"/>
        <v>84</v>
      </c>
      <c r="D150" s="101" t="str">
        <v>Paquete infinitum Entretenimiento+ 200  (Netflix 4 dispositivos)</v>
      </c>
      <c r="E150" s="269">
        <f t="shared" si="18"/>
        <v>200</v>
      </c>
      <c r="F150" s="113" t="str">
        <f>VLOOKUP($D150,'Info planes y paquetes'!$C$767:$L$874,2,FALSE)</f>
        <v>Residencial</v>
      </c>
      <c r="G150" s="113" t="str">
        <f>VLOOKUP($D150,'Info planes y paquetes'!$C$767:$L$874,3,FALSE)</f>
        <v>Telefonía fija + Internet fijo</v>
      </c>
      <c r="H150" s="166">
        <f>IFERROR(VLOOKUP($D150,$D$194:$K$313,H$64,FALSE)/SUM(VLOOKUP($D150,$D$194:$K396,H$64,FALSE),VLOOKUP($D150,$D$194:$K$313,I$64,FALSE)),"")</f>
        <v>1.3553267493170835E-2</v>
      </c>
      <c r="I150" s="166">
        <f t="shared" si="17"/>
        <v>0.98644673250682913</v>
      </c>
      <c r="J150" s="166">
        <f t="shared" si="20"/>
        <v>1</v>
      </c>
      <c r="K150" s="148"/>
    </row>
    <row r="151" spans="3:11" s="262" customFormat="1" x14ac:dyDescent="0.25">
      <c r="C151" s="95">
        <f t="shared" si="19"/>
        <v>85</v>
      </c>
      <c r="D151" s="101" t="str">
        <v>Paquete infinitum Entretenimiento+ 200  (Netflix 2 dispositivos)</v>
      </c>
      <c r="E151" s="269">
        <f t="shared" si="18"/>
        <v>200</v>
      </c>
      <c r="F151" s="113" t="str">
        <f>VLOOKUP($D151,'Info planes y paquetes'!$C$767:$L$874,2,FALSE)</f>
        <v>Residencial</v>
      </c>
      <c r="G151" s="113" t="str">
        <f>VLOOKUP($D151,'Info planes y paquetes'!$C$767:$L$874,3,FALSE)</f>
        <v>Telefonía fija + Internet fijo</v>
      </c>
      <c r="H151" s="166">
        <f>IFERROR(VLOOKUP($D151,$D$194:$K$313,H$64,FALSE)/SUM(VLOOKUP($D151,$D$194:$K397,H$64,FALSE),VLOOKUP($D151,$D$194:$K$313,I$64,FALSE)),"")</f>
        <v>4.8435374149659864E-2</v>
      </c>
      <c r="I151" s="166">
        <f t="shared" si="17"/>
        <v>0.95156462585034018</v>
      </c>
      <c r="J151" s="166">
        <f t="shared" si="20"/>
        <v>1</v>
      </c>
      <c r="K151" s="148"/>
    </row>
    <row r="152" spans="3:11" s="262" customFormat="1" x14ac:dyDescent="0.25">
      <c r="C152" s="95">
        <f t="shared" si="19"/>
        <v>86</v>
      </c>
      <c r="D152" s="101" t="str">
        <v>Paquete infinitum Entretenimiento+ 500 (Netflix 4 dispositivos)</v>
      </c>
      <c r="E152" s="269">
        <f t="shared" si="18"/>
        <v>500</v>
      </c>
      <c r="F152" s="113" t="str">
        <f>VLOOKUP($D152,'Info planes y paquetes'!$C$767:$L$874,2,FALSE)</f>
        <v>Residencial</v>
      </c>
      <c r="G152" s="113" t="str">
        <f>VLOOKUP($D152,'Info planes y paquetes'!$C$767:$L$874,3,FALSE)</f>
        <v>Telefonía fija + Internet fijo</v>
      </c>
      <c r="H152" s="166">
        <f>IFERROR(VLOOKUP($D152,$D$194:$K$313,H$64,FALSE)/SUM(VLOOKUP($D152,$D$194:$K398,H$64,FALSE),VLOOKUP($D152,$D$194:$K$313,I$64,FALSE)),"")</f>
        <v>6.7024128686327079E-4</v>
      </c>
      <c r="I152" s="166">
        <f t="shared" si="17"/>
        <v>0.99932975871313678</v>
      </c>
      <c r="J152" s="166">
        <f t="shared" si="20"/>
        <v>1</v>
      </c>
      <c r="K152" s="148"/>
    </row>
    <row r="153" spans="3:11" s="262" customFormat="1" x14ac:dyDescent="0.25">
      <c r="C153" s="95">
        <f t="shared" si="19"/>
        <v>87</v>
      </c>
      <c r="D153" s="101" t="str">
        <v>Paquete infinitum Entretenimiento+ 500  (Netflix 2 dispositivos)</v>
      </c>
      <c r="E153" s="269">
        <f t="shared" si="18"/>
        <v>500</v>
      </c>
      <c r="F153" s="113" t="str">
        <f>VLOOKUP($D153,'Info planes y paquetes'!$C$767:$L$874,2,FALSE)</f>
        <v>Residencial</v>
      </c>
      <c r="G153" s="113" t="str">
        <f>VLOOKUP($D153,'Info planes y paquetes'!$C$767:$L$874,3,FALSE)</f>
        <v>Telefonía fija + Internet fijo</v>
      </c>
      <c r="H153" s="166">
        <f>IFERROR(VLOOKUP($D153,$D$194:$K$313,H$64,FALSE)/SUM(VLOOKUP($D153,$D$194:$K399,H$64,FALSE),VLOOKUP($D153,$D$194:$K$313,I$64,FALSE)),"")</f>
        <v>0</v>
      </c>
      <c r="I153" s="166">
        <f t="shared" si="17"/>
        <v>1</v>
      </c>
      <c r="J153" s="166">
        <f t="shared" si="20"/>
        <v>1</v>
      </c>
      <c r="K153" s="148"/>
    </row>
    <row r="154" spans="3:11" s="262" customFormat="1" x14ac:dyDescent="0.25">
      <c r="C154" s="95">
        <f t="shared" si="19"/>
        <v>88</v>
      </c>
      <c r="D154" s="101" t="str">
        <v>Infinitum Entretenimiento +30   (Netflix 1 dispositivo)</v>
      </c>
      <c r="E154" s="269">
        <f t="shared" si="18"/>
        <v>30</v>
      </c>
      <c r="F154" s="113" t="str">
        <f>VLOOKUP($D154,'Info planes y paquetes'!$C$767:$L$874,2,FALSE)</f>
        <v>Residencial</v>
      </c>
      <c r="G154" s="113" t="str">
        <f>VLOOKUP($D154,'Info planes y paquetes'!$C$767:$L$874,3,FALSE)</f>
        <v>Internet fijo</v>
      </c>
      <c r="H154" s="166">
        <f>IFERROR(VLOOKUP($D154,$D$194:$K$313,H$64,FALSE)/SUM(VLOOKUP($D154,$D$194:$K400,H$64,FALSE),VLOOKUP($D154,$D$194:$K$313,I$64,FALSE)),"")</f>
        <v>0.40376197799597774</v>
      </c>
      <c r="I154" s="166">
        <f t="shared" si="17"/>
        <v>0.59623802200402221</v>
      </c>
      <c r="J154" s="166">
        <f t="shared" si="20"/>
        <v>1</v>
      </c>
      <c r="K154" s="148"/>
    </row>
    <row r="155" spans="3:11" s="262" customFormat="1" x14ac:dyDescent="0.25">
      <c r="C155" s="95">
        <f t="shared" si="19"/>
        <v>89</v>
      </c>
      <c r="D155" s="101" t="str">
        <v>Infinitum Entretenimiento +30   (Netflix 2 dispositivos)</v>
      </c>
      <c r="E155" s="269">
        <f t="shared" si="18"/>
        <v>30</v>
      </c>
      <c r="F155" s="113" t="str">
        <f>VLOOKUP($D155,'Info planes y paquetes'!$C$767:$L$874,2,FALSE)</f>
        <v>Residencial</v>
      </c>
      <c r="G155" s="113" t="str">
        <f>VLOOKUP($D155,'Info planes y paquetes'!$C$767:$L$874,3,FALSE)</f>
        <v>Internet fijo</v>
      </c>
      <c r="H155" s="166">
        <f>IFERROR(VLOOKUP($D155,$D$194:$K$313,H$64,FALSE)/SUM(VLOOKUP($D155,$D$194:$K401,H$64,FALSE),VLOOKUP($D155,$D$194:$K$313,I$64,FALSE)),"")</f>
        <v>0.45272206303724927</v>
      </c>
      <c r="I155" s="166">
        <f t="shared" si="17"/>
        <v>0.54727793696275073</v>
      </c>
      <c r="J155" s="166">
        <f t="shared" si="20"/>
        <v>1</v>
      </c>
      <c r="K155" s="148"/>
    </row>
    <row r="156" spans="3:11" s="262" customFormat="1" x14ac:dyDescent="0.25">
      <c r="C156" s="95">
        <f t="shared" si="19"/>
        <v>90</v>
      </c>
      <c r="D156" s="101" t="str">
        <v>Infinitum Entretenimiento +30   (Netflix 4 dispositivos)</v>
      </c>
      <c r="E156" s="269">
        <f t="shared" si="18"/>
        <v>30</v>
      </c>
      <c r="F156" s="113" t="str">
        <f>VLOOKUP($D156,'Info planes y paquetes'!$C$767:$L$874,2,FALSE)</f>
        <v>Residencial</v>
      </c>
      <c r="G156" s="113" t="str">
        <f>VLOOKUP($D156,'Info planes y paquetes'!$C$767:$L$874,3,FALSE)</f>
        <v>Internet fijo</v>
      </c>
      <c r="H156" s="166">
        <f>IFERROR(VLOOKUP($D156,$D$194:$K$313,H$64,FALSE)/SUM(VLOOKUP($D156,$D$194:$K402,H$64,FALSE),VLOOKUP($D156,$D$194:$K$313,I$64,FALSE)),"")</f>
        <v>0.55981659024593577</v>
      </c>
      <c r="I156" s="166">
        <f t="shared" si="17"/>
        <v>0.44018340975406417</v>
      </c>
      <c r="J156" s="166">
        <f t="shared" si="20"/>
        <v>1</v>
      </c>
      <c r="K156" s="148"/>
    </row>
    <row r="157" spans="3:11" s="262" customFormat="1" x14ac:dyDescent="0.25">
      <c r="C157" s="95">
        <f t="shared" si="19"/>
        <v>91</v>
      </c>
      <c r="D157" s="101" t="str">
        <v>Infinitum Entretenimiento+ 250  (Netflix 4 dispositivos)</v>
      </c>
      <c r="E157" s="269">
        <f t="shared" si="18"/>
        <v>250</v>
      </c>
      <c r="F157" s="113" t="str">
        <f>VLOOKUP($D157,'Info planes y paquetes'!$C$767:$L$874,2,FALSE)</f>
        <v>Residencial</v>
      </c>
      <c r="G157" s="113" t="str">
        <f>VLOOKUP($D157,'Info planes y paquetes'!$C$767:$L$874,3,FALSE)</f>
        <v>Internet fijo</v>
      </c>
      <c r="H157" s="166">
        <f>IFERROR(VLOOKUP($D157,$D$194:$K$313,H$64,FALSE)/SUM(VLOOKUP($D157,$D$194:$K403,H$64,FALSE),VLOOKUP($D157,$D$194:$K$313,I$64,FALSE)),"")</f>
        <v>1.1420893516963387E-2</v>
      </c>
      <c r="I157" s="166">
        <f t="shared" si="17"/>
        <v>0.9885791064830366</v>
      </c>
      <c r="J157" s="166">
        <f t="shared" si="20"/>
        <v>1</v>
      </c>
      <c r="K157" s="148"/>
    </row>
    <row r="158" spans="3:11" s="262" customFormat="1" x14ac:dyDescent="0.25">
      <c r="C158" s="95">
        <f t="shared" si="19"/>
        <v>92</v>
      </c>
      <c r="D158" s="101" t="str">
        <v>Infinitum Entretenimiento+ 250  (Netflix 2 dispositivos)</v>
      </c>
      <c r="E158" s="269">
        <f t="shared" si="18"/>
        <v>250</v>
      </c>
      <c r="F158" s="113" t="str">
        <f>VLOOKUP($D158,'Info planes y paquetes'!$C$767:$L$874,2,FALSE)</f>
        <v>Residencial</v>
      </c>
      <c r="G158" s="113" t="str">
        <f>VLOOKUP($D158,'Info planes y paquetes'!$C$767:$L$874,3,FALSE)</f>
        <v>Internet fijo</v>
      </c>
      <c r="H158" s="166">
        <f>IFERROR(VLOOKUP($D158,$D$194:$K$313,H$64,FALSE)/SUM(VLOOKUP($D158,$D$194:$K404,H$64,FALSE),VLOOKUP($D158,$D$194:$K$313,I$64,FALSE)),"")</f>
        <v>4.3348281016442454E-2</v>
      </c>
      <c r="I158" s="166">
        <f t="shared" si="17"/>
        <v>0.9566517189835575</v>
      </c>
      <c r="J158" s="166">
        <f t="shared" si="20"/>
        <v>1</v>
      </c>
      <c r="K158" s="148"/>
    </row>
    <row r="159" spans="3:11" s="262" customFormat="1" x14ac:dyDescent="0.25">
      <c r="C159" s="95">
        <f t="shared" si="19"/>
        <v>93</v>
      </c>
      <c r="D159" s="101" t="str">
        <v>Infinitum Entretenimiento+ 500   (Netflix 4 dispositivos)</v>
      </c>
      <c r="E159" s="269">
        <f t="shared" si="18"/>
        <v>500</v>
      </c>
      <c r="F159" s="113" t="str">
        <f>VLOOKUP($D159,'Info planes y paquetes'!$C$767:$L$874,2,FALSE)</f>
        <v>Residencial</v>
      </c>
      <c r="G159" s="113" t="str">
        <f>VLOOKUP($D159,'Info planes y paquetes'!$C$767:$L$874,3,FALSE)</f>
        <v>Internet fijo</v>
      </c>
      <c r="H159" s="166">
        <f>IFERROR(VLOOKUP($D159,$D$194:$K$313,H$64,FALSE)/SUM(VLOOKUP($D159,$D$194:$K405,H$64,FALSE),VLOOKUP($D159,$D$194:$K$313,I$64,FALSE)),"")</f>
        <v>2.0366598778004071E-3</v>
      </c>
      <c r="I159" s="166">
        <f t="shared" si="17"/>
        <v>0.99796334012219956</v>
      </c>
      <c r="J159" s="166">
        <f t="shared" si="20"/>
        <v>1</v>
      </c>
      <c r="K159" s="148"/>
    </row>
    <row r="160" spans="3:11" s="262" customFormat="1" x14ac:dyDescent="0.25">
      <c r="C160" s="95">
        <f t="shared" si="19"/>
        <v>94</v>
      </c>
      <c r="D160" s="101" t="str">
        <v>Infinitum Entretenimiento+ 500   (Netflix 2 dispositivos)</v>
      </c>
      <c r="E160" s="269">
        <f t="shared" si="18"/>
        <v>500</v>
      </c>
      <c r="F160" s="113" t="str">
        <f>VLOOKUP($D160,'Info planes y paquetes'!$C$767:$L$874,2,FALSE)</f>
        <v>Residencial</v>
      </c>
      <c r="G160" s="113" t="str">
        <f>VLOOKUP($D160,'Info planes y paquetes'!$C$767:$L$874,3,FALSE)</f>
        <v>Internet fijo</v>
      </c>
      <c r="H160" s="166">
        <f>IFERROR(VLOOKUP($D160,$D$194:$K$313,H$64,FALSE)/SUM(VLOOKUP($D160,$D$194:$K406,H$64,FALSE),VLOOKUP($D160,$D$194:$K$313,I$64,FALSE)),"")</f>
        <v>0</v>
      </c>
      <c r="I160" s="166">
        <f t="shared" si="17"/>
        <v>1</v>
      </c>
      <c r="J160" s="166">
        <f t="shared" si="20"/>
        <v>1</v>
      </c>
      <c r="K160" s="148"/>
    </row>
    <row r="161" spans="3:11" s="262" customFormat="1" x14ac:dyDescent="0.25">
      <c r="C161" s="95">
        <f t="shared" si="19"/>
        <v>95</v>
      </c>
      <c r="D161" s="101" t="str">
        <v>Velocidad Simétrica Conectes Negocio</v>
      </c>
      <c r="E161" s="269">
        <f t="shared" si="18"/>
        <v>20</v>
      </c>
      <c r="F161" s="113" t="str">
        <f>VLOOKUP($D161,'Info planes y paquetes'!$C$767:$L$874,2,FALSE)</f>
        <v>No Residencial</v>
      </c>
      <c r="G161" s="113" t="str">
        <f>VLOOKUP($D161,'Info planes y paquetes'!$C$767:$L$874,3,FALSE)</f>
        <v>Telefonía fija + Internet fijo</v>
      </c>
      <c r="H161" s="166">
        <f>IFERROR(VLOOKUP($D161,$D$194:$K$313,H$64,FALSE)/SUM(VLOOKUP($D161,$D$194:$K407,H$64,FALSE),VLOOKUP($D161,$D$194:$K$313,I$64,FALSE)),"")</f>
        <v>6.3650607128867996E-3</v>
      </c>
      <c r="I161" s="166">
        <f t="shared" si="17"/>
        <v>0.99363493928711322</v>
      </c>
      <c r="J161" s="166">
        <f t="shared" si="20"/>
        <v>1</v>
      </c>
      <c r="K161" s="148"/>
    </row>
    <row r="162" spans="3:11" s="262" customFormat="1" x14ac:dyDescent="0.25">
      <c r="C162" s="95">
        <f t="shared" si="19"/>
        <v>96</v>
      </c>
      <c r="D162" s="101" t="str">
        <v>Velocidad Simétrica Mi Negocio</v>
      </c>
      <c r="E162" s="269">
        <f t="shared" si="18"/>
        <v>100</v>
      </c>
      <c r="F162" s="113" t="str">
        <f>VLOOKUP($D162,'Info planes y paquetes'!$C$767:$L$874,2,FALSE)</f>
        <v>No Residencial</v>
      </c>
      <c r="G162" s="113" t="str">
        <f>VLOOKUP($D162,'Info planes y paquetes'!$C$767:$L$874,3,FALSE)</f>
        <v>Telefonía fija + Internet fijo</v>
      </c>
      <c r="H162" s="166">
        <f>IFERROR(VLOOKUP($D162,$D$194:$K$313,H$64,FALSE)/SUM(VLOOKUP($D162,$D$194:$K408,H$64,FALSE),VLOOKUP($D162,$D$194:$K$313,I$64,FALSE)),"")</f>
        <v>2.1970705725699066E-3</v>
      </c>
      <c r="I162" s="166">
        <f t="shared" si="17"/>
        <v>0.9978029294274301</v>
      </c>
      <c r="J162" s="166">
        <f t="shared" si="20"/>
        <v>1</v>
      </c>
      <c r="K162" s="148"/>
    </row>
    <row r="163" spans="3:11" s="262" customFormat="1" x14ac:dyDescent="0.25">
      <c r="C163" s="95">
        <f t="shared" si="19"/>
        <v>97</v>
      </c>
      <c r="D163" s="101" t="str">
        <v>Velocidad Simétrica Supernegocio</v>
      </c>
      <c r="E163" s="269">
        <f t="shared" si="18"/>
        <v>200</v>
      </c>
      <c r="F163" s="113" t="str">
        <f>VLOOKUP($D163,'Info planes y paquetes'!$C$767:$L$874,2,FALSE)</f>
        <v>No Residencial</v>
      </c>
      <c r="G163" s="113" t="str">
        <f>VLOOKUP($D163,'Info planes y paquetes'!$C$767:$L$874,3,FALSE)</f>
        <v>Telefonía fija + Internet fijo</v>
      </c>
      <c r="H163" s="166">
        <f>IFERROR(VLOOKUP($D163,$D$194:$K$313,H$64,FALSE)/SUM(VLOOKUP($D163,$D$194:$K409,H$64,FALSE),VLOOKUP($D163,$D$194:$K$313,I$64,FALSE)),"")</f>
        <v>1.0947368421052631E-3</v>
      </c>
      <c r="I163" s="166">
        <f t="shared" si="17"/>
        <v>0.99890526315789474</v>
      </c>
      <c r="J163" s="166">
        <f t="shared" si="20"/>
        <v>1</v>
      </c>
      <c r="K163" s="148"/>
    </row>
    <row r="164" spans="3:11" s="262" customFormat="1" x14ac:dyDescent="0.25">
      <c r="C164" s="95">
        <f t="shared" si="19"/>
        <v>98</v>
      </c>
      <c r="D164" s="101" t="str">
        <v>Velocidad Simétrica Telmex Negocio Sin Límites 1</v>
      </c>
      <c r="E164" s="269">
        <f t="shared" si="18"/>
        <v>500</v>
      </c>
      <c r="F164" s="113" t="str">
        <f>VLOOKUP($D164,'Info planes y paquetes'!$C$767:$L$874,2,FALSE)</f>
        <v>No Residencial</v>
      </c>
      <c r="G164" s="113" t="str">
        <f>VLOOKUP($D164,'Info planes y paquetes'!$C$767:$L$874,3,FALSE)</f>
        <v>Telefonía fija + Internet fijo</v>
      </c>
      <c r="H164" s="166">
        <f>IFERROR(VLOOKUP($D164,$D$194:$K$313,H$64,FALSE)/SUM(VLOOKUP($D164,$D$194:$K410,H$64,FALSE),VLOOKUP($D164,$D$194:$K$313,I$64,FALSE)),"")</f>
        <v>9.7181729834791054E-4</v>
      </c>
      <c r="I164" s="166">
        <f t="shared" si="17"/>
        <v>0.99902818270165206</v>
      </c>
      <c r="J164" s="166">
        <f t="shared" si="20"/>
        <v>1</v>
      </c>
      <c r="K164" s="148"/>
    </row>
    <row r="165" spans="3:11" s="262" customFormat="1" x14ac:dyDescent="0.25">
      <c r="C165" s="95">
        <f t="shared" si="19"/>
        <v>99</v>
      </c>
      <c r="D165" s="101" t="str">
        <v>Velocidad Simétrica Telmex Negocio Sin Límites 2</v>
      </c>
      <c r="E165" s="269">
        <f t="shared" si="18"/>
        <v>500</v>
      </c>
      <c r="F165" s="113" t="str">
        <f>VLOOKUP($D165,'Info planes y paquetes'!$C$767:$L$874,2,FALSE)</f>
        <v>No Residencial</v>
      </c>
      <c r="G165" s="113" t="str">
        <f>VLOOKUP($D165,'Info planes y paquetes'!$C$767:$L$874,3,FALSE)</f>
        <v>Telefonía fija + Internet fijo</v>
      </c>
      <c r="H165" s="166">
        <f>IFERROR(VLOOKUP($D165,$D$194:$K$313,H$64,FALSE)/SUM(VLOOKUP($D165,$D$194:$K411,H$64,FALSE),VLOOKUP($D165,$D$194:$K$313,I$64,FALSE)),"")</f>
        <v>7.4850299401197609E-4</v>
      </c>
      <c r="I165" s="166">
        <f t="shared" si="17"/>
        <v>0.99925149700598803</v>
      </c>
      <c r="J165" s="166">
        <f t="shared" si="20"/>
        <v>1</v>
      </c>
      <c r="K165" s="148"/>
    </row>
    <row r="166" spans="3:11" s="262" customFormat="1" x14ac:dyDescent="0.25">
      <c r="C166" s="95">
        <f t="shared" si="19"/>
        <v>100</v>
      </c>
      <c r="D166" s="101" t="str">
        <v>Velocidad Simétrica Telmex Negocio Sin Límites 3</v>
      </c>
      <c r="E166" s="269">
        <f t="shared" si="18"/>
        <v>1000</v>
      </c>
      <c r="F166" s="113" t="str">
        <f>VLOOKUP($D166,'Info planes y paquetes'!$C$767:$L$874,2,FALSE)</f>
        <v>No Residencial</v>
      </c>
      <c r="G166" s="113" t="str">
        <f>VLOOKUP($D166,'Info planes y paquetes'!$C$767:$L$874,3,FALSE)</f>
        <v>Telefonía fija + Internet fijo</v>
      </c>
      <c r="H166" s="166">
        <f>IFERROR(VLOOKUP($D166,$D$194:$K$313,H$64,FALSE)/SUM(VLOOKUP($D166,$D$194:$K412,H$64,FALSE),VLOOKUP($D166,$D$194:$K$313,I$64,FALSE)),"")</f>
        <v>5.5881531153953619E-4</v>
      </c>
      <c r="I166" s="166">
        <f t="shared" si="17"/>
        <v>0.99944118468846044</v>
      </c>
      <c r="J166" s="166">
        <f t="shared" si="20"/>
        <v>1</v>
      </c>
      <c r="K166" s="148"/>
    </row>
    <row r="167" spans="3:11" s="262" customFormat="1" x14ac:dyDescent="0.25">
      <c r="C167" s="95">
        <f t="shared" si="19"/>
        <v>101</v>
      </c>
      <c r="D167" s="101" t="str">
        <v xml:space="preserve">Velocidad Simétrica Conectes Negocio Netflix (1 dispositivo) </v>
      </c>
      <c r="E167" s="269">
        <f t="shared" si="18"/>
        <v>20</v>
      </c>
      <c r="F167" s="113" t="str">
        <f>VLOOKUP($D167,'Info planes y paquetes'!$C$767:$L$874,2,FALSE)</f>
        <v>No Residencial</v>
      </c>
      <c r="G167" s="113" t="str">
        <f>VLOOKUP($D167,'Info planes y paquetes'!$C$767:$L$874,3,FALSE)</f>
        <v>Telefonía fija + Internet fijo</v>
      </c>
      <c r="H167" s="166">
        <f>IFERROR(VLOOKUP($D167,$D$194:$K$313,H$64,FALSE)/SUM(VLOOKUP($D167,$D$194:$K413,H$64,FALSE),VLOOKUP($D167,$D$194:$K$313,I$64,FALSE)),"")</f>
        <v>0</v>
      </c>
      <c r="I167" s="166">
        <f t="shared" si="17"/>
        <v>1</v>
      </c>
      <c r="J167" s="166">
        <f t="shared" si="20"/>
        <v>1</v>
      </c>
      <c r="K167" s="148"/>
    </row>
    <row r="168" spans="3:11" s="262" customFormat="1" x14ac:dyDescent="0.25">
      <c r="C168" s="95">
        <f t="shared" si="19"/>
        <v>102</v>
      </c>
      <c r="D168" s="101" t="str">
        <v>Velocidad Simétrica Conectes Negocio Netflix (2 dispositivos)</v>
      </c>
      <c r="E168" s="269">
        <f t="shared" si="18"/>
        <v>20</v>
      </c>
      <c r="F168" s="113" t="str">
        <f>VLOOKUP($D168,'Info planes y paquetes'!$C$767:$L$874,2,FALSE)</f>
        <v>No Residencial</v>
      </c>
      <c r="G168" s="113" t="str">
        <f>VLOOKUP($D168,'Info planes y paquetes'!$C$767:$L$874,3,FALSE)</f>
        <v>Telefonía fija + Internet fijo</v>
      </c>
      <c r="H168" s="166">
        <f>IFERROR(VLOOKUP($D168,$D$194:$K$313,H$64,FALSE)/SUM(VLOOKUP($D168,$D$194:$K414,H$64,FALSE),VLOOKUP($D168,$D$194:$K$313,I$64,FALSE)),"")</f>
        <v>0</v>
      </c>
      <c r="I168" s="166">
        <f t="shared" si="17"/>
        <v>1</v>
      </c>
      <c r="J168" s="166">
        <f t="shared" si="20"/>
        <v>1</v>
      </c>
      <c r="K168" s="148"/>
    </row>
    <row r="169" spans="3:11" s="262" customFormat="1" x14ac:dyDescent="0.25">
      <c r="C169" s="95">
        <f t="shared" si="19"/>
        <v>103</v>
      </c>
      <c r="D169" s="101" t="str">
        <v>Velocidad Simétrica Conectes Negocio Netflix (4 dispositivos)</v>
      </c>
      <c r="E169" s="269">
        <f t="shared" si="18"/>
        <v>20</v>
      </c>
      <c r="F169" s="113" t="str">
        <f>VLOOKUP($D169,'Info planes y paquetes'!$C$767:$L$874,2,FALSE)</f>
        <v>No Residencial</v>
      </c>
      <c r="G169" s="113" t="str">
        <f>VLOOKUP($D169,'Info planes y paquetes'!$C$767:$L$874,3,FALSE)</f>
        <v>Telefonía fija + Internet fijo</v>
      </c>
      <c r="H169" s="166">
        <f>IFERROR(VLOOKUP($D169,$D$194:$K$313,H$64,FALSE)/SUM(VLOOKUP($D169,$D$194:$K415,H$64,FALSE),VLOOKUP($D169,$D$194:$K$313,I$64,FALSE)),"")</f>
        <v>0</v>
      </c>
      <c r="I169" s="166">
        <f t="shared" si="17"/>
        <v>1</v>
      </c>
      <c r="J169" s="166">
        <f t="shared" si="20"/>
        <v>1</v>
      </c>
      <c r="K169" s="148"/>
    </row>
    <row r="170" spans="3:11" s="262" customFormat="1" x14ac:dyDescent="0.25">
      <c r="C170" s="95">
        <f t="shared" si="19"/>
        <v>104</v>
      </c>
      <c r="D170" s="101" t="str">
        <v>Velocidad Simétrica Mi Negocio Netflix (2 dispositivos)</v>
      </c>
      <c r="E170" s="269">
        <f t="shared" si="18"/>
        <v>100</v>
      </c>
      <c r="F170" s="113" t="str">
        <f>VLOOKUP($D170,'Info planes y paquetes'!$C$767:$L$874,2,FALSE)</f>
        <v>No Residencial</v>
      </c>
      <c r="G170" s="113" t="str">
        <f>VLOOKUP($D170,'Info planes y paquetes'!$C$767:$L$874,3,FALSE)</f>
        <v>Telefonía fija + Internet fijo</v>
      </c>
      <c r="H170" s="166">
        <f>IFERROR(VLOOKUP($D170,$D$194:$K$313,H$64,FALSE)/SUM(VLOOKUP($D170,$D$194:$K416,H$64,FALSE),VLOOKUP($D170,$D$194:$K$313,I$64,FALSE)),"")</f>
        <v>0</v>
      </c>
      <c r="I170" s="166">
        <f t="shared" si="17"/>
        <v>1</v>
      </c>
      <c r="J170" s="166">
        <f t="shared" si="20"/>
        <v>1</v>
      </c>
      <c r="K170" s="148"/>
    </row>
    <row r="171" spans="3:11" s="262" customFormat="1" x14ac:dyDescent="0.25">
      <c r="C171" s="95">
        <f t="shared" si="19"/>
        <v>105</v>
      </c>
      <c r="D171" s="101" t="str">
        <v>Velocidad Simétrica Mi Negocio Netflix (4 dispositivos)</v>
      </c>
      <c r="E171" s="269">
        <f t="shared" si="18"/>
        <v>100</v>
      </c>
      <c r="F171" s="113" t="str">
        <f>VLOOKUP($D171,'Info planes y paquetes'!$C$767:$L$874,2,FALSE)</f>
        <v>No Residencial</v>
      </c>
      <c r="G171" s="113" t="str">
        <f>VLOOKUP($D171,'Info planes y paquetes'!$C$767:$L$874,3,FALSE)</f>
        <v>Telefonía fija + Internet fijo</v>
      </c>
      <c r="H171" s="166">
        <f>IFERROR(VLOOKUP($D171,$D$194:$K$313,H$64,FALSE)/SUM(VLOOKUP($D171,$D$194:$K417,H$64,FALSE),VLOOKUP($D171,$D$194:$K$313,I$64,FALSE)),"")</f>
        <v>0</v>
      </c>
      <c r="I171" s="166">
        <f t="shared" si="17"/>
        <v>1</v>
      </c>
      <c r="J171" s="166">
        <f t="shared" si="20"/>
        <v>1</v>
      </c>
      <c r="K171" s="148"/>
    </row>
    <row r="172" spans="3:11" s="262" customFormat="1" x14ac:dyDescent="0.25">
      <c r="C172" s="95">
        <f t="shared" si="19"/>
        <v>106</v>
      </c>
      <c r="D172" s="101" t="str">
        <v>Velocidad Simétrica Supernegocio Netflix (2 dispositivos)</v>
      </c>
      <c r="E172" s="269">
        <f t="shared" si="18"/>
        <v>200</v>
      </c>
      <c r="F172" s="113" t="str">
        <f>VLOOKUP($D172,'Info planes y paquetes'!$C$767:$L$874,2,FALSE)</f>
        <v>No Residencial</v>
      </c>
      <c r="G172" s="113" t="str">
        <f>VLOOKUP($D172,'Info planes y paquetes'!$C$767:$L$874,3,FALSE)</f>
        <v>Telefonía fija + Internet fijo</v>
      </c>
      <c r="H172" s="166">
        <f>IFERROR(VLOOKUP($D172,$D$194:$K$313,H$64,FALSE)/SUM(VLOOKUP($D172,$D$194:$K418,H$64,FALSE),VLOOKUP($D172,$D$194:$K$313,I$64,FALSE)),"")</f>
        <v>0</v>
      </c>
      <c r="I172" s="166">
        <f t="shared" si="17"/>
        <v>1</v>
      </c>
      <c r="J172" s="166">
        <f t="shared" si="20"/>
        <v>1</v>
      </c>
      <c r="K172" s="148"/>
    </row>
    <row r="173" spans="3:11" s="262" customFormat="1" ht="12" thickBot="1" x14ac:dyDescent="0.3">
      <c r="C173" s="95">
        <f t="shared" si="19"/>
        <v>107</v>
      </c>
      <c r="D173" s="101" t="str">
        <v>Velocidad Simétrica Supernegocio Netflix (4 dispositivos)</v>
      </c>
      <c r="E173" s="269">
        <f t="shared" si="18"/>
        <v>200</v>
      </c>
      <c r="F173" s="113" t="str">
        <f>VLOOKUP($D173,'Info planes y paquetes'!$C$767:$L$874,2,FALSE)</f>
        <v>No Residencial</v>
      </c>
      <c r="G173" s="113" t="str">
        <f>VLOOKUP($D173,'Info planes y paquetes'!$C$767:$L$874,3,FALSE)</f>
        <v>Telefonía fija + Internet fijo</v>
      </c>
      <c r="H173" s="166">
        <f>IFERROR(VLOOKUP($D173,$D$194:$K$313,H$64,FALSE)/SUM(VLOOKUP($D173,$D$194:$K419,H$64,FALSE),VLOOKUP($D173,$D$194:$K$313,I$64,FALSE)),"")</f>
        <v>0</v>
      </c>
      <c r="I173" s="166">
        <f t="shared" si="17"/>
        <v>1</v>
      </c>
      <c r="J173" s="166">
        <f t="shared" si="20"/>
        <v>1</v>
      </c>
      <c r="K173" s="148"/>
    </row>
    <row r="174" spans="3:11" s="262" customFormat="1" hidden="1" outlineLevel="1" x14ac:dyDescent="0.25">
      <c r="C174" s="95">
        <f t="shared" si="19"/>
        <v>108</v>
      </c>
      <c r="D174" s="101" t="str">
        <v>Nombre de Plan/Paquete</v>
      </c>
      <c r="E174" s="269" t="str">
        <f t="shared" si="18"/>
        <v>Velocidad de bajada ofertada (Mbps)</v>
      </c>
      <c r="F174" s="113" t="str">
        <f>VLOOKUP($D174,'Info planes y paquetes'!$C$767:$L$874,2,FALSE)</f>
        <v>Especifique Modalidad</v>
      </c>
      <c r="G174" s="113" t="str">
        <f>VLOOKUP($D174,'Info planes y paquetes'!$C$767:$L$874,3,FALSE)</f>
        <v>Especifique Tipo de Servicio</v>
      </c>
      <c r="H174" s="166" t="str">
        <f>IFERROR(VLOOKUP($D174,$D$194:$K$313,H$64,FALSE)/SUM(VLOOKUP($D174,$D$194:$K420,H$64,FALSE),VLOOKUP($D174,$D$194:$K$313,I$64,FALSE)),"")</f>
        <v/>
      </c>
      <c r="I174" s="166"/>
      <c r="J174" s="166"/>
      <c r="K174" s="148"/>
    </row>
    <row r="175" spans="3:11" s="262" customFormat="1" hidden="1" outlineLevel="1" x14ac:dyDescent="0.25">
      <c r="C175" s="95">
        <f t="shared" si="19"/>
        <v>109</v>
      </c>
      <c r="D175" s="101" t="e">
        <v>#N/A</v>
      </c>
      <c r="E175" s="269" t="str">
        <f t="shared" si="18"/>
        <v/>
      </c>
      <c r="F175" s="113"/>
      <c r="G175" s="113"/>
      <c r="H175" s="166"/>
      <c r="I175" s="166"/>
      <c r="J175" s="166"/>
      <c r="K175" s="148"/>
    </row>
    <row r="176" spans="3:11" s="262" customFormat="1" hidden="1" outlineLevel="1" x14ac:dyDescent="0.25">
      <c r="C176" s="95">
        <f t="shared" si="19"/>
        <v>110</v>
      </c>
      <c r="D176" s="101" t="e">
        <v>#N/A</v>
      </c>
      <c r="E176" s="269"/>
      <c r="F176" s="113"/>
      <c r="G176" s="113"/>
      <c r="H176" s="166"/>
      <c r="I176" s="166"/>
      <c r="J176" s="166"/>
      <c r="K176" s="148"/>
    </row>
    <row r="177" spans="3:31" s="262" customFormat="1" hidden="1" outlineLevel="1" x14ac:dyDescent="0.25">
      <c r="C177" s="95">
        <f t="shared" si="19"/>
        <v>111</v>
      </c>
      <c r="D177" s="101" t="e">
        <v>#N/A</v>
      </c>
      <c r="E177" s="269"/>
      <c r="F177" s="113"/>
      <c r="G177" s="113"/>
      <c r="H177" s="166"/>
      <c r="I177" s="166"/>
      <c r="J177" s="166"/>
      <c r="K177" s="148"/>
    </row>
    <row r="178" spans="3:31" s="262" customFormat="1" hidden="1" outlineLevel="1" x14ac:dyDescent="0.25">
      <c r="C178" s="95">
        <f t="shared" si="19"/>
        <v>112</v>
      </c>
      <c r="D178" s="101"/>
      <c r="E178" s="269"/>
      <c r="F178" s="113"/>
      <c r="G178" s="113"/>
      <c r="H178" s="166"/>
      <c r="I178" s="166"/>
      <c r="J178" s="166"/>
      <c r="K178" s="148"/>
    </row>
    <row r="179" spans="3:31" s="262" customFormat="1" hidden="1" outlineLevel="1" x14ac:dyDescent="0.25">
      <c r="C179" s="95">
        <f t="shared" si="19"/>
        <v>113</v>
      </c>
      <c r="D179" s="101"/>
      <c r="E179" s="269"/>
      <c r="F179" s="113"/>
      <c r="G179" s="113"/>
      <c r="H179" s="166"/>
      <c r="I179" s="166"/>
      <c r="J179" s="166"/>
      <c r="K179" s="148"/>
    </row>
    <row r="180" spans="3:31" s="262" customFormat="1" hidden="1" outlineLevel="1" x14ac:dyDescent="0.25">
      <c r="C180" s="95">
        <f t="shared" si="19"/>
        <v>114</v>
      </c>
      <c r="D180" s="101"/>
      <c r="E180" s="269"/>
      <c r="F180" s="113"/>
      <c r="G180" s="113"/>
      <c r="H180" s="166"/>
      <c r="I180" s="166"/>
      <c r="J180" s="166"/>
      <c r="K180" s="148"/>
    </row>
    <row r="181" spans="3:31" s="262" customFormat="1" hidden="1" outlineLevel="1" x14ac:dyDescent="0.25">
      <c r="C181" s="95">
        <f t="shared" si="19"/>
        <v>115</v>
      </c>
      <c r="D181" s="101"/>
      <c r="E181" s="269"/>
      <c r="F181" s="113"/>
      <c r="G181" s="113"/>
      <c r="H181" s="166"/>
      <c r="I181" s="166"/>
      <c r="J181" s="166"/>
      <c r="K181" s="148"/>
    </row>
    <row r="182" spans="3:31" s="262" customFormat="1" hidden="1" outlineLevel="1" x14ac:dyDescent="0.25">
      <c r="C182" s="95">
        <f t="shared" si="19"/>
        <v>116</v>
      </c>
      <c r="D182" s="101"/>
      <c r="E182" s="269"/>
      <c r="F182" s="113"/>
      <c r="G182" s="113"/>
      <c r="H182" s="166"/>
      <c r="I182" s="166"/>
      <c r="J182" s="166"/>
      <c r="K182" s="148"/>
    </row>
    <row r="183" spans="3:31" s="262" customFormat="1" hidden="1" outlineLevel="1" x14ac:dyDescent="0.25">
      <c r="C183" s="95">
        <f t="shared" si="19"/>
        <v>117</v>
      </c>
      <c r="D183" s="101"/>
      <c r="E183" s="269"/>
      <c r="F183" s="113"/>
      <c r="G183" s="113"/>
      <c r="H183" s="166"/>
      <c r="I183" s="166"/>
      <c r="J183" s="166"/>
      <c r="K183" s="148"/>
    </row>
    <row r="184" spans="3:31" s="262" customFormat="1" hidden="1" outlineLevel="1" x14ac:dyDescent="0.25">
      <c r="C184" s="95">
        <f t="shared" si="19"/>
        <v>118</v>
      </c>
      <c r="D184" s="101"/>
      <c r="E184" s="269"/>
      <c r="F184" s="113"/>
      <c r="G184" s="113"/>
      <c r="H184" s="166"/>
      <c r="I184" s="166"/>
      <c r="J184" s="166"/>
      <c r="K184" s="148"/>
    </row>
    <row r="185" spans="3:31" s="262" customFormat="1" hidden="1" outlineLevel="1" x14ac:dyDescent="0.25">
      <c r="C185" s="95">
        <f t="shared" si="19"/>
        <v>119</v>
      </c>
      <c r="D185" s="101"/>
      <c r="E185" s="269"/>
      <c r="F185" s="113"/>
      <c r="G185" s="113"/>
      <c r="H185" s="166"/>
      <c r="I185" s="166"/>
      <c r="J185" s="166"/>
      <c r="K185" s="148"/>
    </row>
    <row r="186" spans="3:31" s="262" customFormat="1" ht="12" hidden="1" outlineLevel="1" thickBot="1" x14ac:dyDescent="0.3">
      <c r="C186" s="95">
        <f t="shared" si="19"/>
        <v>120</v>
      </c>
      <c r="D186" s="101"/>
      <c r="E186" s="269"/>
      <c r="F186" s="113"/>
      <c r="G186" s="113"/>
      <c r="H186" s="166"/>
      <c r="I186" s="166"/>
      <c r="J186" s="166"/>
      <c r="K186" s="148"/>
    </row>
    <row r="187" spans="3:31" s="44" customFormat="1" ht="11.25" customHeight="1" collapsed="1" x14ac:dyDescent="0.25">
      <c r="C187" s="41"/>
      <c r="D187" s="41"/>
      <c r="E187" s="41"/>
      <c r="F187" s="41"/>
      <c r="G187" s="41"/>
      <c r="H187" s="41"/>
      <c r="I187" s="270"/>
      <c r="J187" s="41"/>
      <c r="K187" s="41"/>
      <c r="L187" s="223" t="s">
        <v>562</v>
      </c>
      <c r="M187" s="41"/>
      <c r="V187" s="262"/>
      <c r="X187" s="262"/>
      <c r="Y187" s="262"/>
      <c r="AA187" s="262"/>
      <c r="AD187" s="262"/>
      <c r="AE187" s="262"/>
    </row>
    <row r="188" spans="3:31" s="44" customFormat="1" x14ac:dyDescent="0.25">
      <c r="V188" s="262"/>
      <c r="X188" s="262"/>
      <c r="Y188" s="262"/>
      <c r="AA188" s="262"/>
      <c r="AD188" s="262"/>
      <c r="AE188" s="262"/>
    </row>
    <row r="189" spans="3:31" s="44" customFormat="1" x14ac:dyDescent="0.25">
      <c r="V189" s="262"/>
      <c r="X189" s="262"/>
      <c r="Y189" s="262"/>
      <c r="AA189" s="262"/>
      <c r="AD189" s="262"/>
      <c r="AE189" s="262"/>
    </row>
    <row r="190" spans="3:31" s="44" customFormat="1" x14ac:dyDescent="0.25">
      <c r="C190" s="290" t="s">
        <v>925</v>
      </c>
      <c r="V190" s="262"/>
      <c r="X190" s="262"/>
      <c r="Y190" s="262"/>
      <c r="AA190" s="262"/>
      <c r="AD190" s="262"/>
      <c r="AE190" s="262"/>
    </row>
    <row r="191" spans="3:31" s="44" customFormat="1" x14ac:dyDescent="0.25">
      <c r="J191" s="366">
        <v>8</v>
      </c>
      <c r="K191" s="351">
        <v>9</v>
      </c>
      <c r="L191" s="351">
        <v>10</v>
      </c>
      <c r="V191" s="262"/>
      <c r="X191" s="262"/>
      <c r="Y191" s="262"/>
      <c r="AA191" s="262"/>
      <c r="AD191" s="262"/>
      <c r="AE191" s="262"/>
    </row>
    <row r="192" spans="3:31" s="44" customFormat="1" ht="34.5" x14ac:dyDescent="0.25">
      <c r="J192" s="187" t="str">
        <f>"Distribución "&amp;Year.selected&amp;" de suscriptores por medio de transmisión"</f>
        <v>Distribución 2022 de suscriptores por medio de transmisión</v>
      </c>
      <c r="K192" s="187"/>
      <c r="V192" s="262"/>
      <c r="X192" s="262"/>
      <c r="Y192" s="262"/>
      <c r="AA192" s="262"/>
      <c r="AD192" s="262"/>
      <c r="AE192" s="262"/>
    </row>
    <row r="193" spans="3:31" s="44" customFormat="1" ht="69" x14ac:dyDescent="0.25">
      <c r="C193" s="68"/>
      <c r="D193" s="68" t="s">
        <v>495</v>
      </c>
      <c r="E193" s="354" t="s">
        <v>917</v>
      </c>
      <c r="F193" s="1" t="s">
        <v>182</v>
      </c>
      <c r="G193" s="1" t="s">
        <v>181</v>
      </c>
      <c r="H193" s="268" t="s">
        <v>605</v>
      </c>
      <c r="I193" s="268" t="s">
        <v>916</v>
      </c>
      <c r="J193" s="1" t="s">
        <v>979</v>
      </c>
      <c r="K193" s="1" t="s">
        <v>561</v>
      </c>
      <c r="L193" s="1"/>
      <c r="M193" s="1"/>
      <c r="V193" s="262"/>
      <c r="X193" s="262"/>
      <c r="Y193" s="262"/>
      <c r="AA193" s="262"/>
      <c r="AD193" s="262"/>
      <c r="AE193" s="262"/>
    </row>
    <row r="194" spans="3:31" s="44" customFormat="1" x14ac:dyDescent="0.25">
      <c r="C194" s="96">
        <v>1</v>
      </c>
      <c r="D194" s="101" t="str">
        <f t="array" ref="D194:D303">'Info planes y paquetes'!C767:C874</f>
        <v>Infinitum 50</v>
      </c>
      <c r="F194" s="113" t="str">
        <f>VLOOKUP($D194,'Info planes y paquetes'!$C$767:$L$874,2,FALSE)</f>
        <v>Residencial</v>
      </c>
      <c r="G194" s="113" t="str">
        <f>VLOOKUP($D194,'Info planes y paquetes'!$C$767:$L$874,3,FALSE)</f>
        <v>Internet fijo</v>
      </c>
      <c r="H194" s="113">
        <f>IFERROR(VLOOKUP($D194,'Info planes y paquetes'!$C$471:$BS$579,65,FALSE),"")</f>
        <v>50</v>
      </c>
      <c r="I194" s="113">
        <f>IFERROR(VLOOKUP($D194,'Info planes y paquetes'!$C$471:$BS$579,66,FALSE),"")</f>
        <v>5</v>
      </c>
      <c r="J194" s="171">
        <f>IFERROR(SUM(VLOOKUP($D194,'Info planes y paquetes'!$C$767:$L$874,'Cálculos auxiliares'!L$191,FALSE),VLOOKUP($D194,'Info planes y paquetes'!$C$767:$L$874,'Cálculos auxiliares'!J$191,FALSE)),"")</f>
        <v>431764</v>
      </c>
      <c r="K194" s="372">
        <f>IFERROR(VLOOKUP($D194,'Info planes y paquetes'!$C$767:$L$874,'Cálculos auxiliares'!K$191,FALSE),"")</f>
        <v>589816</v>
      </c>
      <c r="L194" s="396"/>
      <c r="M194" s="396"/>
      <c r="V194" s="262"/>
      <c r="X194" s="262"/>
      <c r="Y194" s="262"/>
      <c r="AA194" s="262"/>
      <c r="AD194" s="262"/>
      <c r="AE194" s="262"/>
    </row>
    <row r="195" spans="3:31" s="44" customFormat="1" x14ac:dyDescent="0.25">
      <c r="C195" s="95">
        <f>1+C194</f>
        <v>2</v>
      </c>
      <c r="D195" s="101" t="str">
        <v>Infinitum 500</v>
      </c>
      <c r="F195" s="113" t="str">
        <f>VLOOKUP($D195,'Info planes y paquetes'!$C$767:$L$874,2,FALSE)</f>
        <v>Residencial</v>
      </c>
      <c r="G195" s="113" t="str">
        <f>VLOOKUP($D195,'Info planes y paquetes'!$C$767:$L$874,3,FALSE)</f>
        <v>Internet fijo</v>
      </c>
      <c r="H195" s="113">
        <f>IFERROR(VLOOKUP($D195,'Info planes y paquetes'!$C$471:$BS$579,65,FALSE),"")</f>
        <v>500</v>
      </c>
      <c r="I195" s="113">
        <f>IFERROR(VLOOKUP($D195,'Info planes y paquetes'!$C$471:$BS$579,66,FALSE),"")</f>
        <v>50</v>
      </c>
      <c r="J195" s="171">
        <f>IFERROR(SUM(VLOOKUP($D195,'Info planes y paquetes'!$C$767:$L$874,'Cálculos auxiliares'!L$191,FALSE),VLOOKUP($D195,'Info planes y paquetes'!$C$767:$L$874,'Cálculos auxiliares'!J$191,FALSE)),"")</f>
        <v>12</v>
      </c>
      <c r="K195" s="372">
        <f>IFERROR(VLOOKUP($D195,'Info planes y paquetes'!$C$767:$L$874,'Cálculos auxiliares'!K$191,FALSE),"")</f>
        <v>10666</v>
      </c>
      <c r="L195" s="396"/>
      <c r="M195" s="396"/>
      <c r="N195" s="262"/>
      <c r="V195" s="262"/>
      <c r="X195" s="262"/>
      <c r="Y195" s="262"/>
      <c r="AA195" s="262"/>
      <c r="AD195" s="262"/>
      <c r="AE195" s="262"/>
    </row>
    <row r="196" spans="3:31" s="44" customFormat="1" x14ac:dyDescent="0.25">
      <c r="C196" s="95">
        <f t="shared" ref="C196:C259" si="21">1+C195</f>
        <v>3</v>
      </c>
      <c r="D196" s="101" t="str">
        <v>Infinitum 60</v>
      </c>
      <c r="F196" s="113" t="str">
        <f>VLOOKUP($D196,'Info planes y paquetes'!$C$767:$L$874,2,FALSE)</f>
        <v>Residencial</v>
      </c>
      <c r="G196" s="113" t="str">
        <f>VLOOKUP($D196,'Info planes y paquetes'!$C$767:$L$874,3,FALSE)</f>
        <v>Internet fijo</v>
      </c>
      <c r="H196" s="113">
        <f>IFERROR(VLOOKUP($D196,'Info planes y paquetes'!$C$471:$BS$579,65,FALSE),"")</f>
        <v>60</v>
      </c>
      <c r="I196" s="113">
        <f>IFERROR(VLOOKUP($D196,'Info planes y paquetes'!$C$471:$BS$579,66,FALSE),"")</f>
        <v>5</v>
      </c>
      <c r="J196" s="171">
        <f>IFERROR(SUM(VLOOKUP($D196,'Info planes y paquetes'!$C$767:$L$874,'Cálculos auxiliares'!L$191,FALSE),VLOOKUP($D196,'Info planes y paquetes'!$C$767:$L$874,'Cálculos auxiliares'!J$191,FALSE)),"")</f>
        <v>30869</v>
      </c>
      <c r="K196" s="372">
        <f>IFERROR(VLOOKUP($D196,'Info planes y paquetes'!$C$767:$L$874,'Cálculos auxiliares'!K$191,FALSE),"")</f>
        <v>145283</v>
      </c>
      <c r="L196" s="396"/>
      <c r="M196" s="396"/>
      <c r="N196" s="262"/>
      <c r="V196" s="262"/>
      <c r="X196" s="262"/>
      <c r="Y196" s="262"/>
      <c r="AA196" s="262"/>
      <c r="AD196" s="262"/>
      <c r="AE196" s="262"/>
    </row>
    <row r="197" spans="3:31" s="44" customFormat="1" x14ac:dyDescent="0.25">
      <c r="C197" s="95">
        <f t="shared" si="21"/>
        <v>4</v>
      </c>
      <c r="D197" s="101" t="str">
        <v>Infinitum 100</v>
      </c>
      <c r="F197" s="113" t="str">
        <f>VLOOKUP($D197,'Info planes y paquetes'!$C$767:$L$874,2,FALSE)</f>
        <v>Residencial</v>
      </c>
      <c r="G197" s="113" t="str">
        <f>VLOOKUP($D197,'Info planes y paquetes'!$C$767:$L$874,3,FALSE)</f>
        <v>Internet fijo</v>
      </c>
      <c r="H197" s="113">
        <f>IFERROR(VLOOKUP($D197,'Info planes y paquetes'!$C$471:$BS$579,65,FALSE),"")</f>
        <v>100</v>
      </c>
      <c r="I197" s="113">
        <f>IFERROR(VLOOKUP($D197,'Info planes y paquetes'!$C$471:$BS$579,66,FALSE),"")</f>
        <v>10</v>
      </c>
      <c r="J197" s="171">
        <f>IFERROR(SUM(VLOOKUP($D197,'Info planes y paquetes'!$C$767:$L$874,'Cálculos auxiliares'!L$191,FALSE),VLOOKUP($D197,'Info planes y paquetes'!$C$767:$L$874,'Cálculos auxiliares'!J$191,FALSE)),"")</f>
        <v>7</v>
      </c>
      <c r="K197" s="372">
        <f>IFERROR(VLOOKUP($D197,'Info planes y paquetes'!$C$767:$L$874,'Cálculos auxiliares'!K$191,FALSE),"")</f>
        <v>5971</v>
      </c>
      <c r="L197" s="396"/>
      <c r="M197" s="396"/>
      <c r="N197" s="262"/>
      <c r="V197" s="262"/>
      <c r="X197" s="262"/>
      <c r="Y197" s="262"/>
      <c r="AA197" s="262"/>
      <c r="AD197" s="262"/>
      <c r="AE197" s="262"/>
    </row>
    <row r="198" spans="3:31" s="44" customFormat="1" x14ac:dyDescent="0.25">
      <c r="C198" s="95">
        <f t="shared" si="21"/>
        <v>5</v>
      </c>
      <c r="D198" s="101" t="str">
        <v>Infinitum 200</v>
      </c>
      <c r="F198" s="113" t="str">
        <f>VLOOKUP($D198,'Info planes y paquetes'!$C$767:$L$874,2,FALSE)</f>
        <v>Residencial</v>
      </c>
      <c r="G198" s="113" t="str">
        <f>VLOOKUP($D198,'Info planes y paquetes'!$C$767:$L$874,3,FALSE)</f>
        <v>Internet fijo</v>
      </c>
      <c r="H198" s="113">
        <f>IFERROR(VLOOKUP($D198,'Info planes y paquetes'!$C$471:$BS$579,65,FALSE),"")</f>
        <v>200</v>
      </c>
      <c r="I198" s="113">
        <f>IFERROR(VLOOKUP($D198,'Info planes y paquetes'!$C$471:$BS$579,66,FALSE),"")</f>
        <v>20</v>
      </c>
      <c r="J198" s="171">
        <f>IFERROR(SUM(VLOOKUP($D198,'Info planes y paquetes'!$C$767:$L$874,'Cálculos auxiliares'!L$191,FALSE),VLOOKUP($D198,'Info planes y paquetes'!$C$767:$L$874,'Cálculos auxiliares'!J$191,FALSE)),"")</f>
        <v>1722</v>
      </c>
      <c r="K198" s="372">
        <f>IFERROR(VLOOKUP($D198,'Info planes y paquetes'!$C$767:$L$874,'Cálculos auxiliares'!K$191,FALSE),"")</f>
        <v>90779</v>
      </c>
      <c r="L198" s="396"/>
      <c r="M198" s="396"/>
      <c r="N198" s="262"/>
      <c r="V198" s="262"/>
      <c r="X198" s="262"/>
      <c r="Y198" s="262"/>
      <c r="AA198" s="262"/>
      <c r="AD198" s="262"/>
      <c r="AE198" s="262"/>
    </row>
    <row r="199" spans="3:31" s="44" customFormat="1" x14ac:dyDescent="0.25">
      <c r="C199" s="95">
        <f t="shared" si="21"/>
        <v>6</v>
      </c>
      <c r="D199" s="101" t="str">
        <v>Infinitum 279</v>
      </c>
      <c r="F199" s="113" t="str">
        <f>VLOOKUP($D199,'Info planes y paquetes'!$C$767:$L$874,2,FALSE)</f>
        <v>Residencial</v>
      </c>
      <c r="G199" s="113" t="str">
        <f>VLOOKUP($D199,'Info planes y paquetes'!$C$767:$L$874,3,FALSE)</f>
        <v>Internet fijo</v>
      </c>
      <c r="H199" s="113">
        <f>IFERROR(VLOOKUP($D199,'Info planes y paquetes'!$C$471:$BS$579,65,FALSE),"")</f>
        <v>30</v>
      </c>
      <c r="I199" s="113">
        <f>IFERROR(VLOOKUP($D199,'Info planes y paquetes'!$C$471:$BS$579,66,FALSE),"")</f>
        <v>5</v>
      </c>
      <c r="J199" s="171">
        <f>IFERROR(SUM(VLOOKUP($D199,'Info planes y paquetes'!$C$767:$L$874,'Cálculos auxiliares'!L$191,FALSE),VLOOKUP($D199,'Info planes y paquetes'!$C$767:$L$874,'Cálculos auxiliares'!J$191,FALSE)),"")</f>
        <v>13417</v>
      </c>
      <c r="K199" s="372">
        <f>IFERROR(VLOOKUP($D199,'Info planes y paquetes'!$C$767:$L$874,'Cálculos auxiliares'!K$191,FALSE),"")</f>
        <v>14980</v>
      </c>
      <c r="L199" s="396"/>
      <c r="M199" s="396"/>
      <c r="N199" s="262"/>
      <c r="V199" s="262"/>
      <c r="X199" s="262"/>
      <c r="Y199" s="262"/>
      <c r="AA199" s="262"/>
      <c r="AD199" s="262"/>
      <c r="AE199" s="262"/>
    </row>
    <row r="200" spans="3:31" s="44" customFormat="1" x14ac:dyDescent="0.25">
      <c r="C200" s="95">
        <f t="shared" si="21"/>
        <v>7</v>
      </c>
      <c r="D200" s="101" t="str">
        <v>Infinitum 299</v>
      </c>
      <c r="F200" s="113" t="str">
        <f>VLOOKUP($D200,'Info planes y paquetes'!$C$767:$L$874,2,FALSE)</f>
        <v>Residencial</v>
      </c>
      <c r="G200" s="113" t="str">
        <f>VLOOKUP($D200,'Info planes y paquetes'!$C$767:$L$874,3,FALSE)</f>
        <v>Internet fijo</v>
      </c>
      <c r="H200" s="113">
        <f>IFERROR(VLOOKUP($D200,'Info planes y paquetes'!$C$471:$BS$579,65,FALSE),"")</f>
        <v>40</v>
      </c>
      <c r="I200" s="113">
        <f>IFERROR(VLOOKUP($D200,'Info planes y paquetes'!$C$471:$BS$579,66,FALSE),"")</f>
        <v>5</v>
      </c>
      <c r="J200" s="171">
        <f>IFERROR(SUM(VLOOKUP($D200,'Info planes y paquetes'!$C$767:$L$874,'Cálculos auxiliares'!L$191,FALSE),VLOOKUP($D200,'Info planes y paquetes'!$C$767:$L$874,'Cálculos auxiliares'!J$191,FALSE)),"")</f>
        <v>69</v>
      </c>
      <c r="K200" s="372">
        <f>IFERROR(VLOOKUP($D200,'Info planes y paquetes'!$C$767:$L$874,'Cálculos auxiliares'!K$191,FALSE),"")</f>
        <v>161</v>
      </c>
      <c r="L200" s="396"/>
      <c r="M200" s="396"/>
      <c r="N200" s="262"/>
      <c r="V200" s="262"/>
      <c r="X200" s="262"/>
      <c r="Y200" s="262"/>
      <c r="AA200" s="262"/>
      <c r="AD200" s="262"/>
      <c r="AE200" s="262"/>
    </row>
    <row r="201" spans="3:31" s="44" customFormat="1" x14ac:dyDescent="0.25">
      <c r="C201" s="95">
        <f t="shared" si="21"/>
        <v>8</v>
      </c>
      <c r="D201" s="101" t="str">
        <v>Infinitum 299</v>
      </c>
      <c r="F201" s="113" t="s">
        <v>242</v>
      </c>
      <c r="G201" s="113" t="str">
        <f>VLOOKUP($D201,'Info planes y paquetes'!$C$767:$L$874,3,FALSE)</f>
        <v>Internet fijo</v>
      </c>
      <c r="H201" s="113">
        <f>IFERROR(VLOOKUP($D201,'Info planes y paquetes'!$C$471:$BS$579,65,FALSE),"")</f>
        <v>40</v>
      </c>
      <c r="I201" s="113">
        <f>IFERROR(VLOOKUP($D201,'Info planes y paquetes'!$C$471:$BS$579,66,FALSE),"")</f>
        <v>5</v>
      </c>
      <c r="J201" s="171">
        <v>725</v>
      </c>
      <c r="K201" s="372">
        <v>820</v>
      </c>
      <c r="L201" s="396"/>
      <c r="M201" s="396"/>
      <c r="N201" s="262"/>
      <c r="V201" s="262"/>
      <c r="X201" s="262"/>
      <c r="Y201" s="262"/>
      <c r="AA201" s="262"/>
      <c r="AD201" s="262"/>
      <c r="AE201" s="262"/>
    </row>
    <row r="202" spans="3:31" s="44" customFormat="1" x14ac:dyDescent="0.25">
      <c r="C202" s="95">
        <f t="shared" si="21"/>
        <v>9</v>
      </c>
      <c r="D202" s="101" t="str">
        <v>Infinitum Negocio 20 Mb</v>
      </c>
      <c r="F202" s="113" t="str">
        <f>VLOOKUP($D202,'Info planes y paquetes'!$C$767:$L$874,2,FALSE)</f>
        <v>No Residencial</v>
      </c>
      <c r="G202" s="113" t="str">
        <f>VLOOKUP($D202,'Info planes y paquetes'!$C$767:$L$874,3,FALSE)</f>
        <v>Internet fijo</v>
      </c>
      <c r="H202" s="113">
        <f>IFERROR(VLOOKUP($D202,'Info planes y paquetes'!$C$471:$BS$579,65,FALSE),"")</f>
        <v>20</v>
      </c>
      <c r="I202" s="113">
        <f>IFERROR(VLOOKUP($D202,'Info planes y paquetes'!$C$471:$BS$579,66,FALSE),"")</f>
        <v>5</v>
      </c>
      <c r="J202" s="171">
        <f>IFERROR(SUM(VLOOKUP($D202,'Info planes y paquetes'!$C$767:$L$874,'Cálculos auxiliares'!L$191,FALSE),VLOOKUP($D202,'Info planes y paquetes'!$C$767:$L$874,'Cálculos auxiliares'!J$191,FALSE)),"")</f>
        <v>16764</v>
      </c>
      <c r="K202" s="372">
        <f>IFERROR(VLOOKUP($D202,'Info planes y paquetes'!$C$767:$L$874,'Cálculos auxiliares'!K$191,FALSE),"")</f>
        <v>28051</v>
      </c>
      <c r="L202" s="396"/>
      <c r="M202" s="396"/>
      <c r="N202" s="262"/>
      <c r="V202" s="262"/>
      <c r="X202" s="262"/>
      <c r="Y202" s="262"/>
      <c r="AA202" s="262"/>
      <c r="AD202" s="262"/>
      <c r="AE202" s="262"/>
    </row>
    <row r="203" spans="3:31" s="44" customFormat="1" x14ac:dyDescent="0.25">
      <c r="C203" s="95">
        <f t="shared" si="21"/>
        <v>10</v>
      </c>
      <c r="D203" s="101" t="str">
        <v>Infinitum Negocio 60</v>
      </c>
      <c r="F203" s="113" t="str">
        <f>VLOOKUP($D203,'Info planes y paquetes'!$C$767:$L$874,2,FALSE)</f>
        <v>No Residencial</v>
      </c>
      <c r="G203" s="113" t="str">
        <f>VLOOKUP($D203,'Info planes y paquetes'!$C$767:$L$874,3,FALSE)</f>
        <v>Internet fijo</v>
      </c>
      <c r="H203" s="113">
        <f>IFERROR(VLOOKUP($D203,'Info planes y paquetes'!$C$471:$BS$579,65,FALSE),"")</f>
        <v>60</v>
      </c>
      <c r="I203" s="113">
        <f>IFERROR(VLOOKUP($D203,'Info planes y paquetes'!$C$471:$BS$579,66,FALSE),"")</f>
        <v>5</v>
      </c>
      <c r="J203" s="171">
        <f>IFERROR(SUM(VLOOKUP($D203,'Info planes y paquetes'!$C$767:$L$874,'Cálculos auxiliares'!L$191,FALSE),VLOOKUP($D203,'Info planes y paquetes'!$C$767:$L$874,'Cálculos auxiliares'!J$191,FALSE)),"")</f>
        <v>4428</v>
      </c>
      <c r="K203" s="372">
        <f>IFERROR(VLOOKUP($D203,'Info planes y paquetes'!$C$767:$L$874,'Cálculos auxiliares'!K$191,FALSE),"")</f>
        <v>10030</v>
      </c>
      <c r="L203" s="396"/>
      <c r="M203" s="396"/>
      <c r="N203" s="262"/>
      <c r="V203" s="262"/>
      <c r="X203" s="262"/>
      <c r="Y203" s="262"/>
      <c r="AA203" s="262"/>
      <c r="AD203" s="262"/>
      <c r="AE203" s="262"/>
    </row>
    <row r="204" spans="3:31" s="44" customFormat="1" x14ac:dyDescent="0.25">
      <c r="C204" s="95">
        <f t="shared" si="21"/>
        <v>11</v>
      </c>
      <c r="D204" s="101" t="str">
        <v>Infinitum Negocio 200</v>
      </c>
      <c r="F204" s="113" t="str">
        <f>VLOOKUP($D204,'Info planes y paquetes'!$C$767:$L$874,2,FALSE)</f>
        <v>No Residencial</v>
      </c>
      <c r="G204" s="113" t="str">
        <f>VLOOKUP($D204,'Info planes y paquetes'!$C$767:$L$874,3,FALSE)</f>
        <v>Internet fijo</v>
      </c>
      <c r="H204" s="113">
        <f>IFERROR(VLOOKUP($D204,'Info planes y paquetes'!$C$471:$BS$579,65,FALSE),"")</f>
        <v>200</v>
      </c>
      <c r="I204" s="113">
        <f>IFERROR(VLOOKUP($D204,'Info planes y paquetes'!$C$471:$BS$579,66,FALSE),"")</f>
        <v>20</v>
      </c>
      <c r="J204" s="171">
        <f>IFERROR(SUM(VLOOKUP($D204,'Info planes y paquetes'!$C$767:$L$874,'Cálculos auxiliares'!L$191,FALSE),VLOOKUP($D204,'Info planes y paquetes'!$C$767:$L$874,'Cálculos auxiliares'!J$191,FALSE)),"")</f>
        <v>397</v>
      </c>
      <c r="K204" s="372">
        <f>IFERROR(VLOOKUP($D204,'Info planes y paquetes'!$C$767:$L$874,'Cálculos auxiliares'!K$191,FALSE),"")</f>
        <v>9211</v>
      </c>
      <c r="L204" s="396"/>
      <c r="M204" s="396"/>
      <c r="N204" s="262"/>
      <c r="V204" s="262"/>
      <c r="X204" s="262"/>
      <c r="Y204" s="262"/>
      <c r="AA204" s="262"/>
      <c r="AD204" s="262"/>
      <c r="AE204" s="262"/>
    </row>
    <row r="205" spans="3:31" s="44" customFormat="1" x14ac:dyDescent="0.25">
      <c r="C205" s="95">
        <f t="shared" si="21"/>
        <v>12</v>
      </c>
      <c r="D205" s="101" t="str">
        <v>Infinitum Negocio 500</v>
      </c>
      <c r="F205" s="113" t="str">
        <f>VLOOKUP($D205,'Info planes y paquetes'!$C$767:$L$874,2,FALSE)</f>
        <v>No Residencial</v>
      </c>
      <c r="G205" s="113" t="str">
        <f>VLOOKUP($D205,'Info planes y paquetes'!$C$767:$L$874,3,FALSE)</f>
        <v>Internet fijo</v>
      </c>
      <c r="H205" s="113">
        <f>IFERROR(VLOOKUP($D205,'Info planes y paquetes'!$C$471:$BS$579,65,FALSE),"")</f>
        <v>500</v>
      </c>
      <c r="I205" s="113">
        <f>IFERROR(VLOOKUP($D205,'Info planes y paquetes'!$C$471:$BS$579,66,FALSE),"")</f>
        <v>50</v>
      </c>
      <c r="J205" s="171">
        <f>IFERROR(SUM(VLOOKUP($D205,'Info planes y paquetes'!$C$767:$L$874,'Cálculos auxiliares'!L$191,FALSE),VLOOKUP($D205,'Info planes y paquetes'!$C$767:$L$874,'Cálculos auxiliares'!J$191,FALSE)),"")</f>
        <v>27</v>
      </c>
      <c r="K205" s="372">
        <f>IFERROR(VLOOKUP($D205,'Info planes y paquetes'!$C$767:$L$874,'Cálculos auxiliares'!K$191,FALSE),"")</f>
        <v>4059</v>
      </c>
      <c r="L205" s="396"/>
      <c r="M205" s="396"/>
      <c r="N205" s="262"/>
      <c r="V205" s="262"/>
      <c r="X205" s="262"/>
      <c r="Y205" s="262"/>
      <c r="AA205" s="262"/>
      <c r="AD205" s="262"/>
      <c r="AE205" s="262"/>
    </row>
    <row r="206" spans="3:31" s="44" customFormat="1" x14ac:dyDescent="0.25">
      <c r="C206" s="95">
        <f t="shared" si="21"/>
        <v>13</v>
      </c>
      <c r="D206" s="101" t="str">
        <v>Paquete 249</v>
      </c>
      <c r="F206" s="113" t="str">
        <f>VLOOKUP($D206,'Info planes y paquetes'!$C$767:$L$874,2,FALSE)</f>
        <v>Residencial</v>
      </c>
      <c r="G206" s="113" t="str">
        <f>VLOOKUP($D206,'Info planes y paquetes'!$C$767:$L$874,3,FALSE)</f>
        <v>Telefonía fija + Internet fijo</v>
      </c>
      <c r="H206" s="113">
        <f>IFERROR(VLOOKUP($D206,'Info planes y paquetes'!$C$471:$BS$579,65,FALSE),"")</f>
        <v>5</v>
      </c>
      <c r="I206" s="113">
        <f>IFERROR(VLOOKUP($D206,'Info planes y paquetes'!$C$471:$BS$579,66,FALSE),"")</f>
        <v>0.64</v>
      </c>
      <c r="J206" s="171">
        <f>IFERROR(SUM(VLOOKUP($D206,'Info planes y paquetes'!$C$767:$L$874,'Cálculos auxiliares'!L$191,FALSE),VLOOKUP($D206,'Info planes y paquetes'!$C$767:$L$874,'Cálculos auxiliares'!J$191,FALSE)),"")</f>
        <v>60074</v>
      </c>
      <c r="K206" s="372">
        <f>IFERROR(VLOOKUP($D206,'Info planes y paquetes'!$C$767:$L$874,'Cálculos auxiliares'!K$191,FALSE),"")</f>
        <v>66398</v>
      </c>
      <c r="L206" s="396"/>
      <c r="M206" s="396"/>
      <c r="N206" s="262"/>
      <c r="V206" s="262"/>
      <c r="X206" s="262"/>
      <c r="Y206" s="262"/>
      <c r="AA206" s="262"/>
      <c r="AD206" s="262"/>
      <c r="AE206" s="262"/>
    </row>
    <row r="207" spans="3:31" s="44" customFormat="1" x14ac:dyDescent="0.25">
      <c r="C207" s="95">
        <f t="shared" si="21"/>
        <v>14</v>
      </c>
      <c r="D207" s="101" t="str">
        <v>Paquete 289</v>
      </c>
      <c r="F207" s="113" t="str">
        <f>VLOOKUP($D207,'Info planes y paquetes'!$C$767:$L$874,2,FALSE)</f>
        <v>Residencial</v>
      </c>
      <c r="G207" s="113" t="str">
        <f>VLOOKUP($D207,'Info planes y paquetes'!$C$767:$L$874,3,FALSE)</f>
        <v>Telefonía fija + Internet fijo</v>
      </c>
      <c r="H207" s="113">
        <f>IFERROR(VLOOKUP($D207,'Info planes y paquetes'!$C$471:$BS$579,65,FALSE),"")</f>
        <v>5</v>
      </c>
      <c r="I207" s="113">
        <f>IFERROR(VLOOKUP($D207,'Info planes y paquetes'!$C$471:$BS$579,66,FALSE),"")</f>
        <v>0.64</v>
      </c>
      <c r="J207" s="171">
        <f>IFERROR(SUM(VLOOKUP($D207,'Info planes y paquetes'!$C$767:$L$874,'Cálculos auxiliares'!L$191,FALSE),VLOOKUP($D207,'Info planes y paquetes'!$C$767:$L$874,'Cálculos auxiliares'!J$191,FALSE)),"")</f>
        <v>52687</v>
      </c>
      <c r="K207" s="372">
        <f>IFERROR(VLOOKUP($D207,'Info planes y paquetes'!$C$767:$L$874,'Cálculos auxiliares'!K$191,FALSE),"")</f>
        <v>38479</v>
      </c>
      <c r="L207" s="396"/>
      <c r="M207" s="396"/>
      <c r="N207" s="262"/>
      <c r="V207" s="262"/>
      <c r="X207" s="262"/>
      <c r="Y207" s="262"/>
      <c r="AA207" s="262"/>
      <c r="AD207" s="262"/>
      <c r="AE207" s="262"/>
    </row>
    <row r="208" spans="3:31" s="44" customFormat="1" x14ac:dyDescent="0.25">
      <c r="C208" s="95">
        <f t="shared" si="21"/>
        <v>15</v>
      </c>
      <c r="D208" s="101" t="str">
        <v>Paquete 435</v>
      </c>
      <c r="F208" s="113" t="str">
        <f>VLOOKUP($D208,'Info planes y paquetes'!$C$767:$L$874,2,FALSE)</f>
        <v>Residencial</v>
      </c>
      <c r="G208" s="113" t="str">
        <f>VLOOKUP($D208,'Info planes y paquetes'!$C$767:$L$874,3,FALSE)</f>
        <v>Telefonía fija + Internet fijo</v>
      </c>
      <c r="H208" s="113">
        <f>IFERROR(VLOOKUP($D208,'Info planes y paquetes'!$C$471:$BS$579,65,FALSE),"")</f>
        <v>30</v>
      </c>
      <c r="I208" s="113">
        <f>IFERROR(VLOOKUP($D208,'Info planes y paquetes'!$C$471:$BS$579,66,FALSE),"")</f>
        <v>5</v>
      </c>
      <c r="J208" s="171">
        <f>IFERROR(SUM(VLOOKUP($D208,'Info planes y paquetes'!$C$767:$L$874,'Cálculos auxiliares'!L$191,FALSE),VLOOKUP($D208,'Info planes y paquetes'!$C$767:$L$874,'Cálculos auxiliares'!J$191,FALSE)),"")</f>
        <v>40471</v>
      </c>
      <c r="K208" s="372">
        <f>IFERROR(VLOOKUP($D208,'Info planes y paquetes'!$C$767:$L$874,'Cálculos auxiliares'!K$191,FALSE),"")</f>
        <v>252839</v>
      </c>
      <c r="L208" s="396"/>
      <c r="M208" s="396"/>
      <c r="N208" s="262"/>
      <c r="V208" s="262"/>
      <c r="X208" s="262"/>
      <c r="Y208" s="262"/>
      <c r="AA208" s="262"/>
      <c r="AD208" s="262"/>
      <c r="AE208" s="262"/>
    </row>
    <row r="209" spans="3:31" s="44" customFormat="1" x14ac:dyDescent="0.25">
      <c r="C209" s="95">
        <f t="shared" si="21"/>
        <v>16</v>
      </c>
      <c r="D209" s="101" t="str">
        <v>Paquete 499</v>
      </c>
      <c r="F209" s="113" t="str">
        <f>VLOOKUP($D209,'Info planes y paquetes'!$C$767:$L$874,2,FALSE)</f>
        <v>Residencial</v>
      </c>
      <c r="G209" s="113" t="str">
        <f>VLOOKUP($D209,'Info planes y paquetes'!$C$767:$L$874,3,FALSE)</f>
        <v>Telefonía fija + Internet fijo</v>
      </c>
      <c r="H209" s="113">
        <f>IFERROR(VLOOKUP($D209,'Info planes y paquetes'!$C$471:$BS$579,65,FALSE),"")</f>
        <v>40</v>
      </c>
      <c r="I209" s="113">
        <f>IFERROR(VLOOKUP($D209,'Info planes y paquetes'!$C$471:$BS$579,66,FALSE),"")</f>
        <v>5</v>
      </c>
      <c r="J209" s="171">
        <f>IFERROR(SUM(VLOOKUP($D209,'Info planes y paquetes'!$C$767:$L$874,'Cálculos auxiliares'!L$191,FALSE),VLOOKUP($D209,'Info planes y paquetes'!$C$767:$L$874,'Cálculos auxiliares'!J$191,FALSE)),"")</f>
        <v>23091</v>
      </c>
      <c r="K209" s="372">
        <f>IFERROR(VLOOKUP($D209,'Info planes y paquetes'!$C$767:$L$874,'Cálculos auxiliares'!K$191,FALSE),"")</f>
        <v>189161</v>
      </c>
      <c r="L209" s="396"/>
      <c r="M209" s="396"/>
      <c r="N209" s="262"/>
      <c r="V209" s="262"/>
      <c r="X209" s="262"/>
      <c r="Y209" s="262"/>
      <c r="AA209" s="262"/>
      <c r="AD209" s="262"/>
      <c r="AE209" s="262"/>
    </row>
    <row r="210" spans="3:31" s="44" customFormat="1" x14ac:dyDescent="0.25">
      <c r="C210" s="95">
        <f t="shared" si="21"/>
        <v>17</v>
      </c>
      <c r="D210" s="101" t="str">
        <v>Paquete 599</v>
      </c>
      <c r="F210" s="113" t="str">
        <f>VLOOKUP($D210,'Info planes y paquetes'!$C$767:$L$874,2,FALSE)</f>
        <v>Residencial</v>
      </c>
      <c r="G210" s="113" t="str">
        <f>VLOOKUP($D210,'Info planes y paquetes'!$C$767:$L$874,3,FALSE)</f>
        <v>Telefonía fija + Internet fijo</v>
      </c>
      <c r="H210" s="113">
        <f>IFERROR(VLOOKUP($D210,'Info planes y paquetes'!$C$471:$BS$579,65,FALSE),"")</f>
        <v>150</v>
      </c>
      <c r="I210" s="113">
        <f>IFERROR(VLOOKUP($D210,'Info planes y paquetes'!$C$471:$BS$579,66,FALSE),"")</f>
        <v>20</v>
      </c>
      <c r="J210" s="171">
        <f>IFERROR(SUM(VLOOKUP($D210,'Info planes y paquetes'!$C$767:$L$874,'Cálculos auxiliares'!L$191,FALSE),VLOOKUP($D210,'Info planes y paquetes'!$C$767:$L$874,'Cálculos auxiliares'!J$191,FALSE)),"")</f>
        <v>114808</v>
      </c>
      <c r="K210" s="372">
        <f>IFERROR(VLOOKUP($D210,'Info planes y paquetes'!$C$767:$L$874,'Cálculos auxiliares'!K$191,FALSE),"")</f>
        <v>403104</v>
      </c>
      <c r="L210" s="396"/>
      <c r="M210" s="396"/>
      <c r="N210" s="262"/>
      <c r="V210" s="262"/>
      <c r="X210" s="262"/>
      <c r="Y210" s="262"/>
      <c r="AA210" s="262"/>
      <c r="AD210" s="262"/>
      <c r="AE210" s="262"/>
    </row>
    <row r="211" spans="3:31" s="44" customFormat="1" x14ac:dyDescent="0.25">
      <c r="C211" s="95">
        <f t="shared" si="21"/>
        <v>18</v>
      </c>
      <c r="D211" s="101" t="str">
        <v>Paquete 389</v>
      </c>
      <c r="F211" s="113" t="str">
        <f>VLOOKUP($D211,'Info planes y paquetes'!$C$767:$L$874,2,FALSE)</f>
        <v>Residencial</v>
      </c>
      <c r="G211" s="113" t="str">
        <f>VLOOKUP($D211,'Info planes y paquetes'!$C$767:$L$874,3,FALSE)</f>
        <v>Telefonía fija + Internet fijo</v>
      </c>
      <c r="H211" s="113">
        <f>IFERROR(VLOOKUP($D211,'Info planes y paquetes'!$C$471:$BS$579,65,FALSE),"")</f>
        <v>20</v>
      </c>
      <c r="I211" s="113">
        <f>IFERROR(VLOOKUP($D211,'Info planes y paquetes'!$C$471:$BS$579,66,FALSE),"")</f>
        <v>5</v>
      </c>
      <c r="J211" s="171">
        <f>IFERROR(SUM(VLOOKUP($D211,'Info planes y paquetes'!$C$767:$L$874,'Cálculos auxiliares'!L$191,FALSE),VLOOKUP($D211,'Info planes y paquetes'!$C$767:$L$874,'Cálculos auxiliares'!J$191,FALSE)),"")</f>
        <v>2186322</v>
      </c>
      <c r="K211" s="372">
        <f>IFERROR(VLOOKUP($D211,'Info planes y paquetes'!$C$767:$L$874,'Cálculos auxiliares'!K$191,FALSE),"")</f>
        <v>1770177</v>
      </c>
      <c r="L211" s="396"/>
      <c r="M211" s="396"/>
      <c r="N211" s="262"/>
      <c r="V211" s="262"/>
      <c r="X211" s="262"/>
      <c r="Y211" s="262"/>
      <c r="AA211" s="262"/>
      <c r="AD211" s="262"/>
      <c r="AE211" s="262"/>
    </row>
    <row r="212" spans="3:31" s="44" customFormat="1" x14ac:dyDescent="0.25">
      <c r="C212" s="95">
        <f t="shared" si="21"/>
        <v>19</v>
      </c>
      <c r="D212" s="101" t="str">
        <v>Paquete Conectes Negocio</v>
      </c>
      <c r="F212" s="113" t="str">
        <f>VLOOKUP($D212,'Info planes y paquetes'!$C$767:$L$874,2,FALSE)</f>
        <v>No Residencial</v>
      </c>
      <c r="G212" s="113" t="str">
        <f>VLOOKUP($D212,'Info planes y paquetes'!$C$767:$L$874,3,FALSE)</f>
        <v>Telefonía fija + Internet fijo</v>
      </c>
      <c r="H212" s="113">
        <f>IFERROR(VLOOKUP($D212,'Info planes y paquetes'!$C$471:$BS$579,65,FALSE),"")</f>
        <v>20</v>
      </c>
      <c r="I212" s="113">
        <f>IFERROR(VLOOKUP($D212,'Info planes y paquetes'!$C$471:$BS$579,66,FALSE),"")</f>
        <v>5</v>
      </c>
      <c r="J212" s="171">
        <f>IFERROR(SUM(VLOOKUP($D212,'Info planes y paquetes'!$C$767:$L$874,'Cálculos auxiliares'!L$191,FALSE),VLOOKUP($D212,'Info planes y paquetes'!$C$767:$L$874,'Cálculos auxiliares'!J$191,FALSE)),"")</f>
        <v>308153</v>
      </c>
      <c r="K212" s="372">
        <f>IFERROR(VLOOKUP($D212,'Info planes y paquetes'!$C$767:$L$874,'Cálculos auxiliares'!K$191,FALSE),"")</f>
        <v>368154</v>
      </c>
      <c r="L212" s="396"/>
      <c r="M212" s="396"/>
      <c r="N212" s="262"/>
      <c r="V212" s="262"/>
      <c r="X212" s="262"/>
      <c r="Y212" s="262"/>
      <c r="AA212" s="262"/>
      <c r="AD212" s="262"/>
      <c r="AE212" s="262"/>
    </row>
    <row r="213" spans="3:31" s="44" customFormat="1" x14ac:dyDescent="0.25">
      <c r="C213" s="95">
        <f t="shared" si="21"/>
        <v>20</v>
      </c>
      <c r="D213" s="101" t="str">
        <v>Paquete 1499</v>
      </c>
      <c r="F213" s="113" t="str">
        <f>VLOOKUP($D213,'Info planes y paquetes'!$C$767:$L$874,2,FALSE)</f>
        <v>Residencial</v>
      </c>
      <c r="G213" s="113" t="str">
        <f>VLOOKUP($D213,'Info planes y paquetes'!$C$767:$L$874,3,FALSE)</f>
        <v>Telefonía fija + Internet fijo</v>
      </c>
      <c r="H213" s="113">
        <f>IFERROR(VLOOKUP($D213,'Info planes y paquetes'!$C$471:$BS$579,65,FALSE),"")</f>
        <v>1000</v>
      </c>
      <c r="I213" s="113">
        <f>IFERROR(VLOOKUP($D213,'Info planes y paquetes'!$C$471:$BS$579,66,FALSE),"")</f>
        <v>200</v>
      </c>
      <c r="J213" s="171">
        <f>IFERROR(SUM(VLOOKUP($D213,'Info planes y paquetes'!$C$767:$L$874,'Cálculos auxiliares'!L$191,FALSE),VLOOKUP($D213,'Info planes y paquetes'!$C$767:$L$874,'Cálculos auxiliares'!J$191,FALSE)),"")</f>
        <v>7</v>
      </c>
      <c r="K213" s="372">
        <f>IFERROR(VLOOKUP($D213,'Info planes y paquetes'!$C$767:$L$874,'Cálculos auxiliares'!K$191,FALSE),"")</f>
        <v>15294</v>
      </c>
      <c r="L213" s="396"/>
      <c r="M213" s="396"/>
      <c r="N213" s="262"/>
      <c r="V213" s="262"/>
      <c r="X213" s="262"/>
      <c r="Y213" s="262"/>
      <c r="AA213" s="262"/>
      <c r="AD213" s="262"/>
      <c r="AE213" s="262"/>
    </row>
    <row r="214" spans="3:31" s="44" customFormat="1" x14ac:dyDescent="0.25">
      <c r="C214" s="95">
        <f t="shared" si="21"/>
        <v>21</v>
      </c>
      <c r="D214" s="101" t="str">
        <v>Paquete 333</v>
      </c>
      <c r="F214" s="113" t="str">
        <f>VLOOKUP($D214,'Info planes y paquetes'!$C$767:$L$874,2,FALSE)</f>
        <v>Residencial</v>
      </c>
      <c r="G214" s="113" t="str">
        <f>VLOOKUP($D214,'Info planes y paquetes'!$C$767:$L$874,3,FALSE)</f>
        <v>Telefonía fija + Internet fijo</v>
      </c>
      <c r="H214" s="113">
        <f>IFERROR(VLOOKUP($D214,'Info planes y paquetes'!$C$471:$BS$579,65,FALSE),"")</f>
        <v>5</v>
      </c>
      <c r="I214" s="113">
        <f>IFERROR(VLOOKUP($D214,'Info planes y paquetes'!$C$471:$BS$579,66,FALSE),"")</f>
        <v>0.64</v>
      </c>
      <c r="J214" s="171">
        <f>IFERROR(SUM(VLOOKUP($D214,'Info planes y paquetes'!$C$767:$L$874,'Cálculos auxiliares'!L$191,FALSE),VLOOKUP($D214,'Info planes y paquetes'!$C$767:$L$874,'Cálculos auxiliares'!J$191,FALSE)),"")</f>
        <v>53021</v>
      </c>
      <c r="K214" s="372">
        <f>IFERROR(VLOOKUP($D214,'Info planes y paquetes'!$C$767:$L$874,'Cálculos auxiliares'!K$191,FALSE),"")</f>
        <v>46179</v>
      </c>
      <c r="L214" s="396"/>
      <c r="M214" s="396"/>
      <c r="N214" s="262"/>
      <c r="V214" s="262"/>
      <c r="X214" s="262"/>
      <c r="Y214" s="262"/>
      <c r="AA214" s="262"/>
      <c r="AD214" s="262"/>
      <c r="AE214" s="262"/>
    </row>
    <row r="215" spans="3:31" s="44" customFormat="1" x14ac:dyDescent="0.25">
      <c r="C215" s="95">
        <f t="shared" si="21"/>
        <v>22</v>
      </c>
      <c r="D215" s="101" t="str">
        <v>Paquete Mi Negocio</v>
      </c>
      <c r="F215" s="113" t="str">
        <f>VLOOKUP($D215,'Info planes y paquetes'!$C$767:$L$874,2,FALSE)</f>
        <v>No Residencial</v>
      </c>
      <c r="G215" s="113" t="str">
        <f>VLOOKUP($D215,'Info planes y paquetes'!$C$767:$L$874,3,FALSE)</f>
        <v>Telefonía fija + Internet fijo</v>
      </c>
      <c r="H215" s="113">
        <f>IFERROR(VLOOKUP($D215,'Info planes y paquetes'!$C$471:$BS$579,65,FALSE),"")</f>
        <v>100</v>
      </c>
      <c r="I215" s="113">
        <f>IFERROR(VLOOKUP($D215,'Info planes y paquetes'!$C$471:$BS$579,66,FALSE),"")</f>
        <v>10</v>
      </c>
      <c r="J215" s="171">
        <f>IFERROR(SUM(VLOOKUP($D215,'Info planes y paquetes'!$C$767:$L$874,'Cálculos auxiliares'!L$191,FALSE),VLOOKUP($D215,'Info planes y paquetes'!$C$767:$L$874,'Cálculos auxiliares'!J$191,FALSE)),"")</f>
        <v>154109</v>
      </c>
      <c r="K215" s="372">
        <f>IFERROR(VLOOKUP($D215,'Info planes y paquetes'!$C$767:$L$874,'Cálculos auxiliares'!K$191,FALSE),"")</f>
        <v>264712</v>
      </c>
      <c r="L215" s="396"/>
      <c r="M215" s="396"/>
      <c r="N215" s="262"/>
      <c r="V215" s="262"/>
      <c r="X215" s="262"/>
      <c r="Y215" s="262"/>
      <c r="AA215" s="262"/>
      <c r="AD215" s="262"/>
      <c r="AE215" s="262"/>
    </row>
    <row r="216" spans="3:31" s="44" customFormat="1" x14ac:dyDescent="0.25">
      <c r="C216" s="95">
        <f t="shared" si="21"/>
        <v>23</v>
      </c>
      <c r="D216" s="101" t="str">
        <v>Paquete SuperNegocio</v>
      </c>
      <c r="F216" s="113" t="str">
        <f>VLOOKUP($D216,'Info planes y paquetes'!$C$767:$L$874,2,FALSE)</f>
        <v>No Residencial</v>
      </c>
      <c r="G216" s="113" t="str">
        <f>VLOOKUP($D216,'Info planes y paquetes'!$C$767:$L$874,3,FALSE)</f>
        <v>Telefonía fija + Internet fijo</v>
      </c>
      <c r="H216" s="113">
        <f>IFERROR(VLOOKUP($D216,'Info planes y paquetes'!$C$471:$BS$579,65,FALSE),"")</f>
        <v>200</v>
      </c>
      <c r="I216" s="113">
        <f>IFERROR(VLOOKUP($D216,'Info planes y paquetes'!$C$471:$BS$579,66,FALSE),"")</f>
        <v>20</v>
      </c>
      <c r="J216" s="171">
        <f>IFERROR(SUM(VLOOKUP($D216,'Info planes y paquetes'!$C$767:$L$874,'Cálculos auxiliares'!L$191,FALSE),VLOOKUP($D216,'Info planes y paquetes'!$C$767:$L$874,'Cálculos auxiliares'!J$191,FALSE)),"")</f>
        <v>56323</v>
      </c>
      <c r="K216" s="372">
        <f>IFERROR(VLOOKUP($D216,'Info planes y paquetes'!$C$767:$L$874,'Cálculos auxiliares'!K$191,FALSE),"")</f>
        <v>125173</v>
      </c>
      <c r="L216" s="396"/>
      <c r="M216" s="396"/>
      <c r="N216" s="262"/>
      <c r="V216" s="262"/>
      <c r="X216" s="262"/>
      <c r="Y216" s="262"/>
      <c r="AA216" s="262"/>
      <c r="AD216" s="262"/>
      <c r="AE216" s="262"/>
    </row>
    <row r="217" spans="3:31" s="44" customFormat="1" x14ac:dyDescent="0.25">
      <c r="C217" s="95">
        <f t="shared" si="21"/>
        <v>24</v>
      </c>
      <c r="D217" s="101" t="str">
        <v>Paquete Infinitum 500</v>
      </c>
      <c r="F217" s="113" t="str">
        <f>VLOOKUP($D217,'Info planes y paquetes'!$C$767:$L$874,2,FALSE)</f>
        <v>Residencial</v>
      </c>
      <c r="G217" s="113" t="str">
        <f>VLOOKUP($D217,'Info planes y paquetes'!$C$767:$L$874,3,FALSE)</f>
        <v>Telefonía fija + Internet fijo</v>
      </c>
      <c r="H217" s="113">
        <f>IFERROR(VLOOKUP($D217,'Info planes y paquetes'!$C$471:$BS$579,65,FALSE),"")</f>
        <v>500</v>
      </c>
      <c r="I217" s="113">
        <f>IFERROR(VLOOKUP($D217,'Info planes y paquetes'!$C$471:$BS$579,66,FALSE),"")</f>
        <v>50</v>
      </c>
      <c r="J217" s="171">
        <f>IFERROR(SUM(VLOOKUP($D217,'Info planes y paquetes'!$C$767:$L$874,'Cálculos auxiliares'!L$191,FALSE),VLOOKUP($D217,'Info planes y paquetes'!$C$767:$L$874,'Cálculos auxiliares'!J$191,FALSE)),"")</f>
        <v>4536</v>
      </c>
      <c r="K217" s="372">
        <f>IFERROR(VLOOKUP($D217,'Info planes y paquetes'!$C$767:$L$874,'Cálculos auxiliares'!K$191,FALSE),"")</f>
        <v>56216</v>
      </c>
      <c r="L217" s="396"/>
      <c r="M217" s="396"/>
      <c r="N217" s="262"/>
      <c r="V217" s="262"/>
      <c r="X217" s="262"/>
      <c r="Y217" s="262"/>
      <c r="AA217" s="262"/>
      <c r="AD217" s="262"/>
      <c r="AE217" s="262"/>
    </row>
    <row r="218" spans="3:31" s="44" customFormat="1" x14ac:dyDescent="0.25">
      <c r="C218" s="95">
        <f t="shared" si="21"/>
        <v>25</v>
      </c>
      <c r="D218" s="101" t="str">
        <v>Paquete Telmex Negocio Sin Límites 1</v>
      </c>
      <c r="F218" s="113" t="str">
        <f>VLOOKUP($D218,'Info planes y paquetes'!$C$767:$L$874,2,FALSE)</f>
        <v>No Residencial</v>
      </c>
      <c r="G218" s="113" t="str">
        <f>VLOOKUP($D218,'Info planes y paquetes'!$C$767:$L$874,3,FALSE)</f>
        <v>Telefonía fija + Internet fijo</v>
      </c>
      <c r="H218" s="113">
        <f>IFERROR(VLOOKUP($D218,'Info planes y paquetes'!$C$471:$BS$579,65,FALSE),"")</f>
        <v>500</v>
      </c>
      <c r="I218" s="113">
        <f>IFERROR(VLOOKUP($D218,'Info planes y paquetes'!$C$471:$BS$579,66,FALSE),"")</f>
        <v>50</v>
      </c>
      <c r="J218" s="171">
        <f>IFERROR(SUM(VLOOKUP($D218,'Info planes y paquetes'!$C$767:$L$874,'Cálculos auxiliares'!L$191,FALSE),VLOOKUP($D218,'Info planes y paquetes'!$C$767:$L$874,'Cálculos auxiliares'!J$191,FALSE)),"")</f>
        <v>13995</v>
      </c>
      <c r="K218" s="372">
        <f>IFERROR(VLOOKUP($D218,'Info planes y paquetes'!$C$767:$L$874,'Cálculos auxiliares'!K$191,FALSE),"")</f>
        <v>45486</v>
      </c>
      <c r="L218" s="396"/>
      <c r="M218" s="396"/>
      <c r="N218" s="262"/>
      <c r="V218" s="262"/>
      <c r="X218" s="262"/>
      <c r="Y218" s="262"/>
      <c r="AA218" s="262"/>
      <c r="AD218" s="262"/>
      <c r="AE218" s="262"/>
    </row>
    <row r="219" spans="3:31" s="44" customFormat="1" x14ac:dyDescent="0.25">
      <c r="C219" s="95">
        <f t="shared" si="21"/>
        <v>26</v>
      </c>
      <c r="D219" s="101" t="str">
        <v>Paquete Telmex Negocio Sin Límites 2</v>
      </c>
      <c r="F219" s="113" t="str">
        <f>VLOOKUP($D219,'Info planes y paquetes'!$C$767:$L$874,2,FALSE)</f>
        <v>No Residencial</v>
      </c>
      <c r="G219" s="113" t="str">
        <f>VLOOKUP($D219,'Info planes y paquetes'!$C$767:$L$874,3,FALSE)</f>
        <v>Telefonía fija + Internet fijo</v>
      </c>
      <c r="H219" s="113">
        <f>IFERROR(VLOOKUP($D219,'Info planes y paquetes'!$C$471:$BS$579,65,FALSE),"")</f>
        <v>500</v>
      </c>
      <c r="I219" s="113">
        <f>IFERROR(VLOOKUP($D219,'Info planes y paquetes'!$C$471:$BS$579,66,FALSE),"")</f>
        <v>50</v>
      </c>
      <c r="J219" s="171">
        <f>IFERROR(SUM(VLOOKUP($D219,'Info planes y paquetes'!$C$767:$L$874,'Cálculos auxiliares'!L$191,FALSE),VLOOKUP($D219,'Info planes y paquetes'!$C$767:$L$874,'Cálculos auxiliares'!J$191,FALSE)),"")</f>
        <v>4252</v>
      </c>
      <c r="K219" s="372">
        <f>IFERROR(VLOOKUP($D219,'Info planes y paquetes'!$C$767:$L$874,'Cálculos auxiliares'!K$191,FALSE),"")</f>
        <v>19368</v>
      </c>
      <c r="L219" s="396"/>
      <c r="M219" s="396"/>
      <c r="N219" s="262"/>
      <c r="V219" s="262"/>
      <c r="X219" s="262"/>
      <c r="Y219" s="262"/>
      <c r="AA219" s="262"/>
      <c r="AD219" s="262"/>
      <c r="AE219" s="262"/>
    </row>
    <row r="220" spans="3:31" s="44" customFormat="1" x14ac:dyDescent="0.25">
      <c r="C220" s="95">
        <f t="shared" si="21"/>
        <v>27</v>
      </c>
      <c r="D220" s="101" t="str">
        <v>Paquete Telmex Negocio Sin Límites 3</v>
      </c>
      <c r="F220" s="113" t="str">
        <f>VLOOKUP($D220,'Info planes y paquetes'!$C$767:$L$874,2,FALSE)</f>
        <v>No Residencial</v>
      </c>
      <c r="G220" s="113" t="str">
        <f>VLOOKUP($D220,'Info planes y paquetes'!$C$767:$L$874,3,FALSE)</f>
        <v>Telefonía fija + Internet fijo</v>
      </c>
      <c r="H220" s="113">
        <f>IFERROR(VLOOKUP($D220,'Info planes y paquetes'!$C$471:$BS$579,65,FALSE),"")</f>
        <v>1000</v>
      </c>
      <c r="I220" s="113">
        <f>IFERROR(VLOOKUP($D220,'Info planes y paquetes'!$C$471:$BS$579,66,FALSE),"")</f>
        <v>200</v>
      </c>
      <c r="J220" s="171">
        <f>IFERROR(SUM(VLOOKUP($D220,'Info planes y paquetes'!$C$767:$L$874,'Cálculos auxiliares'!L$191,FALSE),VLOOKUP($D220,'Info planes y paquetes'!$C$767:$L$874,'Cálculos auxiliares'!J$191,FALSE)),"")</f>
        <v>3876</v>
      </c>
      <c r="K220" s="372">
        <f>IFERROR(VLOOKUP($D220,'Info planes y paquetes'!$C$767:$L$874,'Cálculos auxiliares'!K$191,FALSE),"")</f>
        <v>14654</v>
      </c>
      <c r="L220" s="396"/>
      <c r="M220" s="396"/>
      <c r="N220" s="262"/>
      <c r="V220" s="262"/>
      <c r="X220" s="262"/>
      <c r="Y220" s="262"/>
      <c r="AA220" s="262"/>
      <c r="AD220" s="262"/>
      <c r="AE220" s="262"/>
    </row>
    <row r="221" spans="3:31" s="44" customFormat="1" x14ac:dyDescent="0.25">
      <c r="C221" s="95">
        <f t="shared" si="21"/>
        <v>28</v>
      </c>
      <c r="D221" s="101" t="str">
        <v>Infinitum Negocio</v>
      </c>
      <c r="F221" s="113" t="str">
        <f>VLOOKUP($D221,'Info planes y paquetes'!$C$767:$L$874,2,FALSE)</f>
        <v>No Residencial</v>
      </c>
      <c r="G221" s="113" t="str">
        <f>VLOOKUP($D221,'Info planes y paquetes'!$C$767:$L$874,3,FALSE)</f>
        <v>Internet fijo</v>
      </c>
      <c r="H221" s="113">
        <f>IFERROR(VLOOKUP($D221,'Info planes y paquetes'!$C$471:$BS$579,65,FALSE),"")</f>
        <v>30</v>
      </c>
      <c r="I221" s="113">
        <f>IFERROR(VLOOKUP($D221,'Info planes y paquetes'!$C$471:$BS$579,66,FALSE),"")</f>
        <v>0.76800000000000002</v>
      </c>
      <c r="J221" s="171">
        <f>IFERROR(SUM(VLOOKUP($D221,'Info planes y paquetes'!$C$767:$L$874,'Cálculos auxiliares'!L$191,FALSE),VLOOKUP($D221,'Info planes y paquetes'!$C$767:$L$874,'Cálculos auxiliares'!J$191,FALSE)),"")</f>
        <v>38152</v>
      </c>
      <c r="K221" s="372">
        <f>IFERROR(VLOOKUP($D221,'Info planes y paquetes'!$C$767:$L$874,'Cálculos auxiliares'!K$191,FALSE),"")</f>
        <v>17179</v>
      </c>
      <c r="L221" s="396"/>
      <c r="M221" s="396"/>
      <c r="N221" s="262"/>
      <c r="V221" s="262"/>
      <c r="X221" s="262"/>
      <c r="Y221" s="262"/>
      <c r="AA221" s="262"/>
      <c r="AD221" s="262"/>
      <c r="AE221" s="262"/>
    </row>
    <row r="222" spans="3:31" s="44" customFormat="1" x14ac:dyDescent="0.25">
      <c r="C222" s="95">
        <f t="shared" si="21"/>
        <v>29</v>
      </c>
      <c r="D222" s="101" t="str">
        <v>Infinitum Negocio Red</v>
      </c>
      <c r="F222" s="113" t="str">
        <f>VLOOKUP($D222,'Info planes y paquetes'!$C$767:$L$874,2,FALSE)</f>
        <v>No Residencial</v>
      </c>
      <c r="G222" s="113" t="str">
        <f>VLOOKUP($D222,'Info planes y paquetes'!$C$767:$L$874,3,FALSE)</f>
        <v>Internet fijo</v>
      </c>
      <c r="H222" s="113">
        <f>IFERROR(VLOOKUP($D222,'Info planes y paquetes'!$C$471:$BS$579,65,FALSE),"")</f>
        <v>50</v>
      </c>
      <c r="I222" s="113">
        <f>IFERROR(VLOOKUP($D222,'Info planes y paquetes'!$C$471:$BS$579,66,FALSE),"")</f>
        <v>0.76800000000000002</v>
      </c>
      <c r="J222" s="171">
        <f>IFERROR(SUM(VLOOKUP($D222,'Info planes y paquetes'!$C$767:$L$874,'Cálculos auxiliares'!L$191,FALSE),VLOOKUP($D222,'Info planes y paquetes'!$C$767:$L$874,'Cálculos auxiliares'!J$191,FALSE)),"")</f>
        <v>7714</v>
      </c>
      <c r="K222" s="372">
        <f>IFERROR(VLOOKUP($D222,'Info planes y paquetes'!$C$767:$L$874,'Cálculos auxiliares'!K$191,FALSE),"")</f>
        <v>6004</v>
      </c>
      <c r="L222" s="396"/>
      <c r="M222" s="396"/>
      <c r="N222" s="262"/>
      <c r="V222" s="262"/>
      <c r="X222" s="262"/>
      <c r="Y222" s="262"/>
      <c r="AA222" s="262"/>
      <c r="AD222" s="262"/>
      <c r="AE222" s="262"/>
    </row>
    <row r="223" spans="3:31" s="44" customFormat="1" x14ac:dyDescent="0.25">
      <c r="C223" s="95">
        <f t="shared" si="21"/>
        <v>30</v>
      </c>
      <c r="D223" s="101" t="str">
        <v>Infinitum Negocio Premium</v>
      </c>
      <c r="F223" s="113" t="str">
        <f>VLOOKUP($D223,'Info planes y paquetes'!$C$767:$L$874,2,FALSE)</f>
        <v>No Residencial</v>
      </c>
      <c r="G223" s="113" t="str">
        <f>VLOOKUP($D223,'Info planes y paquetes'!$C$767:$L$874,3,FALSE)</f>
        <v>Internet fijo</v>
      </c>
      <c r="H223" s="113">
        <f>IFERROR(VLOOKUP($D223,'Info planes y paquetes'!$C$471:$BS$579,65,FALSE),"")</f>
        <v>100</v>
      </c>
      <c r="I223" s="113">
        <f>IFERROR(VLOOKUP($D223,'Info planes y paquetes'!$C$471:$BS$579,66,FALSE),"")</f>
        <v>0.76800000000000002</v>
      </c>
      <c r="J223" s="171">
        <f>IFERROR(SUM(VLOOKUP($D223,'Info planes y paquetes'!$C$767:$L$874,'Cálculos auxiliares'!L$191,FALSE),VLOOKUP($D223,'Info planes y paquetes'!$C$767:$L$874,'Cálculos auxiliares'!J$191,FALSE)),"")</f>
        <v>4808</v>
      </c>
      <c r="K223" s="372">
        <f>IFERROR(VLOOKUP($D223,'Info planes y paquetes'!$C$767:$L$874,'Cálculos auxiliares'!K$191,FALSE),"")</f>
        <v>9224</v>
      </c>
      <c r="L223" s="396"/>
      <c r="M223" s="396"/>
      <c r="N223" s="262"/>
      <c r="V223" s="262"/>
      <c r="X223" s="262"/>
      <c r="Y223" s="262"/>
      <c r="AA223" s="262"/>
      <c r="AD223" s="262"/>
      <c r="AE223" s="262"/>
    </row>
    <row r="224" spans="3:31" s="44" customFormat="1" x14ac:dyDescent="0.25">
      <c r="C224" s="95">
        <f t="shared" si="21"/>
        <v>31</v>
      </c>
      <c r="D224" s="101" t="str">
        <v>Paquete Infinitum Play 20 (Netflix 1 dispositivo)</v>
      </c>
      <c r="F224" s="113" t="str">
        <f>VLOOKUP($D224,'Info planes y paquetes'!$C$767:$L$874,2,FALSE)</f>
        <v>Residencial</v>
      </c>
      <c r="G224" s="113" t="str">
        <f>VLOOKUP($D224,'Info planes y paquetes'!$C$767:$L$874,3,FALSE)</f>
        <v>Telefonía fija + Internet fijo</v>
      </c>
      <c r="H224" s="113">
        <f>IFERROR(VLOOKUP($D224,'Info planes y paquetes'!$C$471:$BS$579,65,FALSE),"")</f>
        <v>20</v>
      </c>
      <c r="I224" s="113">
        <f>IFERROR(VLOOKUP($D224,'Info planes y paquetes'!$C$471:$BS$579,66,FALSE),"")</f>
        <v>5</v>
      </c>
      <c r="J224" s="171">
        <f>IFERROR(SUM(VLOOKUP($D224,'Info planes y paquetes'!$C$767:$L$874,'Cálculos auxiliares'!L$191,FALSE),VLOOKUP($D224,'Info planes y paquetes'!$C$767:$L$874,'Cálculos auxiliares'!J$191,FALSE)),"")</f>
        <v>88318</v>
      </c>
      <c r="K224" s="372">
        <f>IFERROR(VLOOKUP($D224,'Info planes y paquetes'!$C$767:$L$874,'Cálculos auxiliares'!K$191,FALSE),"")</f>
        <v>119645</v>
      </c>
      <c r="L224" s="396"/>
      <c r="M224" s="396"/>
      <c r="N224" s="262"/>
      <c r="V224" s="262"/>
      <c r="X224" s="262"/>
      <c r="Y224" s="262"/>
      <c r="AA224" s="262"/>
      <c r="AD224" s="262"/>
      <c r="AE224" s="262"/>
    </row>
    <row r="225" spans="3:31" s="44" customFormat="1" x14ac:dyDescent="0.25">
      <c r="C225" s="95">
        <f t="shared" si="21"/>
        <v>32</v>
      </c>
      <c r="D225" s="101" t="str">
        <v>Paquete Infinitum Play 20 (Netflix 2 dispositivos)</v>
      </c>
      <c r="F225" s="113" t="str">
        <f>VLOOKUP($D225,'Info planes y paquetes'!$C$767:$L$874,2,FALSE)</f>
        <v>Residencial</v>
      </c>
      <c r="G225" s="113" t="str">
        <f>VLOOKUP($D225,'Info planes y paquetes'!$C$767:$L$874,3,FALSE)</f>
        <v>Telefonía fija + Internet fijo</v>
      </c>
      <c r="H225" s="113">
        <f>IFERROR(VLOOKUP($D225,'Info planes y paquetes'!$C$471:$BS$579,65,FALSE),"")</f>
        <v>20</v>
      </c>
      <c r="I225" s="113">
        <f>IFERROR(VLOOKUP($D225,'Info planes y paquetes'!$C$471:$BS$579,66,FALSE),"")</f>
        <v>5</v>
      </c>
      <c r="J225" s="171">
        <f>IFERROR(SUM(VLOOKUP($D225,'Info planes y paquetes'!$C$767:$L$874,'Cálculos auxiliares'!L$191,FALSE),VLOOKUP($D225,'Info planes y paquetes'!$C$767:$L$874,'Cálculos auxiliares'!J$191,FALSE)),"")</f>
        <v>71511</v>
      </c>
      <c r="K225" s="372">
        <f>IFERROR(VLOOKUP($D225,'Info planes y paquetes'!$C$767:$L$874,'Cálculos auxiliares'!K$191,FALSE),"")</f>
        <v>97938</v>
      </c>
      <c r="L225" s="396"/>
      <c r="M225" s="396"/>
      <c r="N225" s="262"/>
      <c r="V225" s="262"/>
      <c r="X225" s="262"/>
      <c r="Y225" s="262"/>
      <c r="AA225" s="262"/>
      <c r="AD225" s="262"/>
      <c r="AE225" s="262"/>
    </row>
    <row r="226" spans="3:31" s="44" customFormat="1" x14ac:dyDescent="0.25">
      <c r="C226" s="95">
        <f t="shared" si="21"/>
        <v>33</v>
      </c>
      <c r="D226" s="101" t="str">
        <v>Paquete Infinitum Play 20 (Netflix 4 dispositivos)</v>
      </c>
      <c r="F226" s="113" t="str">
        <f>VLOOKUP($D226,'Info planes y paquetes'!$C$767:$L$874,2,FALSE)</f>
        <v>Residencial</v>
      </c>
      <c r="G226" s="113" t="str">
        <f>VLOOKUP($D226,'Info planes y paquetes'!$C$767:$L$874,3,FALSE)</f>
        <v>Telefonía fija + Internet fijo</v>
      </c>
      <c r="H226" s="113">
        <f>IFERROR(VLOOKUP($D226,'Info planes y paquetes'!$C$471:$BS$579,65,FALSE),"")</f>
        <v>20</v>
      </c>
      <c r="I226" s="113">
        <f>IFERROR(VLOOKUP($D226,'Info planes y paquetes'!$C$471:$BS$579,66,FALSE),"")</f>
        <v>5</v>
      </c>
      <c r="J226" s="171">
        <f>IFERROR(SUM(VLOOKUP($D226,'Info planes y paquetes'!$C$767:$L$874,'Cálculos auxiliares'!L$191,FALSE),VLOOKUP($D226,'Info planes y paquetes'!$C$767:$L$874,'Cálculos auxiliares'!J$191,FALSE)),"")</f>
        <v>32302</v>
      </c>
      <c r="K226" s="372">
        <f>IFERROR(VLOOKUP($D226,'Info planes y paquetes'!$C$767:$L$874,'Cálculos auxiliares'!K$191,FALSE),"")</f>
        <v>36932</v>
      </c>
      <c r="L226" s="396"/>
      <c r="M226" s="396"/>
      <c r="N226" s="262"/>
      <c r="V226" s="262"/>
      <c r="X226" s="262"/>
      <c r="Y226" s="262"/>
      <c r="AA226" s="262"/>
      <c r="AD226" s="262"/>
      <c r="AE226" s="262"/>
    </row>
    <row r="227" spans="3:31" s="44" customFormat="1" x14ac:dyDescent="0.25">
      <c r="C227" s="95">
        <f t="shared" si="21"/>
        <v>34</v>
      </c>
      <c r="D227" s="101" t="str">
        <v>Paquete Infinitum Play 30 (Netflix 2 dispositivos)</v>
      </c>
      <c r="F227" s="113" t="str">
        <f>VLOOKUP($D227,'Info planes y paquetes'!$C$767:$L$874,2,FALSE)</f>
        <v>Residencial</v>
      </c>
      <c r="G227" s="113" t="str">
        <f>VLOOKUP($D227,'Info planes y paquetes'!$C$767:$L$874,3,FALSE)</f>
        <v>Telefonía fija + Internet fijo</v>
      </c>
      <c r="H227" s="113">
        <f>IFERROR(VLOOKUP($D227,'Info planes y paquetes'!$C$471:$BS$579,65,FALSE),"")</f>
        <v>30</v>
      </c>
      <c r="I227" s="113">
        <f>IFERROR(VLOOKUP($D227,'Info planes y paquetes'!$C$471:$BS$579,66,FALSE),"")</f>
        <v>5</v>
      </c>
      <c r="J227" s="171">
        <f>IFERROR(SUM(VLOOKUP($D227,'Info planes y paquetes'!$C$767:$L$874,'Cálculos auxiliares'!L$191,FALSE),VLOOKUP($D227,'Info planes y paquetes'!$C$767:$L$874,'Cálculos auxiliares'!J$191,FALSE)),"")</f>
        <v>5880</v>
      </c>
      <c r="K227" s="372">
        <f>IFERROR(VLOOKUP($D227,'Info planes y paquetes'!$C$767:$L$874,'Cálculos auxiliares'!K$191,FALSE),"")</f>
        <v>33076</v>
      </c>
      <c r="L227" s="396"/>
      <c r="M227" s="396"/>
      <c r="N227" s="262"/>
      <c r="V227" s="262"/>
      <c r="X227" s="262"/>
      <c r="Y227" s="262"/>
      <c r="AA227" s="262"/>
      <c r="AD227" s="262"/>
      <c r="AE227" s="262"/>
    </row>
    <row r="228" spans="3:31" s="44" customFormat="1" x14ac:dyDescent="0.25">
      <c r="C228" s="95">
        <f t="shared" si="21"/>
        <v>35</v>
      </c>
      <c r="D228" s="101" t="str">
        <v>Paquete Infinitum Play 30 (Netflix 4 dispositivos)</v>
      </c>
      <c r="F228" s="113" t="str">
        <f>VLOOKUP($D228,'Info planes y paquetes'!$C$767:$L$874,2,FALSE)</f>
        <v>Residencial</v>
      </c>
      <c r="G228" s="113" t="str">
        <f>VLOOKUP($D228,'Info planes y paquetes'!$C$767:$L$874,3,FALSE)</f>
        <v>Telefonía fija + Internet fijo</v>
      </c>
      <c r="H228" s="113">
        <f>IFERROR(VLOOKUP($D228,'Info planes y paquetes'!$C$471:$BS$579,65,FALSE),"")</f>
        <v>30</v>
      </c>
      <c r="I228" s="113">
        <f>IFERROR(VLOOKUP($D228,'Info planes y paquetes'!$C$471:$BS$579,66,FALSE),"")</f>
        <v>5</v>
      </c>
      <c r="J228" s="171">
        <f>IFERROR(SUM(VLOOKUP($D228,'Info planes y paquetes'!$C$767:$L$874,'Cálculos auxiliares'!L$191,FALSE),VLOOKUP($D228,'Info planes y paquetes'!$C$767:$L$874,'Cálculos auxiliares'!J$191,FALSE)),"")</f>
        <v>3304</v>
      </c>
      <c r="K228" s="372">
        <f>IFERROR(VLOOKUP($D228,'Info planes y paquetes'!$C$767:$L$874,'Cálculos auxiliares'!K$191,FALSE),"")</f>
        <v>8971</v>
      </c>
      <c r="L228" s="396"/>
      <c r="M228" s="396"/>
      <c r="N228" s="262"/>
      <c r="V228" s="262"/>
      <c r="X228" s="262"/>
      <c r="Y228" s="262"/>
      <c r="AA228" s="262"/>
      <c r="AD228" s="262"/>
      <c r="AE228" s="262"/>
    </row>
    <row r="229" spans="3:31" s="44" customFormat="1" x14ac:dyDescent="0.25">
      <c r="C229" s="95">
        <f t="shared" si="21"/>
        <v>36</v>
      </c>
      <c r="D229" s="101" t="str">
        <v>Paquete Infinitum Play 40 (Netflix 2 dispositivos)</v>
      </c>
      <c r="F229" s="113" t="str">
        <f>VLOOKUP($D229,'Info planes y paquetes'!$C$767:$L$874,2,FALSE)</f>
        <v>Residencial</v>
      </c>
      <c r="G229" s="113" t="str">
        <f>VLOOKUP($D229,'Info planes y paquetes'!$C$767:$L$874,3,FALSE)</f>
        <v>Telefonía fija + Internet fijo</v>
      </c>
      <c r="H229" s="113">
        <f>IFERROR(VLOOKUP($D229,'Info planes y paquetes'!$C$471:$BS$579,65,FALSE),"")</f>
        <v>40</v>
      </c>
      <c r="I229" s="113">
        <f>IFERROR(VLOOKUP($D229,'Info planes y paquetes'!$C$471:$BS$579,66,FALSE),"")</f>
        <v>5</v>
      </c>
      <c r="J229" s="171">
        <f>IFERROR(SUM(VLOOKUP($D229,'Info planes y paquetes'!$C$767:$L$874,'Cálculos auxiliares'!L$191,FALSE),VLOOKUP($D229,'Info planes y paquetes'!$C$767:$L$874,'Cálculos auxiliares'!J$191,FALSE)),"")</f>
        <v>1245</v>
      </c>
      <c r="K229" s="372">
        <f>IFERROR(VLOOKUP($D229,'Info planes y paquetes'!$C$767:$L$874,'Cálculos auxiliares'!K$191,FALSE),"")</f>
        <v>12809</v>
      </c>
      <c r="L229" s="396"/>
      <c r="M229" s="396"/>
      <c r="N229" s="262"/>
      <c r="V229" s="262"/>
      <c r="X229" s="262"/>
      <c r="Y229" s="262"/>
      <c r="AA229" s="262"/>
      <c r="AD229" s="262"/>
      <c r="AE229" s="262"/>
    </row>
    <row r="230" spans="3:31" s="44" customFormat="1" x14ac:dyDescent="0.25">
      <c r="C230" s="95">
        <f t="shared" si="21"/>
        <v>37</v>
      </c>
      <c r="D230" s="101" t="str">
        <v>Paquete Infinitum Play 40 (Netflix 4 dispositivos)</v>
      </c>
      <c r="F230" s="113" t="str">
        <f>VLOOKUP($D230,'Info planes y paquetes'!$C$767:$L$874,2,FALSE)</f>
        <v>Residencial</v>
      </c>
      <c r="G230" s="113" t="str">
        <f>VLOOKUP($D230,'Info planes y paquetes'!$C$767:$L$874,3,FALSE)</f>
        <v>Telefonía fija + Internet fijo</v>
      </c>
      <c r="H230" s="113">
        <f>IFERROR(VLOOKUP($D230,'Info planes y paquetes'!$C$471:$BS$579,65,FALSE),"")</f>
        <v>40</v>
      </c>
      <c r="I230" s="113">
        <f>IFERROR(VLOOKUP($D230,'Info planes y paquetes'!$C$471:$BS$579,66,FALSE),"")</f>
        <v>5</v>
      </c>
      <c r="J230" s="171">
        <f>IFERROR(SUM(VLOOKUP($D230,'Info planes y paquetes'!$C$767:$L$874,'Cálculos auxiliares'!L$191,FALSE),VLOOKUP($D230,'Info planes y paquetes'!$C$767:$L$874,'Cálculos auxiliares'!J$191,FALSE)),"")</f>
        <v>956</v>
      </c>
      <c r="K230" s="372">
        <f>IFERROR(VLOOKUP($D230,'Info planes y paquetes'!$C$767:$L$874,'Cálculos auxiliares'!K$191,FALSE),"")</f>
        <v>4776</v>
      </c>
      <c r="L230" s="396"/>
      <c r="M230" s="396"/>
      <c r="N230" s="262"/>
      <c r="V230" s="262"/>
      <c r="X230" s="262"/>
      <c r="Y230" s="262"/>
      <c r="AA230" s="262"/>
      <c r="AD230" s="262"/>
      <c r="AE230" s="262"/>
    </row>
    <row r="231" spans="3:31" s="44" customFormat="1" x14ac:dyDescent="0.25">
      <c r="C231" s="95">
        <f t="shared" si="21"/>
        <v>38</v>
      </c>
      <c r="D231" s="101" t="str">
        <v>Paquete Infinitum Play 150 (Netflix 4 dispositivos)</v>
      </c>
      <c r="F231" s="113" t="str">
        <f>VLOOKUP($D231,'Info planes y paquetes'!$C$767:$L$874,2,FALSE)</f>
        <v>Residencial</v>
      </c>
      <c r="G231" s="113" t="str">
        <f>VLOOKUP($D231,'Info planes y paquetes'!$C$767:$L$874,3,FALSE)</f>
        <v>Telefonía fija + Internet fijo</v>
      </c>
      <c r="H231" s="113">
        <f>IFERROR(VLOOKUP($D231,'Info planes y paquetes'!$C$471:$BS$579,65,FALSE),"")</f>
        <v>150</v>
      </c>
      <c r="I231" s="113">
        <f>IFERROR(VLOOKUP($D231,'Info planes y paquetes'!$C$471:$BS$579,66,FALSE),"")</f>
        <v>20</v>
      </c>
      <c r="J231" s="171">
        <f>IFERROR(SUM(VLOOKUP($D231,'Info planes y paquetes'!$C$767:$L$874,'Cálculos auxiliares'!L$191,FALSE),VLOOKUP($D231,'Info planes y paquetes'!$C$767:$L$874,'Cálculos auxiliares'!J$191,FALSE)),"")</f>
        <v>585</v>
      </c>
      <c r="K231" s="372">
        <f>IFERROR(VLOOKUP($D231,'Info planes y paquetes'!$C$767:$L$874,'Cálculos auxiliares'!K$191,FALSE),"")</f>
        <v>24941</v>
      </c>
      <c r="L231" s="396"/>
      <c r="M231" s="396"/>
      <c r="N231" s="262"/>
      <c r="V231" s="262"/>
      <c r="X231" s="262"/>
      <c r="Y231" s="262"/>
      <c r="AA231" s="262"/>
      <c r="AD231" s="262"/>
      <c r="AE231" s="262"/>
    </row>
    <row r="232" spans="3:31" s="262" customFormat="1" x14ac:dyDescent="0.25">
      <c r="C232" s="95">
        <f t="shared" si="21"/>
        <v>39</v>
      </c>
      <c r="D232" s="101" t="str">
        <v>Paquete Infinitum Play 150 (Netflix 2 dispositivos)</v>
      </c>
      <c r="F232" s="113" t="str">
        <f>VLOOKUP($D232,'Info planes y paquetes'!$C$767:$L$874,2,FALSE)</f>
        <v>Residencial</v>
      </c>
      <c r="G232" s="113" t="str">
        <f>VLOOKUP($D232,'Info planes y paquetes'!$C$767:$L$874,3,FALSE)</f>
        <v>Telefonía fija + Internet fijo</v>
      </c>
      <c r="H232" s="113">
        <f>IFERROR(VLOOKUP($D232,'Info planes y paquetes'!$C$471:$BS$579,65,FALSE),"")</f>
        <v>150</v>
      </c>
      <c r="I232" s="113">
        <f>IFERROR(VLOOKUP($D232,'Info planes y paquetes'!$C$471:$BS$579,66,FALSE),"")</f>
        <v>20</v>
      </c>
      <c r="J232" s="171">
        <f>IFERROR(SUM(VLOOKUP($D232,'Info planes y paquetes'!$C$767:$L$874,'Cálculos auxiliares'!L$191,FALSE),VLOOKUP($D232,'Info planes y paquetes'!$C$767:$L$874,'Cálculos auxiliares'!J$191,FALSE)),"")</f>
        <v>219</v>
      </c>
      <c r="K232" s="372">
        <f>IFERROR(VLOOKUP($D232,'Info planes y paquetes'!$C$767:$L$874,'Cálculos auxiliares'!K$191,FALSE),"")</f>
        <v>7385</v>
      </c>
      <c r="L232" s="396"/>
      <c r="M232" s="396"/>
    </row>
    <row r="233" spans="3:31" s="262" customFormat="1" x14ac:dyDescent="0.25">
      <c r="C233" s="95">
        <f t="shared" si="21"/>
        <v>40</v>
      </c>
      <c r="D233" s="101" t="str">
        <v>Paquete Infinitum Netflix 500 (Netflix 4 dispositivos)</v>
      </c>
      <c r="F233" s="113" t="str">
        <f>VLOOKUP($D233,'Info planes y paquetes'!$C$767:$L$874,2,FALSE)</f>
        <v>Residencial</v>
      </c>
      <c r="G233" s="113" t="str">
        <f>VLOOKUP($D233,'Info planes y paquetes'!$C$767:$L$874,3,FALSE)</f>
        <v>Telefonía fija + Internet fijo</v>
      </c>
      <c r="H233" s="113">
        <f>IFERROR(VLOOKUP($D233,'Info planes y paquetes'!$C$471:$BS$579,65,FALSE),"")</f>
        <v>500</v>
      </c>
      <c r="I233" s="113">
        <f>IFERROR(VLOOKUP($D233,'Info planes y paquetes'!$C$471:$BS$579,66,FALSE),"")</f>
        <v>50</v>
      </c>
      <c r="J233" s="171">
        <f>IFERROR(SUM(VLOOKUP($D233,'Info planes y paquetes'!$C$767:$L$874,'Cálculos auxiliares'!L$191,FALSE),VLOOKUP($D233,'Info planes y paquetes'!$C$767:$L$874,'Cálculos auxiliares'!J$191,FALSE)),"")</f>
        <v>2</v>
      </c>
      <c r="K233" s="372">
        <f>IFERROR(VLOOKUP($D233,'Info planes y paquetes'!$C$767:$L$874,'Cálculos auxiliares'!K$191,FALSE),"")</f>
        <v>3156</v>
      </c>
      <c r="L233" s="396"/>
      <c r="M233" s="396"/>
    </row>
    <row r="234" spans="3:31" s="262" customFormat="1" x14ac:dyDescent="0.25">
      <c r="C234" s="95">
        <f t="shared" si="21"/>
        <v>41</v>
      </c>
      <c r="D234" s="101" t="str">
        <v>Paquete Infinitum Netflix 500 (Netflix 2 dispositivos)</v>
      </c>
      <c r="F234" s="113" t="str">
        <f>VLOOKUP($D234,'Info planes y paquetes'!$C$767:$L$874,2,FALSE)</f>
        <v>Residencial</v>
      </c>
      <c r="G234" s="113" t="str">
        <f>VLOOKUP($D234,'Info planes y paquetes'!$C$767:$L$874,3,FALSE)</f>
        <v>Telefonía fija + Internet fijo</v>
      </c>
      <c r="H234" s="113">
        <f>IFERROR(VLOOKUP($D234,'Info planes y paquetes'!$C$471:$BS$579,65,FALSE),"")</f>
        <v>500</v>
      </c>
      <c r="I234" s="113">
        <f>IFERROR(VLOOKUP($D234,'Info planes y paquetes'!$C$471:$BS$579,66,FALSE),"")</f>
        <v>50</v>
      </c>
      <c r="J234" s="171">
        <f>IFERROR(SUM(VLOOKUP($D234,'Info planes y paquetes'!$C$767:$L$874,'Cálculos auxiliares'!L$191,FALSE),VLOOKUP($D234,'Info planes y paquetes'!$C$767:$L$874,'Cálculos auxiliares'!J$191,FALSE)),"")</f>
        <v>0</v>
      </c>
      <c r="K234" s="372">
        <f>IFERROR(VLOOKUP($D234,'Info planes y paquetes'!$C$767:$L$874,'Cálculos auxiliares'!K$191,FALSE),"")</f>
        <v>444</v>
      </c>
      <c r="L234" s="396"/>
      <c r="M234" s="396"/>
    </row>
    <row r="235" spans="3:31" s="262" customFormat="1" x14ac:dyDescent="0.25">
      <c r="C235" s="95">
        <f t="shared" si="21"/>
        <v>42</v>
      </c>
      <c r="D235" s="101" t="str">
        <v>Infinitum Netflix 50 (Netflix 1 dispositivo)</v>
      </c>
      <c r="F235" s="113" t="str">
        <f>VLOOKUP($D235,'Info planes y paquetes'!$C$767:$L$874,2,FALSE)</f>
        <v>Residencial</v>
      </c>
      <c r="G235" s="113" t="str">
        <f>VLOOKUP($D235,'Info planes y paquetes'!$C$767:$L$874,3,FALSE)</f>
        <v>Internet fijo</v>
      </c>
      <c r="H235" s="113">
        <f>IFERROR(VLOOKUP($D235,'Info planes y paquetes'!$C$471:$BS$579,65,FALSE),"")</f>
        <v>50</v>
      </c>
      <c r="I235" s="113">
        <f>IFERROR(VLOOKUP($D235,'Info planes y paquetes'!$C$471:$BS$579,66,FALSE),"")</f>
        <v>5</v>
      </c>
      <c r="J235" s="171">
        <f>IFERROR(SUM(VLOOKUP($D235,'Info planes y paquetes'!$C$767:$L$874,'Cálculos auxiliares'!L$191,FALSE),VLOOKUP($D235,'Info planes y paquetes'!$C$767:$L$874,'Cálculos auxiliares'!J$191,FALSE)),"")</f>
        <v>13277</v>
      </c>
      <c r="K235" s="372">
        <f>IFERROR(VLOOKUP($D235,'Info planes y paquetes'!$C$767:$L$874,'Cálculos auxiliares'!K$191,FALSE),"")</f>
        <v>16884</v>
      </c>
      <c r="L235" s="396"/>
      <c r="M235" s="396"/>
    </row>
    <row r="236" spans="3:31" s="262" customFormat="1" x14ac:dyDescent="0.25">
      <c r="C236" s="95">
        <f t="shared" si="21"/>
        <v>43</v>
      </c>
      <c r="D236" s="101" t="str">
        <v>Infinitum Netflix 50 (Netflix 2 dispositivos)</v>
      </c>
      <c r="F236" s="113" t="str">
        <f>VLOOKUP($D236,'Info planes y paquetes'!$C$767:$L$874,2,FALSE)</f>
        <v>Residencial</v>
      </c>
      <c r="G236" s="113" t="str">
        <f>VLOOKUP($D236,'Info planes y paquetes'!$C$767:$L$874,3,FALSE)</f>
        <v>Internet fijo</v>
      </c>
      <c r="H236" s="113">
        <f>IFERROR(VLOOKUP($D236,'Info planes y paquetes'!$C$471:$BS$579,65,FALSE),"")</f>
        <v>50</v>
      </c>
      <c r="I236" s="113">
        <f>IFERROR(VLOOKUP($D236,'Info planes y paquetes'!$C$471:$BS$579,66,FALSE),"")</f>
        <v>5</v>
      </c>
      <c r="J236" s="171">
        <f>IFERROR(SUM(VLOOKUP($D236,'Info planes y paquetes'!$C$767:$L$874,'Cálculos auxiliares'!L$191,FALSE),VLOOKUP($D236,'Info planes y paquetes'!$C$767:$L$874,'Cálculos auxiliares'!J$191,FALSE)),"")</f>
        <v>15496</v>
      </c>
      <c r="K236" s="372">
        <f>IFERROR(VLOOKUP($D236,'Info planes y paquetes'!$C$767:$L$874,'Cálculos auxiliares'!K$191,FALSE),"")</f>
        <v>13696</v>
      </c>
      <c r="L236" s="396"/>
      <c r="M236" s="396"/>
    </row>
    <row r="237" spans="3:31" s="262" customFormat="1" x14ac:dyDescent="0.25">
      <c r="C237" s="95">
        <f t="shared" si="21"/>
        <v>44</v>
      </c>
      <c r="D237" s="101" t="str">
        <v>Infinitum Netflix 50 (Netflix 4 dispositivos)</v>
      </c>
      <c r="F237" s="113" t="str">
        <f>VLOOKUP($D237,'Info planes y paquetes'!$C$767:$L$874,2,FALSE)</f>
        <v>Residencial</v>
      </c>
      <c r="G237" s="113" t="str">
        <f>VLOOKUP($D237,'Info planes y paquetes'!$C$767:$L$874,3,FALSE)</f>
        <v>Internet fijo</v>
      </c>
      <c r="H237" s="113">
        <f>IFERROR(VLOOKUP($D237,'Info planes y paquetes'!$C$471:$BS$579,65,FALSE),"")</f>
        <v>50</v>
      </c>
      <c r="I237" s="113">
        <f>IFERROR(VLOOKUP($D237,'Info planes y paquetes'!$C$471:$BS$579,66,FALSE),"")</f>
        <v>5</v>
      </c>
      <c r="J237" s="171">
        <f>IFERROR(SUM(VLOOKUP($D237,'Info planes y paquetes'!$C$767:$L$874,'Cálculos auxiliares'!L$191,FALSE),VLOOKUP($D237,'Info planes y paquetes'!$C$767:$L$874,'Cálculos auxiliares'!J$191,FALSE)),"")</f>
        <v>5600</v>
      </c>
      <c r="K237" s="372">
        <f>IFERROR(VLOOKUP($D237,'Info planes y paquetes'!$C$767:$L$874,'Cálculos auxiliares'!K$191,FALSE),"")</f>
        <v>8529</v>
      </c>
      <c r="L237" s="396"/>
      <c r="M237" s="396"/>
    </row>
    <row r="238" spans="3:31" s="262" customFormat="1" x14ac:dyDescent="0.25">
      <c r="C238" s="95">
        <f t="shared" si="21"/>
        <v>45</v>
      </c>
      <c r="D238" s="101" t="str">
        <v>Infinitum Netflix 60 (Netflix 2 dispositivos)</v>
      </c>
      <c r="F238" s="113" t="str">
        <f>VLOOKUP($D238,'Info planes y paquetes'!$C$767:$L$874,2,FALSE)</f>
        <v>Residencial</v>
      </c>
      <c r="G238" s="113" t="str">
        <f>VLOOKUP($D238,'Info planes y paquetes'!$C$767:$L$874,3,FALSE)</f>
        <v>Internet fijo</v>
      </c>
      <c r="H238" s="113">
        <f>IFERROR(VLOOKUP($D238,'Info planes y paquetes'!$C$471:$BS$579,65,FALSE),"")</f>
        <v>60</v>
      </c>
      <c r="I238" s="113">
        <f>IFERROR(VLOOKUP($D238,'Info planes y paquetes'!$C$471:$BS$579,66,FALSE),"")</f>
        <v>5</v>
      </c>
      <c r="J238" s="171">
        <f>IFERROR(SUM(VLOOKUP($D238,'Info planes y paquetes'!$C$767:$L$874,'Cálculos auxiliares'!L$191,FALSE),VLOOKUP($D238,'Info planes y paquetes'!$C$767:$L$874,'Cálculos auxiliares'!J$191,FALSE)),"")</f>
        <v>2213</v>
      </c>
      <c r="K238" s="372">
        <f>IFERROR(VLOOKUP($D238,'Info planes y paquetes'!$C$767:$L$874,'Cálculos auxiliares'!K$191,FALSE),"")</f>
        <v>12270</v>
      </c>
      <c r="L238" s="396"/>
      <c r="M238" s="396"/>
    </row>
    <row r="239" spans="3:31" s="262" customFormat="1" x14ac:dyDescent="0.25">
      <c r="C239" s="95">
        <f t="shared" si="21"/>
        <v>46</v>
      </c>
      <c r="D239" s="101" t="str">
        <v>Infinitum Netflix 60 (Netflix 4 dispositivos)</v>
      </c>
      <c r="F239" s="113" t="str">
        <f>VLOOKUP($D239,'Info planes y paquetes'!$C$767:$L$874,2,FALSE)</f>
        <v>Residencial</v>
      </c>
      <c r="G239" s="113" t="str">
        <f>VLOOKUP($D239,'Info planes y paquetes'!$C$767:$L$874,3,FALSE)</f>
        <v>Internet fijo</v>
      </c>
      <c r="H239" s="113">
        <f>IFERROR(VLOOKUP($D239,'Info planes y paquetes'!$C$471:$BS$579,65,FALSE),"")</f>
        <v>60</v>
      </c>
      <c r="I239" s="113">
        <f>IFERROR(VLOOKUP($D239,'Info planes y paquetes'!$C$471:$BS$579,66,FALSE),"")</f>
        <v>5</v>
      </c>
      <c r="J239" s="171">
        <f>IFERROR(SUM(VLOOKUP($D239,'Info planes y paquetes'!$C$767:$L$874,'Cálculos auxiliares'!L$191,FALSE),VLOOKUP($D239,'Info planes y paquetes'!$C$767:$L$874,'Cálculos auxiliares'!J$191,FALSE)),"")</f>
        <v>792</v>
      </c>
      <c r="K239" s="372">
        <f>IFERROR(VLOOKUP($D239,'Info planes y paquetes'!$C$767:$L$874,'Cálculos auxiliares'!K$191,FALSE),"")</f>
        <v>3725</v>
      </c>
      <c r="L239" s="396"/>
      <c r="M239" s="396"/>
    </row>
    <row r="240" spans="3:31" s="262" customFormat="1" x14ac:dyDescent="0.25">
      <c r="C240" s="95">
        <f t="shared" si="21"/>
        <v>47</v>
      </c>
      <c r="D240" s="101" t="str">
        <v>Infinitum Netflix 200 (Netflix 4 dispositivos)</v>
      </c>
      <c r="F240" s="113" t="str">
        <f>VLOOKUP($D240,'Info planes y paquetes'!$C$767:$L$874,2,FALSE)</f>
        <v>Residencial</v>
      </c>
      <c r="G240" s="113" t="str">
        <f>VLOOKUP($D240,'Info planes y paquetes'!$C$767:$L$874,3,FALSE)</f>
        <v>Internet fijo</v>
      </c>
      <c r="H240" s="113">
        <f>IFERROR(VLOOKUP($D240,'Info planes y paquetes'!$C$471:$BS$579,65,FALSE),"")</f>
        <v>200</v>
      </c>
      <c r="I240" s="113">
        <f>IFERROR(VLOOKUP($D240,'Info planes y paquetes'!$C$471:$BS$579,66,FALSE),"")</f>
        <v>20</v>
      </c>
      <c r="J240" s="171">
        <f>IFERROR(SUM(VLOOKUP($D240,'Info planes y paquetes'!$C$767:$L$874,'Cálculos auxiliares'!L$191,FALSE),VLOOKUP($D240,'Info planes y paquetes'!$C$767:$L$874,'Cálculos auxiliares'!J$191,FALSE)),"")</f>
        <v>103</v>
      </c>
      <c r="K240" s="372">
        <f>IFERROR(VLOOKUP($D240,'Info planes y paquetes'!$C$767:$L$874,'Cálculos auxiliares'!K$191,FALSE),"")</f>
        <v>7798</v>
      </c>
      <c r="L240" s="396"/>
      <c r="M240" s="396"/>
    </row>
    <row r="241" spans="3:13" s="262" customFormat="1" x14ac:dyDescent="0.25">
      <c r="C241" s="95">
        <f t="shared" si="21"/>
        <v>48</v>
      </c>
      <c r="D241" s="101" t="str">
        <v>Infinitum Netflix 200 (Netflix 2 dispositivos)</v>
      </c>
      <c r="F241" s="113" t="str">
        <f>VLOOKUP($D241,'Info planes y paquetes'!$C$767:$L$874,2,FALSE)</f>
        <v>Residencial</v>
      </c>
      <c r="G241" s="113" t="str">
        <f>VLOOKUP($D241,'Info planes y paquetes'!$C$767:$L$874,3,FALSE)</f>
        <v>Internet fijo</v>
      </c>
      <c r="H241" s="113">
        <f>IFERROR(VLOOKUP($D241,'Info planes y paquetes'!$C$471:$BS$579,65,FALSE),"")</f>
        <v>200</v>
      </c>
      <c r="I241" s="113">
        <f>IFERROR(VLOOKUP($D241,'Info planes y paquetes'!$C$471:$BS$579,66,FALSE),"")</f>
        <v>20</v>
      </c>
      <c r="J241" s="171">
        <f>IFERROR(SUM(VLOOKUP($D241,'Info planes y paquetes'!$C$767:$L$874,'Cálculos auxiliares'!L$191,FALSE),VLOOKUP($D241,'Info planes y paquetes'!$C$767:$L$874,'Cálculos auxiliares'!J$191,FALSE)),"")</f>
        <v>44</v>
      </c>
      <c r="K241" s="372">
        <f>IFERROR(VLOOKUP($D241,'Info planes y paquetes'!$C$767:$L$874,'Cálculos auxiliares'!K$191,FALSE),"")</f>
        <v>1403</v>
      </c>
      <c r="L241" s="396"/>
      <c r="M241" s="396"/>
    </row>
    <row r="242" spans="3:13" s="262" customFormat="1" x14ac:dyDescent="0.25">
      <c r="C242" s="95">
        <f t="shared" si="21"/>
        <v>49</v>
      </c>
      <c r="D242" s="101" t="str">
        <v>Infinitum Netflix 500 (Netflix 4 dispositivos)</v>
      </c>
      <c r="F242" s="113" t="str">
        <f>VLOOKUP($D242,'Info planes y paquetes'!$C$767:$L$874,2,FALSE)</f>
        <v>Residencial</v>
      </c>
      <c r="G242" s="113" t="str">
        <f>VLOOKUP($D242,'Info planes y paquetes'!$C$767:$L$874,3,FALSE)</f>
        <v>Internet fijo</v>
      </c>
      <c r="H242" s="113">
        <f>IFERROR(VLOOKUP($D242,'Info planes y paquetes'!$C$471:$BS$579,65,FALSE),"")</f>
        <v>500</v>
      </c>
      <c r="I242" s="113">
        <f>IFERROR(VLOOKUP($D242,'Info planes y paquetes'!$C$471:$BS$579,66,FALSE),"")</f>
        <v>50</v>
      </c>
      <c r="J242" s="171">
        <f>IFERROR(SUM(VLOOKUP($D242,'Info planes y paquetes'!$C$767:$L$874,'Cálculos auxiliares'!L$191,FALSE),VLOOKUP($D242,'Info planes y paquetes'!$C$767:$L$874,'Cálculos auxiliares'!J$191,FALSE)),"")</f>
        <v>1</v>
      </c>
      <c r="K242" s="372">
        <f>IFERROR(VLOOKUP($D242,'Info planes y paquetes'!$C$767:$L$874,'Cálculos auxiliares'!K$191,FALSE),"")</f>
        <v>927</v>
      </c>
      <c r="L242" s="396"/>
      <c r="M242" s="396"/>
    </row>
    <row r="243" spans="3:13" s="262" customFormat="1" x14ac:dyDescent="0.25">
      <c r="C243" s="95">
        <f t="shared" si="21"/>
        <v>50</v>
      </c>
      <c r="D243" s="101" t="str">
        <v>Infinitum Netflix 500 (Netflix 2 dispositivos)</v>
      </c>
      <c r="F243" s="113" t="str">
        <f>VLOOKUP($D243,'Info planes y paquetes'!$C$767:$L$874,2,FALSE)</f>
        <v>Residencial</v>
      </c>
      <c r="G243" s="113" t="str">
        <f>VLOOKUP($D243,'Info planes y paquetes'!$C$767:$L$874,3,FALSE)</f>
        <v>Internet fijo</v>
      </c>
      <c r="H243" s="113">
        <f>IFERROR(VLOOKUP($D243,'Info planes y paquetes'!$C$471:$BS$579,65,FALSE),"")</f>
        <v>500</v>
      </c>
      <c r="I243" s="113">
        <f>IFERROR(VLOOKUP($D243,'Info planes y paquetes'!$C$471:$BS$579,66,FALSE),"")</f>
        <v>50</v>
      </c>
      <c r="J243" s="171">
        <f>IFERROR(SUM(VLOOKUP($D243,'Info planes y paquetes'!$C$767:$L$874,'Cálculos auxiliares'!L$191,FALSE),VLOOKUP($D243,'Info planes y paquetes'!$C$767:$L$874,'Cálculos auxiliares'!J$191,FALSE)),"")</f>
        <v>0</v>
      </c>
      <c r="K243" s="372">
        <f>IFERROR(VLOOKUP($D243,'Info planes y paquetes'!$C$767:$L$874,'Cálculos auxiliares'!K$191,FALSE),"")</f>
        <v>95</v>
      </c>
      <c r="L243" s="396"/>
      <c r="M243" s="396"/>
    </row>
    <row r="244" spans="3:13" s="262" customFormat="1" x14ac:dyDescent="0.25">
      <c r="C244" s="95">
        <f t="shared" si="21"/>
        <v>51</v>
      </c>
      <c r="D244" s="101" t="str">
        <v>Paquete Conectes Negocio Netflix (Netflix 1 dispositivo)</v>
      </c>
      <c r="F244" s="113" t="str">
        <f>VLOOKUP($D244,'Info planes y paquetes'!$C$767:$L$874,2,FALSE)</f>
        <v>No Residencial</v>
      </c>
      <c r="G244" s="113" t="str">
        <f>VLOOKUP($D244,'Info planes y paquetes'!$C$767:$L$874,3,FALSE)</f>
        <v>Telefonía fija + Internet fijo</v>
      </c>
      <c r="H244" s="113">
        <f>IFERROR(VLOOKUP($D244,'Info planes y paquetes'!$C$471:$BS$579,65,FALSE),"")</f>
        <v>20</v>
      </c>
      <c r="I244" s="113">
        <f>IFERROR(VLOOKUP($D244,'Info planes y paquetes'!$C$471:$BS$579,66,FALSE),"")</f>
        <v>5</v>
      </c>
      <c r="J244" s="171">
        <f>IFERROR(SUM(VLOOKUP($D244,'Info planes y paquetes'!$C$767:$L$874,'Cálculos auxiliares'!L$191,FALSE),VLOOKUP($D244,'Info planes y paquetes'!$C$767:$L$874,'Cálculos auxiliares'!J$191,FALSE)),"")</f>
        <v>786</v>
      </c>
      <c r="K244" s="372">
        <f>IFERROR(VLOOKUP($D244,'Info planes y paquetes'!$C$767:$L$874,'Cálculos auxiliares'!K$191,FALSE),"")</f>
        <v>1361</v>
      </c>
      <c r="L244" s="396"/>
      <c r="M244" s="396"/>
    </row>
    <row r="245" spans="3:13" s="262" customFormat="1" x14ac:dyDescent="0.25">
      <c r="C245" s="95">
        <f t="shared" si="21"/>
        <v>52</v>
      </c>
      <c r="D245" s="101" t="str">
        <v>Paquete Conectes Negocio Netflix (Netflix 2 dispositivos)</v>
      </c>
      <c r="F245" s="113" t="str">
        <f>VLOOKUP($D245,'Info planes y paquetes'!$C$767:$L$874,2,FALSE)</f>
        <v>No Residencial</v>
      </c>
      <c r="G245" s="113" t="str">
        <f>VLOOKUP($D245,'Info planes y paquetes'!$C$767:$L$874,3,FALSE)</f>
        <v>Telefonía fija + Internet fijo</v>
      </c>
      <c r="H245" s="113">
        <f>IFERROR(VLOOKUP($D245,'Info planes y paquetes'!$C$471:$BS$579,65,FALSE),"")</f>
        <v>20</v>
      </c>
      <c r="I245" s="113">
        <f>IFERROR(VLOOKUP($D245,'Info planes y paquetes'!$C$471:$BS$579,66,FALSE),"")</f>
        <v>5</v>
      </c>
      <c r="J245" s="171">
        <f>IFERROR(SUM(VLOOKUP($D245,'Info planes y paquetes'!$C$767:$L$874,'Cálculos auxiliares'!L$191,FALSE),VLOOKUP($D245,'Info planes y paquetes'!$C$767:$L$874,'Cálculos auxiliares'!J$191,FALSE)),"")</f>
        <v>347</v>
      </c>
      <c r="K245" s="372">
        <f>IFERROR(VLOOKUP($D245,'Info planes y paquetes'!$C$767:$L$874,'Cálculos auxiliares'!K$191,FALSE),"")</f>
        <v>785</v>
      </c>
      <c r="L245" s="396"/>
      <c r="M245" s="396"/>
    </row>
    <row r="246" spans="3:13" s="262" customFormat="1" x14ac:dyDescent="0.25">
      <c r="C246" s="95">
        <f t="shared" si="21"/>
        <v>53</v>
      </c>
      <c r="D246" s="101" t="str">
        <v>Paquete Conectes Negocio Netflix (Netflix 4 dispositivos)</v>
      </c>
      <c r="F246" s="113" t="str">
        <f>VLOOKUP($D246,'Info planes y paquetes'!$C$767:$L$874,2,FALSE)</f>
        <v>No Residencial</v>
      </c>
      <c r="G246" s="113" t="str">
        <f>VLOOKUP($D246,'Info planes y paquetes'!$C$767:$L$874,3,FALSE)</f>
        <v>Telefonía fija + Internet fijo</v>
      </c>
      <c r="H246" s="113">
        <f>IFERROR(VLOOKUP($D246,'Info planes y paquetes'!$C$471:$BS$579,65,FALSE),"")</f>
        <v>20</v>
      </c>
      <c r="I246" s="113">
        <f>IFERROR(VLOOKUP($D246,'Info planes y paquetes'!$C$471:$BS$579,66,FALSE),"")</f>
        <v>5</v>
      </c>
      <c r="J246" s="171">
        <f>IFERROR(SUM(VLOOKUP($D246,'Info planes y paquetes'!$C$767:$L$874,'Cálculos auxiliares'!L$191,FALSE),VLOOKUP($D246,'Info planes y paquetes'!$C$767:$L$874,'Cálculos auxiliares'!J$191,FALSE)),"")</f>
        <v>293</v>
      </c>
      <c r="K246" s="372">
        <f>IFERROR(VLOOKUP($D246,'Info planes y paquetes'!$C$767:$L$874,'Cálculos auxiliares'!K$191,FALSE),"")</f>
        <v>507</v>
      </c>
      <c r="L246" s="396"/>
      <c r="M246" s="396"/>
    </row>
    <row r="247" spans="3:13" s="262" customFormat="1" x14ac:dyDescent="0.25">
      <c r="C247" s="95">
        <f t="shared" si="21"/>
        <v>54</v>
      </c>
      <c r="D247" s="101" t="str">
        <v>Paquete Mi Negocio Netflix (Netflix 2 dispositivos)</v>
      </c>
      <c r="F247" s="113" t="str">
        <f>VLOOKUP($D247,'Info planes y paquetes'!$C$767:$L$874,2,FALSE)</f>
        <v>No Residencial</v>
      </c>
      <c r="G247" s="113" t="str">
        <f>VLOOKUP($D247,'Info planes y paquetes'!$C$767:$L$874,3,FALSE)</f>
        <v>Telefonía fija + Internet fijo</v>
      </c>
      <c r="H247" s="113">
        <f>IFERROR(VLOOKUP($D247,'Info planes y paquetes'!$C$471:$BS$579,65,FALSE),"")</f>
        <v>100</v>
      </c>
      <c r="I247" s="113">
        <f>IFERROR(VLOOKUP($D247,'Info planes y paquetes'!$C$471:$BS$579,66,FALSE),"")</f>
        <v>10</v>
      </c>
      <c r="J247" s="171">
        <f>IFERROR(SUM(VLOOKUP($D247,'Info planes y paquetes'!$C$767:$L$874,'Cálculos auxiliares'!L$191,FALSE),VLOOKUP($D247,'Info planes y paquetes'!$C$767:$L$874,'Cálculos auxiliares'!J$191,FALSE)),"")</f>
        <v>278</v>
      </c>
      <c r="K247" s="372">
        <f>IFERROR(VLOOKUP($D247,'Info planes y paquetes'!$C$767:$L$874,'Cálculos auxiliares'!K$191,FALSE),"")</f>
        <v>776</v>
      </c>
      <c r="L247" s="396"/>
      <c r="M247" s="396"/>
    </row>
    <row r="248" spans="3:13" s="262" customFormat="1" x14ac:dyDescent="0.25">
      <c r="C248" s="95">
        <f t="shared" si="21"/>
        <v>55</v>
      </c>
      <c r="D248" s="101" t="str">
        <v>Paquete Mi Negocio Netflix (Netflix 4 dispositivos)</v>
      </c>
      <c r="F248" s="113" t="str">
        <f>VLOOKUP($D248,'Info planes y paquetes'!$C$767:$L$874,2,FALSE)</f>
        <v>No Residencial</v>
      </c>
      <c r="G248" s="113" t="str">
        <f>VLOOKUP($D248,'Info planes y paquetes'!$C$767:$L$874,3,FALSE)</f>
        <v>Telefonía fija + Internet fijo</v>
      </c>
      <c r="H248" s="113">
        <f>IFERROR(VLOOKUP($D248,'Info planes y paquetes'!$C$471:$BS$579,65,FALSE),"")</f>
        <v>100</v>
      </c>
      <c r="I248" s="113">
        <f>IFERROR(VLOOKUP($D248,'Info planes y paquetes'!$C$471:$BS$579,66,FALSE),"")</f>
        <v>10</v>
      </c>
      <c r="J248" s="171">
        <f>IFERROR(SUM(VLOOKUP($D248,'Info planes y paquetes'!$C$767:$L$874,'Cálculos auxiliares'!L$191,FALSE),VLOOKUP($D248,'Info planes y paquetes'!$C$767:$L$874,'Cálculos auxiliares'!J$191,FALSE)),"")</f>
        <v>183</v>
      </c>
      <c r="K248" s="372">
        <f>IFERROR(VLOOKUP($D248,'Info planes y paquetes'!$C$767:$L$874,'Cálculos auxiliares'!K$191,FALSE),"")</f>
        <v>639</v>
      </c>
      <c r="L248" s="396"/>
      <c r="M248" s="396"/>
    </row>
    <row r="249" spans="3:13" s="262" customFormat="1" x14ac:dyDescent="0.25">
      <c r="C249" s="95">
        <f t="shared" si="21"/>
        <v>56</v>
      </c>
      <c r="D249" s="101" t="str">
        <v>Paquete Supernegocio Netflix (Netflix 2 dispositivos)</v>
      </c>
      <c r="F249" s="113" t="str">
        <f>VLOOKUP($D249,'Info planes y paquetes'!$C$767:$L$874,2,FALSE)</f>
        <v>No Residencial</v>
      </c>
      <c r="G249" s="113" t="str">
        <f>VLOOKUP($D249,'Info planes y paquetes'!$C$767:$L$874,3,FALSE)</f>
        <v>Telefonía fija + Internet fijo</v>
      </c>
      <c r="H249" s="113">
        <f>IFERROR(VLOOKUP($D249,'Info planes y paquetes'!$C$471:$BS$579,65,FALSE),"")</f>
        <v>200</v>
      </c>
      <c r="I249" s="113">
        <f>IFERROR(VLOOKUP($D249,'Info planes y paquetes'!$C$471:$BS$579,66,FALSE),"")</f>
        <v>20</v>
      </c>
      <c r="J249" s="171">
        <f>IFERROR(SUM(VLOOKUP($D249,'Info planes y paquetes'!$C$767:$L$874,'Cálculos auxiliares'!L$191,FALSE),VLOOKUP($D249,'Info planes y paquetes'!$C$767:$L$874,'Cálculos auxiliares'!J$191,FALSE)),"")</f>
        <v>124</v>
      </c>
      <c r="K249" s="372">
        <f>IFERROR(VLOOKUP($D249,'Info planes y paquetes'!$C$767:$L$874,'Cálculos auxiliares'!K$191,FALSE),"")</f>
        <v>695</v>
      </c>
      <c r="L249" s="396"/>
      <c r="M249" s="396"/>
    </row>
    <row r="250" spans="3:13" s="262" customFormat="1" x14ac:dyDescent="0.25">
      <c r="C250" s="95">
        <f t="shared" si="21"/>
        <v>57</v>
      </c>
      <c r="D250" s="101" t="str">
        <v>Paquete Supernegocio Netflix (Netflix 4 dispositivos)</v>
      </c>
      <c r="F250" s="113" t="str">
        <f>VLOOKUP($D250,'Info planes y paquetes'!$C$767:$L$874,2,FALSE)</f>
        <v>No Residencial</v>
      </c>
      <c r="G250" s="113" t="str">
        <f>VLOOKUP($D250,'Info planes y paquetes'!$C$767:$L$874,3,FALSE)</f>
        <v>Telefonía fija + Internet fijo</v>
      </c>
      <c r="H250" s="113">
        <f>IFERROR(VLOOKUP($D250,'Info planes y paquetes'!$C$471:$BS$579,65,FALSE),"")</f>
        <v>200</v>
      </c>
      <c r="I250" s="113">
        <f>IFERROR(VLOOKUP($D250,'Info planes y paquetes'!$C$471:$BS$579,66,FALSE),"")</f>
        <v>20</v>
      </c>
      <c r="J250" s="171">
        <f>IFERROR(SUM(VLOOKUP($D250,'Info planes y paquetes'!$C$767:$L$874,'Cálculos auxiliares'!L$191,FALSE),VLOOKUP($D250,'Info planes y paquetes'!$C$767:$L$874,'Cálculos auxiliares'!J$191,FALSE)),"")</f>
        <v>58</v>
      </c>
      <c r="K250" s="372">
        <f>IFERROR(VLOOKUP($D250,'Info planes y paquetes'!$C$767:$L$874,'Cálculos auxiliares'!K$191,FALSE),"")</f>
        <v>1770</v>
      </c>
      <c r="L250" s="396"/>
      <c r="M250" s="396"/>
    </row>
    <row r="251" spans="3:13" s="262" customFormat="1" x14ac:dyDescent="0.25">
      <c r="C251" s="95">
        <f t="shared" si="21"/>
        <v>58</v>
      </c>
      <c r="D251" s="101" t="str">
        <v>Infinitum Netflix Negocio 50 (Netflix 1 dispositivo)</v>
      </c>
      <c r="F251" s="113" t="str">
        <f>VLOOKUP($D251,'Info planes y paquetes'!$C$767:$L$874,2,FALSE)</f>
        <v>No Residencial</v>
      </c>
      <c r="G251" s="113" t="str">
        <f>VLOOKUP($D251,'Info planes y paquetes'!$C$767:$L$874,3,FALSE)</f>
        <v>Internet fijo</v>
      </c>
      <c r="H251" s="113">
        <f>IFERROR(VLOOKUP($D251,'Info planes y paquetes'!$C$471:$BS$579,65,FALSE),"")</f>
        <v>50</v>
      </c>
      <c r="I251" s="113">
        <f>IFERROR(VLOOKUP($D251,'Info planes y paquetes'!$C$471:$BS$579,66,FALSE),"")</f>
        <v>5</v>
      </c>
      <c r="J251" s="171">
        <f>IFERROR(SUM(VLOOKUP($D251,'Info planes y paquetes'!$C$767:$L$874,'Cálculos auxiliares'!L$191,FALSE),VLOOKUP($D251,'Info planes y paquetes'!$C$767:$L$874,'Cálculos auxiliares'!J$191,FALSE)),"")</f>
        <v>215</v>
      </c>
      <c r="K251" s="372">
        <f>IFERROR(VLOOKUP($D251,'Info planes y paquetes'!$C$767:$L$874,'Cálculos auxiliares'!K$191,FALSE),"")</f>
        <v>581</v>
      </c>
      <c r="L251" s="396"/>
      <c r="M251" s="396"/>
    </row>
    <row r="252" spans="3:13" s="262" customFormat="1" x14ac:dyDescent="0.25">
      <c r="C252" s="95">
        <f t="shared" si="21"/>
        <v>59</v>
      </c>
      <c r="D252" s="101" t="str">
        <v>Infinitum Netflix Negocio 50 (Netflix 2 dispositivos)</v>
      </c>
      <c r="F252" s="113" t="str">
        <f>VLOOKUP($D252,'Info planes y paquetes'!$C$767:$L$874,2,FALSE)</f>
        <v>No Residencial</v>
      </c>
      <c r="G252" s="113" t="str">
        <f>VLOOKUP($D252,'Info planes y paquetes'!$C$767:$L$874,3,FALSE)</f>
        <v>Internet fijo</v>
      </c>
      <c r="H252" s="113">
        <f>IFERROR(VLOOKUP($D252,'Info planes y paquetes'!$C$471:$BS$579,65,FALSE),"")</f>
        <v>50</v>
      </c>
      <c r="I252" s="113">
        <f>IFERROR(VLOOKUP($D252,'Info planes y paquetes'!$C$471:$BS$579,66,FALSE),"")</f>
        <v>5</v>
      </c>
      <c r="J252" s="171">
        <f>IFERROR(SUM(VLOOKUP($D252,'Info planes y paquetes'!$C$767:$L$874,'Cálculos auxiliares'!L$191,FALSE),VLOOKUP($D252,'Info planes y paquetes'!$C$767:$L$874,'Cálculos auxiliares'!J$191,FALSE)),"")</f>
        <v>98</v>
      </c>
      <c r="K252" s="372">
        <f>IFERROR(VLOOKUP($D252,'Info planes y paquetes'!$C$767:$L$874,'Cálculos auxiliares'!K$191,FALSE),"")</f>
        <v>221</v>
      </c>
      <c r="L252" s="396"/>
      <c r="M252" s="396"/>
    </row>
    <row r="253" spans="3:13" s="262" customFormat="1" x14ac:dyDescent="0.25">
      <c r="C253" s="95">
        <f t="shared" si="21"/>
        <v>60</v>
      </c>
      <c r="D253" s="101" t="str">
        <v>Infinitum Netflix Negocio 50 (Netflix 4 dispositivos)</v>
      </c>
      <c r="F253" s="113" t="str">
        <f>VLOOKUP($D253,'Info planes y paquetes'!$C$767:$L$874,2,FALSE)</f>
        <v>No Residencial</v>
      </c>
      <c r="G253" s="113" t="str">
        <f>VLOOKUP($D253,'Info planes y paquetes'!$C$767:$L$874,3,FALSE)</f>
        <v>Internet fijo</v>
      </c>
      <c r="H253" s="113">
        <f>IFERROR(VLOOKUP($D253,'Info planes y paquetes'!$C$471:$BS$579,65,FALSE),"")</f>
        <v>50</v>
      </c>
      <c r="I253" s="113">
        <f>IFERROR(VLOOKUP($D253,'Info planes y paquetes'!$C$471:$BS$579,66,FALSE),"")</f>
        <v>5</v>
      </c>
      <c r="J253" s="171">
        <f>IFERROR(SUM(VLOOKUP($D253,'Info planes y paquetes'!$C$767:$L$874,'Cálculos auxiliares'!L$191,FALSE),VLOOKUP($D253,'Info planes y paquetes'!$C$767:$L$874,'Cálculos auxiliares'!J$191,FALSE)),"")</f>
        <v>50</v>
      </c>
      <c r="K253" s="372">
        <f>IFERROR(VLOOKUP($D253,'Info planes y paquetes'!$C$767:$L$874,'Cálculos auxiliares'!K$191,FALSE),"")</f>
        <v>76</v>
      </c>
      <c r="L253" s="396"/>
      <c r="M253" s="396"/>
    </row>
    <row r="254" spans="3:13" s="262" customFormat="1" x14ac:dyDescent="0.25">
      <c r="C254" s="95">
        <f t="shared" si="21"/>
        <v>61</v>
      </c>
      <c r="D254" s="101" t="str">
        <v>Infinitum Netflix Negocio 60 (Netflix 2 dispositivos)</v>
      </c>
      <c r="F254" s="113" t="str">
        <f>VLOOKUP($D254,'Info planes y paquetes'!$C$767:$L$874,2,FALSE)</f>
        <v>No Residencial</v>
      </c>
      <c r="G254" s="113" t="str">
        <f>VLOOKUP($D254,'Info planes y paquetes'!$C$767:$L$874,3,FALSE)</f>
        <v>Internet fijo</v>
      </c>
      <c r="H254" s="113">
        <f>IFERROR(VLOOKUP($D254,'Info planes y paquetes'!$C$471:$BS$579,65,FALSE),"")</f>
        <v>60</v>
      </c>
      <c r="I254" s="113">
        <f>IFERROR(VLOOKUP($D254,'Info planes y paquetes'!$C$471:$BS$579,66,FALSE),"")</f>
        <v>5</v>
      </c>
      <c r="J254" s="171">
        <f>IFERROR(SUM(VLOOKUP($D254,'Info planes y paquetes'!$C$767:$L$874,'Cálculos auxiliares'!L$191,FALSE),VLOOKUP($D254,'Info planes y paquetes'!$C$767:$L$874,'Cálculos auxiliares'!J$191,FALSE)),"")</f>
        <v>16</v>
      </c>
      <c r="K254" s="372">
        <f>IFERROR(VLOOKUP($D254,'Info planes y paquetes'!$C$767:$L$874,'Cálculos auxiliares'!K$191,FALSE),"")</f>
        <v>88</v>
      </c>
      <c r="L254" s="396"/>
      <c r="M254" s="396"/>
    </row>
    <row r="255" spans="3:13" s="262" customFormat="1" x14ac:dyDescent="0.25">
      <c r="C255" s="95">
        <f t="shared" si="21"/>
        <v>62</v>
      </c>
      <c r="D255" s="101" t="str">
        <v>Infinitum Netflix Negocio 60 (Netflix 4 dispositivos)</v>
      </c>
      <c r="F255" s="113" t="str">
        <f>VLOOKUP($D255,'Info planes y paquetes'!$C$767:$L$874,2,FALSE)</f>
        <v>No Residencial</v>
      </c>
      <c r="G255" s="113" t="str">
        <f>VLOOKUP($D255,'Info planes y paquetes'!$C$767:$L$874,3,FALSE)</f>
        <v>Internet fijo</v>
      </c>
      <c r="H255" s="113">
        <f>IFERROR(VLOOKUP($D255,'Info planes y paquetes'!$C$471:$BS$579,65,FALSE),"")</f>
        <v>60</v>
      </c>
      <c r="I255" s="113">
        <f>IFERROR(VLOOKUP($D255,'Info planes y paquetes'!$C$471:$BS$579,66,FALSE),"")</f>
        <v>5</v>
      </c>
      <c r="J255" s="171">
        <f>IFERROR(SUM(VLOOKUP($D255,'Info planes y paquetes'!$C$767:$L$874,'Cálculos auxiliares'!L$191,FALSE),VLOOKUP($D255,'Info planes y paquetes'!$C$767:$L$874,'Cálculos auxiliares'!J$191,FALSE)),"")</f>
        <v>3</v>
      </c>
      <c r="K255" s="372">
        <f>IFERROR(VLOOKUP($D255,'Info planes y paquetes'!$C$767:$L$874,'Cálculos auxiliares'!K$191,FALSE),"")</f>
        <v>38</v>
      </c>
      <c r="L255" s="396"/>
      <c r="M255" s="396"/>
    </row>
    <row r="256" spans="3:13" s="262" customFormat="1" x14ac:dyDescent="0.25">
      <c r="C256" s="95">
        <f t="shared" si="21"/>
        <v>63</v>
      </c>
      <c r="D256" s="101" t="str">
        <v>Infinitum Netflix Negocio 200 (Netflix 4 dispositivos)</v>
      </c>
      <c r="F256" s="113" t="str">
        <f>VLOOKUP($D256,'Info planes y paquetes'!$C$767:$L$874,2,FALSE)</f>
        <v>No Residencial</v>
      </c>
      <c r="G256" s="113" t="str">
        <f>VLOOKUP($D256,'Info planes y paquetes'!$C$767:$L$874,3,FALSE)</f>
        <v>Internet fijo</v>
      </c>
      <c r="H256" s="113">
        <f>IFERROR(VLOOKUP($D256,'Info planes y paquetes'!$C$471:$BS$579,65,FALSE),"")</f>
        <v>200</v>
      </c>
      <c r="I256" s="113">
        <f>IFERROR(VLOOKUP($D256,'Info planes y paquetes'!$C$471:$BS$579,66,FALSE),"")</f>
        <v>20</v>
      </c>
      <c r="J256" s="171">
        <f>IFERROR(SUM(VLOOKUP($D256,'Info planes y paquetes'!$C$767:$L$874,'Cálculos auxiliares'!L$191,FALSE),VLOOKUP($D256,'Info planes y paquetes'!$C$767:$L$874,'Cálculos auxiliares'!J$191,FALSE)),"")</f>
        <v>5</v>
      </c>
      <c r="K256" s="372">
        <f>IFERROR(VLOOKUP($D256,'Info planes y paquetes'!$C$767:$L$874,'Cálculos auxiliares'!K$191,FALSE),"")</f>
        <v>162</v>
      </c>
      <c r="L256" s="396"/>
      <c r="M256" s="396"/>
    </row>
    <row r="257" spans="3:13" s="262" customFormat="1" x14ac:dyDescent="0.25">
      <c r="C257" s="95">
        <f t="shared" si="21"/>
        <v>64</v>
      </c>
      <c r="D257" s="101" t="str">
        <v>Infinitum Netflix Negocio 200 (Netflix 2 dispositivos)</v>
      </c>
      <c r="F257" s="113" t="str">
        <f>VLOOKUP($D257,'Info planes y paquetes'!$C$767:$L$874,2,FALSE)</f>
        <v>No Residencial</v>
      </c>
      <c r="G257" s="113" t="str">
        <f>VLOOKUP($D257,'Info planes y paquetes'!$C$767:$L$874,3,FALSE)</f>
        <v>Internet fijo</v>
      </c>
      <c r="H257" s="113">
        <f>IFERROR(VLOOKUP($D257,'Info planes y paquetes'!$C$471:$BS$579,65,FALSE),"")</f>
        <v>200</v>
      </c>
      <c r="I257" s="113">
        <f>IFERROR(VLOOKUP($D257,'Info planes y paquetes'!$C$471:$BS$579,66,FALSE),"")</f>
        <v>20</v>
      </c>
      <c r="J257" s="171">
        <f>IFERROR(SUM(VLOOKUP($D257,'Info planes y paquetes'!$C$767:$L$874,'Cálculos auxiliares'!L$191,FALSE),VLOOKUP($D257,'Info planes y paquetes'!$C$767:$L$874,'Cálculos auxiliares'!J$191,FALSE)),"")</f>
        <v>3</v>
      </c>
      <c r="K257" s="372">
        <f>IFERROR(VLOOKUP($D257,'Info planes y paquetes'!$C$767:$L$874,'Cálculos auxiliares'!K$191,FALSE),"")</f>
        <v>73</v>
      </c>
      <c r="L257" s="396"/>
      <c r="M257" s="396"/>
    </row>
    <row r="258" spans="3:13" s="262" customFormat="1" x14ac:dyDescent="0.25">
      <c r="C258" s="95">
        <f t="shared" si="21"/>
        <v>65</v>
      </c>
      <c r="D258" s="101" t="str">
        <v>Infinitum Netflix Negocio 500 (Netflix 4 dispositivos)</v>
      </c>
      <c r="F258" s="113" t="str">
        <f>VLOOKUP($D258,'Info planes y paquetes'!$C$767:$L$874,2,FALSE)</f>
        <v>No Residencial</v>
      </c>
      <c r="G258" s="113" t="str">
        <f>VLOOKUP($D258,'Info planes y paquetes'!$C$767:$L$874,3,FALSE)</f>
        <v>Internet fijo</v>
      </c>
      <c r="H258" s="113">
        <f>IFERROR(VLOOKUP($D258,'Info planes y paquetes'!$C$471:$BS$579,65,FALSE),"")</f>
        <v>500</v>
      </c>
      <c r="I258" s="113">
        <f>IFERROR(VLOOKUP($D258,'Info planes y paquetes'!$C$471:$BS$579,66,FALSE),"")</f>
        <v>50</v>
      </c>
      <c r="J258" s="171">
        <f>IFERROR(SUM(VLOOKUP($D258,'Info planes y paquetes'!$C$767:$L$874,'Cálculos auxiliares'!L$191,FALSE),VLOOKUP($D258,'Info planes y paquetes'!$C$767:$L$874,'Cálculos auxiliares'!J$191,FALSE)),"")</f>
        <v>1</v>
      </c>
      <c r="K258" s="372">
        <f>IFERROR(VLOOKUP($D258,'Info planes y paquetes'!$C$767:$L$874,'Cálculos auxiliares'!K$191,FALSE),"")</f>
        <v>180</v>
      </c>
      <c r="L258" s="396"/>
      <c r="M258" s="396"/>
    </row>
    <row r="259" spans="3:13" s="262" customFormat="1" x14ac:dyDescent="0.25">
      <c r="C259" s="95">
        <f t="shared" si="21"/>
        <v>66</v>
      </c>
      <c r="D259" s="101" t="str">
        <v>Infinitum Netflix Negocio 500 (Netflix 2 dispositivos)</v>
      </c>
      <c r="F259" s="113" t="str">
        <f>VLOOKUP($D259,'Info planes y paquetes'!$C$767:$L$874,2,FALSE)</f>
        <v>No Residencial</v>
      </c>
      <c r="G259" s="113" t="str">
        <f>VLOOKUP($D259,'Info planes y paquetes'!$C$767:$L$874,3,FALSE)</f>
        <v>Internet fijo</v>
      </c>
      <c r="H259" s="113">
        <f>IFERROR(VLOOKUP($D259,'Info planes y paquetes'!$C$471:$BS$579,65,FALSE),"")</f>
        <v>500</v>
      </c>
      <c r="I259" s="113">
        <f>IFERROR(VLOOKUP($D259,'Info planes y paquetes'!$C$471:$BS$579,66,FALSE),"")</f>
        <v>50</v>
      </c>
      <c r="J259" s="171">
        <f>IFERROR(SUM(VLOOKUP($D259,'Info planes y paquetes'!$C$767:$L$874,'Cálculos auxiliares'!L$191,FALSE),VLOOKUP($D259,'Info planes y paquetes'!$C$767:$L$874,'Cálculos auxiliares'!J$191,FALSE)),"")</f>
        <v>0</v>
      </c>
      <c r="K259" s="372">
        <f>IFERROR(VLOOKUP($D259,'Info planes y paquetes'!$C$767:$L$874,'Cálculos auxiliares'!K$191,FALSE),"")</f>
        <v>52</v>
      </c>
      <c r="L259" s="396"/>
      <c r="M259" s="396"/>
    </row>
    <row r="260" spans="3:13" s="262" customFormat="1" x14ac:dyDescent="0.25">
      <c r="C260" s="95">
        <f t="shared" ref="C260:C313" si="22">1+C259</f>
        <v>67</v>
      </c>
      <c r="D260" s="101" t="str">
        <v>Paquete Infinitum Entretenimiento 30</v>
      </c>
      <c r="F260" s="113" t="str">
        <f>VLOOKUP($D260,'Info planes y paquetes'!$C$767:$L$874,2,FALSE)</f>
        <v>Residencial</v>
      </c>
      <c r="G260" s="113" t="str">
        <f>VLOOKUP($D260,'Info planes y paquetes'!$C$767:$L$874,3,FALSE)</f>
        <v>Telefonía fija + Internet fijo</v>
      </c>
      <c r="H260" s="113">
        <f>IFERROR(VLOOKUP($D260,'Info planes y paquetes'!$C$471:$BS$579,65,FALSE),"")</f>
        <v>30</v>
      </c>
      <c r="I260" s="113">
        <f>IFERROR(VLOOKUP($D260,'Info planes y paquetes'!$C$471:$BS$579,66,FALSE),"")</f>
        <v>5</v>
      </c>
      <c r="J260" s="171">
        <f>IFERROR(SUM(VLOOKUP($D260,'Info planes y paquetes'!$C$767:$L$874,'Cálculos auxiliares'!L$191,FALSE),VLOOKUP($D260,'Info planes y paquetes'!$C$767:$L$874,'Cálculos auxiliares'!J$191,FALSE)),"")</f>
        <v>166927</v>
      </c>
      <c r="K260" s="372">
        <f>IFERROR(VLOOKUP($D260,'Info planes y paquetes'!$C$767:$L$874,'Cálculos auxiliares'!K$191,FALSE),"")</f>
        <v>214503</v>
      </c>
      <c r="L260" s="396"/>
      <c r="M260" s="396"/>
    </row>
    <row r="261" spans="3:13" s="262" customFormat="1" x14ac:dyDescent="0.25">
      <c r="C261" s="95">
        <f t="shared" si="22"/>
        <v>68</v>
      </c>
      <c r="D261" s="101" t="str">
        <v>Paquete Infinitum  Entretenimiento 40</v>
      </c>
      <c r="F261" s="113" t="str">
        <f>VLOOKUP($D261,'Info planes y paquetes'!$C$767:$L$874,2,FALSE)</f>
        <v>Residencial</v>
      </c>
      <c r="G261" s="113" t="str">
        <f>VLOOKUP($D261,'Info planes y paquetes'!$C$767:$L$874,3,FALSE)</f>
        <v>Telefonía fija + Internet fijo</v>
      </c>
      <c r="H261" s="113">
        <f>IFERROR(VLOOKUP($D261,'Info planes y paquetes'!$C$471:$BS$579,65,FALSE),"")</f>
        <v>40</v>
      </c>
      <c r="I261" s="113">
        <f>IFERROR(VLOOKUP($D261,'Info planes y paquetes'!$C$471:$BS$579,66,FALSE),"")</f>
        <v>5</v>
      </c>
      <c r="J261" s="171">
        <f>IFERROR(SUM(VLOOKUP($D261,'Info planes y paquetes'!$C$767:$L$874,'Cálculos auxiliares'!L$191,FALSE),VLOOKUP($D261,'Info planes y paquetes'!$C$767:$L$874,'Cálculos auxiliares'!J$191,FALSE)),"")</f>
        <v>7218</v>
      </c>
      <c r="K261" s="372">
        <f>IFERROR(VLOOKUP($D261,'Info planes y paquetes'!$C$767:$L$874,'Cálculos auxiliares'!K$191,FALSE),"")</f>
        <v>39753</v>
      </c>
      <c r="L261" s="396"/>
      <c r="M261" s="396"/>
    </row>
    <row r="262" spans="3:13" s="262" customFormat="1" x14ac:dyDescent="0.25">
      <c r="C262" s="95">
        <f t="shared" si="22"/>
        <v>69</v>
      </c>
      <c r="D262" s="101" t="str">
        <v>Paquete Infinitum Entretenimiento 50</v>
      </c>
      <c r="F262" s="113" t="str">
        <f>VLOOKUP($D262,'Info planes y paquetes'!$C$767:$L$874,2,FALSE)</f>
        <v>Residencial</v>
      </c>
      <c r="G262" s="113" t="str">
        <f>VLOOKUP($D262,'Info planes y paquetes'!$C$767:$L$874,3,FALSE)</f>
        <v>Telefonía fija + Internet fijo</v>
      </c>
      <c r="H262" s="113">
        <f>IFERROR(VLOOKUP($D262,'Info planes y paquetes'!$C$471:$BS$579,65,FALSE),"")</f>
        <v>50</v>
      </c>
      <c r="I262" s="113">
        <f>IFERROR(VLOOKUP($D262,'Info planes y paquetes'!$C$471:$BS$579,66,FALSE),"")</f>
        <v>10</v>
      </c>
      <c r="J262" s="171">
        <f>IFERROR(SUM(VLOOKUP($D262,'Info planes y paquetes'!$C$767:$L$874,'Cálculos auxiliares'!L$191,FALSE),VLOOKUP($D262,'Info planes y paquetes'!$C$767:$L$874,'Cálculos auxiliares'!J$191,FALSE)),"")</f>
        <v>4131</v>
      </c>
      <c r="K262" s="372">
        <f>IFERROR(VLOOKUP($D262,'Info planes y paquetes'!$C$767:$L$874,'Cálculos auxiliares'!K$191,FALSE),"")</f>
        <v>23463</v>
      </c>
      <c r="L262" s="396"/>
      <c r="M262" s="396"/>
    </row>
    <row r="263" spans="3:13" s="262" customFormat="1" x14ac:dyDescent="0.25">
      <c r="C263" s="95">
        <f t="shared" si="22"/>
        <v>70</v>
      </c>
      <c r="D263" s="101" t="str">
        <v>Paquete Infinitum Entretenimiento 250</v>
      </c>
      <c r="F263" s="113" t="str">
        <f>VLOOKUP($D263,'Info planes y paquetes'!$C$767:$L$874,2,FALSE)</f>
        <v>Residencial</v>
      </c>
      <c r="G263" s="113" t="str">
        <f>VLOOKUP($D263,'Info planes y paquetes'!$C$767:$L$874,3,FALSE)</f>
        <v>Telefonía fija + Internet fijo</v>
      </c>
      <c r="H263" s="113">
        <f>IFERROR(VLOOKUP($D263,'Info planes y paquetes'!$C$471:$BS$579,65,FALSE),"")</f>
        <v>250</v>
      </c>
      <c r="I263" s="113">
        <f>IFERROR(VLOOKUP($D263,'Info planes y paquetes'!$C$471:$BS$579,66,FALSE),"")</f>
        <v>50</v>
      </c>
      <c r="J263" s="171">
        <f>IFERROR(SUM(VLOOKUP($D263,'Info planes y paquetes'!$C$767:$L$874,'Cálculos auxiliares'!L$191,FALSE),VLOOKUP($D263,'Info planes y paquetes'!$C$767:$L$874,'Cálculos auxiliares'!J$191,FALSE)),"")</f>
        <v>11902</v>
      </c>
      <c r="K263" s="372">
        <f>IFERROR(VLOOKUP($D263,'Info planes y paquetes'!$C$767:$L$874,'Cálculos auxiliares'!K$191,FALSE),"")</f>
        <v>81548</v>
      </c>
      <c r="L263" s="396"/>
      <c r="M263" s="396"/>
    </row>
    <row r="264" spans="3:13" s="262" customFormat="1" x14ac:dyDescent="0.25">
      <c r="C264" s="95">
        <f t="shared" si="22"/>
        <v>71</v>
      </c>
      <c r="D264" s="101" t="str">
        <v>Paquete Infinitum Entretenimiento 500</v>
      </c>
      <c r="F264" s="113" t="str">
        <f>VLOOKUP($D264,'Info planes y paquetes'!$C$767:$L$874,2,FALSE)</f>
        <v>Residencial</v>
      </c>
      <c r="G264" s="113" t="str">
        <f>VLOOKUP($D264,'Info planes y paquetes'!$C$767:$L$874,3,FALSE)</f>
        <v>Telefonía fija + Internet fijo</v>
      </c>
      <c r="H264" s="113">
        <f>IFERROR(VLOOKUP($D264,'Info planes y paquetes'!$C$471:$BS$579,65,FALSE),"")</f>
        <v>500</v>
      </c>
      <c r="I264" s="113">
        <f>IFERROR(VLOOKUP($D264,'Info planes y paquetes'!$C$471:$BS$579,66,FALSE),"")</f>
        <v>50</v>
      </c>
      <c r="J264" s="171">
        <f>IFERROR(SUM(VLOOKUP($D264,'Info planes y paquetes'!$C$767:$L$874,'Cálculos auxiliares'!L$191,FALSE),VLOOKUP($D264,'Info planes y paquetes'!$C$767:$L$874,'Cálculos auxiliares'!J$191,FALSE)),"")</f>
        <v>270</v>
      </c>
      <c r="K264" s="372">
        <f>IFERROR(VLOOKUP($D264,'Info planes y paquetes'!$C$767:$L$874,'Cálculos auxiliares'!K$191,FALSE),"")</f>
        <v>10614</v>
      </c>
      <c r="L264" s="396"/>
      <c r="M264" s="396"/>
    </row>
    <row r="265" spans="3:13" s="262" customFormat="1" x14ac:dyDescent="0.25">
      <c r="C265" s="95">
        <f t="shared" si="22"/>
        <v>72</v>
      </c>
      <c r="D265" s="101" t="str">
        <v>Infinitum Entretenimiento 30</v>
      </c>
      <c r="F265" s="113" t="str">
        <f>VLOOKUP($D265,'Info planes y paquetes'!$C$767:$L$874,2,FALSE)</f>
        <v>Residencial</v>
      </c>
      <c r="G265" s="113" t="str">
        <f>VLOOKUP($D265,'Info planes y paquetes'!$C$767:$L$874,3,FALSE)</f>
        <v>Internet fijo</v>
      </c>
      <c r="H265" s="113">
        <f>IFERROR(VLOOKUP($D265,'Info planes y paquetes'!$C$471:$BS$579,65,FALSE),"")</f>
        <v>30</v>
      </c>
      <c r="I265" s="113">
        <f>IFERROR(VLOOKUP($D265,'Info planes y paquetes'!$C$471:$BS$579,66,FALSE),"")</f>
        <v>5</v>
      </c>
      <c r="J265" s="171">
        <f>IFERROR(SUM(VLOOKUP($D265,'Info planes y paquetes'!$C$767:$L$874,'Cálculos auxiliares'!L$191,FALSE),VLOOKUP($D265,'Info planes y paquetes'!$C$767:$L$874,'Cálculos auxiliares'!J$191,FALSE)),"")</f>
        <v>34237</v>
      </c>
      <c r="K265" s="372">
        <f>IFERROR(VLOOKUP($D265,'Info planes y paquetes'!$C$767:$L$874,'Cálculos auxiliares'!K$191,FALSE),"")</f>
        <v>42409</v>
      </c>
      <c r="L265" s="396"/>
      <c r="M265" s="396"/>
    </row>
    <row r="266" spans="3:13" s="262" customFormat="1" x14ac:dyDescent="0.25">
      <c r="C266" s="95">
        <f t="shared" si="22"/>
        <v>73</v>
      </c>
      <c r="D266" s="101" t="str">
        <v>Infinitum Entretenimiento 40</v>
      </c>
      <c r="F266" s="113" t="str">
        <f>VLOOKUP($D266,'Info planes y paquetes'!$C$767:$L$874,2,FALSE)</f>
        <v>Residencial</v>
      </c>
      <c r="G266" s="113" t="str">
        <f>VLOOKUP($D266,'Info planes y paquetes'!$C$767:$L$874,3,FALSE)</f>
        <v>Internet fijo</v>
      </c>
      <c r="H266" s="113">
        <f>IFERROR(VLOOKUP($D266,'Info planes y paquetes'!$C$471:$BS$579,65,FALSE),"")</f>
        <v>40</v>
      </c>
      <c r="I266" s="113">
        <f>IFERROR(VLOOKUP($D266,'Info planes y paquetes'!$C$471:$BS$579,66,FALSE),"")</f>
        <v>5</v>
      </c>
      <c r="J266" s="171">
        <f>IFERROR(SUM(VLOOKUP($D266,'Info planes y paquetes'!$C$767:$L$874,'Cálculos auxiliares'!L$191,FALSE),VLOOKUP($D266,'Info planes y paquetes'!$C$767:$L$874,'Cálculos auxiliares'!J$191,FALSE)),"")</f>
        <v>5285</v>
      </c>
      <c r="K266" s="372">
        <f>IFERROR(VLOOKUP($D266,'Info planes y paquetes'!$C$767:$L$874,'Cálculos auxiliares'!K$191,FALSE),"")</f>
        <v>24760</v>
      </c>
      <c r="L266" s="396"/>
      <c r="M266" s="396"/>
    </row>
    <row r="267" spans="3:13" s="262" customFormat="1" x14ac:dyDescent="0.25">
      <c r="C267" s="95">
        <f t="shared" si="22"/>
        <v>74</v>
      </c>
      <c r="D267" s="101" t="str">
        <v>Infinitum Entretenimiento 120</v>
      </c>
      <c r="F267" s="113" t="str">
        <f>VLOOKUP($D267,'Info planes y paquetes'!$C$767:$L$874,2,FALSE)</f>
        <v>Residencial</v>
      </c>
      <c r="G267" s="113" t="str">
        <f>VLOOKUP($D267,'Info planes y paquetes'!$C$767:$L$874,3,FALSE)</f>
        <v>Internet fijo</v>
      </c>
      <c r="H267" s="113">
        <v>120</v>
      </c>
      <c r="I267" s="113">
        <v>30</v>
      </c>
      <c r="J267" s="171">
        <f>IFERROR(SUM(VLOOKUP($D267,'Info planes y paquetes'!$C$767:$L$874,'Cálculos auxiliares'!L$191,FALSE),VLOOKUP($D267,'Info planes y paquetes'!$C$767:$L$874,'Cálculos auxiliares'!J$191,FALSE)),"")</f>
        <v>1</v>
      </c>
      <c r="K267" s="372">
        <f>IFERROR(VLOOKUP($D267,'Info planes y paquetes'!$C$767:$L$874,'Cálculos auxiliares'!K$191,FALSE),"")</f>
        <v>452</v>
      </c>
      <c r="L267" s="396"/>
      <c r="M267" s="396"/>
    </row>
    <row r="268" spans="3:13" s="262" customFormat="1" x14ac:dyDescent="0.25">
      <c r="C268" s="95">
        <f t="shared" si="22"/>
        <v>75</v>
      </c>
      <c r="D268" s="101" t="str">
        <v>Infinitum Entretenimiento 200</v>
      </c>
      <c r="F268" s="113" t="str">
        <f>VLOOKUP($D268,'Info planes y paquetes'!$C$767:$L$874,2,FALSE)</f>
        <v>Residencial</v>
      </c>
      <c r="G268" s="113" t="str">
        <f>VLOOKUP($D268,'Info planes y paquetes'!$C$767:$L$874,3,FALSE)</f>
        <v>Internet fijo</v>
      </c>
      <c r="H268" s="113">
        <f>IFERROR(VLOOKUP($D268,'Info planes y paquetes'!$C$471:$BS$579,65,FALSE),"")</f>
        <v>200</v>
      </c>
      <c r="I268" s="113">
        <f>IFERROR(VLOOKUP($D268,'Info planes y paquetes'!$C$471:$BS$579,66,FALSE),"")</f>
        <v>50</v>
      </c>
      <c r="J268" s="171">
        <f>IFERROR(SUM(VLOOKUP($D268,'Info planes y paquetes'!$C$767:$L$874,'Cálculos auxiliares'!L$191,FALSE),VLOOKUP($D268,'Info planes y paquetes'!$C$767:$L$874,'Cálculos auxiliares'!J$191,FALSE)),"")</f>
        <v>297</v>
      </c>
      <c r="K268" s="372">
        <f>IFERROR(VLOOKUP($D268,'Info planes y paquetes'!$C$767:$L$874,'Cálculos auxiliares'!K$191,FALSE),"")</f>
        <v>19724</v>
      </c>
      <c r="L268" s="396"/>
      <c r="M268" s="396"/>
    </row>
    <row r="269" spans="3:13" s="262" customFormat="1" x14ac:dyDescent="0.25">
      <c r="C269" s="95">
        <f t="shared" si="22"/>
        <v>76</v>
      </c>
      <c r="D269" s="101" t="str">
        <v>Infinitum Entretenimiento 500</v>
      </c>
      <c r="F269" s="113" t="str">
        <f>VLOOKUP($D269,'Info planes y paquetes'!$C$767:$L$874,2,FALSE)</f>
        <v>Residencial</v>
      </c>
      <c r="G269" s="113" t="str">
        <f>VLOOKUP($D269,'Info planes y paquetes'!$C$767:$L$874,3,FALSE)</f>
        <v>Internet fijo</v>
      </c>
      <c r="H269" s="113">
        <f>IFERROR(VLOOKUP($D269,'Info planes y paquetes'!$C$471:$BS$579,65,FALSE),"")</f>
        <v>500</v>
      </c>
      <c r="I269" s="113">
        <f>IFERROR(VLOOKUP($D269,'Info planes y paquetes'!$C$471:$BS$579,66,FALSE),"")</f>
        <v>50</v>
      </c>
      <c r="J269" s="171">
        <f>IFERROR(SUM(VLOOKUP($D269,'Info planes y paquetes'!$C$767:$L$874,'Cálculos auxiliares'!L$191,FALSE),VLOOKUP($D269,'Info planes y paquetes'!$C$767:$L$874,'Cálculos auxiliares'!J$191,FALSE)),"")</f>
        <v>4</v>
      </c>
      <c r="K269" s="372">
        <f>IFERROR(VLOOKUP($D269,'Info planes y paquetes'!$C$767:$L$874,'Cálculos auxiliares'!K$191,FALSE),"")</f>
        <v>2657</v>
      </c>
      <c r="L269" s="396"/>
      <c r="M269" s="396"/>
    </row>
    <row r="270" spans="3:13" s="262" customFormat="1" x14ac:dyDescent="0.25">
      <c r="C270" s="95">
        <f t="shared" si="22"/>
        <v>77</v>
      </c>
      <c r="D270" s="101" t="str">
        <v>Paquete infinitum Entretenimiento+ 30  (Netflix 1 dispositivo)</v>
      </c>
      <c r="F270" s="113" t="str">
        <f>VLOOKUP($D270,'Info planes y paquetes'!$C$767:$L$874,2,FALSE)</f>
        <v>Residencial</v>
      </c>
      <c r="G270" s="113" t="str">
        <f>VLOOKUP($D270,'Info planes y paquetes'!$C$767:$L$874,3,FALSE)</f>
        <v>Telefonía fija + Internet fijo</v>
      </c>
      <c r="H270" s="113">
        <f>IFERROR(VLOOKUP($D270,'Info planes y paquetes'!$C$471:$BS$579,65,FALSE),"")</f>
        <v>30</v>
      </c>
      <c r="I270" s="113">
        <f>IFERROR(VLOOKUP($D270,'Info planes y paquetes'!$C$471:$BS$579,66,FALSE),"")</f>
        <v>5</v>
      </c>
      <c r="J270" s="171">
        <f>IFERROR(SUM(VLOOKUP($D270,'Info planes y paquetes'!$C$767:$L$874,'Cálculos auxiliares'!L$191,FALSE),VLOOKUP($D270,'Info planes y paquetes'!$C$767:$L$874,'Cálculos auxiliares'!J$191,FALSE)),"")</f>
        <v>16407</v>
      </c>
      <c r="K270" s="372">
        <f>IFERROR(VLOOKUP($D270,'Info planes y paquetes'!$C$767:$L$874,'Cálculos auxiliares'!K$191,FALSE),"")</f>
        <v>22644</v>
      </c>
      <c r="L270" s="396"/>
      <c r="M270" s="396"/>
    </row>
    <row r="271" spans="3:13" s="262" customFormat="1" x14ac:dyDescent="0.25">
      <c r="C271" s="95">
        <f t="shared" si="22"/>
        <v>78</v>
      </c>
      <c r="D271" s="101" t="str">
        <v>Paquete infinitum Entretenimiento+ 30  (Netflix 2 dispositivos)</v>
      </c>
      <c r="F271" s="113" t="str">
        <f>VLOOKUP($D271,'Info planes y paquetes'!$C$767:$L$874,2,FALSE)</f>
        <v>Residencial</v>
      </c>
      <c r="G271" s="113" t="str">
        <f>VLOOKUP($D271,'Info planes y paquetes'!$C$767:$L$874,3,FALSE)</f>
        <v>Telefonía fija + Internet fijo</v>
      </c>
      <c r="H271" s="113">
        <f>IFERROR(VLOOKUP($D271,'Info planes y paquetes'!$C$471:$BS$579,65,FALSE),"")</f>
        <v>30</v>
      </c>
      <c r="I271" s="113">
        <f>IFERROR(VLOOKUP($D271,'Info planes y paquetes'!$C$471:$BS$579,66,FALSE),"")</f>
        <v>5</v>
      </c>
      <c r="J271" s="171">
        <f>IFERROR(SUM(VLOOKUP($D271,'Info planes y paquetes'!$C$767:$L$874,'Cálculos auxiliares'!L$191,FALSE),VLOOKUP($D271,'Info planes y paquetes'!$C$767:$L$874,'Cálculos auxiliares'!J$191,FALSE)),"")</f>
        <v>22075</v>
      </c>
      <c r="K271" s="372">
        <f>IFERROR(VLOOKUP($D271,'Info planes y paquetes'!$C$767:$L$874,'Cálculos auxiliares'!K$191,FALSE),"")</f>
        <v>17936</v>
      </c>
      <c r="L271" s="396"/>
      <c r="M271" s="396"/>
    </row>
    <row r="272" spans="3:13" s="262" customFormat="1" x14ac:dyDescent="0.25">
      <c r="C272" s="95">
        <f t="shared" si="22"/>
        <v>79</v>
      </c>
      <c r="D272" s="101" t="str">
        <v>Paquete infinitum Entretenimiento+ 30  (Netflix 4 dispositivos)</v>
      </c>
      <c r="F272" s="113" t="str">
        <f>VLOOKUP($D272,'Info planes y paquetes'!$C$767:$L$874,2,FALSE)</f>
        <v>Residencial</v>
      </c>
      <c r="G272" s="113" t="str">
        <f>VLOOKUP($D272,'Info planes y paquetes'!$C$767:$L$874,3,FALSE)</f>
        <v>Telefonía fija + Internet fijo</v>
      </c>
      <c r="H272" s="113">
        <f>IFERROR(VLOOKUP($D272,'Info planes y paquetes'!$C$471:$BS$579,65,FALSE),"")</f>
        <v>30</v>
      </c>
      <c r="I272" s="113">
        <f>IFERROR(VLOOKUP($D272,'Info planes y paquetes'!$C$471:$BS$579,66,FALSE),"")</f>
        <v>5</v>
      </c>
      <c r="J272" s="171">
        <f>IFERROR(SUM(VLOOKUP($D272,'Info planes y paquetes'!$C$767:$L$874,'Cálculos auxiliares'!L$191,FALSE),VLOOKUP($D272,'Info planes y paquetes'!$C$767:$L$874,'Cálculos auxiliares'!J$191,FALSE)),"")</f>
        <v>15878</v>
      </c>
      <c r="K272" s="372">
        <f>IFERROR(VLOOKUP($D272,'Info planes y paquetes'!$C$767:$L$874,'Cálculos auxiliares'!K$191,FALSE),"")</f>
        <v>11134</v>
      </c>
      <c r="L272" s="396"/>
      <c r="M272" s="396"/>
    </row>
    <row r="273" spans="3:13" s="262" customFormat="1" x14ac:dyDescent="0.25">
      <c r="C273" s="95">
        <f t="shared" si="22"/>
        <v>80</v>
      </c>
      <c r="D273" s="101" t="str">
        <v>Paquete Infinitum Entretenimiento+ 70   (Netflix 2 dispositivos)</v>
      </c>
      <c r="F273" s="113" t="str">
        <f>VLOOKUP($D273,'Info planes y paquetes'!$C$767:$L$874,2,FALSE)</f>
        <v>Residencial</v>
      </c>
      <c r="G273" s="113" t="str">
        <f>VLOOKUP($D273,'Info planes y paquetes'!$C$767:$L$874,3,FALSE)</f>
        <v>Telefonía fija + Internet fijo</v>
      </c>
      <c r="H273" s="113">
        <f>IFERROR(VLOOKUP($D273,'Info planes y paquetes'!$C$471:$BS$579,65,FALSE),"")</f>
        <v>70</v>
      </c>
      <c r="I273" s="113">
        <f>IFERROR(VLOOKUP($D273,'Info planes y paquetes'!$C$471:$BS$579,66,FALSE),"")</f>
        <v>5</v>
      </c>
      <c r="J273" s="171">
        <f>IFERROR(SUM(VLOOKUP($D273,'Info planes y paquetes'!$C$767:$L$874,'Cálculos auxiliares'!L$191,FALSE),VLOOKUP($D273,'Info planes y paquetes'!$C$767:$L$874,'Cálculos auxiliares'!J$191,FALSE)),"")</f>
        <v>1887</v>
      </c>
      <c r="K273" s="372">
        <f>IFERROR(VLOOKUP($D273,'Info planes y paquetes'!$C$767:$L$874,'Cálculos auxiliares'!K$191,FALSE),"")</f>
        <v>7728</v>
      </c>
      <c r="L273" s="396"/>
      <c r="M273" s="396"/>
    </row>
    <row r="274" spans="3:13" s="262" customFormat="1" x14ac:dyDescent="0.25">
      <c r="C274" s="95">
        <f t="shared" si="22"/>
        <v>81</v>
      </c>
      <c r="D274" s="101" t="str">
        <v>Paquete Infinitum Entretenimiento+ 70   (Netflix 4 dispositivos)</v>
      </c>
      <c r="F274" s="113" t="str">
        <f>VLOOKUP($D274,'Info planes y paquetes'!$C$767:$L$874,2,FALSE)</f>
        <v>Residencial</v>
      </c>
      <c r="G274" s="113" t="str">
        <f>VLOOKUP($D274,'Info planes y paquetes'!$C$767:$L$874,3,FALSE)</f>
        <v>Telefonía fija + Internet fijo</v>
      </c>
      <c r="H274" s="113">
        <f>IFERROR(VLOOKUP($D274,'Info planes y paquetes'!$C$471:$BS$579,65,FALSE),"")</f>
        <v>70</v>
      </c>
      <c r="I274" s="113">
        <f>IFERROR(VLOOKUP($D274,'Info planes y paquetes'!$C$471:$BS$579,66,FALSE),"")</f>
        <v>5</v>
      </c>
      <c r="J274" s="171">
        <f>IFERROR(SUM(VLOOKUP($D274,'Info planes y paquetes'!$C$767:$L$874,'Cálculos auxiliares'!L$191,FALSE),VLOOKUP($D274,'Info planes y paquetes'!$C$767:$L$874,'Cálculos auxiliares'!J$191,FALSE)),"")</f>
        <v>1619</v>
      </c>
      <c r="K274" s="372">
        <f>IFERROR(VLOOKUP($D274,'Info planes y paquetes'!$C$767:$L$874,'Cálculos auxiliares'!K$191,FALSE),"")</f>
        <v>3618</v>
      </c>
      <c r="L274" s="396"/>
      <c r="M274" s="396"/>
    </row>
    <row r="275" spans="3:13" s="262" customFormat="1" x14ac:dyDescent="0.25">
      <c r="C275" s="95">
        <f t="shared" si="22"/>
        <v>82</v>
      </c>
      <c r="D275" s="101" t="str">
        <v>Paquete Infinitum Entretenimiento+ 120    (Netflix 2 dispositivos)</v>
      </c>
      <c r="F275" s="113" t="str">
        <f>VLOOKUP($D275,'Info planes y paquetes'!$C$767:$L$874,2,FALSE)</f>
        <v>Residencial</v>
      </c>
      <c r="G275" s="113" t="str">
        <f>VLOOKUP($D275,'Info planes y paquetes'!$C$767:$L$874,3,FALSE)</f>
        <v>Telefonía fija + Internet fijo</v>
      </c>
      <c r="H275" s="113">
        <f>IFERROR(VLOOKUP($D275,'Info planes y paquetes'!$C$471:$BS$579,65,FALSE),"")</f>
        <v>120</v>
      </c>
      <c r="I275" s="113">
        <f>IFERROR(VLOOKUP($D275,'Info planes y paquetes'!$C$471:$BS$579,66,FALSE),"")</f>
        <v>10</v>
      </c>
      <c r="J275" s="171">
        <f>IFERROR(SUM(VLOOKUP($D275,'Info planes y paquetes'!$C$767:$L$874,'Cálculos auxiliares'!L$191,FALSE),VLOOKUP($D275,'Info planes y paquetes'!$C$767:$L$874,'Cálculos auxiliares'!J$191,FALSE)),"")</f>
        <v>627</v>
      </c>
      <c r="K275" s="372">
        <f>IFERROR(VLOOKUP($D275,'Info planes y paquetes'!$C$767:$L$874,'Cálculos auxiliares'!K$191,FALSE),"")</f>
        <v>4250</v>
      </c>
      <c r="L275" s="396"/>
      <c r="M275" s="396"/>
    </row>
    <row r="276" spans="3:13" s="262" customFormat="1" x14ac:dyDescent="0.25">
      <c r="C276" s="95">
        <f t="shared" si="22"/>
        <v>83</v>
      </c>
      <c r="D276" s="101" t="str">
        <v>Paquete Infinitum Entretenimiento+ 120    (Netflix 4 dispositivos)</v>
      </c>
      <c r="F276" s="113" t="str">
        <f>VLOOKUP($D276,'Info planes y paquetes'!$C$767:$L$874,2,FALSE)</f>
        <v>Residencial</v>
      </c>
      <c r="G276" s="113" t="str">
        <f>VLOOKUP($D276,'Info planes y paquetes'!$C$767:$L$874,3,FALSE)</f>
        <v>Telefonía fija + Internet fijo</v>
      </c>
      <c r="H276" s="113">
        <f>IFERROR(VLOOKUP($D276,'Info planes y paquetes'!$C$471:$BS$579,65,FALSE),"")</f>
        <v>120</v>
      </c>
      <c r="I276" s="113">
        <f>IFERROR(VLOOKUP($D276,'Info planes y paquetes'!$C$471:$BS$579,66,FALSE),"")</f>
        <v>10</v>
      </c>
      <c r="J276" s="171">
        <f>IFERROR(SUM(VLOOKUP($D276,'Info planes y paquetes'!$C$767:$L$874,'Cálculos auxiliares'!L$191,FALSE),VLOOKUP($D276,'Info planes y paquetes'!$C$767:$L$874,'Cálculos auxiliares'!J$191,FALSE)),"")</f>
        <v>576</v>
      </c>
      <c r="K276" s="372">
        <f>IFERROR(VLOOKUP($D276,'Info planes y paquetes'!$C$767:$L$874,'Cálculos auxiliares'!K$191,FALSE),"")</f>
        <v>3187</v>
      </c>
      <c r="L276" s="396"/>
      <c r="M276" s="396"/>
    </row>
    <row r="277" spans="3:13" s="262" customFormat="1" x14ac:dyDescent="0.25">
      <c r="C277" s="95">
        <f t="shared" si="22"/>
        <v>84</v>
      </c>
      <c r="D277" s="101" t="str">
        <v>Paquete infinitum Entretenimiento+ 200  (Netflix 4 dispositivos)</v>
      </c>
      <c r="F277" s="113" t="str">
        <f>VLOOKUP($D277,'Info planes y paquetes'!$C$767:$L$874,2,FALSE)</f>
        <v>Residencial</v>
      </c>
      <c r="G277" s="113" t="str">
        <f>VLOOKUP($D277,'Info planes y paquetes'!$C$767:$L$874,3,FALSE)</f>
        <v>Telefonía fija + Internet fijo</v>
      </c>
      <c r="H277" s="113">
        <f>IFERROR(VLOOKUP($D277,'Info planes y paquetes'!$C$471:$BS$579,65,FALSE),"")</f>
        <v>200</v>
      </c>
      <c r="I277" s="113">
        <f>IFERROR(VLOOKUP($D277,'Info planes y paquetes'!$C$471:$BS$579,66,FALSE),"")</f>
        <v>50</v>
      </c>
      <c r="J277" s="171">
        <f>IFERROR(SUM(VLOOKUP($D277,'Info planes y paquetes'!$C$767:$L$874,'Cálculos auxiliares'!L$191,FALSE),VLOOKUP($D277,'Info planes y paquetes'!$C$767:$L$874,'Cálculos auxiliares'!J$191,FALSE)),"")</f>
        <v>258</v>
      </c>
      <c r="K277" s="372">
        <f>IFERROR(VLOOKUP($D277,'Info planes y paquetes'!$C$767:$L$874,'Cálculos auxiliares'!K$191,FALSE),"")</f>
        <v>18778</v>
      </c>
      <c r="L277" s="396"/>
      <c r="M277" s="396"/>
    </row>
    <row r="278" spans="3:13" s="262" customFormat="1" x14ac:dyDescent="0.25">
      <c r="C278" s="95">
        <f t="shared" si="22"/>
        <v>85</v>
      </c>
      <c r="D278" s="101" t="str">
        <v>Paquete infinitum Entretenimiento+ 200  (Netflix 2 dispositivos)</v>
      </c>
      <c r="F278" s="113" t="str">
        <f>VLOOKUP($D278,'Info planes y paquetes'!$C$767:$L$874,2,FALSE)</f>
        <v>Residencial</v>
      </c>
      <c r="G278" s="113" t="str">
        <f>VLOOKUP($D278,'Info planes y paquetes'!$C$767:$L$874,3,FALSE)</f>
        <v>Telefonía fija + Internet fijo</v>
      </c>
      <c r="H278" s="113">
        <f>IFERROR(VLOOKUP($D278,'Info planes y paquetes'!$C$471:$BS$579,65,FALSE),"")</f>
        <v>200</v>
      </c>
      <c r="I278" s="113">
        <f>IFERROR(VLOOKUP($D278,'Info planes y paquetes'!$C$471:$BS$579,66,FALSE),"")</f>
        <v>50</v>
      </c>
      <c r="J278" s="171">
        <f>IFERROR(SUM(VLOOKUP($D278,'Info planes y paquetes'!$C$767:$L$874,'Cálculos auxiliares'!L$191,FALSE),VLOOKUP($D278,'Info planes y paquetes'!$C$767:$L$874,'Cálculos auxiliares'!J$191,FALSE)),"")</f>
        <v>178</v>
      </c>
      <c r="K278" s="372">
        <f>IFERROR(VLOOKUP($D278,'Info planes y paquetes'!$C$767:$L$874,'Cálculos auxiliares'!K$191,FALSE),"")</f>
        <v>3497</v>
      </c>
      <c r="L278" s="396"/>
      <c r="M278" s="396"/>
    </row>
    <row r="279" spans="3:13" s="262" customFormat="1" x14ac:dyDescent="0.25">
      <c r="C279" s="95">
        <f t="shared" si="22"/>
        <v>86</v>
      </c>
      <c r="D279" s="101" t="str">
        <v>Paquete infinitum Entretenimiento+ 500 (Netflix 4 dispositivos)</v>
      </c>
      <c r="F279" s="113" t="str">
        <f>VLOOKUP($D279,'Info planes y paquetes'!$C$767:$L$874,2,FALSE)</f>
        <v>Residencial</v>
      </c>
      <c r="G279" s="113" t="str">
        <f>VLOOKUP($D279,'Info planes y paquetes'!$C$767:$L$874,3,FALSE)</f>
        <v>Telefonía fija + Internet fijo</v>
      </c>
      <c r="H279" s="113">
        <f>IFERROR(VLOOKUP($D279,'Info planes y paquetes'!$C$471:$BS$579,65,FALSE),"")</f>
        <v>500</v>
      </c>
      <c r="I279" s="113">
        <f>IFERROR(VLOOKUP($D279,'Info planes y paquetes'!$C$471:$BS$579,66,FALSE),"")</f>
        <v>50</v>
      </c>
      <c r="J279" s="171">
        <f>IFERROR(SUM(VLOOKUP($D279,'Info planes y paquetes'!$C$767:$L$874,'Cálculos auxiliares'!L$191,FALSE),VLOOKUP($D279,'Info planes y paquetes'!$C$767:$L$874,'Cálculos auxiliares'!J$191,FALSE)),"")</f>
        <v>1</v>
      </c>
      <c r="K279" s="372">
        <f>IFERROR(VLOOKUP($D279,'Info planes y paquetes'!$C$767:$L$874,'Cálculos auxiliares'!K$191,FALSE),"")</f>
        <v>1491</v>
      </c>
      <c r="L279" s="396"/>
      <c r="M279" s="396"/>
    </row>
    <row r="280" spans="3:13" s="262" customFormat="1" x14ac:dyDescent="0.25">
      <c r="C280" s="95">
        <f t="shared" si="22"/>
        <v>87</v>
      </c>
      <c r="D280" s="101" t="str">
        <v>Paquete infinitum Entretenimiento+ 500  (Netflix 2 dispositivos)</v>
      </c>
      <c r="F280" s="113" t="str">
        <f>VLOOKUP($D280,'Info planes y paquetes'!$C$767:$L$874,2,FALSE)</f>
        <v>Residencial</v>
      </c>
      <c r="G280" s="113" t="str">
        <f>VLOOKUP($D280,'Info planes y paquetes'!$C$767:$L$874,3,FALSE)</f>
        <v>Telefonía fija + Internet fijo</v>
      </c>
      <c r="H280" s="113">
        <f>IFERROR(VLOOKUP($D280,'Info planes y paquetes'!$C$471:$BS$579,65,FALSE),"")</f>
        <v>500</v>
      </c>
      <c r="I280" s="113">
        <f>IFERROR(VLOOKUP($D280,'Info planes y paquetes'!$C$471:$BS$579,66,FALSE),"")</f>
        <v>50</v>
      </c>
      <c r="J280" s="171">
        <f>IFERROR(SUM(VLOOKUP($D280,'Info planes y paquetes'!$C$767:$L$874,'Cálculos auxiliares'!L$191,FALSE),VLOOKUP($D280,'Info planes y paquetes'!$C$767:$L$874,'Cálculos auxiliares'!J$191,FALSE)),"")</f>
        <v>0</v>
      </c>
      <c r="K280" s="372">
        <f>IFERROR(VLOOKUP($D280,'Info planes y paquetes'!$C$767:$L$874,'Cálculos auxiliares'!K$191,FALSE),"")</f>
        <v>309</v>
      </c>
      <c r="L280" s="396"/>
      <c r="M280" s="396"/>
    </row>
    <row r="281" spans="3:13" s="262" customFormat="1" x14ac:dyDescent="0.25">
      <c r="C281" s="95">
        <f t="shared" si="22"/>
        <v>88</v>
      </c>
      <c r="D281" s="101" t="str">
        <v>Infinitum Entretenimiento +30   (Netflix 1 dispositivo)</v>
      </c>
      <c r="F281" s="113" t="str">
        <f>VLOOKUP($D281,'Info planes y paquetes'!$C$767:$L$874,2,FALSE)</f>
        <v>Residencial</v>
      </c>
      <c r="G281" s="113" t="str">
        <f>VLOOKUP($D281,'Info planes y paquetes'!$C$767:$L$874,3,FALSE)</f>
        <v>Internet fijo</v>
      </c>
      <c r="H281" s="113">
        <f>IFERROR(VLOOKUP($D281,'Info planes y paquetes'!$C$471:$BS$579,65,FALSE),"")</f>
        <v>30</v>
      </c>
      <c r="I281" s="113">
        <f>IFERROR(VLOOKUP($D281,'Info planes y paquetes'!$C$471:$BS$579,66,FALSE),"")</f>
        <v>5</v>
      </c>
      <c r="J281" s="171">
        <f>IFERROR(SUM(VLOOKUP($D281,'Info planes y paquetes'!$C$767:$L$874,'Cálculos auxiliares'!L$191,FALSE),VLOOKUP($D281,'Info planes y paquetes'!$C$767:$L$874,'Cálculos auxiliares'!J$191,FALSE)),"")</f>
        <v>3413</v>
      </c>
      <c r="K281" s="372">
        <f>IFERROR(VLOOKUP($D281,'Info planes y paquetes'!$C$767:$L$874,'Cálculos auxiliares'!K$191,FALSE),"")</f>
        <v>5040</v>
      </c>
      <c r="L281" s="396"/>
      <c r="M281" s="396"/>
    </row>
    <row r="282" spans="3:13" s="262" customFormat="1" x14ac:dyDescent="0.25">
      <c r="C282" s="95">
        <f t="shared" si="22"/>
        <v>89</v>
      </c>
      <c r="D282" s="101" t="str">
        <v>Infinitum Entretenimiento +30   (Netflix 2 dispositivos)</v>
      </c>
      <c r="F282" s="113" t="str">
        <f>VLOOKUP($D282,'Info planes y paquetes'!$C$767:$L$874,2,FALSE)</f>
        <v>Residencial</v>
      </c>
      <c r="G282" s="113" t="str">
        <f>VLOOKUP($D282,'Info planes y paquetes'!$C$767:$L$874,3,FALSE)</f>
        <v>Internet fijo</v>
      </c>
      <c r="H282" s="113">
        <f>IFERROR(VLOOKUP($D282,'Info planes y paquetes'!$C$471:$BS$579,65,FALSE),"")</f>
        <v>30</v>
      </c>
      <c r="I282" s="113">
        <f>IFERROR(VLOOKUP($D282,'Info planes y paquetes'!$C$471:$BS$579,66,FALSE),"")</f>
        <v>5</v>
      </c>
      <c r="J282" s="171">
        <f>IFERROR(SUM(VLOOKUP($D282,'Info planes y paquetes'!$C$767:$L$874,'Cálculos auxiliares'!L$191,FALSE),VLOOKUP($D282,'Info planes y paquetes'!$C$767:$L$874,'Cálculos auxiliares'!J$191,FALSE)),"")</f>
        <v>4266</v>
      </c>
      <c r="K282" s="372">
        <f>IFERROR(VLOOKUP($D282,'Info planes y paquetes'!$C$767:$L$874,'Cálculos auxiliares'!K$191,FALSE),"")</f>
        <v>5157</v>
      </c>
      <c r="L282" s="396"/>
      <c r="M282" s="396"/>
    </row>
    <row r="283" spans="3:13" s="262" customFormat="1" x14ac:dyDescent="0.25">
      <c r="C283" s="95">
        <f t="shared" si="22"/>
        <v>90</v>
      </c>
      <c r="D283" s="101" t="str">
        <v>Infinitum Entretenimiento +30   (Netflix 4 dispositivos)</v>
      </c>
      <c r="F283" s="113" t="str">
        <f>VLOOKUP($D283,'Info planes y paquetes'!$C$767:$L$874,2,FALSE)</f>
        <v>Residencial</v>
      </c>
      <c r="G283" s="113" t="str">
        <f>VLOOKUP($D283,'Info planes y paquetes'!$C$767:$L$874,3,FALSE)</f>
        <v>Internet fijo</v>
      </c>
      <c r="H283" s="113">
        <f>IFERROR(VLOOKUP($D283,'Info planes y paquetes'!$C$471:$BS$579,65,FALSE),"")</f>
        <v>30</v>
      </c>
      <c r="I283" s="113">
        <f>IFERROR(VLOOKUP($D283,'Info planes y paquetes'!$C$471:$BS$579,66,FALSE),"")</f>
        <v>5</v>
      </c>
      <c r="J283" s="171">
        <f>IFERROR(SUM(VLOOKUP($D283,'Info planes y paquetes'!$C$767:$L$874,'Cálculos auxiliares'!L$191,FALSE),VLOOKUP($D283,'Info planes y paquetes'!$C$767:$L$874,'Cálculos auxiliares'!J$191,FALSE)),"")</f>
        <v>2686</v>
      </c>
      <c r="K283" s="372">
        <f>IFERROR(VLOOKUP($D283,'Info planes y paquetes'!$C$767:$L$874,'Cálculos auxiliares'!K$191,FALSE),"")</f>
        <v>2112</v>
      </c>
      <c r="L283" s="396"/>
      <c r="M283" s="396"/>
    </row>
    <row r="284" spans="3:13" s="262" customFormat="1" x14ac:dyDescent="0.25">
      <c r="C284" s="95">
        <f t="shared" si="22"/>
        <v>91</v>
      </c>
      <c r="D284" s="101" t="str">
        <v>Infinitum Entretenimiento+ 250  (Netflix 4 dispositivos)</v>
      </c>
      <c r="F284" s="113" t="str">
        <f>VLOOKUP($D284,'Info planes y paquetes'!$C$767:$L$874,2,FALSE)</f>
        <v>Residencial</v>
      </c>
      <c r="G284" s="113" t="str">
        <f>VLOOKUP($D284,'Info planes y paquetes'!$C$767:$L$874,3,FALSE)</f>
        <v>Internet fijo</v>
      </c>
      <c r="H284" s="113">
        <f>IFERROR(VLOOKUP($D284,'Info planes y paquetes'!$C$471:$BS$579,65,FALSE),"")</f>
        <v>250</v>
      </c>
      <c r="I284" s="113">
        <f>IFERROR(VLOOKUP($D284,'Info planes y paquetes'!$C$471:$BS$579,66,FALSE),"")</f>
        <v>50</v>
      </c>
      <c r="J284" s="171">
        <f>IFERROR(SUM(VLOOKUP($D284,'Info planes y paquetes'!$C$767:$L$874,'Cálculos auxiliares'!L$191,FALSE),VLOOKUP($D284,'Info planes y paquetes'!$C$767:$L$874,'Cálculos auxiliares'!J$191,FALSE)),"")</f>
        <v>34</v>
      </c>
      <c r="K284" s="372">
        <f>IFERROR(VLOOKUP($D284,'Info planes y paquetes'!$C$767:$L$874,'Cálculos auxiliares'!K$191,FALSE),"")</f>
        <v>2943</v>
      </c>
      <c r="L284" s="396"/>
      <c r="M284" s="396"/>
    </row>
    <row r="285" spans="3:13" s="262" customFormat="1" x14ac:dyDescent="0.25">
      <c r="C285" s="95">
        <f t="shared" si="22"/>
        <v>92</v>
      </c>
      <c r="D285" s="101" t="str">
        <v>Infinitum Entretenimiento+ 250  (Netflix 2 dispositivos)</v>
      </c>
      <c r="F285" s="113" t="str">
        <f>VLOOKUP($D285,'Info planes y paquetes'!$C$767:$L$874,2,FALSE)</f>
        <v>Residencial</v>
      </c>
      <c r="G285" s="113" t="str">
        <f>VLOOKUP($D285,'Info planes y paquetes'!$C$767:$L$874,3,FALSE)</f>
        <v>Internet fijo</v>
      </c>
      <c r="H285" s="113">
        <f>IFERROR(VLOOKUP($D285,'Info planes y paquetes'!$C$471:$BS$579,65,FALSE),"")</f>
        <v>250</v>
      </c>
      <c r="I285" s="113">
        <f>IFERROR(VLOOKUP($D285,'Info planes y paquetes'!$C$471:$BS$579,66,FALSE),"")</f>
        <v>50</v>
      </c>
      <c r="J285" s="171">
        <f>IFERROR(SUM(VLOOKUP($D285,'Info planes y paquetes'!$C$767:$L$874,'Cálculos auxiliares'!L$191,FALSE),VLOOKUP($D285,'Info planes y paquetes'!$C$767:$L$874,'Cálculos auxiliares'!J$191,FALSE)),"")</f>
        <v>29</v>
      </c>
      <c r="K285" s="372">
        <f>IFERROR(VLOOKUP($D285,'Info planes y paquetes'!$C$767:$L$874,'Cálculos auxiliares'!K$191,FALSE),"")</f>
        <v>640</v>
      </c>
      <c r="L285" s="396"/>
      <c r="M285" s="396"/>
    </row>
    <row r="286" spans="3:13" s="262" customFormat="1" x14ac:dyDescent="0.25">
      <c r="C286" s="95">
        <f t="shared" si="22"/>
        <v>93</v>
      </c>
      <c r="D286" s="101" t="str">
        <v>Infinitum Entretenimiento+ 500   (Netflix 4 dispositivos)</v>
      </c>
      <c r="F286" s="113" t="str">
        <f>VLOOKUP($D286,'Info planes y paquetes'!$C$767:$L$874,2,FALSE)</f>
        <v>Residencial</v>
      </c>
      <c r="G286" s="113" t="str">
        <f>VLOOKUP($D286,'Info planes y paquetes'!$C$767:$L$874,3,FALSE)</f>
        <v>Internet fijo</v>
      </c>
      <c r="H286" s="113">
        <f>IFERROR(VLOOKUP($D286,'Info planes y paquetes'!$C$471:$BS$579,65,FALSE),"")</f>
        <v>500</v>
      </c>
      <c r="I286" s="113">
        <f>IFERROR(VLOOKUP($D286,'Info planes y paquetes'!$C$471:$BS$579,66,FALSE),"")</f>
        <v>50</v>
      </c>
      <c r="J286" s="171">
        <f>IFERROR(SUM(VLOOKUP($D286,'Info planes y paquetes'!$C$767:$L$874,'Cálculos auxiliares'!L$191,FALSE),VLOOKUP($D286,'Info planes y paquetes'!$C$767:$L$874,'Cálculos auxiliares'!J$191,FALSE)),"")</f>
        <v>1</v>
      </c>
      <c r="K286" s="372">
        <f>IFERROR(VLOOKUP($D286,'Info planes y paquetes'!$C$767:$L$874,'Cálculos auxiliares'!K$191,FALSE),"")</f>
        <v>490</v>
      </c>
      <c r="L286" s="396"/>
      <c r="M286" s="396"/>
    </row>
    <row r="287" spans="3:13" s="262" customFormat="1" x14ac:dyDescent="0.25">
      <c r="C287" s="95">
        <f t="shared" si="22"/>
        <v>94</v>
      </c>
      <c r="D287" s="101" t="str">
        <v>Infinitum Entretenimiento+ 500   (Netflix 2 dispositivos)</v>
      </c>
      <c r="F287" s="113" t="str">
        <f>VLOOKUP($D287,'Info planes y paquetes'!$C$767:$L$874,2,FALSE)</f>
        <v>Residencial</v>
      </c>
      <c r="G287" s="113" t="str">
        <f>VLOOKUP($D287,'Info planes y paquetes'!$C$767:$L$874,3,FALSE)</f>
        <v>Internet fijo</v>
      </c>
      <c r="H287" s="113">
        <f>IFERROR(VLOOKUP($D287,'Info planes y paquetes'!$C$471:$BS$579,65,FALSE),"")</f>
        <v>500</v>
      </c>
      <c r="I287" s="113">
        <f>IFERROR(VLOOKUP($D287,'Info planes y paquetes'!$C$471:$BS$579,66,FALSE),"")</f>
        <v>50</v>
      </c>
      <c r="J287" s="171">
        <f>IFERROR(SUM(VLOOKUP($D287,'Info planes y paquetes'!$C$767:$L$874,'Cálculos auxiliares'!L$191,FALSE),VLOOKUP($D287,'Info planes y paquetes'!$C$767:$L$874,'Cálculos auxiliares'!J$191,FALSE)),"")</f>
        <v>0</v>
      </c>
      <c r="K287" s="372">
        <f>IFERROR(VLOOKUP($D287,'Info planes y paquetes'!$C$767:$L$874,'Cálculos auxiliares'!K$191,FALSE),"")</f>
        <v>87</v>
      </c>
      <c r="L287" s="396"/>
      <c r="M287" s="396"/>
    </row>
    <row r="288" spans="3:13" s="262" customFormat="1" x14ac:dyDescent="0.25">
      <c r="C288" s="95">
        <f t="shared" si="22"/>
        <v>95</v>
      </c>
      <c r="D288" s="101" t="str">
        <v>Velocidad Simétrica Conectes Negocio</v>
      </c>
      <c r="F288" s="113" t="str">
        <f>VLOOKUP($D288,'Info planes y paquetes'!$C$767:$L$874,2,FALSE)</f>
        <v>No Residencial</v>
      </c>
      <c r="G288" s="113" t="str">
        <f>VLOOKUP($D288,'Info planes y paquetes'!$C$767:$L$874,3,FALSE)</f>
        <v>Telefonía fija + Internet fijo</v>
      </c>
      <c r="H288" s="113">
        <f>IFERROR(VLOOKUP($D288,'Info planes y paquetes'!$C$471:$BS$579,65,FALSE),"")</f>
        <v>20</v>
      </c>
      <c r="I288" s="113">
        <f>IFERROR(VLOOKUP($D288,'Info planes y paquetes'!$C$471:$BS$579,66,FALSE),"")</f>
        <v>20</v>
      </c>
      <c r="J288" s="171">
        <f>IFERROR(SUM(VLOOKUP($D288,'Info planes y paquetes'!$C$767:$L$874,'Cálculos auxiliares'!L$191,FALSE),VLOOKUP($D288,'Info planes y paquetes'!$C$767:$L$874,'Cálculos auxiliares'!J$191,FALSE)),"")</f>
        <v>65</v>
      </c>
      <c r="K288" s="372">
        <f>IFERROR(VLOOKUP($D288,'Info planes y paquetes'!$C$767:$L$874,'Cálculos auxiliares'!K$191,FALSE),"")</f>
        <v>10147</v>
      </c>
      <c r="L288" s="396"/>
      <c r="M288" s="396"/>
    </row>
    <row r="289" spans="3:13" s="262" customFormat="1" x14ac:dyDescent="0.25">
      <c r="C289" s="95">
        <f t="shared" si="22"/>
        <v>96</v>
      </c>
      <c r="D289" s="101" t="str">
        <v>Velocidad Simétrica Mi Negocio</v>
      </c>
      <c r="F289" s="113" t="str">
        <f>VLOOKUP($D289,'Info planes y paquetes'!$C$767:$L$874,2,FALSE)</f>
        <v>No Residencial</v>
      </c>
      <c r="G289" s="113" t="str">
        <f>VLOOKUP($D289,'Info planes y paquetes'!$C$767:$L$874,3,FALSE)</f>
        <v>Telefonía fija + Internet fijo</v>
      </c>
      <c r="H289" s="113">
        <f>IFERROR(VLOOKUP($D289,'Info planes y paquetes'!$C$471:$BS$579,65,FALSE),"")</f>
        <v>100</v>
      </c>
      <c r="I289" s="113">
        <f>IFERROR(VLOOKUP($D289,'Info planes y paquetes'!$C$471:$BS$579,66,FALSE),"")</f>
        <v>100</v>
      </c>
      <c r="J289" s="171">
        <f>IFERROR(SUM(VLOOKUP($D289,'Info planes y paquetes'!$C$767:$L$874,'Cálculos auxiliares'!L$191,FALSE),VLOOKUP($D289,'Info planes y paquetes'!$C$767:$L$874,'Cálculos auxiliares'!J$191,FALSE)),"")</f>
        <v>33</v>
      </c>
      <c r="K289" s="372">
        <f>IFERROR(VLOOKUP($D289,'Info planes y paquetes'!$C$767:$L$874,'Cálculos auxiliares'!K$191,FALSE),"")</f>
        <v>14987</v>
      </c>
      <c r="L289" s="396"/>
      <c r="M289" s="396"/>
    </row>
    <row r="290" spans="3:13" s="262" customFormat="1" x14ac:dyDescent="0.25">
      <c r="C290" s="95">
        <f t="shared" si="22"/>
        <v>97</v>
      </c>
      <c r="D290" s="101" t="str">
        <v>Velocidad Simétrica Supernegocio</v>
      </c>
      <c r="F290" s="113" t="str">
        <f>VLOOKUP($D290,'Info planes y paquetes'!$C$767:$L$874,2,FALSE)</f>
        <v>No Residencial</v>
      </c>
      <c r="G290" s="113" t="str">
        <f>VLOOKUP($D290,'Info planes y paquetes'!$C$767:$L$874,3,FALSE)</f>
        <v>Telefonía fija + Internet fijo</v>
      </c>
      <c r="H290" s="113">
        <f>IFERROR(VLOOKUP($D290,'Info planes y paquetes'!$C$471:$BS$579,65,FALSE),"")</f>
        <v>200</v>
      </c>
      <c r="I290" s="113">
        <f>IFERROR(VLOOKUP($D290,'Info planes y paquetes'!$C$471:$BS$579,66,FALSE),"")</f>
        <v>200</v>
      </c>
      <c r="J290" s="171">
        <f>IFERROR(SUM(VLOOKUP($D290,'Info planes y paquetes'!$C$767:$L$874,'Cálculos auxiliares'!L$191,FALSE),VLOOKUP($D290,'Info planes y paquetes'!$C$767:$L$874,'Cálculos auxiliares'!J$191,FALSE)),"")</f>
        <v>13</v>
      </c>
      <c r="K290" s="372">
        <f>IFERROR(VLOOKUP($D290,'Info planes y paquetes'!$C$767:$L$874,'Cálculos auxiliares'!K$191,FALSE),"")</f>
        <v>11862</v>
      </c>
      <c r="L290" s="396"/>
      <c r="M290" s="396"/>
    </row>
    <row r="291" spans="3:13" s="262" customFormat="1" x14ac:dyDescent="0.25">
      <c r="C291" s="95">
        <f t="shared" si="22"/>
        <v>98</v>
      </c>
      <c r="D291" s="101" t="str">
        <v>Velocidad Simétrica Telmex Negocio Sin Límites 1</v>
      </c>
      <c r="F291" s="113" t="str">
        <f>VLOOKUP($D291,'Info planes y paquetes'!$C$767:$L$874,2,FALSE)</f>
        <v>No Residencial</v>
      </c>
      <c r="G291" s="113" t="str">
        <f>VLOOKUP($D291,'Info planes y paquetes'!$C$767:$L$874,3,FALSE)</f>
        <v>Telefonía fija + Internet fijo</v>
      </c>
      <c r="H291" s="113">
        <f>IFERROR(VLOOKUP($D291,'Info planes y paquetes'!$C$471:$BS$579,65,FALSE),"")</f>
        <v>500</v>
      </c>
      <c r="I291" s="113">
        <f>IFERROR(VLOOKUP($D291,'Info planes y paquetes'!$C$471:$BS$579,66,FALSE),"")</f>
        <v>500</v>
      </c>
      <c r="J291" s="171">
        <f>IFERROR(SUM(VLOOKUP($D291,'Info planes y paquetes'!$C$767:$L$874,'Cálculos auxiliares'!L$191,FALSE),VLOOKUP($D291,'Info planes y paquetes'!$C$767:$L$874,'Cálculos auxiliares'!J$191,FALSE)),"")</f>
        <v>3</v>
      </c>
      <c r="K291" s="372">
        <f>IFERROR(VLOOKUP($D291,'Info planes y paquetes'!$C$767:$L$874,'Cálculos auxiliares'!K$191,FALSE),"")</f>
        <v>3084</v>
      </c>
      <c r="L291" s="396"/>
      <c r="M291" s="396"/>
    </row>
    <row r="292" spans="3:13" s="262" customFormat="1" x14ac:dyDescent="0.25">
      <c r="C292" s="95">
        <f t="shared" si="22"/>
        <v>99</v>
      </c>
      <c r="D292" s="101" t="str">
        <v>Velocidad Simétrica Telmex Negocio Sin Límites 2</v>
      </c>
      <c r="F292" s="113" t="str">
        <f>VLOOKUP($D292,'Info planes y paquetes'!$C$767:$L$874,2,FALSE)</f>
        <v>No Residencial</v>
      </c>
      <c r="G292" s="113" t="str">
        <f>VLOOKUP($D292,'Info planes y paquetes'!$C$767:$L$874,3,FALSE)</f>
        <v>Telefonía fija + Internet fijo</v>
      </c>
      <c r="H292" s="113">
        <f>IFERROR(VLOOKUP($D292,'Info planes y paquetes'!$C$471:$BS$579,65,FALSE),"")</f>
        <v>500</v>
      </c>
      <c r="I292" s="113">
        <f>IFERROR(VLOOKUP($D292,'Info planes y paquetes'!$C$471:$BS$579,66,FALSE),"")</f>
        <v>500</v>
      </c>
      <c r="J292" s="171">
        <f>IFERROR(SUM(VLOOKUP($D292,'Info planes y paquetes'!$C$767:$L$874,'Cálculos auxiliares'!L$191,FALSE),VLOOKUP($D292,'Info planes y paquetes'!$C$767:$L$874,'Cálculos auxiliares'!J$191,FALSE)),"")</f>
        <v>4</v>
      </c>
      <c r="K292" s="372">
        <f>IFERROR(VLOOKUP($D292,'Info planes y paquetes'!$C$767:$L$874,'Cálculos auxiliares'!K$191,FALSE),"")</f>
        <v>5340</v>
      </c>
      <c r="L292" s="396"/>
      <c r="M292" s="396"/>
    </row>
    <row r="293" spans="3:13" s="262" customFormat="1" x14ac:dyDescent="0.25">
      <c r="C293" s="95">
        <f t="shared" si="22"/>
        <v>100</v>
      </c>
      <c r="D293" s="101" t="str">
        <v>Velocidad Simétrica Telmex Negocio Sin Límites 3</v>
      </c>
      <c r="F293" s="113" t="str">
        <f>VLOOKUP($D293,'Info planes y paquetes'!$C$767:$L$874,2,FALSE)</f>
        <v>No Residencial</v>
      </c>
      <c r="G293" s="113" t="str">
        <f>VLOOKUP($D293,'Info planes y paquetes'!$C$767:$L$874,3,FALSE)</f>
        <v>Telefonía fija + Internet fijo</v>
      </c>
      <c r="H293" s="113">
        <f>IFERROR(VLOOKUP($D293,'Info planes y paquetes'!$C$471:$BS$579,65,FALSE),"")</f>
        <v>1000</v>
      </c>
      <c r="I293" s="113">
        <f>IFERROR(VLOOKUP($D293,'Info planes y paquetes'!$C$471:$BS$579,66,FALSE),"")</f>
        <v>1000</v>
      </c>
      <c r="J293" s="171">
        <f>IFERROR(SUM(VLOOKUP($D293,'Info planes y paquetes'!$C$767:$L$874,'Cálculos auxiliares'!L$191,FALSE),VLOOKUP($D293,'Info planes y paquetes'!$C$767:$L$874,'Cálculos auxiliares'!J$191,FALSE)),"")</f>
        <v>2</v>
      </c>
      <c r="K293" s="372">
        <f>IFERROR(VLOOKUP($D293,'Info planes y paquetes'!$C$767:$L$874,'Cálculos auxiliares'!K$191,FALSE),"")</f>
        <v>3577</v>
      </c>
      <c r="L293" s="396"/>
      <c r="M293" s="396"/>
    </row>
    <row r="294" spans="3:13" s="262" customFormat="1" x14ac:dyDescent="0.25">
      <c r="C294" s="95">
        <f t="shared" si="22"/>
        <v>101</v>
      </c>
      <c r="D294" s="101" t="str">
        <v xml:space="preserve">Velocidad Simétrica Conectes Negocio Netflix (1 dispositivo) </v>
      </c>
      <c r="F294" s="113" t="str">
        <f>VLOOKUP($D294,'Info planes y paquetes'!$C$767:$L$874,2,FALSE)</f>
        <v>No Residencial</v>
      </c>
      <c r="G294" s="113" t="str">
        <f>VLOOKUP($D294,'Info planes y paquetes'!$C$767:$L$874,3,FALSE)</f>
        <v>Telefonía fija + Internet fijo</v>
      </c>
      <c r="H294" s="113">
        <v>20</v>
      </c>
      <c r="I294" s="113">
        <v>20</v>
      </c>
      <c r="J294" s="171">
        <f>IFERROR(SUM(VLOOKUP($D294,'Info planes y paquetes'!$C$767:$L$874,'Cálculos auxiliares'!L$191,FALSE),VLOOKUP($D294,'Info planes y paquetes'!$C$767:$L$874,'Cálculos auxiliares'!J$191,FALSE)),"")</f>
        <v>0</v>
      </c>
      <c r="K294" s="372">
        <f>IFERROR(VLOOKUP($D294,'Info planes y paquetes'!$C$767:$L$874,'Cálculos auxiliares'!K$191,FALSE),"")</f>
        <v>4</v>
      </c>
      <c r="L294" s="396"/>
      <c r="M294" s="396"/>
    </row>
    <row r="295" spans="3:13" s="262" customFormat="1" x14ac:dyDescent="0.25">
      <c r="C295" s="95">
        <f t="shared" si="22"/>
        <v>102</v>
      </c>
      <c r="D295" s="101" t="str">
        <v>Velocidad Simétrica Conectes Negocio Netflix (2 dispositivos)</v>
      </c>
      <c r="F295" s="113" t="str">
        <f>VLOOKUP($D295,'Info planes y paquetes'!$C$767:$L$874,2,FALSE)</f>
        <v>No Residencial</v>
      </c>
      <c r="G295" s="113" t="str">
        <f>VLOOKUP($D295,'Info planes y paquetes'!$C$767:$L$874,3,FALSE)</f>
        <v>Telefonía fija + Internet fijo</v>
      </c>
      <c r="H295" s="113">
        <f>IFERROR(VLOOKUP($D295,'Info planes y paquetes'!$C$471:$BS$579,65,FALSE),"")</f>
        <v>20</v>
      </c>
      <c r="I295" s="113">
        <f>IFERROR(VLOOKUP($D295,'Info planes y paquetes'!$C$471:$BS$579,66,FALSE),"")</f>
        <v>20</v>
      </c>
      <c r="J295" s="171">
        <f>IFERROR(SUM(VLOOKUP($D295,'Info planes y paquetes'!$C$767:$L$874,'Cálculos auxiliares'!L$191,FALSE),VLOOKUP($D295,'Info planes y paquetes'!$C$767:$L$874,'Cálculos auxiliares'!J$191,FALSE)),"")</f>
        <v>0</v>
      </c>
      <c r="K295" s="372">
        <f>IFERROR(VLOOKUP($D295,'Info planes y paquetes'!$C$767:$L$874,'Cálculos auxiliares'!K$191,FALSE),"")</f>
        <v>4</v>
      </c>
      <c r="M295" s="396"/>
    </row>
    <row r="296" spans="3:13" s="262" customFormat="1" x14ac:dyDescent="0.25">
      <c r="C296" s="95">
        <f t="shared" si="22"/>
        <v>103</v>
      </c>
      <c r="D296" s="101" t="str">
        <v>Velocidad Simétrica Conectes Negocio Netflix (4 dispositivos)</v>
      </c>
      <c r="F296" s="113" t="str">
        <f>VLOOKUP($D296,'Info planes y paquetes'!$C$767:$L$874,2,FALSE)</f>
        <v>No Residencial</v>
      </c>
      <c r="G296" s="113" t="str">
        <f>VLOOKUP($D296,'Info planes y paquetes'!$C$767:$L$874,3,FALSE)</f>
        <v>Telefonía fija + Internet fijo</v>
      </c>
      <c r="H296" s="113">
        <f>IFERROR(VLOOKUP($D296,'Info planes y paquetes'!$C$471:$BS$579,65,FALSE),"")</f>
        <v>20</v>
      </c>
      <c r="I296" s="113">
        <f>IFERROR(VLOOKUP($D296,'Info planes y paquetes'!$C$471:$BS$579,66,FALSE),"")</f>
        <v>20</v>
      </c>
      <c r="J296" s="171">
        <f>IFERROR(SUM(VLOOKUP($D296,'Info planes y paquetes'!$C$767:$L$874,'Cálculos auxiliares'!L$191,FALSE),VLOOKUP($D296,'Info planes y paquetes'!$C$767:$L$874,'Cálculos auxiliares'!J$191,FALSE)),"")</f>
        <v>0</v>
      </c>
      <c r="K296" s="372">
        <f>IFERROR(VLOOKUP($D296,'Info planes y paquetes'!$C$767:$L$874,'Cálculos auxiliares'!K$191,FALSE),"")</f>
        <v>4</v>
      </c>
      <c r="L296" s="396"/>
      <c r="M296" s="396"/>
    </row>
    <row r="297" spans="3:13" s="262" customFormat="1" x14ac:dyDescent="0.25">
      <c r="C297" s="95">
        <f t="shared" si="22"/>
        <v>104</v>
      </c>
      <c r="D297" s="101" t="str">
        <v>Velocidad Simétrica Mi Negocio Netflix (2 dispositivos)</v>
      </c>
      <c r="F297" s="113" t="str">
        <f>VLOOKUP($D297,'Info planes y paquetes'!$C$767:$L$874,2,FALSE)</f>
        <v>No Residencial</v>
      </c>
      <c r="G297" s="113" t="str">
        <f>VLOOKUP($D297,'Info planes y paquetes'!$C$767:$L$874,3,FALSE)</f>
        <v>Telefonía fija + Internet fijo</v>
      </c>
      <c r="H297" s="113">
        <f>IFERROR(VLOOKUP($D297,'Info planes y paquetes'!$C$471:$BS$579,65,FALSE),"")</f>
        <v>100</v>
      </c>
      <c r="I297" s="113">
        <f>IFERROR(VLOOKUP($D297,'Info planes y paquetes'!$C$471:$BS$579,66,FALSE),"")</f>
        <v>100</v>
      </c>
      <c r="J297" s="171">
        <f>IFERROR(SUM(VLOOKUP($D297,'Info planes y paquetes'!$C$767:$L$874,'Cálculos auxiliares'!L$191,FALSE),VLOOKUP($D297,'Info planes y paquetes'!$C$767:$L$874,'Cálculos auxiliares'!J$191,FALSE)),"")</f>
        <v>0</v>
      </c>
      <c r="K297" s="372">
        <f>IFERROR(VLOOKUP($D297,'Info planes y paquetes'!$C$767:$L$874,'Cálculos auxiliares'!K$191,FALSE),"")</f>
        <v>18</v>
      </c>
      <c r="L297" s="396"/>
      <c r="M297" s="396"/>
    </row>
    <row r="298" spans="3:13" s="262" customFormat="1" x14ac:dyDescent="0.25">
      <c r="C298" s="95">
        <f t="shared" si="22"/>
        <v>105</v>
      </c>
      <c r="D298" s="101" t="str">
        <v>Velocidad Simétrica Mi Negocio Netflix (4 dispositivos)</v>
      </c>
      <c r="F298" s="113" t="str">
        <f>VLOOKUP($D298,'Info planes y paquetes'!$C$767:$L$874,2,FALSE)</f>
        <v>No Residencial</v>
      </c>
      <c r="G298" s="113" t="str">
        <f>VLOOKUP($D298,'Info planes y paquetes'!$C$767:$L$874,3,FALSE)</f>
        <v>Telefonía fija + Internet fijo</v>
      </c>
      <c r="H298" s="113">
        <f>IFERROR(VLOOKUP($D298,'Info planes y paquetes'!$C$471:$BS$579,65,FALSE),"")</f>
        <v>100</v>
      </c>
      <c r="I298" s="113">
        <f>IFERROR(VLOOKUP($D298,'Info planes y paquetes'!$C$471:$BS$579,66,FALSE),"")</f>
        <v>100</v>
      </c>
      <c r="J298" s="171">
        <f>IFERROR(SUM(VLOOKUP($D298,'Info planes y paquetes'!$C$767:$L$874,'Cálculos auxiliares'!L$191,FALSE),VLOOKUP($D298,'Info planes y paquetes'!$C$767:$L$874,'Cálculos auxiliares'!J$191,FALSE)),"")</f>
        <v>0</v>
      </c>
      <c r="K298" s="372">
        <f>IFERROR(VLOOKUP($D298,'Info planes y paquetes'!$C$767:$L$874,'Cálculos auxiliares'!K$191,FALSE),"")</f>
        <v>5</v>
      </c>
      <c r="L298" s="396"/>
      <c r="M298" s="396"/>
    </row>
    <row r="299" spans="3:13" s="262" customFormat="1" x14ac:dyDescent="0.25">
      <c r="C299" s="95">
        <f t="shared" si="22"/>
        <v>106</v>
      </c>
      <c r="D299" s="101" t="str">
        <v>Velocidad Simétrica Supernegocio Netflix (2 dispositivos)</v>
      </c>
      <c r="F299" s="113" t="str">
        <f>VLOOKUP($D299,'Info planes y paquetes'!$C$767:$L$874,2,FALSE)</f>
        <v>No Residencial</v>
      </c>
      <c r="G299" s="113" t="str">
        <f>VLOOKUP($D299,'Info planes y paquetes'!$C$767:$L$874,3,FALSE)</f>
        <v>Telefonía fija + Internet fijo</v>
      </c>
      <c r="H299" s="113">
        <f>IFERROR(VLOOKUP($D299,'Info planes y paquetes'!$C$471:$BS$579,65,FALSE),"")</f>
        <v>200</v>
      </c>
      <c r="I299" s="113">
        <f>IFERROR(VLOOKUP($D299,'Info planes y paquetes'!$C$471:$BS$579,66,FALSE),"")</f>
        <v>200</v>
      </c>
      <c r="J299" s="171">
        <f>IFERROR(SUM(VLOOKUP($D299,'Info planes y paquetes'!$C$767:$L$874,'Cálculos auxiliares'!L$191,FALSE),VLOOKUP($D299,'Info planes y paquetes'!$C$767:$L$874,'Cálculos auxiliares'!J$191,FALSE)),"")</f>
        <v>0</v>
      </c>
      <c r="K299" s="372">
        <f>IFERROR(VLOOKUP($D299,'Info planes y paquetes'!$C$767:$L$874,'Cálculos auxiliares'!K$191,FALSE),"")</f>
        <v>31</v>
      </c>
      <c r="L299" s="396"/>
      <c r="M299" s="396"/>
    </row>
    <row r="300" spans="3:13" s="262" customFormat="1" x14ac:dyDescent="0.25">
      <c r="C300" s="95">
        <f t="shared" si="22"/>
        <v>107</v>
      </c>
      <c r="D300" s="101" t="str">
        <v>Velocidad Simétrica Supernegocio Netflix (4 dispositivos)</v>
      </c>
      <c r="F300" s="113" t="str">
        <f>VLOOKUP($D300,'Info planes y paquetes'!$C$767:$L$874,2,FALSE)</f>
        <v>No Residencial</v>
      </c>
      <c r="G300" s="113" t="str">
        <f>VLOOKUP($D300,'Info planes y paquetes'!$C$767:$L$874,3,FALSE)</f>
        <v>Telefonía fija + Internet fijo</v>
      </c>
      <c r="H300" s="113">
        <f>IFERROR(VLOOKUP($D300,'Info planes y paquetes'!$C$471:$BS$579,65,FALSE),"")</f>
        <v>200</v>
      </c>
      <c r="I300" s="113">
        <f>IFERROR(VLOOKUP($D300,'Info planes y paquetes'!$C$471:$BS$579,66,FALSE),"")</f>
        <v>200</v>
      </c>
      <c r="J300" s="171">
        <f>IFERROR(SUM(VLOOKUP($D300,'Info planes y paquetes'!$C$767:$L$874,'Cálculos auxiliares'!L$191,FALSE),VLOOKUP($D300,'Info planes y paquetes'!$C$767:$L$874,'Cálculos auxiliares'!J$191,FALSE)),"")</f>
        <v>0</v>
      </c>
      <c r="K300" s="372">
        <f>IFERROR(VLOOKUP($D300,'Info planes y paquetes'!$C$767:$L$874,'Cálculos auxiliares'!K$191,FALSE),"")</f>
        <v>41</v>
      </c>
      <c r="L300" s="396"/>
      <c r="M300" s="396"/>
    </row>
    <row r="301" spans="3:13" s="262" customFormat="1" hidden="1" outlineLevel="1" x14ac:dyDescent="0.25">
      <c r="C301" s="95">
        <f t="shared" si="22"/>
        <v>108</v>
      </c>
      <c r="D301" s="101" t="str">
        <v>Nombre de Plan/Paquete</v>
      </c>
      <c r="F301" s="113" t="e">
        <f>VLOOKUP($D301,Mercado!$E$21:$G$128,2,FALSE)</f>
        <v>#N/A</v>
      </c>
      <c r="G301" s="113" t="e">
        <f>VLOOKUP($D301,Mercado!$E$21:$G$128,3,FALSE)</f>
        <v>#N/A</v>
      </c>
      <c r="H301" s="113" t="str">
        <f>IFERROR(VLOOKUP($D301,'Info planes y paquetes'!$C$471:$BS$579,65,FALSE),"")</f>
        <v>Velocidad de bajada ofertada (Mbps)</v>
      </c>
      <c r="I301" s="113" t="str">
        <f>IFERROR(VLOOKUP($D301,'Info planes y paquetes'!$C$471:$BS$579,66,FALSE),"")</f>
        <v>Velocidad de subida ofertada (Mbps)</v>
      </c>
      <c r="J301" s="171" t="str">
        <f>IFERROR(SUM(VLOOKUP($D301,'Info planes y paquetes'!$C$767:$L$873,'Cálculos auxiliares'!L$191,FALSE),VLOOKUP($D301,'Info planes y paquetes'!$C$767:$L$873,'Cálculos auxiliares'!J$191,FALSE)),"")</f>
        <v/>
      </c>
      <c r="K301" s="372" t="str">
        <f>IFERROR(VLOOKUP($D301,'Info planes y paquetes'!$C$767:$L$873,'Cálculos auxiliares'!K$191,FALSE),"")</f>
        <v/>
      </c>
      <c r="L301" s="396"/>
      <c r="M301" s="396"/>
    </row>
    <row r="302" spans="3:13" s="262" customFormat="1" hidden="1" outlineLevel="1" x14ac:dyDescent="0.25">
      <c r="C302" s="95">
        <f t="shared" si="22"/>
        <v>109</v>
      </c>
      <c r="D302" s="101" t="e">
        <v>#N/A</v>
      </c>
      <c r="F302" s="113"/>
      <c r="G302" s="113"/>
      <c r="H302" s="113" t="str">
        <f>IFERROR(VLOOKUP($D302,'Info planes y paquetes'!C579:$BS$579,65,FALSE),"")</f>
        <v/>
      </c>
      <c r="I302" s="113"/>
      <c r="J302" s="171"/>
      <c r="K302" s="372"/>
      <c r="L302" s="396"/>
    </row>
    <row r="303" spans="3:13" s="262" customFormat="1" hidden="1" outlineLevel="1" x14ac:dyDescent="0.25">
      <c r="C303" s="95">
        <f t="shared" si="22"/>
        <v>110</v>
      </c>
      <c r="D303" s="101" t="e">
        <v>#N/A</v>
      </c>
      <c r="F303" s="113"/>
      <c r="G303" s="113"/>
      <c r="H303" s="113"/>
      <c r="I303" s="113"/>
      <c r="J303" s="171"/>
      <c r="K303" s="372"/>
      <c r="L303" s="396"/>
    </row>
    <row r="304" spans="3:13" s="262" customFormat="1" hidden="1" outlineLevel="1" x14ac:dyDescent="0.25">
      <c r="C304" s="95">
        <f t="shared" si="22"/>
        <v>111</v>
      </c>
      <c r="D304" s="101"/>
      <c r="F304" s="113"/>
      <c r="G304" s="113"/>
      <c r="H304" s="113"/>
      <c r="I304" s="113"/>
      <c r="J304" s="171"/>
      <c r="K304" s="372"/>
      <c r="L304" s="396"/>
    </row>
    <row r="305" spans="3:31" s="262" customFormat="1" hidden="1" outlineLevel="1" x14ac:dyDescent="0.25">
      <c r="C305" s="95">
        <f t="shared" si="22"/>
        <v>112</v>
      </c>
      <c r="D305" s="101"/>
      <c r="F305" s="113"/>
      <c r="G305" s="113"/>
      <c r="H305" s="113"/>
      <c r="I305" s="113"/>
      <c r="J305" s="171"/>
      <c r="K305" s="372"/>
      <c r="L305" s="396"/>
    </row>
    <row r="306" spans="3:31" s="262" customFormat="1" hidden="1" outlineLevel="1" x14ac:dyDescent="0.25">
      <c r="C306" s="95">
        <f t="shared" si="22"/>
        <v>113</v>
      </c>
      <c r="D306" s="101"/>
      <c r="F306" s="113"/>
      <c r="G306" s="113"/>
      <c r="H306" s="113"/>
      <c r="I306" s="113"/>
      <c r="J306" s="171"/>
      <c r="K306" s="372"/>
      <c r="L306" s="396"/>
    </row>
    <row r="307" spans="3:31" s="262" customFormat="1" hidden="1" outlineLevel="1" x14ac:dyDescent="0.25">
      <c r="C307" s="95">
        <f t="shared" si="22"/>
        <v>114</v>
      </c>
      <c r="D307" s="101"/>
      <c r="F307" s="113"/>
      <c r="G307" s="113"/>
      <c r="H307" s="113"/>
      <c r="I307" s="113"/>
      <c r="J307" s="171"/>
      <c r="K307" s="372"/>
      <c r="L307" s="396"/>
    </row>
    <row r="308" spans="3:31" s="262" customFormat="1" hidden="1" outlineLevel="1" x14ac:dyDescent="0.25">
      <c r="C308" s="95">
        <f t="shared" si="22"/>
        <v>115</v>
      </c>
      <c r="D308" s="101"/>
      <c r="F308" s="113"/>
      <c r="G308" s="113"/>
      <c r="H308" s="113"/>
      <c r="I308" s="113"/>
      <c r="J308" s="171"/>
      <c r="K308" s="372"/>
      <c r="L308" s="396"/>
    </row>
    <row r="309" spans="3:31" s="262" customFormat="1" hidden="1" outlineLevel="1" x14ac:dyDescent="0.25">
      <c r="C309" s="95">
        <f t="shared" si="22"/>
        <v>116</v>
      </c>
      <c r="D309" s="101"/>
      <c r="F309" s="113"/>
      <c r="G309" s="113"/>
      <c r="H309" s="113"/>
      <c r="I309" s="113"/>
      <c r="J309" s="171"/>
      <c r="K309" s="372"/>
      <c r="L309" s="396"/>
    </row>
    <row r="310" spans="3:31" s="262" customFormat="1" hidden="1" outlineLevel="1" x14ac:dyDescent="0.25">
      <c r="C310" s="95">
        <f t="shared" si="22"/>
        <v>117</v>
      </c>
      <c r="D310" s="101"/>
      <c r="F310" s="113"/>
      <c r="G310" s="113"/>
      <c r="H310" s="113"/>
      <c r="I310" s="113"/>
      <c r="J310" s="171"/>
      <c r="K310" s="372"/>
      <c r="L310" s="396"/>
    </row>
    <row r="311" spans="3:31" s="262" customFormat="1" hidden="1" outlineLevel="1" x14ac:dyDescent="0.25">
      <c r="C311" s="95">
        <f t="shared" si="22"/>
        <v>118</v>
      </c>
      <c r="D311" s="101"/>
      <c r="F311" s="113"/>
      <c r="G311" s="113"/>
      <c r="H311" s="113"/>
      <c r="I311" s="113"/>
      <c r="J311" s="171"/>
      <c r="K311" s="372"/>
      <c r="L311" s="396"/>
    </row>
    <row r="312" spans="3:31" s="262" customFormat="1" hidden="1" outlineLevel="1" x14ac:dyDescent="0.25">
      <c r="C312" s="95">
        <f t="shared" si="22"/>
        <v>119</v>
      </c>
      <c r="D312" s="101"/>
      <c r="F312" s="113"/>
      <c r="G312" s="113"/>
      <c r="H312" s="113"/>
      <c r="I312" s="113"/>
      <c r="J312" s="171"/>
      <c r="K312" s="372"/>
      <c r="L312" s="396"/>
    </row>
    <row r="313" spans="3:31" s="262" customFormat="1" hidden="1" outlineLevel="1" x14ac:dyDescent="0.25">
      <c r="C313" s="95">
        <f t="shared" si="22"/>
        <v>120</v>
      </c>
      <c r="D313" s="101"/>
      <c r="F313" s="113"/>
      <c r="G313" s="113"/>
      <c r="H313" s="113"/>
      <c r="I313" s="113"/>
      <c r="J313" s="171"/>
      <c r="K313" s="372"/>
      <c r="L313" s="396"/>
    </row>
    <row r="314" spans="3:31" s="289" customFormat="1" collapsed="1" x14ac:dyDescent="0.25">
      <c r="C314" s="290" t="s">
        <v>618</v>
      </c>
      <c r="M314" s="262"/>
    </row>
    <row r="315" spans="3:31" s="44" customFormat="1" x14ac:dyDescent="0.25">
      <c r="V315" s="262"/>
      <c r="X315" s="262"/>
      <c r="Y315" s="262"/>
      <c r="AA315" s="262"/>
      <c r="AD315" s="262"/>
      <c r="AE315" s="262"/>
    </row>
    <row r="316" spans="3:31" s="44" customFormat="1" x14ac:dyDescent="0.25">
      <c r="H316" s="230">
        <v>8</v>
      </c>
      <c r="I316" s="95">
        <f>1+H316</f>
        <v>9</v>
      </c>
      <c r="V316" s="262"/>
      <c r="X316" s="262"/>
      <c r="Y316" s="262"/>
      <c r="AA316" s="262"/>
      <c r="AD316" s="262"/>
      <c r="AE316" s="262"/>
    </row>
    <row r="317" spans="3:31" s="44" customFormat="1" x14ac:dyDescent="0.25">
      <c r="E317" s="121" t="str">
        <f>"Cantidad "&amp;Year.selected&amp;" de suscriptores por medio de transmisión"</f>
        <v>Cantidad 2022 de suscriptores por medio de transmisión</v>
      </c>
      <c r="F317" s="121"/>
      <c r="G317" s="121"/>
      <c r="H317" s="39" t="str">
        <f>"Distribución "&amp;Year.selected&amp;" de suscriptores por medio de transmisión"</f>
        <v>Distribución 2022 de suscriptores por medio de transmisión</v>
      </c>
      <c r="I317" s="39"/>
      <c r="V317" s="262"/>
      <c r="X317" s="262"/>
      <c r="Y317" s="262"/>
      <c r="AA317" s="262"/>
      <c r="AD317" s="262"/>
      <c r="AE317" s="262"/>
    </row>
    <row r="318" spans="3:31" s="44" customFormat="1" ht="80.5" x14ac:dyDescent="0.25">
      <c r="C318" s="68" t="s">
        <v>161</v>
      </c>
      <c r="D318" s="1" t="s">
        <v>605</v>
      </c>
      <c r="E318" s="1" t="s">
        <v>94</v>
      </c>
      <c r="F318" s="1" t="s">
        <v>372</v>
      </c>
      <c r="G318" s="1" t="s">
        <v>561</v>
      </c>
      <c r="H318" s="268" t="s">
        <v>979</v>
      </c>
      <c r="I318" s="1" t="s">
        <v>561</v>
      </c>
      <c r="J318" s="1" t="s">
        <v>619</v>
      </c>
      <c r="K318" s="1"/>
      <c r="L318" s="1" t="s">
        <v>168</v>
      </c>
      <c r="M318" s="1" t="s">
        <v>170</v>
      </c>
      <c r="V318" s="262"/>
      <c r="X318" s="262"/>
      <c r="Y318" s="262"/>
      <c r="AA318" s="262"/>
      <c r="AD318" s="262"/>
      <c r="AE318" s="262"/>
    </row>
    <row r="319" spans="3:31" s="44" customFormat="1" x14ac:dyDescent="0.25">
      <c r="C319" s="267">
        <v>1</v>
      </c>
      <c r="D319" s="263">
        <v>5</v>
      </c>
      <c r="E319" s="171">
        <f t="shared" ref="E319:E332" si="23">SUM(F319:G319)</f>
        <v>316838</v>
      </c>
      <c r="F319" s="303">
        <f>SUMIFS($J$194:$J$313,$H$194:$H$313,D319)</f>
        <v>165782</v>
      </c>
      <c r="G319" s="171">
        <f>SUMIFS($K$194:$K$313,$H$194:$H$313,D319)</f>
        <v>151056</v>
      </c>
      <c r="H319" s="166">
        <f>IFERROR(F319/$E319,"")</f>
        <v>0.52323900542232937</v>
      </c>
      <c r="I319" s="166">
        <f>IFERROR(G319/$E319,"")</f>
        <v>0.47676099457767063</v>
      </c>
      <c r="J319" s="226">
        <f t="shared" ref="J319:J332" si="24">IFERROR(H319*local.loop.cooper+I319*local.loop.optical.fiber,"")</f>
        <v>92.574267866731887</v>
      </c>
      <c r="K319" s="44" t="s">
        <v>780</v>
      </c>
      <c r="O319" s="220"/>
      <c r="V319" s="262"/>
      <c r="X319" s="262"/>
      <c r="Y319" s="262"/>
      <c r="AA319" s="262"/>
      <c r="AD319" s="262"/>
      <c r="AE319" s="262"/>
    </row>
    <row r="320" spans="3:31" s="44" customFormat="1" x14ac:dyDescent="0.25">
      <c r="C320" s="95">
        <f t="shared" ref="C320:C332" si="25">1+C319</f>
        <v>2</v>
      </c>
      <c r="D320" s="263">
        <v>20</v>
      </c>
      <c r="E320" s="171">
        <f t="shared" si="23"/>
        <v>5138570</v>
      </c>
      <c r="F320" s="303">
        <f t="shared" ref="F320:F321" si="26">SUMIFS($J$194:$J$313,$H$194:$H$313,D320)</f>
        <v>2704861</v>
      </c>
      <c r="G320" s="171">
        <f t="shared" ref="G320" si="27">SUMIFS($K$194:$K$313,$H$194:$H$313,D320)</f>
        <v>2433709</v>
      </c>
      <c r="H320" s="166">
        <f t="shared" ref="H320" si="28">IFERROR(F320/$E320,"")</f>
        <v>0.52638399399054603</v>
      </c>
      <c r="I320" s="166">
        <f t="shared" ref="I320" si="29">IFERROR(G320/$E320,"")</f>
        <v>0.47361600600945397</v>
      </c>
      <c r="J320" s="226">
        <f t="shared" si="24"/>
        <v>92.600953656297946</v>
      </c>
      <c r="K320" s="262" t="s">
        <v>780</v>
      </c>
      <c r="L320" s="116"/>
      <c r="M320" s="116"/>
      <c r="O320" s="220"/>
      <c r="V320" s="262"/>
      <c r="X320" s="262"/>
      <c r="Y320" s="262"/>
      <c r="AA320" s="262"/>
      <c r="AD320" s="262"/>
      <c r="AE320" s="262"/>
    </row>
    <row r="321" spans="3:31" s="44" customFormat="1" x14ac:dyDescent="0.25">
      <c r="C321" s="95">
        <f t="shared" si="25"/>
        <v>3</v>
      </c>
      <c r="D321" s="263">
        <v>30</v>
      </c>
      <c r="E321" s="171">
        <f t="shared" si="23"/>
        <v>1015093</v>
      </c>
      <c r="F321" s="303">
        <f t="shared" si="26"/>
        <v>367113</v>
      </c>
      <c r="G321" s="171">
        <f t="shared" ref="G321:G332" si="30">SUMIFS($K$194:$K$313,$H$194:$H$313,D321)</f>
        <v>647980</v>
      </c>
      <c r="H321" s="166">
        <f t="shared" ref="H321:H332" si="31">IFERROR(F321/$E321,"")</f>
        <v>0.36165454790841822</v>
      </c>
      <c r="I321" s="166">
        <f t="shared" ref="I321:I332" si="32">IFERROR(G321/$E321,"")</f>
        <v>0.63834545209158178</v>
      </c>
      <c r="J321" s="226">
        <f t="shared" si="24"/>
        <v>91.203194892433245</v>
      </c>
      <c r="K321" s="262" t="s">
        <v>780</v>
      </c>
      <c r="L321" s="116"/>
      <c r="M321" s="116"/>
      <c r="O321" s="220"/>
      <c r="V321" s="262"/>
      <c r="X321" s="262"/>
      <c r="Y321" s="262"/>
      <c r="AA321" s="262"/>
      <c r="AD321" s="262"/>
      <c r="AE321" s="262"/>
    </row>
    <row r="322" spans="3:31" s="262" customFormat="1" x14ac:dyDescent="0.25">
      <c r="C322" s="95">
        <f t="shared" si="25"/>
        <v>4</v>
      </c>
      <c r="D322" s="263">
        <v>40</v>
      </c>
      <c r="E322" s="171">
        <f t="shared" si="23"/>
        <v>310829</v>
      </c>
      <c r="F322" s="303">
        <f t="shared" ref="F322:F332" si="33">SUMIFS($J$194:$J$313,$H$194:$H$313,D322)</f>
        <v>38589</v>
      </c>
      <c r="G322" s="171">
        <f t="shared" si="30"/>
        <v>272240</v>
      </c>
      <c r="H322" s="166">
        <f t="shared" si="31"/>
        <v>0.12414864764870717</v>
      </c>
      <c r="I322" s="166">
        <f t="shared" si="32"/>
        <v>0.87585135235129286</v>
      </c>
      <c r="J322" s="226">
        <f t="shared" si="24"/>
        <v>89.187914920010627</v>
      </c>
      <c r="K322" s="262" t="s">
        <v>780</v>
      </c>
      <c r="L322" s="116"/>
      <c r="M322" s="116"/>
      <c r="O322" s="220"/>
    </row>
    <row r="323" spans="3:31" s="44" customFormat="1" x14ac:dyDescent="0.25">
      <c r="C323" s="95">
        <f t="shared" si="25"/>
        <v>5</v>
      </c>
      <c r="D323" s="263">
        <v>50</v>
      </c>
      <c r="E323" s="171">
        <f t="shared" si="23"/>
        <v>1137615</v>
      </c>
      <c r="F323" s="303">
        <f t="shared" si="33"/>
        <v>478345</v>
      </c>
      <c r="G323" s="171">
        <f t="shared" si="30"/>
        <v>659270</v>
      </c>
      <c r="H323" s="166">
        <f t="shared" si="31"/>
        <v>0.42048056679984003</v>
      </c>
      <c r="I323" s="166">
        <f t="shared" si="32"/>
        <v>0.57951943320015997</v>
      </c>
      <c r="J323" s="226">
        <f t="shared" si="24"/>
        <v>91.702344166618019</v>
      </c>
      <c r="K323" s="262" t="s">
        <v>780</v>
      </c>
      <c r="L323" s="116"/>
      <c r="M323" s="116"/>
      <c r="O323" s="220"/>
      <c r="V323" s="262"/>
      <c r="X323" s="262"/>
      <c r="Y323" s="262"/>
      <c r="AA323" s="262"/>
      <c r="AD323" s="262"/>
      <c r="AE323" s="262"/>
    </row>
    <row r="324" spans="3:31" s="262" customFormat="1" x14ac:dyDescent="0.25">
      <c r="C324" s="95">
        <f t="shared" si="25"/>
        <v>6</v>
      </c>
      <c r="D324" s="263">
        <v>60</v>
      </c>
      <c r="E324" s="171">
        <f t="shared" si="23"/>
        <v>209755</v>
      </c>
      <c r="F324" s="303">
        <f t="shared" si="33"/>
        <v>38321</v>
      </c>
      <c r="G324" s="171">
        <f t="shared" si="30"/>
        <v>171434</v>
      </c>
      <c r="H324" s="166">
        <f t="shared" si="31"/>
        <v>0.18269409549236013</v>
      </c>
      <c r="I324" s="166">
        <f t="shared" si="32"/>
        <v>0.81730590450763985</v>
      </c>
      <c r="J324" s="226">
        <f t="shared" si="24"/>
        <v>89.684683498756698</v>
      </c>
      <c r="K324" s="262" t="s">
        <v>780</v>
      </c>
      <c r="L324" s="116"/>
      <c r="M324" s="116"/>
      <c r="O324" s="220"/>
    </row>
    <row r="325" spans="3:31" s="262" customFormat="1" x14ac:dyDescent="0.25">
      <c r="C325" s="95">
        <f t="shared" si="25"/>
        <v>7</v>
      </c>
      <c r="D325" s="263">
        <v>70</v>
      </c>
      <c r="E325" s="171">
        <f t="shared" si="23"/>
        <v>14852</v>
      </c>
      <c r="F325" s="303">
        <f t="shared" si="33"/>
        <v>3506</v>
      </c>
      <c r="G325" s="171">
        <f t="shared" si="30"/>
        <v>11346</v>
      </c>
      <c r="H325" s="166">
        <f t="shared" si="31"/>
        <v>0.2360624831672502</v>
      </c>
      <c r="I325" s="166">
        <f t="shared" si="32"/>
        <v>0.7639375168327498</v>
      </c>
      <c r="J325" s="226">
        <f t="shared" si="24"/>
        <v>90.137523797562267</v>
      </c>
      <c r="K325" s="262" t="s">
        <v>780</v>
      </c>
      <c r="L325" s="116"/>
      <c r="M325" s="116"/>
      <c r="O325" s="220"/>
    </row>
    <row r="326" spans="3:31" s="44" customFormat="1" x14ac:dyDescent="0.25">
      <c r="C326" s="95">
        <f t="shared" si="25"/>
        <v>8</v>
      </c>
      <c r="D326" s="263">
        <v>100</v>
      </c>
      <c r="E326" s="171">
        <f t="shared" si="23"/>
        <v>455750</v>
      </c>
      <c r="F326" s="303">
        <f t="shared" si="33"/>
        <v>159418</v>
      </c>
      <c r="G326" s="171">
        <f t="shared" si="30"/>
        <v>296332</v>
      </c>
      <c r="H326" s="166">
        <f t="shared" si="31"/>
        <v>0.34979264947888095</v>
      </c>
      <c r="I326" s="166">
        <f t="shared" si="32"/>
        <v>0.650207350521119</v>
      </c>
      <c r="J326" s="226">
        <f t="shared" si="24"/>
        <v>91.102544566214732</v>
      </c>
      <c r="K326" s="262" t="s">
        <v>780</v>
      </c>
      <c r="L326" s="116"/>
      <c r="M326" s="116"/>
      <c r="O326" s="220"/>
      <c r="V326" s="262"/>
      <c r="X326" s="262"/>
      <c r="Y326" s="262"/>
      <c r="AA326" s="262"/>
      <c r="AD326" s="262"/>
      <c r="AE326" s="262"/>
    </row>
    <row r="327" spans="3:31" s="262" customFormat="1" x14ac:dyDescent="0.25">
      <c r="C327" s="95">
        <f t="shared" si="25"/>
        <v>9</v>
      </c>
      <c r="D327" s="263">
        <v>120</v>
      </c>
      <c r="E327" s="171">
        <f t="shared" si="23"/>
        <v>9093</v>
      </c>
      <c r="F327" s="303">
        <f t="shared" si="33"/>
        <v>1204</v>
      </c>
      <c r="G327" s="171">
        <f t="shared" si="30"/>
        <v>7889</v>
      </c>
      <c r="H327" s="166">
        <f t="shared" si="31"/>
        <v>0.13240954580446498</v>
      </c>
      <c r="I327" s="166">
        <f t="shared" si="32"/>
        <v>0.86759045419553504</v>
      </c>
      <c r="J327" s="226">
        <f t="shared" si="24"/>
        <v>89.258010115916562</v>
      </c>
      <c r="K327" s="262" t="s">
        <v>780</v>
      </c>
      <c r="L327" s="116"/>
      <c r="M327" s="116"/>
      <c r="O327" s="220"/>
    </row>
    <row r="328" spans="3:31" s="44" customFormat="1" x14ac:dyDescent="0.25">
      <c r="C328" s="95">
        <f t="shared" si="25"/>
        <v>10</v>
      </c>
      <c r="D328" s="263">
        <v>150</v>
      </c>
      <c r="E328" s="171">
        <f t="shared" si="23"/>
        <v>551042</v>
      </c>
      <c r="F328" s="303">
        <f t="shared" si="33"/>
        <v>115612</v>
      </c>
      <c r="G328" s="171">
        <f t="shared" si="30"/>
        <v>435430</v>
      </c>
      <c r="H328" s="166">
        <f t="shared" si="31"/>
        <v>0.20980614907756578</v>
      </c>
      <c r="I328" s="166">
        <f t="shared" si="32"/>
        <v>0.79019385092243422</v>
      </c>
      <c r="J328" s="226">
        <f t="shared" si="24"/>
        <v>89.914734114517273</v>
      </c>
      <c r="K328" s="262" t="s">
        <v>780</v>
      </c>
      <c r="L328" s="116"/>
      <c r="M328" s="116"/>
      <c r="O328" s="220"/>
      <c r="V328" s="262"/>
      <c r="X328" s="262"/>
      <c r="Y328" s="262"/>
      <c r="AA328" s="262"/>
      <c r="AD328" s="262"/>
      <c r="AE328" s="262"/>
    </row>
    <row r="329" spans="3:31" s="44" customFormat="1" x14ac:dyDescent="0.25">
      <c r="C329" s="95">
        <f t="shared" si="25"/>
        <v>11</v>
      </c>
      <c r="D329" s="263">
        <v>200</v>
      </c>
      <c r="E329" s="171">
        <f t="shared" si="23"/>
        <v>350522</v>
      </c>
      <c r="F329" s="303">
        <f t="shared" si="33"/>
        <v>59525</v>
      </c>
      <c r="G329" s="171">
        <f t="shared" si="30"/>
        <v>290997</v>
      </c>
      <c r="H329" s="166">
        <f t="shared" si="31"/>
        <v>0.16981815692025037</v>
      </c>
      <c r="I329" s="166">
        <f t="shared" si="32"/>
        <v>0.83018184307974963</v>
      </c>
      <c r="J329" s="226">
        <f t="shared" si="24"/>
        <v>89.575428860862914</v>
      </c>
      <c r="K329" s="262" t="s">
        <v>780</v>
      </c>
      <c r="L329" s="116"/>
      <c r="M329" s="116"/>
      <c r="O329" s="220"/>
      <c r="V329" s="262"/>
      <c r="X329" s="262"/>
      <c r="Y329" s="262"/>
      <c r="AA329" s="262"/>
      <c r="AD329" s="262"/>
      <c r="AE329" s="262"/>
    </row>
    <row r="330" spans="3:31" s="262" customFormat="1" x14ac:dyDescent="0.25">
      <c r="C330" s="95">
        <f t="shared" si="25"/>
        <v>12</v>
      </c>
      <c r="D330" s="263">
        <v>250</v>
      </c>
      <c r="E330" s="171">
        <f t="shared" si="23"/>
        <v>97096</v>
      </c>
      <c r="F330" s="303">
        <f t="shared" si="33"/>
        <v>11965</v>
      </c>
      <c r="G330" s="171">
        <f t="shared" si="30"/>
        <v>85131</v>
      </c>
      <c r="H330" s="166">
        <f t="shared" si="31"/>
        <v>0.12322855730411139</v>
      </c>
      <c r="I330" s="166">
        <f t="shared" si="32"/>
        <v>0.87677144269588858</v>
      </c>
      <c r="J330" s="226">
        <f t="shared" si="24"/>
        <v>89.180107789146689</v>
      </c>
      <c r="K330" s="262" t="s">
        <v>780</v>
      </c>
      <c r="L330" s="116"/>
      <c r="M330" s="116"/>
      <c r="O330" s="220"/>
    </row>
    <row r="331" spans="3:31" s="262" customFormat="1" x14ac:dyDescent="0.25">
      <c r="C331" s="95">
        <f t="shared" si="25"/>
        <v>13</v>
      </c>
      <c r="D331" s="263">
        <v>500</v>
      </c>
      <c r="E331" s="171">
        <f t="shared" si="23"/>
        <v>187830</v>
      </c>
      <c r="F331" s="303">
        <f t="shared" si="33"/>
        <v>23109</v>
      </c>
      <c r="G331" s="171">
        <f t="shared" si="30"/>
        <v>164721</v>
      </c>
      <c r="H331" s="166">
        <f t="shared" si="31"/>
        <v>0.12303146462226482</v>
      </c>
      <c r="I331" s="166">
        <f t="shared" si="32"/>
        <v>0.87696853537773523</v>
      </c>
      <c r="J331" s="226">
        <f t="shared" si="24"/>
        <v>89.178435422548645</v>
      </c>
      <c r="K331" s="262" t="s">
        <v>780</v>
      </c>
      <c r="L331" s="116"/>
      <c r="M331" s="116"/>
      <c r="O331" s="220"/>
    </row>
    <row r="332" spans="3:31" s="262" customFormat="1" ht="12" thickBot="1" x14ac:dyDescent="0.3">
      <c r="C332" s="95">
        <f t="shared" si="25"/>
        <v>14</v>
      </c>
      <c r="D332" s="184">
        <v>1000</v>
      </c>
      <c r="E332" s="171">
        <f t="shared" si="23"/>
        <v>37410</v>
      </c>
      <c r="F332" s="303">
        <f t="shared" si="33"/>
        <v>3885</v>
      </c>
      <c r="G332" s="171">
        <f t="shared" si="30"/>
        <v>33525</v>
      </c>
      <c r="H332" s="166">
        <f t="shared" si="31"/>
        <v>0.10384923817161187</v>
      </c>
      <c r="I332" s="166">
        <f t="shared" si="32"/>
        <v>0.89615076182838815</v>
      </c>
      <c r="J332" s="226">
        <f t="shared" si="24"/>
        <v>89.015670805963509</v>
      </c>
      <c r="K332" s="262" t="s">
        <v>780</v>
      </c>
      <c r="L332" s="116"/>
      <c r="M332" s="116"/>
      <c r="O332" s="220"/>
    </row>
    <row r="333" spans="3:31" s="44" customFormat="1" x14ac:dyDescent="0.25">
      <c r="E333" s="212"/>
      <c r="F333" s="41"/>
      <c r="G333" s="41"/>
      <c r="H333" s="368"/>
      <c r="I333" s="41"/>
      <c r="J333" s="270"/>
      <c r="K333" s="41"/>
      <c r="L333" s="41"/>
      <c r="M333" s="41"/>
      <c r="V333" s="262"/>
      <c r="X333" s="262"/>
      <c r="Y333" s="262"/>
      <c r="AA333" s="262"/>
      <c r="AD333" s="262"/>
      <c r="AE333" s="262"/>
    </row>
    <row r="334" spans="3:31" s="44" customFormat="1" x14ac:dyDescent="0.25">
      <c r="J334" s="262"/>
      <c r="V334" s="262"/>
      <c r="X334" s="262"/>
      <c r="Y334" s="262"/>
      <c r="AA334" s="262"/>
      <c r="AD334" s="262"/>
      <c r="AE334" s="262"/>
    </row>
    <row r="335" spans="3:31" s="44" customFormat="1" x14ac:dyDescent="0.25">
      <c r="C335" s="102" t="s">
        <v>618</v>
      </c>
      <c r="J335" s="262"/>
      <c r="K335" s="247"/>
      <c r="V335" s="262"/>
      <c r="X335" s="262"/>
      <c r="Y335" s="262"/>
      <c r="AA335" s="262"/>
      <c r="AD335" s="262"/>
      <c r="AE335" s="262"/>
    </row>
    <row r="336" spans="3:31" s="44" customFormat="1" x14ac:dyDescent="0.25">
      <c r="V336" s="262"/>
      <c r="X336" s="262"/>
      <c r="Y336" s="262"/>
      <c r="AA336" s="262"/>
      <c r="AD336" s="262"/>
      <c r="AE336" s="262"/>
    </row>
    <row r="337" spans="3:31" s="44" customFormat="1" x14ac:dyDescent="0.25">
      <c r="V337" s="262"/>
      <c r="X337" s="262"/>
      <c r="Y337" s="262"/>
      <c r="AA337" s="262"/>
      <c r="AD337" s="262"/>
      <c r="AE337" s="262"/>
    </row>
    <row r="338" spans="3:31" s="44" customFormat="1" ht="34.5" x14ac:dyDescent="0.25">
      <c r="C338" s="68" t="s">
        <v>161</v>
      </c>
      <c r="D338" s="1" t="s">
        <v>342</v>
      </c>
      <c r="E338" s="1"/>
      <c r="F338" s="1"/>
      <c r="G338" s="1"/>
      <c r="H338" s="1"/>
      <c r="I338" s="1"/>
      <c r="J338" s="1" t="s">
        <v>619</v>
      </c>
      <c r="K338" s="1"/>
      <c r="L338" s="1" t="s">
        <v>168</v>
      </c>
      <c r="M338" s="1" t="s">
        <v>170</v>
      </c>
      <c r="V338" s="262"/>
      <c r="X338" s="262"/>
      <c r="Y338" s="262"/>
      <c r="AA338" s="262"/>
      <c r="AD338" s="262"/>
      <c r="AE338" s="262"/>
    </row>
    <row r="339" spans="3:31" s="44" customFormat="1" x14ac:dyDescent="0.25">
      <c r="C339" s="96">
        <v>1</v>
      </c>
      <c r="D339" s="77" t="str">
        <f>D319&amp;" "&amp;K319</f>
        <v>5 Mbps</v>
      </c>
      <c r="H339" s="188">
        <v>92.377080756199348</v>
      </c>
      <c r="I339" s="221"/>
      <c r="J339" s="226">
        <f>H339</f>
        <v>92.377080756199348</v>
      </c>
      <c r="V339" s="262"/>
      <c r="X339" s="262"/>
      <c r="Y339" s="262"/>
      <c r="AA339" s="262"/>
      <c r="AD339" s="262"/>
      <c r="AE339" s="262"/>
    </row>
    <row r="340" spans="3:31" s="44" customFormat="1" x14ac:dyDescent="0.25">
      <c r="C340" s="95">
        <v>2</v>
      </c>
      <c r="D340" s="263" t="str">
        <f t="shared" ref="D340:D351" si="34">D320&amp;" "&amp;K320</f>
        <v>20 Mbps</v>
      </c>
      <c r="H340" s="185">
        <f>local.loop.optical.fiber</f>
        <v>88.134491476903705</v>
      </c>
      <c r="J340" s="226">
        <f>H340</f>
        <v>88.134491476903705</v>
      </c>
      <c r="V340" s="262"/>
      <c r="X340" s="262"/>
      <c r="Y340" s="262"/>
      <c r="AA340" s="262"/>
      <c r="AD340" s="262"/>
      <c r="AE340" s="262"/>
    </row>
    <row r="341" spans="3:31" s="44" customFormat="1" x14ac:dyDescent="0.25">
      <c r="C341" s="95">
        <v>3</v>
      </c>
      <c r="D341" s="263" t="str">
        <f t="shared" si="34"/>
        <v>30 Mbps</v>
      </c>
      <c r="H341" s="226">
        <f>H340</f>
        <v>88.134491476903705</v>
      </c>
      <c r="J341" s="226">
        <f t="shared" ref="J341:J352" si="35">H341</f>
        <v>88.134491476903705</v>
      </c>
      <c r="V341" s="262"/>
      <c r="X341" s="262"/>
      <c r="Y341" s="262"/>
      <c r="AA341" s="262"/>
      <c r="AD341" s="262"/>
      <c r="AE341" s="262"/>
    </row>
    <row r="342" spans="3:31" s="44" customFormat="1" x14ac:dyDescent="0.25">
      <c r="C342" s="95">
        <v>4</v>
      </c>
      <c r="D342" s="263" t="str">
        <f t="shared" si="34"/>
        <v>40 Mbps</v>
      </c>
      <c r="H342" s="226">
        <f t="shared" ref="H342:H352" si="36">H341</f>
        <v>88.134491476903705</v>
      </c>
      <c r="J342" s="226">
        <f t="shared" si="35"/>
        <v>88.134491476903705</v>
      </c>
      <c r="M342" s="252"/>
      <c r="V342" s="262"/>
      <c r="X342" s="262"/>
      <c r="Y342" s="262"/>
      <c r="AA342" s="262"/>
      <c r="AD342" s="262"/>
      <c r="AE342" s="262"/>
    </row>
    <row r="343" spans="3:31" s="44" customFormat="1" x14ac:dyDescent="0.25">
      <c r="C343" s="95">
        <v>5</v>
      </c>
      <c r="D343" s="263" t="str">
        <f t="shared" si="34"/>
        <v>50 Mbps</v>
      </c>
      <c r="H343" s="226">
        <f t="shared" si="36"/>
        <v>88.134491476903705</v>
      </c>
      <c r="J343" s="226">
        <f t="shared" si="35"/>
        <v>88.134491476903705</v>
      </c>
      <c r="V343" s="262"/>
      <c r="X343" s="262"/>
      <c r="Y343" s="262"/>
      <c r="AA343" s="262"/>
      <c r="AD343" s="262"/>
      <c r="AE343" s="262"/>
    </row>
    <row r="344" spans="3:31" s="44" customFormat="1" x14ac:dyDescent="0.25">
      <c r="C344" s="95">
        <v>6</v>
      </c>
      <c r="D344" s="263" t="str">
        <f t="shared" si="34"/>
        <v>60 Mbps</v>
      </c>
      <c r="H344" s="226">
        <f t="shared" si="36"/>
        <v>88.134491476903705</v>
      </c>
      <c r="J344" s="226">
        <f t="shared" si="35"/>
        <v>88.134491476903705</v>
      </c>
      <c r="V344" s="262"/>
      <c r="X344" s="262"/>
      <c r="Y344" s="262"/>
      <c r="AA344" s="262"/>
      <c r="AD344" s="262"/>
      <c r="AE344" s="262"/>
    </row>
    <row r="345" spans="3:31" s="44" customFormat="1" x14ac:dyDescent="0.25">
      <c r="C345" s="95">
        <v>7</v>
      </c>
      <c r="D345" s="263" t="str">
        <f t="shared" si="34"/>
        <v>70 Mbps</v>
      </c>
      <c r="H345" s="226">
        <f t="shared" si="36"/>
        <v>88.134491476903705</v>
      </c>
      <c r="J345" s="226">
        <f t="shared" si="35"/>
        <v>88.134491476903705</v>
      </c>
      <c r="V345" s="262"/>
      <c r="X345" s="262"/>
      <c r="Y345" s="262"/>
      <c r="AA345" s="262"/>
      <c r="AD345" s="262"/>
      <c r="AE345" s="262"/>
    </row>
    <row r="346" spans="3:31" s="221" customFormat="1" x14ac:dyDescent="0.25">
      <c r="C346" s="95">
        <v>8</v>
      </c>
      <c r="D346" s="263" t="str">
        <f t="shared" si="34"/>
        <v>100 Mbps</v>
      </c>
      <c r="H346" s="226">
        <f t="shared" si="36"/>
        <v>88.134491476903705</v>
      </c>
      <c r="J346" s="226">
        <f t="shared" si="35"/>
        <v>88.134491476903705</v>
      </c>
      <c r="V346" s="262"/>
      <c r="X346" s="262"/>
      <c r="Y346" s="262"/>
      <c r="AA346" s="262"/>
      <c r="AD346" s="262"/>
      <c r="AE346" s="262"/>
    </row>
    <row r="347" spans="3:31" s="262" customFormat="1" x14ac:dyDescent="0.25">
      <c r="C347" s="95">
        <v>9</v>
      </c>
      <c r="D347" s="263" t="str">
        <f t="shared" si="34"/>
        <v>120 Mbps</v>
      </c>
      <c r="H347" s="226">
        <f t="shared" si="36"/>
        <v>88.134491476903705</v>
      </c>
      <c r="J347" s="226">
        <f t="shared" si="35"/>
        <v>88.134491476903705</v>
      </c>
    </row>
    <row r="348" spans="3:31" s="44" customFormat="1" x14ac:dyDescent="0.25">
      <c r="C348" s="95">
        <v>10</v>
      </c>
      <c r="D348" s="263" t="str">
        <f t="shared" si="34"/>
        <v>150 Mbps</v>
      </c>
      <c r="H348" s="226">
        <f t="shared" si="36"/>
        <v>88.134491476903705</v>
      </c>
      <c r="J348" s="226">
        <f t="shared" si="35"/>
        <v>88.134491476903705</v>
      </c>
      <c r="V348" s="262"/>
      <c r="X348" s="262"/>
      <c r="Y348" s="262"/>
      <c r="AA348" s="262"/>
      <c r="AD348" s="262"/>
      <c r="AE348" s="262"/>
    </row>
    <row r="349" spans="3:31" s="44" customFormat="1" x14ac:dyDescent="0.25">
      <c r="C349" s="95">
        <v>11</v>
      </c>
      <c r="D349" s="263" t="str">
        <f t="shared" si="34"/>
        <v>200 Mbps</v>
      </c>
      <c r="H349" s="226">
        <f t="shared" si="36"/>
        <v>88.134491476903705</v>
      </c>
      <c r="J349" s="226">
        <f t="shared" si="35"/>
        <v>88.134491476903705</v>
      </c>
      <c r="V349" s="262"/>
      <c r="X349" s="262"/>
      <c r="Y349" s="262"/>
      <c r="AA349" s="262"/>
      <c r="AD349" s="262"/>
      <c r="AE349" s="262"/>
    </row>
    <row r="350" spans="3:31" s="44" customFormat="1" x14ac:dyDescent="0.25">
      <c r="C350" s="95">
        <v>12</v>
      </c>
      <c r="D350" s="263" t="str">
        <f t="shared" si="34"/>
        <v>250 Mbps</v>
      </c>
      <c r="H350" s="226">
        <f t="shared" si="36"/>
        <v>88.134491476903705</v>
      </c>
      <c r="J350" s="226">
        <f t="shared" si="35"/>
        <v>88.134491476903705</v>
      </c>
      <c r="V350" s="262"/>
      <c r="X350" s="262"/>
      <c r="Y350" s="262"/>
      <c r="AA350" s="262"/>
      <c r="AD350" s="262"/>
      <c r="AE350" s="262"/>
    </row>
    <row r="351" spans="3:31" s="262" customFormat="1" x14ac:dyDescent="0.25">
      <c r="C351" s="95">
        <v>13</v>
      </c>
      <c r="D351" s="263" t="str">
        <f t="shared" si="34"/>
        <v>500 Mbps</v>
      </c>
      <c r="H351" s="226">
        <f t="shared" si="36"/>
        <v>88.134491476903705</v>
      </c>
      <c r="J351" s="226">
        <f t="shared" si="35"/>
        <v>88.134491476903705</v>
      </c>
    </row>
    <row r="352" spans="3:31" s="262" customFormat="1" ht="12" thickBot="1" x14ac:dyDescent="0.3">
      <c r="C352" s="95">
        <v>14</v>
      </c>
      <c r="D352" s="263" t="str">
        <f>D332&amp;" "&amp;K332</f>
        <v>1000 Mbps</v>
      </c>
      <c r="H352" s="226">
        <f t="shared" si="36"/>
        <v>88.134491476903705</v>
      </c>
      <c r="J352" s="226">
        <f t="shared" si="35"/>
        <v>88.134491476903705</v>
      </c>
    </row>
    <row r="353" spans="1:59" s="44" customFormat="1" ht="12" x14ac:dyDescent="0.25">
      <c r="D353" s="41"/>
      <c r="E353" s="41"/>
      <c r="F353" s="41"/>
      <c r="G353" s="41"/>
      <c r="H353" s="41"/>
      <c r="I353" s="41"/>
      <c r="J353" s="41"/>
      <c r="K353" s="41"/>
      <c r="L353" s="223" t="s">
        <v>620</v>
      </c>
      <c r="M353" s="41"/>
      <c r="V353" s="262"/>
      <c r="X353" s="262"/>
      <c r="Y353" s="262"/>
      <c r="AA353" s="262"/>
      <c r="AD353" s="262"/>
      <c r="AE353" s="262"/>
    </row>
    <row r="354" spans="1:59" s="44" customFormat="1" x14ac:dyDescent="0.25">
      <c r="V354" s="262"/>
      <c r="X354" s="262"/>
      <c r="Y354" s="262"/>
      <c r="AA354" s="262"/>
      <c r="AD354" s="262"/>
      <c r="AE354" s="262"/>
    </row>
    <row r="355" spans="1:59" s="44" customFormat="1" x14ac:dyDescent="0.25">
      <c r="A355" s="100">
        <v>5</v>
      </c>
      <c r="B355" s="100" t="s">
        <v>715</v>
      </c>
      <c r="C355" s="40"/>
      <c r="D355" s="40"/>
      <c r="E355" s="40"/>
      <c r="F355" s="40"/>
      <c r="G355" s="40"/>
      <c r="H355" s="40"/>
      <c r="I355" s="40"/>
      <c r="J355" s="40"/>
      <c r="K355" s="40"/>
      <c r="L355" s="40"/>
      <c r="M355" s="40"/>
      <c r="N355" s="40"/>
      <c r="O355" s="40"/>
      <c r="P355" s="40"/>
      <c r="Q355" s="40"/>
      <c r="R355" s="40"/>
      <c r="S355" s="40"/>
      <c r="T355" s="40"/>
      <c r="U355" s="40"/>
      <c r="V355" s="265"/>
      <c r="W355" s="40"/>
      <c r="X355" s="265"/>
      <c r="Y355" s="265"/>
      <c r="Z355" s="40"/>
      <c r="AA355" s="265"/>
      <c r="AB355" s="40"/>
      <c r="AC355" s="40"/>
      <c r="AD355" s="265"/>
      <c r="AE355" s="265"/>
      <c r="AF355" s="40"/>
      <c r="AG355" s="40"/>
      <c r="AH355" s="40"/>
      <c r="AI355" s="40"/>
      <c r="AJ355" s="40"/>
      <c r="AK355" s="40"/>
      <c r="AL355" s="40"/>
      <c r="AM355" s="40"/>
      <c r="AN355" s="40"/>
      <c r="AO355" s="40"/>
      <c r="AP355" s="40"/>
      <c r="AQ355" s="40"/>
      <c r="AR355" s="40"/>
      <c r="AS355" s="40"/>
      <c r="AT355" s="40"/>
      <c r="AU355" s="40"/>
      <c r="AV355" s="40"/>
      <c r="AW355" s="40"/>
      <c r="AX355" s="40"/>
      <c r="AY355" s="40"/>
      <c r="AZ355" s="40"/>
      <c r="BA355" s="40"/>
      <c r="BB355" s="40"/>
      <c r="BC355" s="40"/>
      <c r="BD355" s="40"/>
      <c r="BE355" s="40"/>
      <c r="BF355" s="40"/>
      <c r="BG355" s="40"/>
    </row>
    <row r="356" spans="1:59" s="44" customFormat="1" x14ac:dyDescent="0.25">
      <c r="V356" s="262"/>
      <c r="X356" s="262"/>
      <c r="Y356" s="262"/>
      <c r="AA356" s="262"/>
      <c r="AD356" s="262"/>
      <c r="AE356" s="262"/>
    </row>
    <row r="357" spans="1:59" s="44" customFormat="1" x14ac:dyDescent="0.25">
      <c r="J357" s="414"/>
      <c r="V357" s="262"/>
      <c r="X357" s="262"/>
      <c r="Y357" s="262"/>
      <c r="AA357" s="262"/>
      <c r="AD357" s="262"/>
      <c r="AE357" s="262"/>
      <c r="AG357" s="262"/>
    </row>
    <row r="358" spans="1:59" s="44" customFormat="1" x14ac:dyDescent="0.25">
      <c r="J358" s="414"/>
      <c r="Q358" s="72" t="s">
        <v>608</v>
      </c>
      <c r="R358" s="72"/>
      <c r="S358" s="72"/>
      <c r="T358" s="72"/>
      <c r="U358" s="72"/>
      <c r="V358" s="72"/>
      <c r="W358" s="72"/>
      <c r="X358" s="72"/>
      <c r="Y358" s="72"/>
      <c r="Z358" s="72"/>
      <c r="AA358" s="72"/>
      <c r="AB358" s="72"/>
      <c r="AC358" s="72"/>
      <c r="AD358" s="72"/>
      <c r="AE358" s="72"/>
      <c r="AF358" s="72"/>
      <c r="AG358" s="262"/>
    </row>
    <row r="359" spans="1:59" s="44" customFormat="1" ht="57.5" x14ac:dyDescent="0.25">
      <c r="C359" s="68" t="s">
        <v>161</v>
      </c>
      <c r="D359" s="68" t="s">
        <v>495</v>
      </c>
      <c r="E359" s="72"/>
      <c r="F359" s="1" t="s">
        <v>182</v>
      </c>
      <c r="G359" s="1" t="s">
        <v>181</v>
      </c>
      <c r="H359" s="1" t="s">
        <v>605</v>
      </c>
      <c r="I359" s="1" t="s">
        <v>716</v>
      </c>
      <c r="J359" s="1" t="s">
        <v>717</v>
      </c>
      <c r="K359" s="1" t="str">
        <f>"Suscriptores por el plan/paquete en el año "&amp;Year.selected</f>
        <v>Suscriptores por el plan/paquete en el año 2022</v>
      </c>
      <c r="L359" s="1" t="s">
        <v>168</v>
      </c>
      <c r="M359" s="1" t="s">
        <v>170</v>
      </c>
      <c r="Q359" s="367">
        <v>3</v>
      </c>
      <c r="R359" s="367">
        <v>5</v>
      </c>
      <c r="S359" s="367">
        <v>10</v>
      </c>
      <c r="T359" s="367">
        <v>20</v>
      </c>
      <c r="U359" s="367">
        <v>30</v>
      </c>
      <c r="V359" s="367">
        <v>40</v>
      </c>
      <c r="W359" s="367">
        <v>50</v>
      </c>
      <c r="X359" s="367">
        <v>60</v>
      </c>
      <c r="Y359" s="367">
        <v>70</v>
      </c>
      <c r="Z359" s="367">
        <v>100</v>
      </c>
      <c r="AA359" s="367">
        <v>120</v>
      </c>
      <c r="AB359" s="367">
        <v>150</v>
      </c>
      <c r="AC359" s="367">
        <v>200</v>
      </c>
      <c r="AD359" s="367">
        <v>250</v>
      </c>
      <c r="AE359" s="367">
        <v>500</v>
      </c>
      <c r="AF359" s="367">
        <v>1000</v>
      </c>
      <c r="AG359" s="262"/>
    </row>
    <row r="360" spans="1:59" s="44" customFormat="1" ht="12" x14ac:dyDescent="0.25">
      <c r="B360" s="579" t="str">
        <f>D360&amp;F360</f>
        <v>Infinitum 50Residencial</v>
      </c>
      <c r="C360" s="96">
        <v>1</v>
      </c>
      <c r="D360" s="101" t="str">
        <f t="array" ref="D360:D469">vector.broadband.plans.names</f>
        <v>Infinitum 50</v>
      </c>
      <c r="F360" s="113" t="str">
        <f>IFERROR(VLOOKUP($D360,'Info planes y paquetes'!$C$472:$BS$579,2,FALSE),"")</f>
        <v>Residencial</v>
      </c>
      <c r="G360" s="113" t="str">
        <f>IFERROR(VLOOKUP($D360,'Info planes y paquetes'!$C$472:$BS$579,3,FALSE),"")</f>
        <v>Internet fijo</v>
      </c>
      <c r="H360" s="113" t="str">
        <f>IFERROR(VLOOKUP($D360,'Info planes y paquetes'!$C$472:$BS$579,13,FALSE),"")</f>
        <v>50 Mbps</v>
      </c>
      <c r="I360" s="172">
        <f>INDEX(vector.implicit.prices.broadband.after.discount,MATCH('Cálculos auxiliares'!D360,vector.plans.names,0))</f>
        <v>362.1821995935581</v>
      </c>
      <c r="J360" s="172">
        <f t="shared" ref="J360:J423" si="37">IF(G360="Internet fijo",I360-VLOOKUP(H360,weighted.average.local.loop.by.plan.by.tx.media,5,FALSE),I360)</f>
        <v>274.04770811665441</v>
      </c>
      <c r="K360" s="299">
        <f t="shared" ref="K360:K391" si="38">VLOOKUP(B360,AEP.broadband.distribution.by.plan,6+MATCH(Year.selected,Years,0),FALSE)</f>
        <v>9.8095792781628333E-2</v>
      </c>
      <c r="M360" s="463">
        <f>LEFT(H360,FIND(" ",H360))*1</f>
        <v>50</v>
      </c>
      <c r="Q360" s="95">
        <f t="shared" ref="Q360:AF373" si="39">IF(Q$359=$M360,1,0)</f>
        <v>0</v>
      </c>
      <c r="R360" s="95">
        <f t="shared" si="39"/>
        <v>0</v>
      </c>
      <c r="S360" s="95">
        <f t="shared" si="39"/>
        <v>0</v>
      </c>
      <c r="T360" s="95">
        <f t="shared" si="39"/>
        <v>0</v>
      </c>
      <c r="U360" s="95">
        <f t="shared" si="39"/>
        <v>0</v>
      </c>
      <c r="V360" s="95">
        <f t="shared" si="39"/>
        <v>0</v>
      </c>
      <c r="W360" s="95">
        <f t="shared" si="39"/>
        <v>1</v>
      </c>
      <c r="X360" s="95">
        <f t="shared" si="39"/>
        <v>0</v>
      </c>
      <c r="Y360" s="95">
        <f t="shared" si="39"/>
        <v>0</v>
      </c>
      <c r="Z360" s="95">
        <f t="shared" si="39"/>
        <v>0</v>
      </c>
      <c r="AA360" s="95">
        <f t="shared" si="39"/>
        <v>0</v>
      </c>
      <c r="AB360" s="95">
        <f t="shared" si="39"/>
        <v>0</v>
      </c>
      <c r="AC360" s="95">
        <f t="shared" si="39"/>
        <v>0</v>
      </c>
      <c r="AD360" s="95">
        <f t="shared" si="39"/>
        <v>0</v>
      </c>
      <c r="AE360" s="95">
        <f t="shared" si="39"/>
        <v>0</v>
      </c>
      <c r="AF360" s="95">
        <f t="shared" si="39"/>
        <v>0</v>
      </c>
      <c r="AG360" s="262"/>
    </row>
    <row r="361" spans="1:59" s="44" customFormat="1" ht="12" x14ac:dyDescent="0.25">
      <c r="B361" s="579" t="str">
        <f t="shared" ref="B361:B424" si="40">D361&amp;F361</f>
        <v>Infinitum 500Residencial</v>
      </c>
      <c r="C361" s="95">
        <f>1+C360</f>
        <v>2</v>
      </c>
      <c r="D361" s="101" t="str">
        <v>Infinitum 500</v>
      </c>
      <c r="F361" s="113" t="str">
        <f>IFERROR(VLOOKUP($D361,'Info planes y paquetes'!$C$472:$BS$579,2,FALSE),"")</f>
        <v>Residencial</v>
      </c>
      <c r="G361" s="113" t="str">
        <f>IFERROR(VLOOKUP($D361,'Info planes y paquetes'!$C$472:$BS$579,3,FALSE),"")</f>
        <v>Internet fijo</v>
      </c>
      <c r="H361" s="113" t="str">
        <f>IFERROR(VLOOKUP($D361,'Info planes y paquetes'!$C$472:$BS$579,13,FALSE),"")</f>
        <v>500 Mbps</v>
      </c>
      <c r="I361" s="172">
        <f>INDEX(vector.implicit.prices.broadband.after.discount,MATCH('Cálculos auxiliares'!D361,vector.plans.names,0))</f>
        <v>740.84371482385461</v>
      </c>
      <c r="J361" s="172">
        <f t="shared" si="37"/>
        <v>652.70922334695092</v>
      </c>
      <c r="K361" s="299">
        <f t="shared" si="38"/>
        <v>6.0260228524781066E-4</v>
      </c>
      <c r="M361" s="463">
        <f t="shared" ref="M361:M424" si="41">LEFT(H361,FIND(" ",H361))*1</f>
        <v>500</v>
      </c>
      <c r="Q361" s="95">
        <f t="shared" si="39"/>
        <v>0</v>
      </c>
      <c r="R361" s="95">
        <f t="shared" si="39"/>
        <v>0</v>
      </c>
      <c r="S361" s="95">
        <f t="shared" si="39"/>
        <v>0</v>
      </c>
      <c r="T361" s="95">
        <f t="shared" si="39"/>
        <v>0</v>
      </c>
      <c r="U361" s="95">
        <f t="shared" si="39"/>
        <v>0</v>
      </c>
      <c r="V361" s="95">
        <f t="shared" si="39"/>
        <v>0</v>
      </c>
      <c r="W361" s="95">
        <f t="shared" si="39"/>
        <v>0</v>
      </c>
      <c r="X361" s="95">
        <f t="shared" si="39"/>
        <v>0</v>
      </c>
      <c r="Y361" s="95">
        <f t="shared" si="39"/>
        <v>0</v>
      </c>
      <c r="Z361" s="95">
        <f t="shared" si="39"/>
        <v>0</v>
      </c>
      <c r="AA361" s="95">
        <f t="shared" si="39"/>
        <v>0</v>
      </c>
      <c r="AB361" s="95">
        <f t="shared" si="39"/>
        <v>0</v>
      </c>
      <c r="AC361" s="95">
        <f t="shared" si="39"/>
        <v>0</v>
      </c>
      <c r="AD361" s="95">
        <f t="shared" si="39"/>
        <v>0</v>
      </c>
      <c r="AE361" s="95">
        <f t="shared" si="39"/>
        <v>1</v>
      </c>
      <c r="AF361" s="95">
        <f t="shared" si="39"/>
        <v>0</v>
      </c>
      <c r="AG361" s="262"/>
    </row>
    <row r="362" spans="1:59" s="44" customFormat="1" ht="12" x14ac:dyDescent="0.25">
      <c r="B362" s="579" t="str">
        <f t="shared" si="40"/>
        <v>Infinitum 60Residencial</v>
      </c>
      <c r="C362" s="95">
        <f t="shared" ref="C362:C425" si="42">1+C361</f>
        <v>3</v>
      </c>
      <c r="D362" s="101" t="str">
        <v>Infinitum 60</v>
      </c>
      <c r="F362" s="113" t="str">
        <f>IFERROR(VLOOKUP($D362,'Info planes y paquetes'!$C$472:$BS$579,2,FALSE),"")</f>
        <v>Residencial</v>
      </c>
      <c r="G362" s="113" t="str">
        <f>IFERROR(VLOOKUP($D362,'Info planes y paquetes'!$C$472:$BS$579,3,FALSE),"")</f>
        <v>Internet fijo</v>
      </c>
      <c r="H362" s="113" t="str">
        <f>IFERROR(VLOOKUP($D362,'Info planes y paquetes'!$C$472:$BS$579,13,FALSE),"")</f>
        <v>60 Mbps</v>
      </c>
      <c r="I362" s="172">
        <f>INDEX(vector.implicit.prices.broadband.after.discount,MATCH('Cálculos auxiliares'!D362,vector.plans.names,0))</f>
        <v>381.150457606271</v>
      </c>
      <c r="J362" s="172">
        <f t="shared" si="37"/>
        <v>293.01596612936731</v>
      </c>
      <c r="K362" s="299">
        <f t="shared" si="38"/>
        <v>1.693349761906307E-2</v>
      </c>
      <c r="M362" s="463">
        <f t="shared" si="41"/>
        <v>60</v>
      </c>
      <c r="Q362" s="95">
        <f t="shared" si="39"/>
        <v>0</v>
      </c>
      <c r="R362" s="95">
        <f t="shared" si="39"/>
        <v>0</v>
      </c>
      <c r="S362" s="95">
        <f t="shared" si="39"/>
        <v>0</v>
      </c>
      <c r="T362" s="95">
        <f t="shared" si="39"/>
        <v>0</v>
      </c>
      <c r="U362" s="95">
        <f t="shared" si="39"/>
        <v>0</v>
      </c>
      <c r="V362" s="95">
        <f t="shared" si="39"/>
        <v>0</v>
      </c>
      <c r="W362" s="95">
        <f t="shared" si="39"/>
        <v>0</v>
      </c>
      <c r="X362" s="95">
        <f t="shared" si="39"/>
        <v>1</v>
      </c>
      <c r="Y362" s="95">
        <f t="shared" si="39"/>
        <v>0</v>
      </c>
      <c r="Z362" s="95">
        <f t="shared" si="39"/>
        <v>0</v>
      </c>
      <c r="AA362" s="95">
        <f t="shared" si="39"/>
        <v>0</v>
      </c>
      <c r="AB362" s="95">
        <f t="shared" si="39"/>
        <v>0</v>
      </c>
      <c r="AC362" s="95">
        <f t="shared" si="39"/>
        <v>0</v>
      </c>
      <c r="AD362" s="95">
        <f t="shared" si="39"/>
        <v>0</v>
      </c>
      <c r="AE362" s="95">
        <f t="shared" si="39"/>
        <v>0</v>
      </c>
      <c r="AF362" s="95">
        <f t="shared" si="39"/>
        <v>0</v>
      </c>
      <c r="AG362" s="262"/>
    </row>
    <row r="363" spans="1:59" s="44" customFormat="1" ht="12" hidden="1" x14ac:dyDescent="0.25">
      <c r="B363" s="579" t="str">
        <f t="shared" si="40"/>
        <v>Infinitum 100Residencial</v>
      </c>
      <c r="C363" s="95">
        <f t="shared" si="42"/>
        <v>4</v>
      </c>
      <c r="D363" s="101" t="str">
        <v>Infinitum 100</v>
      </c>
      <c r="F363" s="113" t="str">
        <f>IFERROR(VLOOKUP($D363,'Info planes y paquetes'!$C$472:$BS$579,2,FALSE),"")</f>
        <v>Residencial</v>
      </c>
      <c r="G363" s="113" t="str">
        <f>IFERROR(VLOOKUP($D363,'Info planes y paquetes'!$C$472:$BS$579,3,FALSE),"")</f>
        <v>Internet fijo</v>
      </c>
      <c r="H363" s="113" t="str">
        <f>IFERROR(VLOOKUP($D363,'Info planes y paquetes'!$C$472:$BS$579,13,FALSE),"")</f>
        <v>100 Mbps</v>
      </c>
      <c r="I363" s="172">
        <f>INDEX(vector.implicit.prices.broadband.after.discount,MATCH('Cálculos auxiliares'!D363,vector.plans.names,0))</f>
        <v>302.30611035229231</v>
      </c>
      <c r="J363" s="172">
        <f t="shared" si="37"/>
        <v>214.17161887538862</v>
      </c>
      <c r="K363" s="299">
        <f t="shared" si="38"/>
        <v>4.9458195822271625E-4</v>
      </c>
      <c r="M363" s="463">
        <f t="shared" si="41"/>
        <v>100</v>
      </c>
      <c r="Q363" s="95">
        <f t="shared" si="39"/>
        <v>0</v>
      </c>
      <c r="R363" s="95">
        <f t="shared" si="39"/>
        <v>0</v>
      </c>
      <c r="S363" s="95">
        <f t="shared" si="39"/>
        <v>0</v>
      </c>
      <c r="T363" s="95">
        <f t="shared" si="39"/>
        <v>0</v>
      </c>
      <c r="U363" s="95">
        <f t="shared" si="39"/>
        <v>0</v>
      </c>
      <c r="V363" s="95">
        <f t="shared" si="39"/>
        <v>0</v>
      </c>
      <c r="W363" s="95">
        <f t="shared" si="39"/>
        <v>0</v>
      </c>
      <c r="X363" s="95">
        <f t="shared" si="39"/>
        <v>0</v>
      </c>
      <c r="Y363" s="95">
        <f t="shared" si="39"/>
        <v>0</v>
      </c>
      <c r="Z363" s="95">
        <f t="shared" si="39"/>
        <v>1</v>
      </c>
      <c r="AA363" s="95">
        <f t="shared" si="39"/>
        <v>0</v>
      </c>
      <c r="AB363" s="95">
        <f t="shared" si="39"/>
        <v>0</v>
      </c>
      <c r="AC363" s="95">
        <f t="shared" si="39"/>
        <v>0</v>
      </c>
      <c r="AD363" s="95">
        <f t="shared" si="39"/>
        <v>0</v>
      </c>
      <c r="AE363" s="95">
        <f t="shared" si="39"/>
        <v>0</v>
      </c>
      <c r="AF363" s="95">
        <f t="shared" si="39"/>
        <v>0</v>
      </c>
      <c r="AG363" s="262"/>
    </row>
    <row r="364" spans="1:59" s="44" customFormat="1" ht="12" x14ac:dyDescent="0.25">
      <c r="B364" s="579" t="str">
        <f t="shared" si="40"/>
        <v>Infinitum 200Residencial</v>
      </c>
      <c r="C364" s="95">
        <f t="shared" si="42"/>
        <v>5</v>
      </c>
      <c r="D364" s="101" t="str">
        <v>Infinitum 200</v>
      </c>
      <c r="F364" s="113" t="str">
        <f>IFERROR(VLOOKUP($D364,'Info planes y paquetes'!$C$472:$BS$579,2,FALSE),"")</f>
        <v>Residencial</v>
      </c>
      <c r="G364" s="113" t="str">
        <f>IFERROR(VLOOKUP($D364,'Info planes y paquetes'!$C$472:$BS$579,3,FALSE),"")</f>
        <v>Internet fijo</v>
      </c>
      <c r="H364" s="113" t="str">
        <f>IFERROR(VLOOKUP($D364,'Info planes y paquetes'!$C$472:$BS$579,13,FALSE),"")</f>
        <v>200 Mbps</v>
      </c>
      <c r="I364" s="172">
        <f>INDEX(vector.implicit.prices.broadband.after.discount,MATCH('Cálculos auxiliares'!D364,vector.plans.names,0))</f>
        <v>444.06331976481232</v>
      </c>
      <c r="J364" s="172">
        <f t="shared" si="37"/>
        <v>355.92882828790863</v>
      </c>
      <c r="K364" s="299">
        <f t="shared" si="38"/>
        <v>6.6765452663403412E-3</v>
      </c>
      <c r="M364" s="463">
        <f t="shared" si="41"/>
        <v>200</v>
      </c>
      <c r="Q364" s="95">
        <f t="shared" si="39"/>
        <v>0</v>
      </c>
      <c r="R364" s="95">
        <f t="shared" si="39"/>
        <v>0</v>
      </c>
      <c r="S364" s="95">
        <f t="shared" si="39"/>
        <v>0</v>
      </c>
      <c r="T364" s="95">
        <f t="shared" si="39"/>
        <v>0</v>
      </c>
      <c r="U364" s="95">
        <f t="shared" si="39"/>
        <v>0</v>
      </c>
      <c r="V364" s="95">
        <f t="shared" si="39"/>
        <v>0</v>
      </c>
      <c r="W364" s="95">
        <f t="shared" si="39"/>
        <v>0</v>
      </c>
      <c r="X364" s="95">
        <f t="shared" si="39"/>
        <v>0</v>
      </c>
      <c r="Y364" s="95">
        <f t="shared" si="39"/>
        <v>0</v>
      </c>
      <c r="Z364" s="95">
        <f t="shared" si="39"/>
        <v>0</v>
      </c>
      <c r="AA364" s="95">
        <f t="shared" si="39"/>
        <v>0</v>
      </c>
      <c r="AB364" s="95">
        <f t="shared" si="39"/>
        <v>0</v>
      </c>
      <c r="AC364" s="95">
        <f t="shared" si="39"/>
        <v>1</v>
      </c>
      <c r="AD364" s="95">
        <f t="shared" si="39"/>
        <v>0</v>
      </c>
      <c r="AE364" s="95">
        <f t="shared" si="39"/>
        <v>0</v>
      </c>
      <c r="AF364" s="95">
        <f t="shared" si="39"/>
        <v>0</v>
      </c>
      <c r="AG364" s="262"/>
    </row>
    <row r="365" spans="1:59" s="44" customFormat="1" ht="12" x14ac:dyDescent="0.25">
      <c r="B365" s="579" t="str">
        <f t="shared" si="40"/>
        <v>Infinitum 279Residencial</v>
      </c>
      <c r="C365" s="95">
        <f t="shared" si="42"/>
        <v>6</v>
      </c>
      <c r="D365" s="101" t="str">
        <v>Infinitum 279</v>
      </c>
      <c r="F365" s="113" t="str">
        <f>IFERROR(VLOOKUP($D365,'Info planes y paquetes'!$C$472:$BS$579,2,FALSE),"")</f>
        <v>Residencial</v>
      </c>
      <c r="G365" s="113" t="str">
        <f>IFERROR(VLOOKUP($D365,'Info planes y paquetes'!$C$472:$BS$579,3,FALSE),"")</f>
        <v>Internet fijo</v>
      </c>
      <c r="H365" s="113" t="str">
        <f>IFERROR(VLOOKUP($D365,'Info planes y paquetes'!$C$472:$BS$579,13,FALSE),"")</f>
        <v>30 Mbps</v>
      </c>
      <c r="I365" s="172">
        <f>INDEX(vector.implicit.prices.broadband.after.discount,MATCH('Cálculos auxiliares'!D365,vector.plans.names,0))</f>
        <v>177</v>
      </c>
      <c r="J365" s="172">
        <f t="shared" si="37"/>
        <v>88.865508523096295</v>
      </c>
      <c r="K365" s="299">
        <f t="shared" si="38"/>
        <v>1.607235779390664E-3</v>
      </c>
      <c r="M365" s="463">
        <f t="shared" si="41"/>
        <v>30</v>
      </c>
      <c r="Q365" s="95">
        <f t="shared" si="39"/>
        <v>0</v>
      </c>
      <c r="R365" s="95">
        <f t="shared" si="39"/>
        <v>0</v>
      </c>
      <c r="S365" s="95">
        <f t="shared" si="39"/>
        <v>0</v>
      </c>
      <c r="T365" s="95">
        <f t="shared" si="39"/>
        <v>0</v>
      </c>
      <c r="U365" s="95">
        <f t="shared" si="39"/>
        <v>1</v>
      </c>
      <c r="V365" s="95">
        <f t="shared" si="39"/>
        <v>0</v>
      </c>
      <c r="W365" s="95">
        <f t="shared" si="39"/>
        <v>0</v>
      </c>
      <c r="X365" s="95">
        <f t="shared" si="39"/>
        <v>0</v>
      </c>
      <c r="Y365" s="95">
        <f t="shared" si="39"/>
        <v>0</v>
      </c>
      <c r="Z365" s="95">
        <f t="shared" si="39"/>
        <v>0</v>
      </c>
      <c r="AA365" s="95">
        <f t="shared" si="39"/>
        <v>0</v>
      </c>
      <c r="AB365" s="95">
        <f t="shared" si="39"/>
        <v>0</v>
      </c>
      <c r="AC365" s="95">
        <f t="shared" si="39"/>
        <v>0</v>
      </c>
      <c r="AD365" s="95">
        <f t="shared" si="39"/>
        <v>0</v>
      </c>
      <c r="AE365" s="95">
        <f t="shared" si="39"/>
        <v>0</v>
      </c>
      <c r="AF365" s="95">
        <f t="shared" si="39"/>
        <v>0</v>
      </c>
      <c r="AG365" s="262"/>
    </row>
    <row r="366" spans="1:59" s="44" customFormat="1" ht="12" x14ac:dyDescent="0.25">
      <c r="B366" s="579" t="str">
        <f t="shared" si="40"/>
        <v>Infinitum 299Residencial</v>
      </c>
      <c r="C366" s="95">
        <f t="shared" si="42"/>
        <v>7</v>
      </c>
      <c r="D366" s="101" t="str">
        <v>Infinitum 299</v>
      </c>
      <c r="F366" s="113" t="str">
        <f>IFERROR(VLOOKUP($D366,'Info planes y paquetes'!$C$472:$BS$579,2,FALSE),"")</f>
        <v>Residencial</v>
      </c>
      <c r="G366" s="113" t="str">
        <f>IFERROR(VLOOKUP($D366,'Info planes y paquetes'!$C$472:$BS$579,3,FALSE),"")</f>
        <v>Internet fijo</v>
      </c>
      <c r="H366" s="113" t="str">
        <f>IFERROR(VLOOKUP($D366,'Info planes y paquetes'!$C$472:$BS$579,13,FALSE),"")</f>
        <v>40 Mbps</v>
      </c>
      <c r="I366" s="172">
        <f>INDEX(vector.implicit.prices.broadband.after.discount,MATCH('Cálculos auxiliares'!D366,vector.plans.names,0))</f>
        <v>243</v>
      </c>
      <c r="J366" s="172">
        <f t="shared" si="37"/>
        <v>154.86550852309631</v>
      </c>
      <c r="K366" s="299">
        <f t="shared" si="38"/>
        <v>2.5693723876750851E-5</v>
      </c>
      <c r="M366" s="463">
        <f t="shared" si="41"/>
        <v>40</v>
      </c>
      <c r="Q366" s="95">
        <f t="shared" si="39"/>
        <v>0</v>
      </c>
      <c r="R366" s="95">
        <f t="shared" si="39"/>
        <v>0</v>
      </c>
      <c r="S366" s="95">
        <f t="shared" si="39"/>
        <v>0</v>
      </c>
      <c r="T366" s="95">
        <f t="shared" si="39"/>
        <v>0</v>
      </c>
      <c r="U366" s="95">
        <f t="shared" si="39"/>
        <v>0</v>
      </c>
      <c r="V366" s="95">
        <f t="shared" si="39"/>
        <v>1</v>
      </c>
      <c r="W366" s="95">
        <f t="shared" si="39"/>
        <v>0</v>
      </c>
      <c r="X366" s="95">
        <f t="shared" si="39"/>
        <v>0</v>
      </c>
      <c r="Y366" s="95">
        <f t="shared" si="39"/>
        <v>0</v>
      </c>
      <c r="Z366" s="95">
        <f t="shared" si="39"/>
        <v>0</v>
      </c>
      <c r="AA366" s="95">
        <f t="shared" si="39"/>
        <v>0</v>
      </c>
      <c r="AB366" s="95">
        <f t="shared" si="39"/>
        <v>0</v>
      </c>
      <c r="AC366" s="95">
        <f t="shared" si="39"/>
        <v>0</v>
      </c>
      <c r="AD366" s="95">
        <f t="shared" si="39"/>
        <v>0</v>
      </c>
      <c r="AE366" s="95">
        <f t="shared" si="39"/>
        <v>0</v>
      </c>
      <c r="AF366" s="95">
        <f t="shared" si="39"/>
        <v>0</v>
      </c>
      <c r="AG366" s="262"/>
    </row>
    <row r="367" spans="1:59" s="44" customFormat="1" ht="12" x14ac:dyDescent="0.25">
      <c r="B367" s="579" t="str">
        <f t="shared" si="40"/>
        <v>Infinitum 299Residencial</v>
      </c>
      <c r="C367" s="95">
        <f t="shared" si="42"/>
        <v>8</v>
      </c>
      <c r="D367" s="101" t="str">
        <v>Infinitum 299</v>
      </c>
      <c r="F367" s="113" t="str">
        <f>IFERROR(VLOOKUP($D367,'Info planes y paquetes'!$C$472:$BS$579,2,FALSE),"")</f>
        <v>Residencial</v>
      </c>
      <c r="G367" s="113" t="str">
        <f>IFERROR(VLOOKUP($D367,'Info planes y paquetes'!$C$472:$BS$579,3,FALSE),"")</f>
        <v>Internet fijo</v>
      </c>
      <c r="H367" s="113" t="str">
        <f>IFERROR(VLOOKUP($D367,'Info planes y paquetes'!$C$472:$BS$579,13,FALSE),"")</f>
        <v>40 Mbps</v>
      </c>
      <c r="I367" s="172">
        <f>INDEX(vector.implicit.prices.broadband.after.discount,MATCH('Cálculos auxiliares'!D367,vector.plans.names,0))</f>
        <v>243</v>
      </c>
      <c r="J367" s="172">
        <f>IF(G367="Internet fijo",I367-VLOOKUP(H367,weighted.average.local.loop.by.plan.by.tx.media,5,FALSE),I367)</f>
        <v>154.86550852309631</v>
      </c>
      <c r="K367" s="299">
        <f t="shared" si="38"/>
        <v>2.5693723876750851E-5</v>
      </c>
      <c r="M367" s="463">
        <f t="shared" si="41"/>
        <v>40</v>
      </c>
      <c r="Q367" s="95">
        <f t="shared" si="39"/>
        <v>0</v>
      </c>
      <c r="R367" s="95">
        <f t="shared" si="39"/>
        <v>0</v>
      </c>
      <c r="S367" s="95">
        <f t="shared" si="39"/>
        <v>0</v>
      </c>
      <c r="T367" s="95">
        <f t="shared" si="39"/>
        <v>0</v>
      </c>
      <c r="U367" s="95">
        <f t="shared" si="39"/>
        <v>0</v>
      </c>
      <c r="V367" s="95">
        <f t="shared" si="39"/>
        <v>1</v>
      </c>
      <c r="W367" s="95">
        <f t="shared" si="39"/>
        <v>0</v>
      </c>
      <c r="X367" s="95">
        <f t="shared" si="39"/>
        <v>0</v>
      </c>
      <c r="Y367" s="95">
        <f t="shared" si="39"/>
        <v>0</v>
      </c>
      <c r="Z367" s="95">
        <f t="shared" si="39"/>
        <v>0</v>
      </c>
      <c r="AA367" s="95">
        <f t="shared" si="39"/>
        <v>0</v>
      </c>
      <c r="AB367" s="95">
        <f t="shared" si="39"/>
        <v>0</v>
      </c>
      <c r="AC367" s="95">
        <f t="shared" si="39"/>
        <v>0</v>
      </c>
      <c r="AD367" s="95">
        <f t="shared" si="39"/>
        <v>0</v>
      </c>
      <c r="AE367" s="95">
        <f t="shared" si="39"/>
        <v>0</v>
      </c>
      <c r="AF367" s="95">
        <f t="shared" si="39"/>
        <v>0</v>
      </c>
      <c r="AG367" s="262"/>
    </row>
    <row r="368" spans="1:59" s="44" customFormat="1" ht="12" x14ac:dyDescent="0.25">
      <c r="B368" s="579" t="str">
        <f t="shared" si="40"/>
        <v>Infinitum Negocio 20 MbNo Residencial</v>
      </c>
      <c r="C368" s="95">
        <f t="shared" si="42"/>
        <v>9</v>
      </c>
      <c r="D368" s="101" t="str">
        <v>Infinitum Negocio 20 Mb</v>
      </c>
      <c r="F368" s="113" t="str">
        <f>IFERROR(VLOOKUP($D368,'Info planes y paquetes'!$C$472:$BS$579,2,FALSE),"")</f>
        <v>No Residencial</v>
      </c>
      <c r="G368" s="113" t="str">
        <f>IFERROR(VLOOKUP($D368,'Info planes y paquetes'!$C$472:$BS$579,3,FALSE),"")</f>
        <v>Internet fijo</v>
      </c>
      <c r="H368" s="113" t="str">
        <f>IFERROR(VLOOKUP($D368,'Info planes y paquetes'!$C$472:$BS$579,13,FALSE),"")</f>
        <v>20 Mbps</v>
      </c>
      <c r="I368" s="172">
        <f>INDEX(vector.implicit.prices.broadband.after.discount,MATCH('Cálculos auxiliares'!D368,vector.plans.names,0))</f>
        <v>310</v>
      </c>
      <c r="J368" s="172">
        <f t="shared" si="37"/>
        <v>221.86550852309631</v>
      </c>
      <c r="K368" s="299">
        <f t="shared" si="38"/>
        <v>3.7081644608145375E-3</v>
      </c>
      <c r="M368" s="463">
        <f t="shared" si="41"/>
        <v>20</v>
      </c>
      <c r="Q368" s="95">
        <f t="shared" si="39"/>
        <v>0</v>
      </c>
      <c r="R368" s="95">
        <f t="shared" si="39"/>
        <v>0</v>
      </c>
      <c r="S368" s="95">
        <f t="shared" si="39"/>
        <v>0</v>
      </c>
      <c r="T368" s="95">
        <f t="shared" si="39"/>
        <v>1</v>
      </c>
      <c r="U368" s="95">
        <f t="shared" si="39"/>
        <v>0</v>
      </c>
      <c r="V368" s="95">
        <f t="shared" si="39"/>
        <v>0</v>
      </c>
      <c r="W368" s="95">
        <f t="shared" si="39"/>
        <v>0</v>
      </c>
      <c r="X368" s="95">
        <f t="shared" si="39"/>
        <v>0</v>
      </c>
      <c r="Y368" s="95">
        <f t="shared" si="39"/>
        <v>0</v>
      </c>
      <c r="Z368" s="95">
        <f t="shared" si="39"/>
        <v>0</v>
      </c>
      <c r="AA368" s="95">
        <f t="shared" si="39"/>
        <v>0</v>
      </c>
      <c r="AB368" s="95">
        <f t="shared" si="39"/>
        <v>0</v>
      </c>
      <c r="AC368" s="95">
        <f t="shared" si="39"/>
        <v>0</v>
      </c>
      <c r="AD368" s="95">
        <f t="shared" si="39"/>
        <v>0</v>
      </c>
      <c r="AE368" s="95">
        <f t="shared" si="39"/>
        <v>0</v>
      </c>
      <c r="AF368" s="95">
        <f t="shared" si="39"/>
        <v>0</v>
      </c>
      <c r="AG368" s="262"/>
    </row>
    <row r="369" spans="2:33" s="44" customFormat="1" ht="12" x14ac:dyDescent="0.25">
      <c r="B369" s="579" t="str">
        <f t="shared" si="40"/>
        <v>Infinitum Negocio 60No Residencial</v>
      </c>
      <c r="C369" s="95">
        <f t="shared" si="42"/>
        <v>10</v>
      </c>
      <c r="D369" s="101" t="str">
        <v>Infinitum Negocio 60</v>
      </c>
      <c r="F369" s="113" t="str">
        <f>IFERROR(VLOOKUP($D369,'Info planes y paquetes'!$C$472:$BS$579,2,FALSE),"")</f>
        <v>No Residencial</v>
      </c>
      <c r="G369" s="113" t="str">
        <f>IFERROR(VLOOKUP($D369,'Info planes y paquetes'!$C$472:$BS$579,3,FALSE),"")</f>
        <v>Internet fijo</v>
      </c>
      <c r="H369" s="113" t="str">
        <f>IFERROR(VLOOKUP($D369,'Info planes y paquetes'!$C$472:$BS$579,13,FALSE),"")</f>
        <v>60 Mbps</v>
      </c>
      <c r="I369" s="172">
        <f>INDEX(vector.implicit.prices.broadband.after.discount,MATCH('Cálculos auxiliares'!D369,vector.plans.names,0))</f>
        <v>302</v>
      </c>
      <c r="J369" s="172">
        <f t="shared" si="37"/>
        <v>213.86550852309631</v>
      </c>
      <c r="K369" s="299">
        <f t="shared" si="38"/>
        <v>1.053442678946785E-3</v>
      </c>
      <c r="M369" s="463">
        <f t="shared" si="41"/>
        <v>60</v>
      </c>
      <c r="Q369" s="95">
        <f t="shared" si="39"/>
        <v>0</v>
      </c>
      <c r="R369" s="95">
        <f t="shared" si="39"/>
        <v>0</v>
      </c>
      <c r="S369" s="95">
        <f t="shared" si="39"/>
        <v>0</v>
      </c>
      <c r="T369" s="95">
        <f t="shared" si="39"/>
        <v>0</v>
      </c>
      <c r="U369" s="95">
        <f t="shared" si="39"/>
        <v>0</v>
      </c>
      <c r="V369" s="95">
        <f t="shared" si="39"/>
        <v>0</v>
      </c>
      <c r="W369" s="95">
        <f t="shared" si="39"/>
        <v>0</v>
      </c>
      <c r="X369" s="95">
        <f t="shared" si="39"/>
        <v>1</v>
      </c>
      <c r="Y369" s="95">
        <f t="shared" si="39"/>
        <v>0</v>
      </c>
      <c r="Z369" s="95">
        <f t="shared" si="39"/>
        <v>0</v>
      </c>
      <c r="AA369" s="95">
        <f t="shared" si="39"/>
        <v>0</v>
      </c>
      <c r="AB369" s="95">
        <f t="shared" si="39"/>
        <v>0</v>
      </c>
      <c r="AC369" s="95">
        <f t="shared" si="39"/>
        <v>0</v>
      </c>
      <c r="AD369" s="95">
        <f t="shared" si="39"/>
        <v>0</v>
      </c>
      <c r="AE369" s="95">
        <f t="shared" si="39"/>
        <v>0</v>
      </c>
      <c r="AF369" s="95">
        <f t="shared" si="39"/>
        <v>0</v>
      </c>
      <c r="AG369" s="262"/>
    </row>
    <row r="370" spans="2:33" s="44" customFormat="1" ht="12" x14ac:dyDescent="0.25">
      <c r="B370" s="579" t="str">
        <f t="shared" si="40"/>
        <v>Infinitum Negocio 200No Residencial</v>
      </c>
      <c r="C370" s="95">
        <f t="shared" si="42"/>
        <v>11</v>
      </c>
      <c r="D370" s="101" t="str">
        <v>Infinitum Negocio 200</v>
      </c>
      <c r="F370" s="113" t="str">
        <f>IFERROR(VLOOKUP($D370,'Info planes y paquetes'!$C$472:$BS$579,2,FALSE),"")</f>
        <v>No Residencial</v>
      </c>
      <c r="G370" s="113" t="str">
        <f>IFERROR(VLOOKUP($D370,'Info planes y paquetes'!$C$472:$BS$579,3,FALSE),"")</f>
        <v>Internet fijo</v>
      </c>
      <c r="H370" s="113" t="str">
        <f>IFERROR(VLOOKUP($D370,'Info planes y paquetes'!$C$472:$BS$579,13,FALSE),"")</f>
        <v>200 Mbps</v>
      </c>
      <c r="I370" s="172">
        <f>INDEX(vector.implicit.prices.broadband.after.discount,MATCH('Cálculos auxiliares'!D370,vector.plans.names,0))</f>
        <v>559</v>
      </c>
      <c r="J370" s="172">
        <f t="shared" si="37"/>
        <v>470.86550852309631</v>
      </c>
      <c r="K370" s="299">
        <f t="shared" si="38"/>
        <v>8.2948942480998427E-4</v>
      </c>
      <c r="M370" s="463">
        <f t="shared" si="41"/>
        <v>200</v>
      </c>
      <c r="Q370" s="95">
        <f t="shared" si="39"/>
        <v>0</v>
      </c>
      <c r="R370" s="95">
        <f t="shared" si="39"/>
        <v>0</v>
      </c>
      <c r="S370" s="95">
        <f t="shared" si="39"/>
        <v>0</v>
      </c>
      <c r="T370" s="95">
        <f t="shared" si="39"/>
        <v>0</v>
      </c>
      <c r="U370" s="95">
        <f t="shared" si="39"/>
        <v>0</v>
      </c>
      <c r="V370" s="95">
        <f t="shared" si="39"/>
        <v>0</v>
      </c>
      <c r="W370" s="95">
        <f t="shared" si="39"/>
        <v>0</v>
      </c>
      <c r="X370" s="95">
        <f t="shared" si="39"/>
        <v>0</v>
      </c>
      <c r="Y370" s="95">
        <f t="shared" si="39"/>
        <v>0</v>
      </c>
      <c r="Z370" s="95">
        <f t="shared" si="39"/>
        <v>0</v>
      </c>
      <c r="AA370" s="95">
        <f t="shared" si="39"/>
        <v>0</v>
      </c>
      <c r="AB370" s="95">
        <f t="shared" si="39"/>
        <v>0</v>
      </c>
      <c r="AC370" s="95">
        <f t="shared" si="39"/>
        <v>1</v>
      </c>
      <c r="AD370" s="95">
        <f t="shared" si="39"/>
        <v>0</v>
      </c>
      <c r="AE370" s="95">
        <f t="shared" si="39"/>
        <v>0</v>
      </c>
      <c r="AF370" s="95">
        <f t="shared" si="39"/>
        <v>0</v>
      </c>
      <c r="AG370" s="262"/>
    </row>
    <row r="371" spans="2:33" s="44" customFormat="1" ht="12" x14ac:dyDescent="0.25">
      <c r="B371" s="579" t="str">
        <f t="shared" si="40"/>
        <v>Infinitum Negocio 500No Residencial</v>
      </c>
      <c r="C371" s="95">
        <f t="shared" si="42"/>
        <v>12</v>
      </c>
      <c r="D371" s="101" t="str">
        <v>Infinitum Negocio 500</v>
      </c>
      <c r="F371" s="113" t="str">
        <f>IFERROR(VLOOKUP($D371,'Info planes y paquetes'!$C$472:$BS$579,2,FALSE),"")</f>
        <v>No Residencial</v>
      </c>
      <c r="G371" s="113" t="str">
        <f>IFERROR(VLOOKUP($D371,'Info planes y paquetes'!$C$472:$BS$579,3,FALSE),"")</f>
        <v>Internet fijo</v>
      </c>
      <c r="H371" s="113" t="str">
        <f>IFERROR(VLOOKUP($D371,'Info planes y paquetes'!$C$472:$BS$579,13,FALSE),"")</f>
        <v>500 Mbps</v>
      </c>
      <c r="I371" s="172">
        <f>INDEX(vector.implicit.prices.broadband.after.discount,MATCH('Cálculos auxiliares'!D371,vector.plans.names,0))</f>
        <v>738</v>
      </c>
      <c r="J371" s="172">
        <f t="shared" si="37"/>
        <v>649.86550852309631</v>
      </c>
      <c r="K371" s="299">
        <f t="shared" si="38"/>
        <v>2.0608322472771099E-4</v>
      </c>
      <c r="M371" s="463">
        <f t="shared" si="41"/>
        <v>500</v>
      </c>
      <c r="Q371" s="95">
        <f t="shared" si="39"/>
        <v>0</v>
      </c>
      <c r="R371" s="95">
        <f t="shared" si="39"/>
        <v>0</v>
      </c>
      <c r="S371" s="95">
        <f t="shared" si="39"/>
        <v>0</v>
      </c>
      <c r="T371" s="95">
        <f t="shared" si="39"/>
        <v>0</v>
      </c>
      <c r="U371" s="95">
        <f t="shared" si="39"/>
        <v>0</v>
      </c>
      <c r="V371" s="95">
        <f t="shared" si="39"/>
        <v>0</v>
      </c>
      <c r="W371" s="95">
        <f t="shared" si="39"/>
        <v>0</v>
      </c>
      <c r="X371" s="95">
        <f t="shared" si="39"/>
        <v>0</v>
      </c>
      <c r="Y371" s="95">
        <f t="shared" si="39"/>
        <v>0</v>
      </c>
      <c r="Z371" s="95">
        <f t="shared" si="39"/>
        <v>0</v>
      </c>
      <c r="AA371" s="95">
        <f t="shared" si="39"/>
        <v>0</v>
      </c>
      <c r="AB371" s="95">
        <f t="shared" si="39"/>
        <v>0</v>
      </c>
      <c r="AC371" s="95">
        <f t="shared" si="39"/>
        <v>0</v>
      </c>
      <c r="AD371" s="95">
        <f t="shared" si="39"/>
        <v>0</v>
      </c>
      <c r="AE371" s="95">
        <f t="shared" si="39"/>
        <v>1</v>
      </c>
      <c r="AF371" s="95">
        <f t="shared" si="39"/>
        <v>0</v>
      </c>
      <c r="AG371" s="262"/>
    </row>
    <row r="372" spans="2:33" s="44" customFormat="1" ht="12" x14ac:dyDescent="0.25">
      <c r="B372" s="579" t="str">
        <f t="shared" si="40"/>
        <v>Paquete 249Residencial</v>
      </c>
      <c r="C372" s="95">
        <f t="shared" si="42"/>
        <v>13</v>
      </c>
      <c r="D372" s="101" t="str">
        <v>Paquete 249</v>
      </c>
      <c r="F372" s="113" t="str">
        <f>IFERROR(VLOOKUP($D372,'Info planes y paquetes'!$C$472:$BS$579,2,FALSE),"")</f>
        <v>Residencial</v>
      </c>
      <c r="G372" s="113" t="str">
        <f>IFERROR(VLOOKUP($D372,'Info planes y paquetes'!$C$472:$BS$579,3,FALSE),"")</f>
        <v>Telefonía fija + Internet fijo</v>
      </c>
      <c r="H372" s="113" t="str">
        <f>IFERROR(VLOOKUP($D372,'Info planes y paquetes'!$C$472:$BS$579,13,FALSE),"")</f>
        <v>5 Mbps</v>
      </c>
      <c r="I372" s="172">
        <f>INDEX(vector.implicit.prices.broadband.after.discount,MATCH('Cálculos auxiliares'!D372,vector.plans.names,0))</f>
        <v>46</v>
      </c>
      <c r="J372" s="172">
        <f t="shared" si="37"/>
        <v>46</v>
      </c>
      <c r="K372" s="299">
        <f t="shared" si="38"/>
        <v>1.3930888150241251E-2</v>
      </c>
      <c r="M372" s="463">
        <f t="shared" si="41"/>
        <v>5</v>
      </c>
      <c r="Q372" s="95">
        <f t="shared" si="39"/>
        <v>0</v>
      </c>
      <c r="R372" s="95">
        <f t="shared" si="39"/>
        <v>1</v>
      </c>
      <c r="S372" s="95">
        <f t="shared" si="39"/>
        <v>0</v>
      </c>
      <c r="T372" s="95">
        <f t="shared" si="39"/>
        <v>0</v>
      </c>
      <c r="U372" s="95">
        <f t="shared" si="39"/>
        <v>0</v>
      </c>
      <c r="V372" s="95">
        <f t="shared" si="39"/>
        <v>0</v>
      </c>
      <c r="W372" s="95">
        <f t="shared" si="39"/>
        <v>0</v>
      </c>
      <c r="X372" s="95">
        <f t="shared" si="39"/>
        <v>0</v>
      </c>
      <c r="Y372" s="95">
        <f t="shared" si="39"/>
        <v>0</v>
      </c>
      <c r="Z372" s="95">
        <f t="shared" si="39"/>
        <v>0</v>
      </c>
      <c r="AA372" s="95">
        <f t="shared" si="39"/>
        <v>0</v>
      </c>
      <c r="AB372" s="95">
        <f t="shared" si="39"/>
        <v>0</v>
      </c>
      <c r="AC372" s="95">
        <f t="shared" si="39"/>
        <v>0</v>
      </c>
      <c r="AD372" s="95">
        <f t="shared" si="39"/>
        <v>0</v>
      </c>
      <c r="AE372" s="95">
        <f t="shared" si="39"/>
        <v>0</v>
      </c>
      <c r="AF372" s="95">
        <f t="shared" si="39"/>
        <v>0</v>
      </c>
      <c r="AG372" s="262"/>
    </row>
    <row r="373" spans="2:33" s="44" customFormat="1" ht="12" x14ac:dyDescent="0.25">
      <c r="B373" s="579" t="str">
        <f t="shared" si="40"/>
        <v>Paquete 289Residencial</v>
      </c>
      <c r="C373" s="95">
        <f t="shared" si="42"/>
        <v>14</v>
      </c>
      <c r="D373" s="101" t="str">
        <v>Paquete 289</v>
      </c>
      <c r="F373" s="113" t="str">
        <f>IFERROR(VLOOKUP($D373,'Info planes y paquetes'!$C$472:$BS$579,2,FALSE),"")</f>
        <v>Residencial</v>
      </c>
      <c r="G373" s="113" t="str">
        <f>IFERROR(VLOOKUP($D373,'Info planes y paquetes'!$C$472:$BS$579,3,FALSE),"")</f>
        <v>Telefonía fija + Internet fijo</v>
      </c>
      <c r="H373" s="113" t="str">
        <f>IFERROR(VLOOKUP($D373,'Info planes y paquetes'!$C$472:$BS$579,13,FALSE),"")</f>
        <v>5 Mbps</v>
      </c>
      <c r="I373" s="172">
        <f>INDEX(vector.implicit.prices.broadband.after.discount,MATCH('Cálculos auxiliares'!D373,vector.plans.names,0))</f>
        <v>81</v>
      </c>
      <c r="J373" s="172">
        <f t="shared" si="37"/>
        <v>81</v>
      </c>
      <c r="K373" s="299">
        <f t="shared" si="38"/>
        <v>4.9788924724768211E-3</v>
      </c>
      <c r="M373" s="463">
        <f t="shared" si="41"/>
        <v>5</v>
      </c>
      <c r="Q373" s="95">
        <f t="shared" si="39"/>
        <v>0</v>
      </c>
      <c r="R373" s="95">
        <f t="shared" si="39"/>
        <v>1</v>
      </c>
      <c r="S373" s="95">
        <f t="shared" si="39"/>
        <v>0</v>
      </c>
      <c r="T373" s="95">
        <f t="shared" si="39"/>
        <v>0</v>
      </c>
      <c r="U373" s="95">
        <f t="shared" si="39"/>
        <v>0</v>
      </c>
      <c r="V373" s="95">
        <f t="shared" si="39"/>
        <v>0</v>
      </c>
      <c r="W373" s="95">
        <f t="shared" si="39"/>
        <v>0</v>
      </c>
      <c r="X373" s="95">
        <f t="shared" si="39"/>
        <v>0</v>
      </c>
      <c r="Y373" s="95">
        <f t="shared" si="39"/>
        <v>0</v>
      </c>
      <c r="Z373" s="95">
        <f t="shared" si="39"/>
        <v>0</v>
      </c>
      <c r="AA373" s="95">
        <f t="shared" si="39"/>
        <v>0</v>
      </c>
      <c r="AB373" s="95">
        <f t="shared" si="39"/>
        <v>0</v>
      </c>
      <c r="AC373" s="95">
        <f t="shared" si="39"/>
        <v>0</v>
      </c>
      <c r="AD373" s="95">
        <f t="shared" si="39"/>
        <v>0</v>
      </c>
      <c r="AE373" s="95">
        <f t="shared" si="39"/>
        <v>0</v>
      </c>
      <c r="AF373" s="95">
        <f t="shared" si="39"/>
        <v>0</v>
      </c>
      <c r="AG373" s="262"/>
    </row>
    <row r="374" spans="2:33" s="44" customFormat="1" ht="12" x14ac:dyDescent="0.25">
      <c r="B374" s="579" t="str">
        <f t="shared" si="40"/>
        <v>Paquete 435Residencial</v>
      </c>
      <c r="C374" s="95">
        <f t="shared" si="42"/>
        <v>15</v>
      </c>
      <c r="D374" s="101" t="str">
        <v>Paquete 435</v>
      </c>
      <c r="F374" s="113" t="str">
        <f>IFERROR(VLOOKUP($D374,'Info planes y paquetes'!$C$472:$BS$579,2,FALSE),"")</f>
        <v>Residencial</v>
      </c>
      <c r="G374" s="113" t="str">
        <f>IFERROR(VLOOKUP($D374,'Info planes y paquetes'!$C$472:$BS$579,3,FALSE),"")</f>
        <v>Telefonía fija + Internet fijo</v>
      </c>
      <c r="H374" s="113" t="str">
        <f>IFERROR(VLOOKUP($D374,'Info planes y paquetes'!$C$472:$BS$579,13,FALSE),"")</f>
        <v>30 Mbps</v>
      </c>
      <c r="I374" s="172">
        <f>INDEX(vector.implicit.prices.broadband.after.discount,MATCH('Cálculos auxiliares'!D374,vector.plans.names,0))</f>
        <v>176.62567959335902</v>
      </c>
      <c r="J374" s="172">
        <f t="shared" si="37"/>
        <v>176.62567959335902</v>
      </c>
      <c r="K374" s="299">
        <f t="shared" si="38"/>
        <v>2.4120716760656205E-2</v>
      </c>
      <c r="M374" s="463">
        <f t="shared" si="41"/>
        <v>30</v>
      </c>
      <c r="Q374" s="95">
        <f t="shared" ref="Q374:AE375" si="43">IF(Q$359=$M374,1,0)</f>
        <v>0</v>
      </c>
      <c r="R374" s="95">
        <f t="shared" si="43"/>
        <v>0</v>
      </c>
      <c r="S374" s="95">
        <f t="shared" si="43"/>
        <v>0</v>
      </c>
      <c r="T374" s="95">
        <f t="shared" si="43"/>
        <v>0</v>
      </c>
      <c r="U374" s="95">
        <f t="shared" si="43"/>
        <v>1</v>
      </c>
      <c r="V374" s="95">
        <f t="shared" si="43"/>
        <v>0</v>
      </c>
      <c r="W374" s="95">
        <f t="shared" si="43"/>
        <v>0</v>
      </c>
      <c r="X374" s="95">
        <f t="shared" si="43"/>
        <v>0</v>
      </c>
      <c r="Y374" s="95">
        <f t="shared" si="43"/>
        <v>0</v>
      </c>
      <c r="Z374" s="95">
        <f t="shared" si="43"/>
        <v>0</v>
      </c>
      <c r="AA374" s="95">
        <f t="shared" si="43"/>
        <v>0</v>
      </c>
      <c r="AB374" s="95">
        <f t="shared" si="43"/>
        <v>0</v>
      </c>
      <c r="AC374" s="95">
        <f t="shared" si="43"/>
        <v>0</v>
      </c>
      <c r="AD374" s="95">
        <f t="shared" si="43"/>
        <v>0</v>
      </c>
      <c r="AE374" s="95">
        <f t="shared" si="43"/>
        <v>0</v>
      </c>
      <c r="AF374" s="95">
        <f t="shared" ref="AF374:AF437" si="44">IF(AF$359=$M374,1,0)</f>
        <v>0</v>
      </c>
      <c r="AG374" s="262"/>
    </row>
    <row r="375" spans="2:33" s="44" customFormat="1" ht="12" x14ac:dyDescent="0.25">
      <c r="B375" s="579" t="str">
        <f t="shared" si="40"/>
        <v>Paquete 499Residencial</v>
      </c>
      <c r="C375" s="95">
        <f t="shared" si="42"/>
        <v>16</v>
      </c>
      <c r="D375" s="101" t="str">
        <v>Paquete 499</v>
      </c>
      <c r="F375" s="113" t="str">
        <f>IFERROR(VLOOKUP($D375,'Info planes y paquetes'!$C$472:$BS$579,2,FALSE),"")</f>
        <v>Residencial</v>
      </c>
      <c r="G375" s="113" t="str">
        <f>IFERROR(VLOOKUP($D375,'Info planes y paquetes'!$C$472:$BS$579,3,FALSE),"")</f>
        <v>Telefonía fija + Internet fijo</v>
      </c>
      <c r="H375" s="113" t="str">
        <f>IFERROR(VLOOKUP($D375,'Info planes y paquetes'!$C$472:$BS$579,13,FALSE),"")</f>
        <v>40 Mbps</v>
      </c>
      <c r="I375" s="172">
        <f>INDEX(vector.implicit.prices.broadband.after.discount,MATCH('Cálculos auxiliares'!D375,vector.plans.names,0))</f>
        <v>186.5414208303857</v>
      </c>
      <c r="J375" s="172">
        <f t="shared" si="37"/>
        <v>186.5414208303857</v>
      </c>
      <c r="K375" s="299">
        <f t="shared" si="38"/>
        <v>1.8862305022198399E-2</v>
      </c>
      <c r="M375" s="463">
        <f t="shared" si="41"/>
        <v>40</v>
      </c>
      <c r="Q375" s="95">
        <f t="shared" si="43"/>
        <v>0</v>
      </c>
      <c r="R375" s="95">
        <f t="shared" si="43"/>
        <v>0</v>
      </c>
      <c r="S375" s="95">
        <f t="shared" si="43"/>
        <v>0</v>
      </c>
      <c r="T375" s="95">
        <f t="shared" si="43"/>
        <v>0</v>
      </c>
      <c r="U375" s="95">
        <f t="shared" si="43"/>
        <v>0</v>
      </c>
      <c r="V375" s="95">
        <f t="shared" si="43"/>
        <v>1</v>
      </c>
      <c r="W375" s="95">
        <f t="shared" si="43"/>
        <v>0</v>
      </c>
      <c r="X375" s="95">
        <f t="shared" si="43"/>
        <v>0</v>
      </c>
      <c r="Y375" s="95">
        <f t="shared" si="43"/>
        <v>0</v>
      </c>
      <c r="Z375" s="95">
        <f t="shared" si="43"/>
        <v>0</v>
      </c>
      <c r="AA375" s="95">
        <f t="shared" si="43"/>
        <v>0</v>
      </c>
      <c r="AB375" s="95">
        <f t="shared" si="43"/>
        <v>0</v>
      </c>
      <c r="AC375" s="95">
        <f t="shared" si="43"/>
        <v>0</v>
      </c>
      <c r="AD375" s="95">
        <f t="shared" si="43"/>
        <v>0</v>
      </c>
      <c r="AE375" s="95">
        <f t="shared" si="43"/>
        <v>0</v>
      </c>
      <c r="AF375" s="95">
        <f t="shared" si="44"/>
        <v>0</v>
      </c>
      <c r="AG375" s="262"/>
    </row>
    <row r="376" spans="2:33" s="44" customFormat="1" ht="12" x14ac:dyDescent="0.25">
      <c r="B376" s="579" t="str">
        <f t="shared" si="40"/>
        <v>Paquete 599Residencial</v>
      </c>
      <c r="C376" s="95">
        <f t="shared" si="42"/>
        <v>17</v>
      </c>
      <c r="D376" s="101" t="str">
        <v>Paquete 599</v>
      </c>
      <c r="F376" s="113" t="str">
        <f>IFERROR(VLOOKUP($D376,'Info planes y paquetes'!$C$472:$BS$579,2,FALSE),"")</f>
        <v>Residencial</v>
      </c>
      <c r="G376" s="113" t="str">
        <f>IFERROR(VLOOKUP($D376,'Info planes y paquetes'!$C$472:$BS$579,3,FALSE),"")</f>
        <v>Telefonía fija + Internet fijo</v>
      </c>
      <c r="H376" s="113" t="str">
        <f>IFERROR(VLOOKUP($D376,'Info planes y paquetes'!$C$472:$BS$579,13,FALSE),"")</f>
        <v>150 Mbps</v>
      </c>
      <c r="I376" s="172">
        <f>INDEX(vector.implicit.prices.broadband.after.discount,MATCH('Cálculos auxiliares'!D376,vector.plans.names,0))</f>
        <v>254.0023013931249</v>
      </c>
      <c r="J376" s="172">
        <f t="shared" si="37"/>
        <v>254.0023013931249</v>
      </c>
      <c r="K376" s="299">
        <f t="shared" si="38"/>
        <v>3.4500092150674046E-2</v>
      </c>
      <c r="M376" s="463">
        <f t="shared" si="41"/>
        <v>150</v>
      </c>
      <c r="Q376" s="95">
        <f t="shared" ref="Q376:T439" si="45">IF(Q$359=$M376,1,0)</f>
        <v>0</v>
      </c>
      <c r="R376" s="95">
        <f t="shared" si="45"/>
        <v>0</v>
      </c>
      <c r="S376" s="95">
        <f t="shared" si="45"/>
        <v>0</v>
      </c>
      <c r="T376" s="95">
        <f t="shared" si="45"/>
        <v>0</v>
      </c>
      <c r="U376" s="95">
        <f t="shared" ref="U376:X439" si="46">IF(U$359=$M376,1,0)</f>
        <v>0</v>
      </c>
      <c r="V376" s="95">
        <f t="shared" si="46"/>
        <v>0</v>
      </c>
      <c r="W376" s="95">
        <f t="shared" si="46"/>
        <v>0</v>
      </c>
      <c r="X376" s="95">
        <f t="shared" si="46"/>
        <v>0</v>
      </c>
      <c r="Y376" s="95">
        <f t="shared" ref="Y376:AB439" si="47">IF(Y$359=$M376,1,0)</f>
        <v>0</v>
      </c>
      <c r="Z376" s="95">
        <f t="shared" si="47"/>
        <v>0</v>
      </c>
      <c r="AA376" s="95">
        <f t="shared" si="47"/>
        <v>0</v>
      </c>
      <c r="AB376" s="95">
        <f t="shared" si="47"/>
        <v>1</v>
      </c>
      <c r="AC376" s="95">
        <f t="shared" ref="AC376:AF439" si="48">IF(AC$359=$M376,1,0)</f>
        <v>0</v>
      </c>
      <c r="AD376" s="95">
        <f t="shared" si="48"/>
        <v>0</v>
      </c>
      <c r="AE376" s="95">
        <f t="shared" si="48"/>
        <v>0</v>
      </c>
      <c r="AF376" s="95">
        <f t="shared" si="44"/>
        <v>0</v>
      </c>
      <c r="AG376" s="262"/>
    </row>
    <row r="377" spans="2:33" s="44" customFormat="1" ht="12" x14ac:dyDescent="0.25">
      <c r="B377" s="579" t="str">
        <f t="shared" si="40"/>
        <v>Paquete 389Residencial</v>
      </c>
      <c r="C377" s="95">
        <f t="shared" si="42"/>
        <v>18</v>
      </c>
      <c r="D377" s="101" t="str">
        <v>Paquete 389</v>
      </c>
      <c r="F377" s="113" t="str">
        <f>IFERROR(VLOOKUP($D377,'Info planes y paquetes'!$C$472:$BS$579,2,FALSE),"")</f>
        <v>Residencial</v>
      </c>
      <c r="G377" s="113" t="str">
        <f>IFERROR(VLOOKUP($D377,'Info planes y paquetes'!$C$472:$BS$579,3,FALSE),"")</f>
        <v>Telefonía fija + Internet fijo</v>
      </c>
      <c r="H377" s="113" t="str">
        <f>IFERROR(VLOOKUP($D377,'Info planes y paquetes'!$C$472:$BS$579,13,FALSE),"")</f>
        <v>20 Mbps</v>
      </c>
      <c r="I377" s="172">
        <f>INDEX(vector.implicit.prices.broadband.after.discount,MATCH('Cálculos auxiliares'!D377,vector.plans.names,0))</f>
        <v>120.29018492176387</v>
      </c>
      <c r="J377" s="172">
        <f t="shared" si="37"/>
        <v>120.29018492176387</v>
      </c>
      <c r="K377" s="299">
        <f t="shared" si="38"/>
        <v>0.48944499155974508</v>
      </c>
      <c r="M377" s="463">
        <f t="shared" si="41"/>
        <v>20</v>
      </c>
      <c r="Q377" s="95">
        <f t="shared" si="45"/>
        <v>0</v>
      </c>
      <c r="R377" s="95">
        <f t="shared" si="45"/>
        <v>0</v>
      </c>
      <c r="S377" s="95">
        <f t="shared" si="45"/>
        <v>0</v>
      </c>
      <c r="T377" s="95">
        <f t="shared" si="45"/>
        <v>1</v>
      </c>
      <c r="U377" s="95">
        <f t="shared" si="46"/>
        <v>0</v>
      </c>
      <c r="V377" s="95">
        <f t="shared" si="46"/>
        <v>0</v>
      </c>
      <c r="W377" s="95">
        <f t="shared" si="46"/>
        <v>0</v>
      </c>
      <c r="X377" s="95">
        <f t="shared" si="46"/>
        <v>0</v>
      </c>
      <c r="Y377" s="95">
        <f t="shared" si="47"/>
        <v>0</v>
      </c>
      <c r="Z377" s="95">
        <f t="shared" si="47"/>
        <v>0</v>
      </c>
      <c r="AA377" s="95">
        <f t="shared" si="47"/>
        <v>0</v>
      </c>
      <c r="AB377" s="95">
        <f t="shared" si="47"/>
        <v>0</v>
      </c>
      <c r="AC377" s="95">
        <f t="shared" si="48"/>
        <v>0</v>
      </c>
      <c r="AD377" s="95">
        <f t="shared" si="48"/>
        <v>0</v>
      </c>
      <c r="AE377" s="95">
        <f t="shared" si="48"/>
        <v>0</v>
      </c>
      <c r="AF377" s="95">
        <f t="shared" si="44"/>
        <v>0</v>
      </c>
      <c r="AG377" s="262"/>
    </row>
    <row r="378" spans="2:33" s="44" customFormat="1" ht="12" x14ac:dyDescent="0.25">
      <c r="B378" s="579" t="str">
        <f t="shared" si="40"/>
        <v>Paquete Conectes NegocioNo Residencial</v>
      </c>
      <c r="C378" s="95">
        <f t="shared" si="42"/>
        <v>19</v>
      </c>
      <c r="D378" s="101" t="str">
        <v>Paquete Conectes Negocio</v>
      </c>
      <c r="F378" s="113" t="str">
        <f>IFERROR(VLOOKUP($D378,'Info planes y paquetes'!$C$472:$BS$579,2,FALSE),"")</f>
        <v>No Residencial</v>
      </c>
      <c r="G378" s="113" t="str">
        <f>IFERROR(VLOOKUP($D378,'Info planes y paquetes'!$C$472:$BS$579,3,FALSE),"")</f>
        <v>Telefonía fija + Internet fijo</v>
      </c>
      <c r="H378" s="113" t="str">
        <f>IFERROR(VLOOKUP($D378,'Info planes y paquetes'!$C$472:$BS$579,13,FALSE),"")</f>
        <v>20 Mbps</v>
      </c>
      <c r="I378" s="172">
        <f>INDEX(vector.implicit.prices.broadband.after.discount,MATCH('Cálculos auxiliares'!D378,vector.plans.names,0))</f>
        <v>91</v>
      </c>
      <c r="J378" s="172">
        <f t="shared" si="37"/>
        <v>91</v>
      </c>
      <c r="K378" s="299">
        <f t="shared" si="38"/>
        <v>4.1063371658471196E-2</v>
      </c>
      <c r="M378" s="463">
        <f t="shared" si="41"/>
        <v>20</v>
      </c>
      <c r="Q378" s="95">
        <f t="shared" si="45"/>
        <v>0</v>
      </c>
      <c r="R378" s="95">
        <f t="shared" si="45"/>
        <v>0</v>
      </c>
      <c r="S378" s="95">
        <f t="shared" si="45"/>
        <v>0</v>
      </c>
      <c r="T378" s="95">
        <f t="shared" si="45"/>
        <v>1</v>
      </c>
      <c r="U378" s="95">
        <f t="shared" si="46"/>
        <v>0</v>
      </c>
      <c r="V378" s="95">
        <f t="shared" si="46"/>
        <v>0</v>
      </c>
      <c r="W378" s="95">
        <f t="shared" si="46"/>
        <v>0</v>
      </c>
      <c r="X378" s="95">
        <f t="shared" si="46"/>
        <v>0</v>
      </c>
      <c r="Y378" s="95">
        <f t="shared" si="47"/>
        <v>0</v>
      </c>
      <c r="Z378" s="95">
        <f t="shared" si="47"/>
        <v>0</v>
      </c>
      <c r="AA378" s="95">
        <f t="shared" si="47"/>
        <v>0</v>
      </c>
      <c r="AB378" s="95">
        <f t="shared" si="47"/>
        <v>0</v>
      </c>
      <c r="AC378" s="95">
        <f t="shared" si="48"/>
        <v>0</v>
      </c>
      <c r="AD378" s="95">
        <f t="shared" si="48"/>
        <v>0</v>
      </c>
      <c r="AE378" s="95">
        <f t="shared" si="48"/>
        <v>0</v>
      </c>
      <c r="AF378" s="95">
        <f t="shared" si="44"/>
        <v>0</v>
      </c>
      <c r="AG378" s="262"/>
    </row>
    <row r="379" spans="2:33" s="44" customFormat="1" ht="12" x14ac:dyDescent="0.25">
      <c r="B379" s="579" t="str">
        <f t="shared" si="40"/>
        <v>Paquete 1499Residencial</v>
      </c>
      <c r="C379" s="95">
        <f t="shared" si="42"/>
        <v>20</v>
      </c>
      <c r="D379" s="101" t="str">
        <v>Paquete 1499</v>
      </c>
      <c r="F379" s="113" t="str">
        <f>IFERROR(VLOOKUP($D379,'Info planes y paquetes'!$C$472:$BS$579,2,FALSE),"")</f>
        <v>Residencial</v>
      </c>
      <c r="G379" s="113" t="str">
        <f>IFERROR(VLOOKUP($D379,'Info planes y paquetes'!$C$472:$BS$579,3,FALSE),"")</f>
        <v>Telefonía fija + Internet fijo</v>
      </c>
      <c r="H379" s="113" t="str">
        <f>IFERROR(VLOOKUP($D379,'Info planes y paquetes'!$C$472:$BS$579,13,FALSE),"")</f>
        <v>1000 Mbps</v>
      </c>
      <c r="I379" s="172">
        <f>INDEX(vector.implicit.prices.broadband.after.discount,MATCH('Cálculos auxiliares'!D379,vector.plans.names,0))</f>
        <v>1036.7462015266437</v>
      </c>
      <c r="J379" s="172">
        <f t="shared" si="37"/>
        <v>1036.7462015266437</v>
      </c>
      <c r="K379" s="299">
        <f t="shared" si="38"/>
        <v>1.2544582833943062E-3</v>
      </c>
      <c r="M379" s="463">
        <f t="shared" si="41"/>
        <v>1000</v>
      </c>
      <c r="Q379" s="95">
        <f t="shared" si="45"/>
        <v>0</v>
      </c>
      <c r="R379" s="95">
        <f t="shared" si="45"/>
        <v>0</v>
      </c>
      <c r="S379" s="95">
        <f t="shared" si="45"/>
        <v>0</v>
      </c>
      <c r="T379" s="95">
        <f t="shared" si="45"/>
        <v>0</v>
      </c>
      <c r="U379" s="95">
        <f t="shared" si="46"/>
        <v>0</v>
      </c>
      <c r="V379" s="95">
        <f t="shared" si="46"/>
        <v>0</v>
      </c>
      <c r="W379" s="95">
        <f t="shared" si="46"/>
        <v>0</v>
      </c>
      <c r="X379" s="95">
        <f t="shared" si="46"/>
        <v>0</v>
      </c>
      <c r="Y379" s="95">
        <f t="shared" si="47"/>
        <v>0</v>
      </c>
      <c r="Z379" s="95">
        <f t="shared" si="47"/>
        <v>0</v>
      </c>
      <c r="AA379" s="95">
        <f t="shared" si="47"/>
        <v>0</v>
      </c>
      <c r="AB379" s="95">
        <f t="shared" si="47"/>
        <v>0</v>
      </c>
      <c r="AC379" s="95">
        <f t="shared" si="48"/>
        <v>0</v>
      </c>
      <c r="AD379" s="95">
        <f t="shared" si="48"/>
        <v>0</v>
      </c>
      <c r="AE379" s="95">
        <f t="shared" si="48"/>
        <v>0</v>
      </c>
      <c r="AF379" s="95">
        <f t="shared" si="44"/>
        <v>1</v>
      </c>
      <c r="AG379" s="262"/>
    </row>
    <row r="380" spans="2:33" s="44" customFormat="1" ht="12" x14ac:dyDescent="0.25">
      <c r="B380" s="579" t="str">
        <f t="shared" si="40"/>
        <v>Paquete 333Residencial</v>
      </c>
      <c r="C380" s="95">
        <f t="shared" si="42"/>
        <v>21</v>
      </c>
      <c r="D380" s="101" t="str">
        <v>Paquete 333</v>
      </c>
      <c r="F380" s="113" t="str">
        <f>IFERROR(VLOOKUP($D380,'Info planes y paquetes'!$C$472:$BS$579,2,FALSE),"")</f>
        <v>Residencial</v>
      </c>
      <c r="G380" s="113" t="str">
        <f>IFERROR(VLOOKUP($D380,'Info planes y paquetes'!$C$472:$BS$579,3,FALSE),"")</f>
        <v>Telefonía fija + Internet fijo</v>
      </c>
      <c r="H380" s="113" t="str">
        <f>IFERROR(VLOOKUP($D380,'Info planes y paquetes'!$C$472:$BS$579,13,FALSE),"")</f>
        <v>5 Mbps</v>
      </c>
      <c r="I380" s="172">
        <f>INDEX(vector.implicit.prices.broadband.after.discount,MATCH('Cálculos auxiliares'!D380,vector.plans.names,0))</f>
        <v>137</v>
      </c>
      <c r="J380" s="172">
        <f t="shared" si="37"/>
        <v>137</v>
      </c>
      <c r="K380" s="299">
        <f t="shared" si="38"/>
        <v>1.0380797879921048E-2</v>
      </c>
      <c r="M380" s="463">
        <f t="shared" si="41"/>
        <v>5</v>
      </c>
      <c r="Q380" s="95">
        <f t="shared" si="45"/>
        <v>0</v>
      </c>
      <c r="R380" s="95">
        <f t="shared" si="45"/>
        <v>1</v>
      </c>
      <c r="S380" s="95">
        <f t="shared" si="45"/>
        <v>0</v>
      </c>
      <c r="T380" s="95">
        <f t="shared" si="45"/>
        <v>0</v>
      </c>
      <c r="U380" s="95">
        <f t="shared" si="46"/>
        <v>0</v>
      </c>
      <c r="V380" s="95">
        <f t="shared" si="46"/>
        <v>0</v>
      </c>
      <c r="W380" s="95">
        <f t="shared" si="46"/>
        <v>0</v>
      </c>
      <c r="X380" s="95">
        <f t="shared" si="46"/>
        <v>0</v>
      </c>
      <c r="Y380" s="95">
        <f t="shared" si="47"/>
        <v>0</v>
      </c>
      <c r="Z380" s="95">
        <f t="shared" si="47"/>
        <v>0</v>
      </c>
      <c r="AA380" s="95">
        <f t="shared" si="47"/>
        <v>0</v>
      </c>
      <c r="AB380" s="95">
        <f t="shared" si="47"/>
        <v>0</v>
      </c>
      <c r="AC380" s="95">
        <f t="shared" si="48"/>
        <v>0</v>
      </c>
      <c r="AD380" s="95">
        <f t="shared" si="48"/>
        <v>0</v>
      </c>
      <c r="AE380" s="95">
        <f t="shared" si="48"/>
        <v>0</v>
      </c>
      <c r="AF380" s="95">
        <f t="shared" si="44"/>
        <v>0</v>
      </c>
      <c r="AG380" s="262"/>
    </row>
    <row r="381" spans="2:33" s="44" customFormat="1" ht="12" x14ac:dyDescent="0.25">
      <c r="B381" s="579" t="str">
        <f t="shared" si="40"/>
        <v>Paquete Mi NegocioNo Residencial</v>
      </c>
      <c r="C381" s="95">
        <f t="shared" si="42"/>
        <v>22</v>
      </c>
      <c r="D381" s="101" t="str">
        <v>Paquete Mi Negocio</v>
      </c>
      <c r="F381" s="113" t="str">
        <f>IFERROR(VLOOKUP($D381,'Info planes y paquetes'!$C$472:$BS$579,2,FALSE),"")</f>
        <v>No Residencial</v>
      </c>
      <c r="G381" s="113" t="str">
        <f>IFERROR(VLOOKUP($D381,'Info planes y paquetes'!$C$472:$BS$579,3,FALSE),"")</f>
        <v>Telefonía fija + Internet fijo</v>
      </c>
      <c r="H381" s="113" t="str">
        <f>IFERROR(VLOOKUP($D381,'Info planes y paquetes'!$C$472:$BS$579,13,FALSE),"")</f>
        <v>100 Mbps</v>
      </c>
      <c r="I381" s="172">
        <f>INDEX(vector.implicit.prices.broadband.after.discount,MATCH('Cálculos auxiliares'!D381,vector.plans.names,0))</f>
        <v>183</v>
      </c>
      <c r="J381" s="172">
        <f t="shared" si="37"/>
        <v>183</v>
      </c>
      <c r="K381" s="299">
        <f t="shared" si="38"/>
        <v>4.3637811666426475E-2</v>
      </c>
      <c r="M381" s="463">
        <f t="shared" si="41"/>
        <v>100</v>
      </c>
      <c r="Q381" s="95">
        <f t="shared" si="45"/>
        <v>0</v>
      </c>
      <c r="R381" s="95">
        <f t="shared" si="45"/>
        <v>0</v>
      </c>
      <c r="S381" s="95">
        <f t="shared" si="45"/>
        <v>0</v>
      </c>
      <c r="T381" s="95">
        <f t="shared" si="45"/>
        <v>0</v>
      </c>
      <c r="U381" s="95">
        <f t="shared" si="46"/>
        <v>0</v>
      </c>
      <c r="V381" s="95">
        <f t="shared" si="46"/>
        <v>0</v>
      </c>
      <c r="W381" s="95">
        <f t="shared" si="46"/>
        <v>0</v>
      </c>
      <c r="X381" s="95">
        <f t="shared" si="46"/>
        <v>0</v>
      </c>
      <c r="Y381" s="95">
        <f t="shared" si="47"/>
        <v>0</v>
      </c>
      <c r="Z381" s="95">
        <f t="shared" si="47"/>
        <v>1</v>
      </c>
      <c r="AA381" s="95">
        <f t="shared" si="47"/>
        <v>0</v>
      </c>
      <c r="AB381" s="95">
        <f t="shared" si="47"/>
        <v>0</v>
      </c>
      <c r="AC381" s="95">
        <f t="shared" si="48"/>
        <v>0</v>
      </c>
      <c r="AD381" s="95">
        <f t="shared" si="48"/>
        <v>0</v>
      </c>
      <c r="AE381" s="95">
        <f t="shared" si="48"/>
        <v>0</v>
      </c>
      <c r="AF381" s="95">
        <f t="shared" si="44"/>
        <v>0</v>
      </c>
      <c r="AG381" s="262"/>
    </row>
    <row r="382" spans="2:33" s="44" customFormat="1" ht="12" x14ac:dyDescent="0.25">
      <c r="B382" s="579" t="str">
        <f t="shared" si="40"/>
        <v>Paquete SuperNegocioNo Residencial</v>
      </c>
      <c r="C382" s="95">
        <f t="shared" si="42"/>
        <v>23</v>
      </c>
      <c r="D382" s="101" t="str">
        <v>Paquete SuperNegocio</v>
      </c>
      <c r="F382" s="113" t="str">
        <f>IFERROR(VLOOKUP($D382,'Info planes y paquetes'!$C$472:$BS$579,2,FALSE),"")</f>
        <v>No Residencial</v>
      </c>
      <c r="G382" s="113" t="str">
        <f>IFERROR(VLOOKUP($D382,'Info planes y paquetes'!$C$472:$BS$579,3,FALSE),"")</f>
        <v>Telefonía fija + Internet fijo</v>
      </c>
      <c r="H382" s="113" t="str">
        <f>IFERROR(VLOOKUP($D382,'Info planes y paquetes'!$C$472:$BS$579,13,FALSE),"")</f>
        <v>200 Mbps</v>
      </c>
      <c r="I382" s="172">
        <f>INDEX(vector.implicit.prices.broadband.after.discount,MATCH('Cálculos auxiliares'!D382,vector.plans.names,0))</f>
        <v>435</v>
      </c>
      <c r="J382" s="172">
        <f t="shared" si="37"/>
        <v>435</v>
      </c>
      <c r="K382" s="299">
        <f t="shared" si="38"/>
        <v>2.185958015388318E-2</v>
      </c>
      <c r="M382" s="463">
        <f t="shared" si="41"/>
        <v>200</v>
      </c>
      <c r="Q382" s="95">
        <f t="shared" si="45"/>
        <v>0</v>
      </c>
      <c r="R382" s="95">
        <f t="shared" si="45"/>
        <v>0</v>
      </c>
      <c r="S382" s="95">
        <f t="shared" si="45"/>
        <v>0</v>
      </c>
      <c r="T382" s="95">
        <f t="shared" si="45"/>
        <v>0</v>
      </c>
      <c r="U382" s="95">
        <f t="shared" si="46"/>
        <v>0</v>
      </c>
      <c r="V382" s="95">
        <f t="shared" si="46"/>
        <v>0</v>
      </c>
      <c r="W382" s="95">
        <f t="shared" si="46"/>
        <v>0</v>
      </c>
      <c r="X382" s="95">
        <f t="shared" si="46"/>
        <v>0</v>
      </c>
      <c r="Y382" s="95">
        <f t="shared" si="47"/>
        <v>0</v>
      </c>
      <c r="Z382" s="95">
        <f t="shared" si="47"/>
        <v>0</v>
      </c>
      <c r="AA382" s="95">
        <f t="shared" si="47"/>
        <v>0</v>
      </c>
      <c r="AB382" s="95">
        <f t="shared" si="47"/>
        <v>0</v>
      </c>
      <c r="AC382" s="95">
        <f t="shared" si="48"/>
        <v>1</v>
      </c>
      <c r="AD382" s="95">
        <f t="shared" si="48"/>
        <v>0</v>
      </c>
      <c r="AE382" s="95">
        <f t="shared" si="48"/>
        <v>0</v>
      </c>
      <c r="AF382" s="95">
        <f t="shared" si="44"/>
        <v>0</v>
      </c>
      <c r="AG382" s="262"/>
    </row>
    <row r="383" spans="2:33" s="44" customFormat="1" ht="12" x14ac:dyDescent="0.25">
      <c r="B383" s="579" t="str">
        <f t="shared" si="40"/>
        <v>Paquete Infinitum 500Residencial</v>
      </c>
      <c r="C383" s="95">
        <f t="shared" si="42"/>
        <v>24</v>
      </c>
      <c r="D383" s="101" t="str">
        <v>Paquete Infinitum 500</v>
      </c>
      <c r="F383" s="113" t="str">
        <f>IFERROR(VLOOKUP($D383,'Info planes y paquetes'!$C$472:$BS$579,2,FALSE),"")</f>
        <v>Residencial</v>
      </c>
      <c r="G383" s="113" t="str">
        <f>IFERROR(VLOOKUP($D383,'Info planes y paquetes'!$C$472:$BS$579,3,FALSE),"")</f>
        <v>Telefonía fija + Internet fijo</v>
      </c>
      <c r="H383" s="113" t="str">
        <f>IFERROR(VLOOKUP($D383,'Info planes y paquetes'!$C$472:$BS$579,13,FALSE),"")</f>
        <v>500 Mbps</v>
      </c>
      <c r="I383" s="172">
        <f>INDEX(vector.implicit.prices.broadband.after.discount,MATCH('Cálculos auxiliares'!D383,vector.plans.names,0))</f>
        <v>770.83055993648554</v>
      </c>
      <c r="J383" s="172">
        <f t="shared" si="37"/>
        <v>770.83055993648554</v>
      </c>
      <c r="K383" s="299">
        <f t="shared" si="38"/>
        <v>3.6148135609163075E-3</v>
      </c>
      <c r="M383" s="463">
        <f t="shared" si="41"/>
        <v>500</v>
      </c>
      <c r="Q383" s="95">
        <f t="shared" si="45"/>
        <v>0</v>
      </c>
      <c r="R383" s="95">
        <f t="shared" si="45"/>
        <v>0</v>
      </c>
      <c r="S383" s="95">
        <f t="shared" si="45"/>
        <v>0</v>
      </c>
      <c r="T383" s="95">
        <f t="shared" si="45"/>
        <v>0</v>
      </c>
      <c r="U383" s="95">
        <f t="shared" si="46"/>
        <v>0</v>
      </c>
      <c r="V383" s="95">
        <f t="shared" si="46"/>
        <v>0</v>
      </c>
      <c r="W383" s="95">
        <f t="shared" si="46"/>
        <v>0</v>
      </c>
      <c r="X383" s="95">
        <f t="shared" si="46"/>
        <v>0</v>
      </c>
      <c r="Y383" s="95">
        <f t="shared" si="47"/>
        <v>0</v>
      </c>
      <c r="Z383" s="95">
        <f t="shared" si="47"/>
        <v>0</v>
      </c>
      <c r="AA383" s="95">
        <f t="shared" si="47"/>
        <v>0</v>
      </c>
      <c r="AB383" s="95">
        <f t="shared" si="47"/>
        <v>0</v>
      </c>
      <c r="AC383" s="95">
        <f t="shared" si="48"/>
        <v>0</v>
      </c>
      <c r="AD383" s="95">
        <f t="shared" si="48"/>
        <v>0</v>
      </c>
      <c r="AE383" s="95">
        <f t="shared" si="48"/>
        <v>1</v>
      </c>
      <c r="AF383" s="95">
        <f t="shared" si="44"/>
        <v>0</v>
      </c>
      <c r="AG383" s="262"/>
    </row>
    <row r="384" spans="2:33" s="44" customFormat="1" ht="12" x14ac:dyDescent="0.25">
      <c r="B384" s="579" t="str">
        <f t="shared" si="40"/>
        <v>Paquete Telmex Negocio Sin Límites 1No Residencial</v>
      </c>
      <c r="C384" s="95">
        <f t="shared" si="42"/>
        <v>25</v>
      </c>
      <c r="D384" s="101" t="str">
        <v>Paquete Telmex Negocio Sin Límites 1</v>
      </c>
      <c r="F384" s="113" t="str">
        <f>IFERROR(VLOOKUP($D384,'Info planes y paquetes'!$C$472:$BS$579,2,FALSE),"")</f>
        <v>No Residencial</v>
      </c>
      <c r="G384" s="113" t="str">
        <f>IFERROR(VLOOKUP($D384,'Info planes y paquetes'!$C$472:$BS$579,3,FALSE),"")</f>
        <v>Telefonía fija + Internet fijo</v>
      </c>
      <c r="H384" s="113" t="str">
        <f>IFERROR(VLOOKUP($D384,'Info planes y paquetes'!$C$472:$BS$579,13,FALSE),"")</f>
        <v>500 Mbps</v>
      </c>
      <c r="I384" s="172">
        <f>INDEX(vector.implicit.prices.broadband.after.discount,MATCH('Cálculos auxiliares'!D384,vector.plans.names,0))</f>
        <v>943</v>
      </c>
      <c r="J384" s="172">
        <f t="shared" si="37"/>
        <v>943</v>
      </c>
      <c r="K384" s="299">
        <f t="shared" si="38"/>
        <v>4.938084793378452E-3</v>
      </c>
      <c r="M384" s="463">
        <f t="shared" si="41"/>
        <v>500</v>
      </c>
      <c r="Q384" s="95">
        <f t="shared" si="45"/>
        <v>0</v>
      </c>
      <c r="R384" s="95">
        <f t="shared" si="45"/>
        <v>0</v>
      </c>
      <c r="S384" s="95">
        <f t="shared" si="45"/>
        <v>0</v>
      </c>
      <c r="T384" s="95">
        <f t="shared" si="45"/>
        <v>0</v>
      </c>
      <c r="U384" s="95">
        <f t="shared" si="46"/>
        <v>0</v>
      </c>
      <c r="V384" s="95">
        <f t="shared" si="46"/>
        <v>0</v>
      </c>
      <c r="W384" s="95">
        <f t="shared" si="46"/>
        <v>0</v>
      </c>
      <c r="X384" s="95">
        <f t="shared" si="46"/>
        <v>0</v>
      </c>
      <c r="Y384" s="95">
        <f t="shared" si="47"/>
        <v>0</v>
      </c>
      <c r="Z384" s="95">
        <f t="shared" si="47"/>
        <v>0</v>
      </c>
      <c r="AA384" s="95">
        <f t="shared" si="47"/>
        <v>0</v>
      </c>
      <c r="AB384" s="95">
        <f t="shared" si="47"/>
        <v>0</v>
      </c>
      <c r="AC384" s="95">
        <f t="shared" si="48"/>
        <v>0</v>
      </c>
      <c r="AD384" s="95">
        <f t="shared" si="48"/>
        <v>0</v>
      </c>
      <c r="AE384" s="95">
        <f t="shared" si="48"/>
        <v>1</v>
      </c>
      <c r="AF384" s="95">
        <f t="shared" si="44"/>
        <v>0</v>
      </c>
      <c r="AG384" s="262"/>
    </row>
    <row r="385" spans="2:33" s="44" customFormat="1" ht="12" x14ac:dyDescent="0.25">
      <c r="B385" s="579" t="str">
        <f t="shared" si="40"/>
        <v>Paquete Telmex Negocio Sin Límites 2No Residencial</v>
      </c>
      <c r="C385" s="95">
        <f t="shared" si="42"/>
        <v>26</v>
      </c>
      <c r="D385" s="101" t="str">
        <v>Paquete Telmex Negocio Sin Límites 2</v>
      </c>
      <c r="F385" s="113" t="str">
        <f>IFERROR(VLOOKUP($D385,'Info planes y paquetes'!$C$472:$BS$579,2,FALSE),"")</f>
        <v>No Residencial</v>
      </c>
      <c r="G385" s="113" t="str">
        <f>IFERROR(VLOOKUP($D385,'Info planes y paquetes'!$C$472:$BS$579,3,FALSE),"")</f>
        <v>Telefonía fija + Internet fijo</v>
      </c>
      <c r="H385" s="113" t="str">
        <f>IFERROR(VLOOKUP($D385,'Info planes y paquetes'!$C$472:$BS$579,13,FALSE),"")</f>
        <v>500 Mbps</v>
      </c>
      <c r="I385" s="172">
        <f>INDEX(vector.implicit.prices.broadband.after.discount,MATCH('Cálculos auxiliares'!D385,vector.plans.names,0))</f>
        <v>791</v>
      </c>
      <c r="J385" s="172">
        <f t="shared" si="37"/>
        <v>791</v>
      </c>
      <c r="K385" s="299">
        <f t="shared" si="38"/>
        <v>2.6126694241040737E-3</v>
      </c>
      <c r="M385" s="463">
        <f t="shared" si="41"/>
        <v>500</v>
      </c>
      <c r="Q385" s="95">
        <f t="shared" si="45"/>
        <v>0</v>
      </c>
      <c r="R385" s="95">
        <f t="shared" si="45"/>
        <v>0</v>
      </c>
      <c r="S385" s="95">
        <f t="shared" si="45"/>
        <v>0</v>
      </c>
      <c r="T385" s="95">
        <f t="shared" si="45"/>
        <v>0</v>
      </c>
      <c r="U385" s="95">
        <f t="shared" si="46"/>
        <v>0</v>
      </c>
      <c r="V385" s="95">
        <f t="shared" si="46"/>
        <v>0</v>
      </c>
      <c r="W385" s="95">
        <f t="shared" si="46"/>
        <v>0</v>
      </c>
      <c r="X385" s="95">
        <f t="shared" si="46"/>
        <v>0</v>
      </c>
      <c r="Y385" s="95">
        <f t="shared" si="47"/>
        <v>0</v>
      </c>
      <c r="Z385" s="95">
        <f t="shared" si="47"/>
        <v>0</v>
      </c>
      <c r="AA385" s="95">
        <f t="shared" si="47"/>
        <v>0</v>
      </c>
      <c r="AB385" s="95">
        <f t="shared" si="47"/>
        <v>0</v>
      </c>
      <c r="AC385" s="95">
        <f t="shared" si="48"/>
        <v>0</v>
      </c>
      <c r="AD385" s="95">
        <f t="shared" si="48"/>
        <v>0</v>
      </c>
      <c r="AE385" s="95">
        <f t="shared" si="48"/>
        <v>1</v>
      </c>
      <c r="AF385" s="95">
        <f t="shared" si="44"/>
        <v>0</v>
      </c>
      <c r="AG385" s="262"/>
    </row>
    <row r="386" spans="2:33" s="44" customFormat="1" ht="12" x14ac:dyDescent="0.25">
      <c r="B386" s="579" t="str">
        <f t="shared" si="40"/>
        <v>Paquete Telmex Negocio Sin Límites 3No Residencial</v>
      </c>
      <c r="C386" s="95">
        <f t="shared" si="42"/>
        <v>27</v>
      </c>
      <c r="D386" s="314" t="str">
        <v>Paquete Telmex Negocio Sin Límites 3</v>
      </c>
      <c r="E386" s="2"/>
      <c r="F386" s="113" t="str">
        <f>IFERROR(VLOOKUP($D386,'Info planes y paquetes'!$C$472:$BS$579,2,FALSE),"")</f>
        <v>No Residencial</v>
      </c>
      <c r="G386" s="113" t="str">
        <f>IFERROR(VLOOKUP($D386,'Info planes y paquetes'!$C$472:$BS$579,3,FALSE),"")</f>
        <v>Telefonía fija + Internet fijo</v>
      </c>
      <c r="H386" s="113" t="str">
        <f>IFERROR(VLOOKUP($D386,'Info planes y paquetes'!$C$472:$BS$579,13,FALSE),"")</f>
        <v>1000 Mbps</v>
      </c>
      <c r="I386" s="312">
        <f>INDEX(vector.implicit.prices.broadband.after.discount,MATCH('Cálculos auxiliares'!D386,vector.plans.names,0))</f>
        <v>1247</v>
      </c>
      <c r="J386" s="172">
        <f t="shared" si="37"/>
        <v>1247</v>
      </c>
      <c r="K386" s="299">
        <f t="shared" si="38"/>
        <v>1.8970680971699297E-3</v>
      </c>
      <c r="M386" s="463">
        <f t="shared" si="41"/>
        <v>1000</v>
      </c>
      <c r="Q386" s="95">
        <f t="shared" si="45"/>
        <v>0</v>
      </c>
      <c r="R386" s="95">
        <f t="shared" si="45"/>
        <v>0</v>
      </c>
      <c r="S386" s="95">
        <f t="shared" si="45"/>
        <v>0</v>
      </c>
      <c r="T386" s="95">
        <f t="shared" si="45"/>
        <v>0</v>
      </c>
      <c r="U386" s="95">
        <f t="shared" si="46"/>
        <v>0</v>
      </c>
      <c r="V386" s="95">
        <f t="shared" si="46"/>
        <v>0</v>
      </c>
      <c r="W386" s="95">
        <f t="shared" si="46"/>
        <v>0</v>
      </c>
      <c r="X386" s="95">
        <f t="shared" si="46"/>
        <v>0</v>
      </c>
      <c r="Y386" s="95">
        <f t="shared" si="47"/>
        <v>0</v>
      </c>
      <c r="Z386" s="95">
        <f t="shared" si="47"/>
        <v>0</v>
      </c>
      <c r="AA386" s="95">
        <f t="shared" si="47"/>
        <v>0</v>
      </c>
      <c r="AB386" s="95">
        <f t="shared" si="47"/>
        <v>0</v>
      </c>
      <c r="AC386" s="95">
        <f t="shared" si="48"/>
        <v>0</v>
      </c>
      <c r="AD386" s="95">
        <f t="shared" si="48"/>
        <v>0</v>
      </c>
      <c r="AE386" s="95">
        <f t="shared" si="48"/>
        <v>0</v>
      </c>
      <c r="AF386" s="95">
        <f t="shared" si="44"/>
        <v>1</v>
      </c>
      <c r="AG386" s="262"/>
    </row>
    <row r="387" spans="2:33" s="44" customFormat="1" ht="12" x14ac:dyDescent="0.25">
      <c r="B387" s="579" t="str">
        <f t="shared" si="40"/>
        <v>Infinitum NegocioNo Residencial</v>
      </c>
      <c r="C387" s="95">
        <f t="shared" si="42"/>
        <v>28</v>
      </c>
      <c r="D387" s="314" t="str">
        <v>Infinitum Negocio</v>
      </c>
      <c r="E387" s="2"/>
      <c r="F387" s="113" t="str">
        <f>IFERROR(VLOOKUP($D387,'Info planes y paquetes'!$C$472:$BS$579,2,FALSE),"")</f>
        <v>No Residencial</v>
      </c>
      <c r="G387" s="113" t="str">
        <f>IFERROR(VLOOKUP($D387,'Info planes y paquetes'!$C$472:$BS$579,3,FALSE),"")</f>
        <v>Otro</v>
      </c>
      <c r="H387" s="113" t="str">
        <f>IFERROR(VLOOKUP($D387,'Info planes y paquetes'!$C$472:$BS$579,13,FALSE),"")</f>
        <v>30 Mbps</v>
      </c>
      <c r="I387" s="312">
        <f>INDEX(vector.implicit.prices.broadband.after.discount,MATCH('Cálculos auxiliares'!D387,vector.plans.names,0))</f>
        <v>274</v>
      </c>
      <c r="J387" s="172">
        <f t="shared" si="37"/>
        <v>274</v>
      </c>
      <c r="K387" s="299">
        <f t="shared" si="38"/>
        <v>6.265801306788131E-3</v>
      </c>
      <c r="M387" s="463">
        <f t="shared" si="41"/>
        <v>30</v>
      </c>
      <c r="Q387" s="95">
        <f t="shared" si="45"/>
        <v>0</v>
      </c>
      <c r="R387" s="95">
        <f t="shared" si="45"/>
        <v>0</v>
      </c>
      <c r="S387" s="95">
        <f t="shared" si="45"/>
        <v>0</v>
      </c>
      <c r="T387" s="95">
        <f t="shared" si="45"/>
        <v>0</v>
      </c>
      <c r="U387" s="95">
        <f t="shared" si="46"/>
        <v>1</v>
      </c>
      <c r="V387" s="95">
        <f t="shared" si="46"/>
        <v>0</v>
      </c>
      <c r="W387" s="95">
        <f t="shared" si="46"/>
        <v>0</v>
      </c>
      <c r="X387" s="95">
        <f t="shared" si="46"/>
        <v>0</v>
      </c>
      <c r="Y387" s="95">
        <f t="shared" si="47"/>
        <v>0</v>
      </c>
      <c r="Z387" s="95">
        <f t="shared" si="47"/>
        <v>0</v>
      </c>
      <c r="AA387" s="95">
        <f t="shared" si="47"/>
        <v>0</v>
      </c>
      <c r="AB387" s="95">
        <f t="shared" si="47"/>
        <v>0</v>
      </c>
      <c r="AC387" s="95">
        <f t="shared" si="48"/>
        <v>0</v>
      </c>
      <c r="AD387" s="95">
        <f t="shared" si="48"/>
        <v>0</v>
      </c>
      <c r="AE387" s="95">
        <f t="shared" si="48"/>
        <v>0</v>
      </c>
      <c r="AF387" s="95">
        <f t="shared" si="44"/>
        <v>0</v>
      </c>
      <c r="AG387" s="262"/>
    </row>
    <row r="388" spans="2:33" s="44" customFormat="1" ht="12" x14ac:dyDescent="0.25">
      <c r="B388" s="579" t="str">
        <f t="shared" si="40"/>
        <v>Infinitum Negocio RedNo Residencial</v>
      </c>
      <c r="C388" s="95">
        <f t="shared" si="42"/>
        <v>29</v>
      </c>
      <c r="D388" s="314" t="str">
        <v>Infinitum Negocio Red</v>
      </c>
      <c r="E388" s="2"/>
      <c r="F388" s="113" t="str">
        <f>IFERROR(VLOOKUP($D388,'Info planes y paquetes'!$C$472:$BS$579,2,FALSE),"")</f>
        <v>No Residencial</v>
      </c>
      <c r="G388" s="113" t="str">
        <f>IFERROR(VLOOKUP($D388,'Info planes y paquetes'!$C$472:$BS$579,3,FALSE),"")</f>
        <v>Otro</v>
      </c>
      <c r="H388" s="113" t="str">
        <f>IFERROR(VLOOKUP($D388,'Info planes y paquetes'!$C$472:$BS$579,13,FALSE),"")</f>
        <v>50 Mbps</v>
      </c>
      <c r="I388" s="312">
        <f>INDEX(vector.implicit.prices.broadband.after.discount,MATCH('Cálculos auxiliares'!D388,vector.plans.names,0))</f>
        <v>743</v>
      </c>
      <c r="J388" s="172">
        <f t="shared" si="37"/>
        <v>743</v>
      </c>
      <c r="K388" s="299">
        <f t="shared" si="38"/>
        <v>1.5703399475261255E-3</v>
      </c>
      <c r="L388" s="414"/>
      <c r="M388" s="463">
        <f t="shared" si="41"/>
        <v>50</v>
      </c>
      <c r="Q388" s="95">
        <f t="shared" si="45"/>
        <v>0</v>
      </c>
      <c r="R388" s="95">
        <f t="shared" si="45"/>
        <v>0</v>
      </c>
      <c r="S388" s="95">
        <f t="shared" si="45"/>
        <v>0</v>
      </c>
      <c r="T388" s="95">
        <f t="shared" si="45"/>
        <v>0</v>
      </c>
      <c r="U388" s="95">
        <f t="shared" si="46"/>
        <v>0</v>
      </c>
      <c r="V388" s="95">
        <f t="shared" si="46"/>
        <v>0</v>
      </c>
      <c r="W388" s="95">
        <f t="shared" si="46"/>
        <v>1</v>
      </c>
      <c r="X388" s="95">
        <f t="shared" si="46"/>
        <v>0</v>
      </c>
      <c r="Y388" s="95">
        <f t="shared" si="47"/>
        <v>0</v>
      </c>
      <c r="Z388" s="95">
        <f t="shared" si="47"/>
        <v>0</v>
      </c>
      <c r="AA388" s="95">
        <f t="shared" si="47"/>
        <v>0</v>
      </c>
      <c r="AB388" s="95">
        <f t="shared" si="47"/>
        <v>0</v>
      </c>
      <c r="AC388" s="95">
        <f t="shared" si="48"/>
        <v>0</v>
      </c>
      <c r="AD388" s="95">
        <f t="shared" si="48"/>
        <v>0</v>
      </c>
      <c r="AE388" s="95">
        <f t="shared" si="48"/>
        <v>0</v>
      </c>
      <c r="AF388" s="95">
        <f t="shared" si="44"/>
        <v>0</v>
      </c>
      <c r="AG388" s="262"/>
    </row>
    <row r="389" spans="2:33" s="44" customFormat="1" ht="12" outlineLevel="1" x14ac:dyDescent="0.25">
      <c r="B389" s="579" t="str">
        <f t="shared" si="40"/>
        <v>Infinitum Negocio PremiumNo Residencial</v>
      </c>
      <c r="C389" s="95">
        <f t="shared" si="42"/>
        <v>30</v>
      </c>
      <c r="D389" s="101" t="str">
        <v>Infinitum Negocio Premium</v>
      </c>
      <c r="E389" s="262"/>
      <c r="F389" s="113" t="str">
        <f>IFERROR(VLOOKUP($D389,'Info planes y paquetes'!$C$472:$BS$579,2,FALSE),"")</f>
        <v>No Residencial</v>
      </c>
      <c r="G389" s="113" t="str">
        <f>IFERROR(VLOOKUP($D389,'Info planes y paquetes'!$C$472:$BS$579,3,FALSE),"")</f>
        <v>Otro</v>
      </c>
      <c r="H389" s="113" t="str">
        <f>IFERROR(VLOOKUP($D389,'Info planes y paquetes'!$C$472:$BS$579,13,FALSE),"")</f>
        <v>100 Mbps</v>
      </c>
      <c r="I389" s="312">
        <f>INDEX(vector.implicit.prices.broadband.after.discount,MATCH('Cálculos auxiliares'!D389,vector.plans.names,0))</f>
        <v>1273</v>
      </c>
      <c r="J389" s="172">
        <f t="shared" si="37"/>
        <v>1273</v>
      </c>
      <c r="K389" s="299">
        <f t="shared" si="38"/>
        <v>1.1467935788450146E-3</v>
      </c>
      <c r="M389" s="463">
        <f t="shared" si="41"/>
        <v>100</v>
      </c>
      <c r="Q389" s="95">
        <f t="shared" si="45"/>
        <v>0</v>
      </c>
      <c r="R389" s="95">
        <f t="shared" si="45"/>
        <v>0</v>
      </c>
      <c r="S389" s="95">
        <f t="shared" si="45"/>
        <v>0</v>
      </c>
      <c r="T389" s="95">
        <f t="shared" si="45"/>
        <v>0</v>
      </c>
      <c r="U389" s="95">
        <f t="shared" si="46"/>
        <v>0</v>
      </c>
      <c r="V389" s="95">
        <f t="shared" si="46"/>
        <v>0</v>
      </c>
      <c r="W389" s="95">
        <f t="shared" si="46"/>
        <v>0</v>
      </c>
      <c r="X389" s="95">
        <f t="shared" si="46"/>
        <v>0</v>
      </c>
      <c r="Y389" s="95">
        <f t="shared" si="47"/>
        <v>0</v>
      </c>
      <c r="Z389" s="95">
        <f t="shared" si="47"/>
        <v>1</v>
      </c>
      <c r="AA389" s="95">
        <f t="shared" si="47"/>
        <v>0</v>
      </c>
      <c r="AB389" s="95">
        <f t="shared" si="47"/>
        <v>0</v>
      </c>
      <c r="AC389" s="95">
        <f t="shared" si="48"/>
        <v>0</v>
      </c>
      <c r="AD389" s="95">
        <f t="shared" si="48"/>
        <v>0</v>
      </c>
      <c r="AE389" s="95">
        <f t="shared" si="48"/>
        <v>0</v>
      </c>
      <c r="AF389" s="95">
        <f t="shared" si="44"/>
        <v>0</v>
      </c>
      <c r="AG389" s="262"/>
    </row>
    <row r="390" spans="2:33" s="44" customFormat="1" ht="12" outlineLevel="1" x14ac:dyDescent="0.25">
      <c r="B390" s="579" t="str">
        <f t="shared" si="40"/>
        <v>Paquete Infinitum Play 20 (Netflix 1 dispositivo)Residencial</v>
      </c>
      <c r="C390" s="95">
        <f t="shared" si="42"/>
        <v>31</v>
      </c>
      <c r="D390" s="101" t="str">
        <v>Paquete Infinitum Play 20 (Netflix 1 dispositivo)</v>
      </c>
      <c r="E390" s="262"/>
      <c r="F390" s="113" t="str">
        <f>IFERROR(VLOOKUP($D390,'Info planes y paquetes'!$C$472:$BS$579,2,FALSE),"")</f>
        <v>Residencial</v>
      </c>
      <c r="G390" s="113" t="str">
        <f>IFERROR(VLOOKUP($D390,'Info planes y paquetes'!$C$472:$BS$579,3,FALSE),"")</f>
        <v>Telefonía fija + Internet fijo</v>
      </c>
      <c r="H390" s="113" t="str">
        <f>IFERROR(VLOOKUP($D390,'Info planes y paquetes'!$C$472:$BS$579,13,FALSE),"")</f>
        <v>20 Mbps</v>
      </c>
      <c r="I390" s="312">
        <f>INDEX(vector.implicit.prices.broadband.after.discount,MATCH('Cálculos auxiliares'!D390,vector.plans.names,0))</f>
        <v>91.715994652030105</v>
      </c>
      <c r="J390" s="172">
        <f t="shared" si="37"/>
        <v>91.715994652030105</v>
      </c>
      <c r="K390" s="299">
        <f t="shared" si="38"/>
        <v>1.3742674954922629E-2</v>
      </c>
      <c r="M390" s="463">
        <f t="shared" si="41"/>
        <v>20</v>
      </c>
      <c r="Q390" s="95">
        <f t="shared" si="45"/>
        <v>0</v>
      </c>
      <c r="R390" s="95">
        <f t="shared" si="45"/>
        <v>0</v>
      </c>
      <c r="S390" s="95">
        <f t="shared" si="45"/>
        <v>0</v>
      </c>
      <c r="T390" s="95">
        <f t="shared" si="45"/>
        <v>1</v>
      </c>
      <c r="U390" s="95">
        <f t="shared" si="46"/>
        <v>0</v>
      </c>
      <c r="V390" s="95">
        <f t="shared" si="46"/>
        <v>0</v>
      </c>
      <c r="W390" s="95">
        <f t="shared" si="46"/>
        <v>0</v>
      </c>
      <c r="X390" s="95">
        <f t="shared" si="46"/>
        <v>0</v>
      </c>
      <c r="Y390" s="95">
        <f t="shared" si="47"/>
        <v>0</v>
      </c>
      <c r="Z390" s="95">
        <f t="shared" si="47"/>
        <v>0</v>
      </c>
      <c r="AA390" s="95">
        <f t="shared" si="47"/>
        <v>0</v>
      </c>
      <c r="AB390" s="95">
        <f t="shared" si="47"/>
        <v>0</v>
      </c>
      <c r="AC390" s="95">
        <f t="shared" si="48"/>
        <v>0</v>
      </c>
      <c r="AD390" s="95">
        <f t="shared" si="48"/>
        <v>0</v>
      </c>
      <c r="AE390" s="95">
        <f t="shared" si="48"/>
        <v>0</v>
      </c>
      <c r="AF390" s="95">
        <f t="shared" si="44"/>
        <v>0</v>
      </c>
      <c r="AG390" s="262"/>
    </row>
    <row r="391" spans="2:33" s="44" customFormat="1" ht="12" outlineLevel="1" x14ac:dyDescent="0.25">
      <c r="B391" s="579" t="str">
        <f t="shared" si="40"/>
        <v>Paquete Infinitum Play 20 (Netflix 2 dispositivos)Residencial</v>
      </c>
      <c r="C391" s="95">
        <f t="shared" si="42"/>
        <v>32</v>
      </c>
      <c r="D391" s="101" t="str">
        <v>Paquete Infinitum Play 20 (Netflix 2 dispositivos)</v>
      </c>
      <c r="E391" s="262"/>
      <c r="F391" s="113" t="str">
        <f>IFERROR(VLOOKUP($D391,'Info planes y paquetes'!$C$472:$BS$579,2,FALSE),"")</f>
        <v>Residencial</v>
      </c>
      <c r="G391" s="113" t="str">
        <f>IFERROR(VLOOKUP($D391,'Info planes y paquetes'!$C$472:$BS$579,3,FALSE),"")</f>
        <v>Telefonía fija + Internet fijo</v>
      </c>
      <c r="H391" s="113" t="str">
        <f>IFERROR(VLOOKUP($D391,'Info planes y paquetes'!$C$472:$BS$579,13,FALSE),"")</f>
        <v>20 Mbps</v>
      </c>
      <c r="I391" s="312">
        <f>INDEX(vector.implicit.prices.broadband.after.discount,MATCH('Cálculos auxiliares'!D391,vector.plans.names,0))</f>
        <v>89.75291508691609</v>
      </c>
      <c r="J391" s="172">
        <f t="shared" si="37"/>
        <v>89.75291508691609</v>
      </c>
      <c r="K391" s="299">
        <f t="shared" si="38"/>
        <v>1.0532648677088835E-2</v>
      </c>
      <c r="M391" s="463">
        <f t="shared" si="41"/>
        <v>20</v>
      </c>
      <c r="Q391" s="95">
        <f t="shared" si="45"/>
        <v>0</v>
      </c>
      <c r="R391" s="95">
        <f t="shared" si="45"/>
        <v>0</v>
      </c>
      <c r="S391" s="95">
        <f t="shared" si="45"/>
        <v>0</v>
      </c>
      <c r="T391" s="95">
        <f t="shared" si="45"/>
        <v>1</v>
      </c>
      <c r="U391" s="95">
        <f t="shared" si="46"/>
        <v>0</v>
      </c>
      <c r="V391" s="95">
        <f t="shared" si="46"/>
        <v>0</v>
      </c>
      <c r="W391" s="95">
        <f t="shared" si="46"/>
        <v>0</v>
      </c>
      <c r="X391" s="95">
        <f t="shared" si="46"/>
        <v>0</v>
      </c>
      <c r="Y391" s="95">
        <f t="shared" si="47"/>
        <v>0</v>
      </c>
      <c r="Z391" s="95">
        <f t="shared" si="47"/>
        <v>0</v>
      </c>
      <c r="AA391" s="95">
        <f t="shared" si="47"/>
        <v>0</v>
      </c>
      <c r="AB391" s="95">
        <f t="shared" si="47"/>
        <v>0</v>
      </c>
      <c r="AC391" s="95">
        <f t="shared" si="48"/>
        <v>0</v>
      </c>
      <c r="AD391" s="95">
        <f t="shared" si="48"/>
        <v>0</v>
      </c>
      <c r="AE391" s="95">
        <f t="shared" si="48"/>
        <v>0</v>
      </c>
      <c r="AF391" s="95">
        <f t="shared" si="44"/>
        <v>0</v>
      </c>
      <c r="AG391" s="262"/>
    </row>
    <row r="392" spans="2:33" s="44" customFormat="1" ht="12" outlineLevel="1" x14ac:dyDescent="0.25">
      <c r="B392" s="579" t="str">
        <f t="shared" si="40"/>
        <v>Paquete Infinitum Play 20 (Netflix 4 dispositivos)Residencial</v>
      </c>
      <c r="C392" s="95">
        <f t="shared" si="42"/>
        <v>33</v>
      </c>
      <c r="D392" s="101" t="str">
        <v>Paquete Infinitum Play 20 (Netflix 4 dispositivos)</v>
      </c>
      <c r="F392" s="113" t="str">
        <f>IFERROR(VLOOKUP($D392,'Info planes y paquetes'!$C$472:$BS$579,2,FALSE),"")</f>
        <v>Residencial</v>
      </c>
      <c r="G392" s="113" t="str">
        <f>IFERROR(VLOOKUP($D392,'Info planes y paquetes'!$C$472:$BS$579,3,FALSE),"")</f>
        <v>Telefonía fija + Internet fijo</v>
      </c>
      <c r="H392" s="113" t="str">
        <f>IFERROR(VLOOKUP($D392,'Info planes y paquetes'!$C$472:$BS$579,13,FALSE),"")</f>
        <v>20 Mbps</v>
      </c>
      <c r="I392" s="312">
        <f>INDEX(vector.implicit.prices.broadband.after.discount,MATCH('Cálculos auxiliares'!D392,vector.plans.names,0))</f>
        <v>102.53270484922838</v>
      </c>
      <c r="J392" s="172">
        <f t="shared" si="37"/>
        <v>102.53270484922838</v>
      </c>
      <c r="K392" s="299">
        <f t="shared" ref="K392:K423" si="49">VLOOKUP(B392,AEP.broadband.distribution.by.plan,6+MATCH(Year.selected,Years,0),FALSE)</f>
        <v>6.0120646703028472E-3</v>
      </c>
      <c r="M392" s="463">
        <f t="shared" si="41"/>
        <v>20</v>
      </c>
      <c r="Q392" s="95">
        <f t="shared" si="45"/>
        <v>0</v>
      </c>
      <c r="R392" s="95">
        <f t="shared" si="45"/>
        <v>0</v>
      </c>
      <c r="S392" s="95">
        <f t="shared" si="45"/>
        <v>0</v>
      </c>
      <c r="T392" s="95">
        <f t="shared" si="45"/>
        <v>1</v>
      </c>
      <c r="U392" s="95">
        <f t="shared" si="46"/>
        <v>0</v>
      </c>
      <c r="V392" s="95">
        <f t="shared" si="46"/>
        <v>0</v>
      </c>
      <c r="W392" s="95">
        <f t="shared" si="46"/>
        <v>0</v>
      </c>
      <c r="X392" s="95">
        <f t="shared" si="46"/>
        <v>0</v>
      </c>
      <c r="Y392" s="95">
        <f t="shared" si="47"/>
        <v>0</v>
      </c>
      <c r="Z392" s="95">
        <f t="shared" si="47"/>
        <v>0</v>
      </c>
      <c r="AA392" s="95">
        <f t="shared" si="47"/>
        <v>0</v>
      </c>
      <c r="AB392" s="95">
        <f t="shared" si="47"/>
        <v>0</v>
      </c>
      <c r="AC392" s="95">
        <f t="shared" si="48"/>
        <v>0</v>
      </c>
      <c r="AD392" s="95">
        <f t="shared" si="48"/>
        <v>0</v>
      </c>
      <c r="AE392" s="95">
        <f t="shared" si="48"/>
        <v>0</v>
      </c>
      <c r="AF392" s="95">
        <f t="shared" si="44"/>
        <v>0</v>
      </c>
      <c r="AG392" s="262"/>
    </row>
    <row r="393" spans="2:33" s="44" customFormat="1" ht="12" outlineLevel="1" x14ac:dyDescent="0.25">
      <c r="B393" s="579" t="str">
        <f t="shared" si="40"/>
        <v>Paquete Infinitum Play 30 (Netflix 2 dispositivos)Residencial</v>
      </c>
      <c r="C393" s="95">
        <f t="shared" si="42"/>
        <v>34</v>
      </c>
      <c r="D393" s="101" t="str">
        <v>Paquete Infinitum Play 30 (Netflix 2 dispositivos)</v>
      </c>
      <c r="F393" s="113" t="str">
        <f>IFERROR(VLOOKUP($D393,'Info planes y paquetes'!$C$472:$BS$579,2,FALSE),"")</f>
        <v>Residencial</v>
      </c>
      <c r="G393" s="113" t="str">
        <f>IFERROR(VLOOKUP($D393,'Info planes y paquetes'!$C$472:$BS$579,3,FALSE),"")</f>
        <v>Telefonía fija + Internet fijo</v>
      </c>
      <c r="H393" s="113" t="str">
        <f>IFERROR(VLOOKUP($D393,'Info planes y paquetes'!$C$472:$BS$579,13,FALSE),"")</f>
        <v>30 Mbps</v>
      </c>
      <c r="I393" s="312">
        <f>INDEX(vector.implicit.prices.broadband.after.discount,MATCH('Cálculos auxiliares'!D393,vector.plans.names,0))</f>
        <v>156.93711986097773</v>
      </c>
      <c r="J393" s="172">
        <f t="shared" si="37"/>
        <v>156.93711986097773</v>
      </c>
      <c r="K393" s="299">
        <f t="shared" si="49"/>
        <v>3.3530754187254615E-3</v>
      </c>
      <c r="M393" s="463">
        <f t="shared" si="41"/>
        <v>30</v>
      </c>
      <c r="Q393" s="95">
        <f t="shared" si="45"/>
        <v>0</v>
      </c>
      <c r="R393" s="95">
        <f t="shared" si="45"/>
        <v>0</v>
      </c>
      <c r="S393" s="95">
        <f t="shared" si="45"/>
        <v>0</v>
      </c>
      <c r="T393" s="95">
        <f t="shared" si="45"/>
        <v>0</v>
      </c>
      <c r="U393" s="95">
        <f t="shared" si="46"/>
        <v>1</v>
      </c>
      <c r="V393" s="95">
        <f t="shared" si="46"/>
        <v>0</v>
      </c>
      <c r="W393" s="95">
        <f t="shared" si="46"/>
        <v>0</v>
      </c>
      <c r="X393" s="95">
        <f t="shared" si="46"/>
        <v>0</v>
      </c>
      <c r="Y393" s="95">
        <f t="shared" si="47"/>
        <v>0</v>
      </c>
      <c r="Z393" s="95">
        <f t="shared" si="47"/>
        <v>0</v>
      </c>
      <c r="AA393" s="95">
        <f t="shared" si="47"/>
        <v>0</v>
      </c>
      <c r="AB393" s="95">
        <f t="shared" si="47"/>
        <v>0</v>
      </c>
      <c r="AC393" s="95">
        <f t="shared" si="48"/>
        <v>0</v>
      </c>
      <c r="AD393" s="95">
        <f t="shared" si="48"/>
        <v>0</v>
      </c>
      <c r="AE393" s="95">
        <f t="shared" si="48"/>
        <v>0</v>
      </c>
      <c r="AF393" s="95">
        <f t="shared" si="44"/>
        <v>0</v>
      </c>
      <c r="AG393" s="262"/>
    </row>
    <row r="394" spans="2:33" s="44" customFormat="1" ht="12" outlineLevel="1" x14ac:dyDescent="0.25">
      <c r="B394" s="579" t="str">
        <f t="shared" si="40"/>
        <v>Paquete Infinitum Play 30 (Netflix 4 dispositivos)Residencial</v>
      </c>
      <c r="C394" s="95">
        <f t="shared" si="42"/>
        <v>35</v>
      </c>
      <c r="D394" s="101" t="str">
        <v>Paquete Infinitum Play 30 (Netflix 4 dispositivos)</v>
      </c>
      <c r="F394" s="113" t="str">
        <f>IFERROR(VLOOKUP($D394,'Info planes y paquetes'!$C$472:$BS$579,2,FALSE),"")</f>
        <v>Residencial</v>
      </c>
      <c r="G394" s="113" t="str">
        <f>IFERROR(VLOOKUP($D394,'Info planes y paquetes'!$C$472:$BS$579,3,FALSE),"")</f>
        <v>Telefonía fija + Internet fijo</v>
      </c>
      <c r="H394" s="113" t="str">
        <f>IFERROR(VLOOKUP($D394,'Info planes y paquetes'!$C$472:$BS$579,13,FALSE),"")</f>
        <v>30 Mbps</v>
      </c>
      <c r="I394" s="312">
        <f>INDEX(vector.implicit.prices.broadband.after.discount,MATCH('Cálculos auxiliares'!D394,vector.plans.names,0))</f>
        <v>114.3643580780852</v>
      </c>
      <c r="J394" s="172">
        <f t="shared" si="37"/>
        <v>114.3643580780852</v>
      </c>
      <c r="K394" s="299">
        <f t="shared" si="49"/>
        <v>1.6288398447956828E-3</v>
      </c>
      <c r="M394" s="463">
        <f t="shared" si="41"/>
        <v>30</v>
      </c>
      <c r="Q394" s="95">
        <f t="shared" si="45"/>
        <v>0</v>
      </c>
      <c r="R394" s="95">
        <f t="shared" si="45"/>
        <v>0</v>
      </c>
      <c r="S394" s="95">
        <f t="shared" si="45"/>
        <v>0</v>
      </c>
      <c r="T394" s="95">
        <f t="shared" si="45"/>
        <v>0</v>
      </c>
      <c r="U394" s="95">
        <f t="shared" si="46"/>
        <v>1</v>
      </c>
      <c r="V394" s="95">
        <f t="shared" si="46"/>
        <v>0</v>
      </c>
      <c r="W394" s="95">
        <f t="shared" si="46"/>
        <v>0</v>
      </c>
      <c r="X394" s="95">
        <f t="shared" si="46"/>
        <v>0</v>
      </c>
      <c r="Y394" s="95">
        <f t="shared" si="47"/>
        <v>0</v>
      </c>
      <c r="Z394" s="95">
        <f t="shared" si="47"/>
        <v>0</v>
      </c>
      <c r="AA394" s="95">
        <f t="shared" si="47"/>
        <v>0</v>
      </c>
      <c r="AB394" s="95">
        <f t="shared" si="47"/>
        <v>0</v>
      </c>
      <c r="AC394" s="95">
        <f t="shared" si="48"/>
        <v>0</v>
      </c>
      <c r="AD394" s="95">
        <f t="shared" si="48"/>
        <v>0</v>
      </c>
      <c r="AE394" s="95">
        <f t="shared" si="48"/>
        <v>0</v>
      </c>
      <c r="AF394" s="95">
        <f t="shared" si="44"/>
        <v>0</v>
      </c>
      <c r="AG394" s="262"/>
    </row>
    <row r="395" spans="2:33" s="44" customFormat="1" ht="12" outlineLevel="2" x14ac:dyDescent="0.25">
      <c r="B395" s="579" t="str">
        <f t="shared" si="40"/>
        <v>Paquete Infinitum Play 40 (Netflix 2 dispositivos)Residencial</v>
      </c>
      <c r="C395" s="95">
        <f t="shared" si="42"/>
        <v>36</v>
      </c>
      <c r="D395" s="101" t="str">
        <v>Paquete Infinitum Play 40 (Netflix 2 dispositivos)</v>
      </c>
      <c r="F395" s="113" t="str">
        <f>IFERROR(VLOOKUP($D395,'Info planes y paquetes'!$C$472:$BS$579,2,FALSE),"")</f>
        <v>Residencial</v>
      </c>
      <c r="G395" s="113" t="str">
        <f>IFERROR(VLOOKUP($D395,'Info planes y paquetes'!$C$472:$BS$579,3,FALSE),"")</f>
        <v>Telefonía fija + Internet fijo</v>
      </c>
      <c r="H395" s="113" t="str">
        <f>IFERROR(VLOOKUP($D395,'Info planes y paquetes'!$C$472:$BS$579,13,FALSE),"")</f>
        <v>40 Mbps</v>
      </c>
      <c r="I395" s="312">
        <f>INDEX(vector.implicit.prices.broadband.after.discount,MATCH('Cálculos auxiliares'!D395,vector.plans.names,0))</f>
        <v>188.72731537589428</v>
      </c>
      <c r="J395" s="172">
        <f t="shared" si="37"/>
        <v>188.72731537589428</v>
      </c>
      <c r="K395" s="299">
        <f t="shared" si="49"/>
        <v>8.2042105167701336E-4</v>
      </c>
      <c r="M395" s="463">
        <f t="shared" si="41"/>
        <v>40</v>
      </c>
      <c r="Q395" s="95">
        <f t="shared" si="45"/>
        <v>0</v>
      </c>
      <c r="R395" s="95">
        <f t="shared" si="45"/>
        <v>0</v>
      </c>
      <c r="S395" s="95">
        <f t="shared" si="45"/>
        <v>0</v>
      </c>
      <c r="T395" s="95">
        <f t="shared" si="45"/>
        <v>0</v>
      </c>
      <c r="U395" s="95">
        <f t="shared" si="46"/>
        <v>0</v>
      </c>
      <c r="V395" s="95">
        <f t="shared" si="46"/>
        <v>1</v>
      </c>
      <c r="W395" s="95">
        <f t="shared" si="46"/>
        <v>0</v>
      </c>
      <c r="X395" s="95">
        <f t="shared" si="46"/>
        <v>0</v>
      </c>
      <c r="Y395" s="95">
        <f t="shared" si="47"/>
        <v>0</v>
      </c>
      <c r="Z395" s="95">
        <f t="shared" si="47"/>
        <v>0</v>
      </c>
      <c r="AA395" s="95">
        <f t="shared" si="47"/>
        <v>0</v>
      </c>
      <c r="AB395" s="95">
        <f t="shared" si="47"/>
        <v>0</v>
      </c>
      <c r="AC395" s="95">
        <f t="shared" si="48"/>
        <v>0</v>
      </c>
      <c r="AD395" s="95">
        <f t="shared" si="48"/>
        <v>0</v>
      </c>
      <c r="AE395" s="95">
        <f t="shared" si="48"/>
        <v>0</v>
      </c>
      <c r="AF395" s="95">
        <f t="shared" si="44"/>
        <v>0</v>
      </c>
      <c r="AG395" s="262"/>
    </row>
    <row r="396" spans="2:33" s="44" customFormat="1" ht="12" outlineLevel="2" x14ac:dyDescent="0.25">
      <c r="B396" s="579" t="str">
        <f t="shared" si="40"/>
        <v>Paquete Infinitum Play 40 (Netflix 4 dispositivos)Residencial</v>
      </c>
      <c r="C396" s="95">
        <f t="shared" si="42"/>
        <v>37</v>
      </c>
      <c r="D396" s="101" t="str">
        <v>Paquete Infinitum Play 40 (Netflix 4 dispositivos)</v>
      </c>
      <c r="F396" s="113" t="str">
        <f>IFERROR(VLOOKUP($D396,'Info planes y paquetes'!$C$472:$BS$579,2,FALSE),"")</f>
        <v>Residencial</v>
      </c>
      <c r="G396" s="113" t="str">
        <f>IFERROR(VLOOKUP($D396,'Info planes y paquetes'!$C$472:$BS$579,3,FALSE),"")</f>
        <v>Telefonía fija + Internet fijo</v>
      </c>
      <c r="H396" s="113" t="str">
        <f>IFERROR(VLOOKUP($D396,'Info planes y paquetes'!$C$472:$BS$579,13,FALSE),"")</f>
        <v>40 Mbps</v>
      </c>
      <c r="I396" s="312">
        <f>INDEX(vector.implicit.prices.broadband.after.discount,MATCH('Cálculos auxiliares'!D396,vector.plans.names,0))</f>
        <v>231.52563221775117</v>
      </c>
      <c r="J396" s="172">
        <f t="shared" si="37"/>
        <v>231.52563221775117</v>
      </c>
      <c r="K396" s="299">
        <f t="shared" si="49"/>
        <v>4.4017171942489091E-4</v>
      </c>
      <c r="M396" s="463">
        <f t="shared" si="41"/>
        <v>40</v>
      </c>
      <c r="Q396" s="95">
        <f t="shared" si="45"/>
        <v>0</v>
      </c>
      <c r="R396" s="95">
        <f t="shared" si="45"/>
        <v>0</v>
      </c>
      <c r="S396" s="95">
        <f t="shared" si="45"/>
        <v>0</v>
      </c>
      <c r="T396" s="95">
        <f t="shared" si="45"/>
        <v>0</v>
      </c>
      <c r="U396" s="95">
        <f t="shared" si="46"/>
        <v>0</v>
      </c>
      <c r="V396" s="95">
        <f t="shared" si="46"/>
        <v>1</v>
      </c>
      <c r="W396" s="95">
        <f t="shared" si="46"/>
        <v>0</v>
      </c>
      <c r="X396" s="95">
        <f t="shared" si="46"/>
        <v>0</v>
      </c>
      <c r="Y396" s="95">
        <f t="shared" si="47"/>
        <v>0</v>
      </c>
      <c r="Z396" s="95">
        <f t="shared" si="47"/>
        <v>0</v>
      </c>
      <c r="AA396" s="95">
        <f t="shared" si="47"/>
        <v>0</v>
      </c>
      <c r="AB396" s="95">
        <f t="shared" si="47"/>
        <v>0</v>
      </c>
      <c r="AC396" s="95">
        <f t="shared" si="48"/>
        <v>0</v>
      </c>
      <c r="AD396" s="95">
        <f t="shared" si="48"/>
        <v>0</v>
      </c>
      <c r="AE396" s="95">
        <f t="shared" si="48"/>
        <v>0</v>
      </c>
      <c r="AF396" s="95">
        <f t="shared" si="44"/>
        <v>0</v>
      </c>
      <c r="AG396" s="262"/>
    </row>
    <row r="397" spans="2:33" s="44" customFormat="1" ht="12" outlineLevel="2" x14ac:dyDescent="0.25">
      <c r="B397" s="579" t="str">
        <f t="shared" si="40"/>
        <v>Paquete Infinitum Play 150 (Netflix 4 dispositivos)Residencial</v>
      </c>
      <c r="C397" s="95">
        <f t="shared" si="42"/>
        <v>38</v>
      </c>
      <c r="D397" s="101" t="str">
        <v>Paquete Infinitum Play 150 (Netflix 4 dispositivos)</v>
      </c>
      <c r="F397" s="113" t="str">
        <f>IFERROR(VLOOKUP($D397,'Info planes y paquetes'!$C$472:$BS$579,2,FALSE),"")</f>
        <v>Residencial</v>
      </c>
      <c r="G397" s="113" t="str">
        <f>IFERROR(VLOOKUP($D397,'Info planes y paquetes'!$C$472:$BS$579,3,FALSE),"")</f>
        <v>Telefonía fija + Internet fijo</v>
      </c>
      <c r="H397" s="113" t="str">
        <f>IFERROR(VLOOKUP($D397,'Info planes y paquetes'!$C$472:$BS$579,13,FALSE),"")</f>
        <v>150 Mbps</v>
      </c>
      <c r="I397" s="312">
        <f>INDEX(vector.implicit.prices.broadband.after.discount,MATCH('Cálculos auxiliares'!D397,vector.plans.names,0))</f>
        <v>192.70529508889146</v>
      </c>
      <c r="J397" s="172">
        <f t="shared" si="37"/>
        <v>192.70529508889146</v>
      </c>
      <c r="K397" s="299">
        <f t="shared" si="49"/>
        <v>3.5588030209773697E-3</v>
      </c>
      <c r="M397" s="463">
        <f t="shared" si="41"/>
        <v>150</v>
      </c>
      <c r="Q397" s="95">
        <f t="shared" si="45"/>
        <v>0</v>
      </c>
      <c r="R397" s="95">
        <f t="shared" si="45"/>
        <v>0</v>
      </c>
      <c r="S397" s="95">
        <f t="shared" si="45"/>
        <v>0</v>
      </c>
      <c r="T397" s="95">
        <f t="shared" si="45"/>
        <v>0</v>
      </c>
      <c r="U397" s="95">
        <f t="shared" si="46"/>
        <v>0</v>
      </c>
      <c r="V397" s="95">
        <f t="shared" si="46"/>
        <v>0</v>
      </c>
      <c r="W397" s="95">
        <f t="shared" si="46"/>
        <v>0</v>
      </c>
      <c r="X397" s="95">
        <f t="shared" si="46"/>
        <v>0</v>
      </c>
      <c r="Y397" s="95">
        <f t="shared" si="47"/>
        <v>0</v>
      </c>
      <c r="Z397" s="95">
        <f t="shared" si="47"/>
        <v>0</v>
      </c>
      <c r="AA397" s="95">
        <f t="shared" si="47"/>
        <v>0</v>
      </c>
      <c r="AB397" s="95">
        <f t="shared" si="47"/>
        <v>1</v>
      </c>
      <c r="AC397" s="95">
        <f t="shared" si="48"/>
        <v>0</v>
      </c>
      <c r="AD397" s="95">
        <f t="shared" si="48"/>
        <v>0</v>
      </c>
      <c r="AE397" s="95">
        <f t="shared" si="48"/>
        <v>0</v>
      </c>
      <c r="AF397" s="95">
        <f t="shared" si="44"/>
        <v>0</v>
      </c>
      <c r="AG397" s="262"/>
    </row>
    <row r="398" spans="2:33" s="44" customFormat="1" ht="12" outlineLevel="2" x14ac:dyDescent="0.25">
      <c r="B398" s="579" t="str">
        <f t="shared" si="40"/>
        <v>Paquete Infinitum Play 150 (Netflix 2 dispositivos)Residencial</v>
      </c>
      <c r="C398" s="95">
        <f t="shared" si="42"/>
        <v>39</v>
      </c>
      <c r="D398" s="101" t="str">
        <v>Paquete Infinitum Play 150 (Netflix 2 dispositivos)</v>
      </c>
      <c r="F398" s="113" t="str">
        <f>IFERROR(VLOOKUP($D398,'Info planes y paquetes'!$C$472:$BS$579,2,FALSE),"")</f>
        <v>Residencial</v>
      </c>
      <c r="G398" s="113" t="str">
        <f>IFERROR(VLOOKUP($D398,'Info planes y paquetes'!$C$472:$BS$579,3,FALSE),"")</f>
        <v>Telefonía fija + Internet fijo</v>
      </c>
      <c r="H398" s="113" t="str">
        <f>IFERROR(VLOOKUP($D398,'Info planes y paquetes'!$C$472:$BS$579,13,FALSE),"")</f>
        <v>150 Mbps</v>
      </c>
      <c r="I398" s="312">
        <f>INDEX(vector.implicit.prices.broadband.after.discount,MATCH('Cálculos auxiliares'!D398,vector.plans.names,0))</f>
        <v>311.28476422315356</v>
      </c>
      <c r="J398" s="172">
        <f t="shared" si="37"/>
        <v>311.28476422315356</v>
      </c>
      <c r="K398" s="299">
        <f t="shared" si="49"/>
        <v>5.8624365136088273E-4</v>
      </c>
      <c r="M398" s="463">
        <f t="shared" si="41"/>
        <v>150</v>
      </c>
      <c r="Q398" s="95">
        <f t="shared" si="45"/>
        <v>0</v>
      </c>
      <c r="R398" s="95">
        <f t="shared" si="45"/>
        <v>0</v>
      </c>
      <c r="S398" s="95">
        <f t="shared" si="45"/>
        <v>0</v>
      </c>
      <c r="T398" s="95">
        <f t="shared" si="45"/>
        <v>0</v>
      </c>
      <c r="U398" s="95">
        <f t="shared" si="46"/>
        <v>0</v>
      </c>
      <c r="V398" s="95">
        <f t="shared" si="46"/>
        <v>0</v>
      </c>
      <c r="W398" s="95">
        <f t="shared" si="46"/>
        <v>0</v>
      </c>
      <c r="X398" s="95">
        <f t="shared" si="46"/>
        <v>0</v>
      </c>
      <c r="Y398" s="95">
        <f t="shared" si="47"/>
        <v>0</v>
      </c>
      <c r="Z398" s="95">
        <f t="shared" si="47"/>
        <v>0</v>
      </c>
      <c r="AA398" s="95">
        <f t="shared" si="47"/>
        <v>0</v>
      </c>
      <c r="AB398" s="95">
        <f t="shared" si="47"/>
        <v>1</v>
      </c>
      <c r="AC398" s="95">
        <f t="shared" si="48"/>
        <v>0</v>
      </c>
      <c r="AD398" s="95">
        <f t="shared" si="48"/>
        <v>0</v>
      </c>
      <c r="AE398" s="95">
        <f t="shared" si="48"/>
        <v>0</v>
      </c>
      <c r="AF398" s="95">
        <f t="shared" si="44"/>
        <v>0</v>
      </c>
      <c r="AG398" s="262"/>
    </row>
    <row r="399" spans="2:33" s="44" customFormat="1" ht="12" outlineLevel="2" x14ac:dyDescent="0.25">
      <c r="B399" s="579" t="str">
        <f t="shared" si="40"/>
        <v>Paquete Infinitum Netflix 500 (Netflix 4 dispositivos)Residencial</v>
      </c>
      <c r="C399" s="95">
        <f t="shared" si="42"/>
        <v>40</v>
      </c>
      <c r="D399" s="101" t="str">
        <v>Paquete Infinitum Netflix 500 (Netflix 4 dispositivos)</v>
      </c>
      <c r="F399" s="113" t="str">
        <f>IFERROR(VLOOKUP($D399,'Info planes y paquetes'!$C$472:$BS$579,2,FALSE),"")</f>
        <v>Residencial</v>
      </c>
      <c r="G399" s="113" t="str">
        <f>IFERROR(VLOOKUP($D399,'Info planes y paquetes'!$C$472:$BS$579,3,FALSE),"")</f>
        <v>Telefonía fija + Internet fijo</v>
      </c>
      <c r="H399" s="113" t="str">
        <f>IFERROR(VLOOKUP($D399,'Info planes y paquetes'!$C$472:$BS$579,13,FALSE),"")</f>
        <v>500 Mbps</v>
      </c>
      <c r="I399" s="312">
        <f>INDEX(vector.implicit.prices.broadband.after.discount,MATCH('Cálculos auxiliares'!D399,vector.plans.names,0))</f>
        <v>539.96741503666567</v>
      </c>
      <c r="J399" s="172">
        <f t="shared" si="37"/>
        <v>539.96741503666567</v>
      </c>
      <c r="K399" s="299">
        <f t="shared" si="49"/>
        <v>2.7631866369876002E-4</v>
      </c>
      <c r="M399" s="463">
        <f t="shared" si="41"/>
        <v>500</v>
      </c>
      <c r="Q399" s="95">
        <f t="shared" si="45"/>
        <v>0</v>
      </c>
      <c r="R399" s="95">
        <f t="shared" si="45"/>
        <v>0</v>
      </c>
      <c r="S399" s="95">
        <f t="shared" si="45"/>
        <v>0</v>
      </c>
      <c r="T399" s="95">
        <f t="shared" si="45"/>
        <v>0</v>
      </c>
      <c r="U399" s="95">
        <f t="shared" si="46"/>
        <v>0</v>
      </c>
      <c r="V399" s="95">
        <f t="shared" si="46"/>
        <v>0</v>
      </c>
      <c r="W399" s="95">
        <f t="shared" si="46"/>
        <v>0</v>
      </c>
      <c r="X399" s="95">
        <f t="shared" si="46"/>
        <v>0</v>
      </c>
      <c r="Y399" s="95">
        <f t="shared" si="47"/>
        <v>0</v>
      </c>
      <c r="Z399" s="95">
        <f t="shared" si="47"/>
        <v>0</v>
      </c>
      <c r="AA399" s="95">
        <f t="shared" si="47"/>
        <v>0</v>
      </c>
      <c r="AB399" s="95">
        <f t="shared" si="47"/>
        <v>0</v>
      </c>
      <c r="AC399" s="95">
        <f t="shared" si="48"/>
        <v>0</v>
      </c>
      <c r="AD399" s="95">
        <f t="shared" si="48"/>
        <v>0</v>
      </c>
      <c r="AE399" s="95">
        <f t="shared" si="48"/>
        <v>1</v>
      </c>
      <c r="AF399" s="95">
        <f t="shared" si="44"/>
        <v>0</v>
      </c>
      <c r="AG399" s="262"/>
    </row>
    <row r="400" spans="2:33" s="44" customFormat="1" ht="12" outlineLevel="2" x14ac:dyDescent="0.25">
      <c r="B400" s="579" t="str">
        <f t="shared" si="40"/>
        <v>Paquete Infinitum Netflix 500 (Netflix 2 dispositivos)Residencial</v>
      </c>
      <c r="C400" s="95">
        <f t="shared" si="42"/>
        <v>41</v>
      </c>
      <c r="D400" s="101" t="str">
        <v>Paquete Infinitum Netflix 500 (Netflix 2 dispositivos)</v>
      </c>
      <c r="F400" s="113" t="str">
        <f>IFERROR(VLOOKUP($D400,'Info planes y paquetes'!$C$472:$BS$579,2,FALSE),"")</f>
        <v>Residencial</v>
      </c>
      <c r="G400" s="113" t="str">
        <f>IFERROR(VLOOKUP($D400,'Info planes y paquetes'!$C$472:$BS$579,3,FALSE),"")</f>
        <v>Telefonía fija + Internet fijo</v>
      </c>
      <c r="H400" s="113" t="str">
        <f>IFERROR(VLOOKUP($D400,'Info planes y paquetes'!$C$472:$BS$579,13,FALSE),"")</f>
        <v>500 Mbps</v>
      </c>
      <c r="I400" s="312">
        <f>INDEX(vector.implicit.prices.broadband.after.discount,MATCH('Cálculos auxiliares'!D400,vector.plans.names,0))</f>
        <v>702.86191821282489</v>
      </c>
      <c r="J400" s="172">
        <f t="shared" si="37"/>
        <v>702.86191821282489</v>
      </c>
      <c r="K400" s="299">
        <f t="shared" si="49"/>
        <v>5.601053993893784E-5</v>
      </c>
      <c r="M400" s="463">
        <f t="shared" si="41"/>
        <v>500</v>
      </c>
      <c r="Q400" s="95">
        <f t="shared" si="45"/>
        <v>0</v>
      </c>
      <c r="R400" s="95">
        <f t="shared" si="45"/>
        <v>0</v>
      </c>
      <c r="S400" s="95">
        <f t="shared" si="45"/>
        <v>0</v>
      </c>
      <c r="T400" s="95">
        <f t="shared" si="45"/>
        <v>0</v>
      </c>
      <c r="U400" s="95">
        <f t="shared" si="46"/>
        <v>0</v>
      </c>
      <c r="V400" s="95">
        <f t="shared" si="46"/>
        <v>0</v>
      </c>
      <c r="W400" s="95">
        <f t="shared" si="46"/>
        <v>0</v>
      </c>
      <c r="X400" s="95">
        <f t="shared" si="46"/>
        <v>0</v>
      </c>
      <c r="Y400" s="95">
        <f t="shared" si="47"/>
        <v>0</v>
      </c>
      <c r="Z400" s="95">
        <f t="shared" si="47"/>
        <v>0</v>
      </c>
      <c r="AA400" s="95">
        <f t="shared" si="47"/>
        <v>0</v>
      </c>
      <c r="AB400" s="95">
        <f t="shared" si="47"/>
        <v>0</v>
      </c>
      <c r="AC400" s="95">
        <f t="shared" si="48"/>
        <v>0</v>
      </c>
      <c r="AD400" s="95">
        <f t="shared" si="48"/>
        <v>0</v>
      </c>
      <c r="AE400" s="95">
        <f t="shared" si="48"/>
        <v>1</v>
      </c>
      <c r="AF400" s="95">
        <f t="shared" si="44"/>
        <v>0</v>
      </c>
      <c r="AG400" s="262"/>
    </row>
    <row r="401" spans="2:33" s="44" customFormat="1" ht="12" outlineLevel="2" x14ac:dyDescent="0.25">
      <c r="B401" s="579" t="str">
        <f t="shared" si="40"/>
        <v>Infinitum Netflix 50 (Netflix 1 dispositivo)Residencial</v>
      </c>
      <c r="C401" s="95">
        <f t="shared" si="42"/>
        <v>42</v>
      </c>
      <c r="D401" s="101" t="str">
        <v>Infinitum Netflix 50 (Netflix 1 dispositivo)</v>
      </c>
      <c r="F401" s="113" t="str">
        <f>IFERROR(VLOOKUP($D401,'Info planes y paquetes'!$C$472:$BS$579,2,FALSE),"")</f>
        <v>Residencial</v>
      </c>
      <c r="G401" s="113" t="str">
        <f>IFERROR(VLOOKUP($D401,'Info planes y paquetes'!$C$472:$BS$579,3,FALSE),"")</f>
        <v>Internet fijo</v>
      </c>
      <c r="H401" s="113" t="str">
        <f>IFERROR(VLOOKUP($D401,'Info planes y paquetes'!$C$472:$BS$579,13,FALSE),"")</f>
        <v>50 Mbps</v>
      </c>
      <c r="I401" s="312">
        <f>INDEX(vector.implicit.prices.broadband.after.discount,MATCH('Cálculos auxiliares'!D401,vector.plans.names,0))</f>
        <v>216.58805980504388</v>
      </c>
      <c r="J401" s="172">
        <f t="shared" si="37"/>
        <v>128.45356832814019</v>
      </c>
      <c r="K401" s="299">
        <f t="shared" si="49"/>
        <v>2.4800222406296366E-3</v>
      </c>
      <c r="M401" s="463">
        <f t="shared" si="41"/>
        <v>50</v>
      </c>
      <c r="Q401" s="95">
        <f t="shared" si="45"/>
        <v>0</v>
      </c>
      <c r="R401" s="95">
        <f t="shared" si="45"/>
        <v>0</v>
      </c>
      <c r="S401" s="95">
        <f t="shared" si="45"/>
        <v>0</v>
      </c>
      <c r="T401" s="95">
        <f t="shared" si="45"/>
        <v>0</v>
      </c>
      <c r="U401" s="95">
        <f t="shared" si="46"/>
        <v>0</v>
      </c>
      <c r="V401" s="95">
        <f t="shared" si="46"/>
        <v>0</v>
      </c>
      <c r="W401" s="95">
        <f t="shared" si="46"/>
        <v>1</v>
      </c>
      <c r="X401" s="95">
        <f t="shared" si="46"/>
        <v>0</v>
      </c>
      <c r="Y401" s="95">
        <f t="shared" si="47"/>
        <v>0</v>
      </c>
      <c r="Z401" s="95">
        <f t="shared" si="47"/>
        <v>0</v>
      </c>
      <c r="AA401" s="95">
        <f t="shared" si="47"/>
        <v>0</v>
      </c>
      <c r="AB401" s="95">
        <f t="shared" si="47"/>
        <v>0</v>
      </c>
      <c r="AC401" s="95">
        <f t="shared" si="48"/>
        <v>0</v>
      </c>
      <c r="AD401" s="95">
        <f t="shared" si="48"/>
        <v>0</v>
      </c>
      <c r="AE401" s="95">
        <f t="shared" si="48"/>
        <v>0</v>
      </c>
      <c r="AF401" s="95">
        <f t="shared" si="44"/>
        <v>0</v>
      </c>
      <c r="AG401" s="262"/>
    </row>
    <row r="402" spans="2:33" s="44" customFormat="1" ht="12" outlineLevel="2" x14ac:dyDescent="0.25">
      <c r="B402" s="579" t="str">
        <f t="shared" si="40"/>
        <v>Infinitum Netflix 50 (Netflix 2 dispositivos)Residencial</v>
      </c>
      <c r="C402" s="95">
        <f t="shared" si="42"/>
        <v>43</v>
      </c>
      <c r="D402" s="101" t="str">
        <v>Infinitum Netflix 50 (Netflix 2 dispositivos)</v>
      </c>
      <c r="F402" s="113" t="str">
        <f>IFERROR(VLOOKUP($D402,'Info planes y paquetes'!$C$472:$BS$579,2,FALSE),"")</f>
        <v>Residencial</v>
      </c>
      <c r="G402" s="113" t="str">
        <f>IFERROR(VLOOKUP($D402,'Info planes y paquetes'!$C$472:$BS$579,3,FALSE),"")</f>
        <v>Internet fijo</v>
      </c>
      <c r="H402" s="113" t="str">
        <f>IFERROR(VLOOKUP($D402,'Info planes y paquetes'!$C$472:$BS$579,13,FALSE),"")</f>
        <v>50 Mbps</v>
      </c>
      <c r="I402" s="312">
        <f>INDEX(vector.implicit.prices.broadband.after.discount,MATCH('Cálculos auxiliares'!D402,vector.plans.names,0))</f>
        <v>312.28246127668092</v>
      </c>
      <c r="J402" s="172">
        <f t="shared" si="37"/>
        <v>224.14796979977723</v>
      </c>
      <c r="K402" s="299">
        <f t="shared" si="49"/>
        <v>2.6741032067990039E-3</v>
      </c>
      <c r="M402" s="463">
        <f t="shared" si="41"/>
        <v>50</v>
      </c>
      <c r="Q402" s="95">
        <f t="shared" si="45"/>
        <v>0</v>
      </c>
      <c r="R402" s="95">
        <f t="shared" si="45"/>
        <v>0</v>
      </c>
      <c r="S402" s="95">
        <f t="shared" si="45"/>
        <v>0</v>
      </c>
      <c r="T402" s="95">
        <f t="shared" si="45"/>
        <v>0</v>
      </c>
      <c r="U402" s="95">
        <f t="shared" si="46"/>
        <v>0</v>
      </c>
      <c r="V402" s="95">
        <f t="shared" si="46"/>
        <v>0</v>
      </c>
      <c r="W402" s="95">
        <f t="shared" si="46"/>
        <v>1</v>
      </c>
      <c r="X402" s="95">
        <f t="shared" si="46"/>
        <v>0</v>
      </c>
      <c r="Y402" s="95">
        <f t="shared" si="47"/>
        <v>0</v>
      </c>
      <c r="Z402" s="95">
        <f t="shared" si="47"/>
        <v>0</v>
      </c>
      <c r="AA402" s="95">
        <f t="shared" si="47"/>
        <v>0</v>
      </c>
      <c r="AB402" s="95">
        <f t="shared" si="47"/>
        <v>0</v>
      </c>
      <c r="AC402" s="95">
        <f t="shared" si="48"/>
        <v>0</v>
      </c>
      <c r="AD402" s="95">
        <f t="shared" si="48"/>
        <v>0</v>
      </c>
      <c r="AE402" s="95">
        <f t="shared" si="48"/>
        <v>0</v>
      </c>
      <c r="AF402" s="95">
        <f t="shared" si="44"/>
        <v>0</v>
      </c>
      <c r="AG402" s="262"/>
    </row>
    <row r="403" spans="2:33" s="44" customFormat="1" ht="12" outlineLevel="2" x14ac:dyDescent="0.25">
      <c r="B403" s="579" t="str">
        <f t="shared" si="40"/>
        <v>Infinitum Netflix 50 (Netflix 4 dispositivos)Residencial</v>
      </c>
      <c r="C403" s="95">
        <f t="shared" si="42"/>
        <v>44</v>
      </c>
      <c r="D403" s="101" t="str">
        <v>Infinitum Netflix 50 (Netflix 4 dispositivos)</v>
      </c>
      <c r="F403" s="113" t="str">
        <f>IFERROR(VLOOKUP($D403,'Info planes y paquetes'!$C$472:$BS$579,2,FALSE),"")</f>
        <v>Residencial</v>
      </c>
      <c r="G403" s="113" t="str">
        <f>IFERROR(VLOOKUP($D403,'Info planes y paquetes'!$C$472:$BS$579,3,FALSE),"")</f>
        <v>Internet fijo</v>
      </c>
      <c r="H403" s="113" t="str">
        <f>IFERROR(VLOOKUP($D403,'Info planes y paquetes'!$C$472:$BS$579,13,FALSE),"")</f>
        <v>50 Mbps</v>
      </c>
      <c r="I403" s="312">
        <f>INDEX(vector.implicit.prices.broadband.after.discount,MATCH('Cálculos auxiliares'!D403,vector.plans.names,0))</f>
        <v>221.56642976162138</v>
      </c>
      <c r="J403" s="172">
        <f t="shared" si="37"/>
        <v>133.43193828471766</v>
      </c>
      <c r="K403" s="299">
        <f t="shared" si="49"/>
        <v>1.651866400103913E-3</v>
      </c>
      <c r="M403" s="463">
        <f t="shared" si="41"/>
        <v>50</v>
      </c>
      <c r="Q403" s="95">
        <f t="shared" si="45"/>
        <v>0</v>
      </c>
      <c r="R403" s="95">
        <f t="shared" si="45"/>
        <v>0</v>
      </c>
      <c r="S403" s="95">
        <f t="shared" si="45"/>
        <v>0</v>
      </c>
      <c r="T403" s="95">
        <f t="shared" si="45"/>
        <v>0</v>
      </c>
      <c r="U403" s="95">
        <f t="shared" si="46"/>
        <v>0</v>
      </c>
      <c r="V403" s="95">
        <f t="shared" si="46"/>
        <v>0</v>
      </c>
      <c r="W403" s="95">
        <f t="shared" si="46"/>
        <v>1</v>
      </c>
      <c r="X403" s="95">
        <f t="shared" si="46"/>
        <v>0</v>
      </c>
      <c r="Y403" s="95">
        <f t="shared" si="47"/>
        <v>0</v>
      </c>
      <c r="Z403" s="95">
        <f t="shared" si="47"/>
        <v>0</v>
      </c>
      <c r="AA403" s="95">
        <f t="shared" si="47"/>
        <v>0</v>
      </c>
      <c r="AB403" s="95">
        <f t="shared" si="47"/>
        <v>0</v>
      </c>
      <c r="AC403" s="95">
        <f t="shared" si="48"/>
        <v>0</v>
      </c>
      <c r="AD403" s="95">
        <f t="shared" si="48"/>
        <v>0</v>
      </c>
      <c r="AE403" s="95">
        <f t="shared" si="48"/>
        <v>0</v>
      </c>
      <c r="AF403" s="95">
        <f t="shared" si="44"/>
        <v>0</v>
      </c>
      <c r="AG403" s="262"/>
    </row>
    <row r="404" spans="2:33" s="44" customFormat="1" ht="12" outlineLevel="2" x14ac:dyDescent="0.25">
      <c r="B404" s="579" t="str">
        <f t="shared" si="40"/>
        <v>Infinitum Netflix 60 (Netflix 2 dispositivos)Residencial</v>
      </c>
      <c r="C404" s="95">
        <f t="shared" si="42"/>
        <v>45</v>
      </c>
      <c r="D404" s="101" t="str">
        <v>Infinitum Netflix 60 (Netflix 2 dispositivos)</v>
      </c>
      <c r="F404" s="113" t="str">
        <f>IFERROR(VLOOKUP($D404,'Info planes y paquetes'!$C$472:$BS$579,2,FALSE),"")</f>
        <v>Residencial</v>
      </c>
      <c r="G404" s="113" t="str">
        <f>IFERROR(VLOOKUP($D404,'Info planes y paquetes'!$C$472:$BS$579,3,FALSE),"")</f>
        <v>Internet fijo</v>
      </c>
      <c r="H404" s="113" t="str">
        <f>IFERROR(VLOOKUP($D404,'Info planes y paquetes'!$C$472:$BS$579,13,FALSE),"")</f>
        <v>60 Mbps</v>
      </c>
      <c r="I404" s="312">
        <f>INDEX(vector.implicit.prices.broadband.after.discount,MATCH('Cálculos auxiliares'!D404,vector.plans.names,0))</f>
        <v>359.18749311901354</v>
      </c>
      <c r="J404" s="172">
        <f t="shared" si="37"/>
        <v>271.05300164210985</v>
      </c>
      <c r="K404" s="299">
        <f t="shared" si="49"/>
        <v>1.1377252057120438E-3</v>
      </c>
      <c r="M404" s="463">
        <f t="shared" si="41"/>
        <v>60</v>
      </c>
      <c r="Q404" s="95">
        <f t="shared" si="45"/>
        <v>0</v>
      </c>
      <c r="R404" s="95">
        <f t="shared" si="45"/>
        <v>0</v>
      </c>
      <c r="S404" s="95">
        <f t="shared" si="45"/>
        <v>0</v>
      </c>
      <c r="T404" s="95">
        <f t="shared" si="45"/>
        <v>0</v>
      </c>
      <c r="U404" s="95">
        <f t="shared" si="46"/>
        <v>0</v>
      </c>
      <c r="V404" s="95">
        <f t="shared" si="46"/>
        <v>0</v>
      </c>
      <c r="W404" s="95">
        <f t="shared" si="46"/>
        <v>0</v>
      </c>
      <c r="X404" s="95">
        <f t="shared" si="46"/>
        <v>1</v>
      </c>
      <c r="Y404" s="95">
        <f t="shared" si="47"/>
        <v>0</v>
      </c>
      <c r="Z404" s="95">
        <f t="shared" si="47"/>
        <v>0</v>
      </c>
      <c r="AA404" s="95">
        <f t="shared" si="47"/>
        <v>0</v>
      </c>
      <c r="AB404" s="95">
        <f t="shared" si="47"/>
        <v>0</v>
      </c>
      <c r="AC404" s="95">
        <f t="shared" si="48"/>
        <v>0</v>
      </c>
      <c r="AD404" s="95">
        <f t="shared" si="48"/>
        <v>0</v>
      </c>
      <c r="AE404" s="95">
        <f t="shared" si="48"/>
        <v>0</v>
      </c>
      <c r="AF404" s="95">
        <f t="shared" si="44"/>
        <v>0</v>
      </c>
      <c r="AG404" s="262"/>
    </row>
    <row r="405" spans="2:33" s="44" customFormat="1" ht="12" outlineLevel="2" x14ac:dyDescent="0.25">
      <c r="B405" s="579" t="str">
        <f t="shared" si="40"/>
        <v>Infinitum Netflix 60 (Netflix 4 dispositivos)Residencial</v>
      </c>
      <c r="C405" s="95">
        <f t="shared" si="42"/>
        <v>46</v>
      </c>
      <c r="D405" s="101" t="str">
        <v>Infinitum Netflix 60 (Netflix 4 dispositivos)</v>
      </c>
      <c r="F405" s="113" t="str">
        <f>IFERROR(VLOOKUP($D405,'Info planes y paquetes'!$C$472:$BS$579,2,FALSE),"")</f>
        <v>Residencial</v>
      </c>
      <c r="G405" s="113" t="str">
        <f>IFERROR(VLOOKUP($D405,'Info planes y paquetes'!$C$472:$BS$579,3,FALSE),"")</f>
        <v>Internet fijo</v>
      </c>
      <c r="H405" s="113" t="str">
        <f>IFERROR(VLOOKUP($D405,'Info planes y paquetes'!$C$472:$BS$579,13,FALSE),"")</f>
        <v>60 Mbps</v>
      </c>
      <c r="I405" s="312">
        <f>INDEX(vector.implicit.prices.broadband.after.discount,MATCH('Cálculos auxiliares'!D405,vector.plans.names,0))</f>
        <v>336.23094018293682</v>
      </c>
      <c r="J405" s="172">
        <f t="shared" si="37"/>
        <v>248.09644870603313</v>
      </c>
      <c r="K405" s="299">
        <f t="shared" si="49"/>
        <v>4.8471343451918908E-4</v>
      </c>
      <c r="M405" s="463">
        <f t="shared" si="41"/>
        <v>60</v>
      </c>
      <c r="Q405" s="95">
        <f t="shared" si="45"/>
        <v>0</v>
      </c>
      <c r="R405" s="95">
        <f t="shared" si="45"/>
        <v>0</v>
      </c>
      <c r="S405" s="95">
        <f t="shared" si="45"/>
        <v>0</v>
      </c>
      <c r="T405" s="95">
        <f t="shared" si="45"/>
        <v>0</v>
      </c>
      <c r="U405" s="95">
        <f t="shared" si="46"/>
        <v>0</v>
      </c>
      <c r="V405" s="95">
        <f t="shared" si="46"/>
        <v>0</v>
      </c>
      <c r="W405" s="95">
        <f t="shared" si="46"/>
        <v>0</v>
      </c>
      <c r="X405" s="95">
        <f t="shared" si="46"/>
        <v>1</v>
      </c>
      <c r="Y405" s="95">
        <f t="shared" si="47"/>
        <v>0</v>
      </c>
      <c r="Z405" s="95">
        <f t="shared" si="47"/>
        <v>0</v>
      </c>
      <c r="AA405" s="95">
        <f t="shared" si="47"/>
        <v>0</v>
      </c>
      <c r="AB405" s="95">
        <f t="shared" si="47"/>
        <v>0</v>
      </c>
      <c r="AC405" s="95">
        <f t="shared" si="48"/>
        <v>0</v>
      </c>
      <c r="AD405" s="95">
        <f t="shared" si="48"/>
        <v>0</v>
      </c>
      <c r="AE405" s="95">
        <f t="shared" si="48"/>
        <v>0</v>
      </c>
      <c r="AF405" s="95">
        <f t="shared" si="44"/>
        <v>0</v>
      </c>
      <c r="AG405" s="262"/>
    </row>
    <row r="406" spans="2:33" s="44" customFormat="1" ht="12" outlineLevel="2" x14ac:dyDescent="0.25">
      <c r="B406" s="579" t="str">
        <f t="shared" si="40"/>
        <v>Infinitum Netflix 200 (Netflix 4 dispositivos)Residencial</v>
      </c>
      <c r="C406" s="95">
        <f t="shared" si="42"/>
        <v>47</v>
      </c>
      <c r="D406" s="101" t="str">
        <v>Infinitum Netflix 200 (Netflix 4 dispositivos)</v>
      </c>
      <c r="F406" s="113" t="str">
        <f>IFERROR(VLOOKUP($D406,'Info planes y paquetes'!$C$472:$BS$579,2,FALSE),"")</f>
        <v>Residencial</v>
      </c>
      <c r="G406" s="113" t="str">
        <f>IFERROR(VLOOKUP($D406,'Info planes y paquetes'!$C$472:$BS$579,3,FALSE),"")</f>
        <v>Internet fijo</v>
      </c>
      <c r="H406" s="113" t="str">
        <f>IFERROR(VLOOKUP($D406,'Info planes y paquetes'!$C$472:$BS$579,13,FALSE),"")</f>
        <v>200 Mbps</v>
      </c>
      <c r="I406" s="312">
        <f>INDEX(vector.implicit.prices.broadband.after.discount,MATCH('Cálculos auxiliares'!D406,vector.plans.names,0))</f>
        <v>451.05503949221747</v>
      </c>
      <c r="J406" s="172">
        <f t="shared" si="37"/>
        <v>362.92054801531378</v>
      </c>
      <c r="K406" s="299">
        <f t="shared" si="49"/>
        <v>4.7573396700516886E-4</v>
      </c>
      <c r="M406" s="463">
        <f t="shared" si="41"/>
        <v>200</v>
      </c>
      <c r="Q406" s="95">
        <f t="shared" si="45"/>
        <v>0</v>
      </c>
      <c r="R406" s="95">
        <f t="shared" si="45"/>
        <v>0</v>
      </c>
      <c r="S406" s="95">
        <f t="shared" si="45"/>
        <v>0</v>
      </c>
      <c r="T406" s="95">
        <f t="shared" si="45"/>
        <v>0</v>
      </c>
      <c r="U406" s="95">
        <f t="shared" si="46"/>
        <v>0</v>
      </c>
      <c r="V406" s="95">
        <f t="shared" si="46"/>
        <v>0</v>
      </c>
      <c r="W406" s="95">
        <f t="shared" si="46"/>
        <v>0</v>
      </c>
      <c r="X406" s="95">
        <f t="shared" si="46"/>
        <v>0</v>
      </c>
      <c r="Y406" s="95">
        <f t="shared" si="47"/>
        <v>0</v>
      </c>
      <c r="Z406" s="95">
        <f t="shared" si="47"/>
        <v>0</v>
      </c>
      <c r="AA406" s="95">
        <f t="shared" si="47"/>
        <v>0</v>
      </c>
      <c r="AB406" s="95">
        <f t="shared" si="47"/>
        <v>0</v>
      </c>
      <c r="AC406" s="95">
        <f t="shared" si="48"/>
        <v>1</v>
      </c>
      <c r="AD406" s="95">
        <f t="shared" si="48"/>
        <v>0</v>
      </c>
      <c r="AE406" s="95">
        <f t="shared" si="48"/>
        <v>0</v>
      </c>
      <c r="AF406" s="95">
        <f t="shared" si="44"/>
        <v>0</v>
      </c>
      <c r="AG406" s="262"/>
    </row>
    <row r="407" spans="2:33" s="44" customFormat="1" ht="12" outlineLevel="2" x14ac:dyDescent="0.25">
      <c r="B407" s="579" t="str">
        <f t="shared" si="40"/>
        <v>Infinitum Netflix 200 (Netflix 2 dispositivos)Residencial</v>
      </c>
      <c r="C407" s="95">
        <f t="shared" si="42"/>
        <v>48</v>
      </c>
      <c r="D407" s="101" t="str">
        <v>Infinitum Netflix 200 (Netflix 2 dispositivos)</v>
      </c>
      <c r="F407" s="113" t="str">
        <f>IFERROR(VLOOKUP($D407,'Info planes y paquetes'!$C$472:$BS$579,2,FALSE),"")</f>
        <v>Residencial</v>
      </c>
      <c r="G407" s="113" t="str">
        <f>IFERROR(VLOOKUP($D407,'Info planes y paquetes'!$C$472:$BS$579,3,FALSE),"")</f>
        <v>Internet fijo</v>
      </c>
      <c r="H407" s="113" t="str">
        <f>IFERROR(VLOOKUP($D407,'Info planes y paquetes'!$C$472:$BS$579,13,FALSE),"")</f>
        <v>200 Mbps</v>
      </c>
      <c r="I407" s="312">
        <f>INDEX(vector.implicit.prices.broadband.after.discount,MATCH('Cálculos auxiliares'!D407,vector.plans.names,0))</f>
        <v>451.05503949221747</v>
      </c>
      <c r="J407" s="172">
        <f t="shared" si="37"/>
        <v>362.92054801531378</v>
      </c>
      <c r="K407" s="299">
        <f t="shared" si="49"/>
        <v>1.3638121947036612E-4</v>
      </c>
      <c r="M407" s="463">
        <f t="shared" si="41"/>
        <v>200</v>
      </c>
      <c r="Q407" s="95">
        <f t="shared" si="45"/>
        <v>0</v>
      </c>
      <c r="R407" s="95">
        <f t="shared" si="45"/>
        <v>0</v>
      </c>
      <c r="S407" s="95">
        <f t="shared" si="45"/>
        <v>0</v>
      </c>
      <c r="T407" s="95">
        <f t="shared" si="45"/>
        <v>0</v>
      </c>
      <c r="U407" s="95">
        <f t="shared" si="46"/>
        <v>0</v>
      </c>
      <c r="V407" s="95">
        <f t="shared" si="46"/>
        <v>0</v>
      </c>
      <c r="W407" s="95">
        <f t="shared" si="46"/>
        <v>0</v>
      </c>
      <c r="X407" s="95">
        <f t="shared" si="46"/>
        <v>0</v>
      </c>
      <c r="Y407" s="95">
        <f t="shared" si="47"/>
        <v>0</v>
      </c>
      <c r="Z407" s="95">
        <f t="shared" si="47"/>
        <v>0</v>
      </c>
      <c r="AA407" s="95">
        <f t="shared" si="47"/>
        <v>0</v>
      </c>
      <c r="AB407" s="95">
        <f t="shared" si="47"/>
        <v>0</v>
      </c>
      <c r="AC407" s="95">
        <f t="shared" si="48"/>
        <v>1</v>
      </c>
      <c r="AD407" s="95">
        <f t="shared" si="48"/>
        <v>0</v>
      </c>
      <c r="AE407" s="95">
        <f t="shared" si="48"/>
        <v>0</v>
      </c>
      <c r="AF407" s="95">
        <f t="shared" si="44"/>
        <v>0</v>
      </c>
      <c r="AG407" s="262"/>
    </row>
    <row r="408" spans="2:33" s="44" customFormat="1" ht="12" outlineLevel="2" x14ac:dyDescent="0.25">
      <c r="B408" s="579" t="str">
        <f t="shared" si="40"/>
        <v>Infinitum Netflix 500 (Netflix 4 dispositivos)Residencial</v>
      </c>
      <c r="C408" s="95">
        <f t="shared" si="42"/>
        <v>49</v>
      </c>
      <c r="D408" s="101" t="str">
        <v>Infinitum Netflix 500 (Netflix 4 dispositivos)</v>
      </c>
      <c r="F408" s="113" t="str">
        <f>IFERROR(VLOOKUP($D408,'Info planes y paquetes'!$C$472:$BS$579,2,FALSE),"")</f>
        <v>Residencial</v>
      </c>
      <c r="G408" s="113" t="str">
        <f>IFERROR(VLOOKUP($D408,'Info planes y paquetes'!$C$472:$BS$579,3,FALSE),"")</f>
        <v>Internet fijo</v>
      </c>
      <c r="H408" s="113" t="str">
        <f>IFERROR(VLOOKUP($D408,'Info planes y paquetes'!$C$472:$BS$579,13,FALSE),"")</f>
        <v>500 Mbps</v>
      </c>
      <c r="I408" s="312">
        <f>INDEX(vector.implicit.prices.broadband.after.discount,MATCH('Cálculos auxiliares'!D408,vector.plans.names,0))</f>
        <v>823.80957173770821</v>
      </c>
      <c r="J408" s="172">
        <f t="shared" si="37"/>
        <v>735.67508026080452</v>
      </c>
      <c r="K408" s="299">
        <f t="shared" si="49"/>
        <v>5.2987748894614216E-5</v>
      </c>
      <c r="M408" s="463">
        <f t="shared" si="41"/>
        <v>500</v>
      </c>
      <c r="Q408" s="95">
        <f t="shared" si="45"/>
        <v>0</v>
      </c>
      <c r="R408" s="95">
        <f t="shared" si="45"/>
        <v>0</v>
      </c>
      <c r="S408" s="95">
        <f t="shared" si="45"/>
        <v>0</v>
      </c>
      <c r="T408" s="95">
        <f t="shared" si="45"/>
        <v>0</v>
      </c>
      <c r="U408" s="95">
        <f t="shared" si="46"/>
        <v>0</v>
      </c>
      <c r="V408" s="95">
        <f t="shared" si="46"/>
        <v>0</v>
      </c>
      <c r="W408" s="95">
        <f t="shared" si="46"/>
        <v>0</v>
      </c>
      <c r="X408" s="95">
        <f t="shared" si="46"/>
        <v>0</v>
      </c>
      <c r="Y408" s="95">
        <f t="shared" si="47"/>
        <v>0</v>
      </c>
      <c r="Z408" s="95">
        <f t="shared" si="47"/>
        <v>0</v>
      </c>
      <c r="AA408" s="95">
        <f t="shared" si="47"/>
        <v>0</v>
      </c>
      <c r="AB408" s="95">
        <f t="shared" si="47"/>
        <v>0</v>
      </c>
      <c r="AC408" s="95">
        <f t="shared" si="48"/>
        <v>0</v>
      </c>
      <c r="AD408" s="95">
        <f t="shared" si="48"/>
        <v>0</v>
      </c>
      <c r="AE408" s="95">
        <f t="shared" si="48"/>
        <v>1</v>
      </c>
      <c r="AF408" s="95">
        <f t="shared" si="44"/>
        <v>0</v>
      </c>
      <c r="AG408" s="262"/>
    </row>
    <row r="409" spans="2:33" s="44" customFormat="1" ht="12" outlineLevel="2" x14ac:dyDescent="0.25">
      <c r="B409" s="579" t="str">
        <f t="shared" si="40"/>
        <v>Infinitum Netflix 500 (Netflix 2 dispositivos)Residencial</v>
      </c>
      <c r="C409" s="95">
        <f t="shared" si="42"/>
        <v>50</v>
      </c>
      <c r="D409" s="101" t="str">
        <v>Infinitum Netflix 500 (Netflix 2 dispositivos)</v>
      </c>
      <c r="F409" s="113" t="str">
        <f>IFERROR(VLOOKUP($D409,'Info planes y paquetes'!$C$472:$BS$579,2,FALSE),"")</f>
        <v>Residencial</v>
      </c>
      <c r="G409" s="113" t="str">
        <f>IFERROR(VLOOKUP($D409,'Info planes y paquetes'!$C$472:$BS$579,3,FALSE),"")</f>
        <v>Internet fijo</v>
      </c>
      <c r="H409" s="113" t="str">
        <f>IFERROR(VLOOKUP($D409,'Info planes y paquetes'!$C$472:$BS$579,13,FALSE),"")</f>
        <v>500 Mbps</v>
      </c>
      <c r="I409" s="312">
        <f>INDEX(vector.implicit.prices.broadband.after.discount,MATCH('Cálculos auxiliares'!D409,vector.plans.names,0))</f>
        <v>667.88043170602646</v>
      </c>
      <c r="J409" s="172">
        <f t="shared" si="37"/>
        <v>579.74594022912277</v>
      </c>
      <c r="K409" s="299">
        <f t="shared" si="49"/>
        <v>8.8016562761188041E-6</v>
      </c>
      <c r="M409" s="463">
        <f t="shared" si="41"/>
        <v>500</v>
      </c>
      <c r="Q409" s="95">
        <f t="shared" si="45"/>
        <v>0</v>
      </c>
      <c r="R409" s="95">
        <f t="shared" si="45"/>
        <v>0</v>
      </c>
      <c r="S409" s="95">
        <f t="shared" si="45"/>
        <v>0</v>
      </c>
      <c r="T409" s="95">
        <f t="shared" si="45"/>
        <v>0</v>
      </c>
      <c r="U409" s="95">
        <f t="shared" si="46"/>
        <v>0</v>
      </c>
      <c r="V409" s="95">
        <f t="shared" si="46"/>
        <v>0</v>
      </c>
      <c r="W409" s="95">
        <f t="shared" si="46"/>
        <v>0</v>
      </c>
      <c r="X409" s="95">
        <f t="shared" si="46"/>
        <v>0</v>
      </c>
      <c r="Y409" s="95">
        <f t="shared" si="47"/>
        <v>0</v>
      </c>
      <c r="Z409" s="95">
        <f t="shared" si="47"/>
        <v>0</v>
      </c>
      <c r="AA409" s="95">
        <f t="shared" si="47"/>
        <v>0</v>
      </c>
      <c r="AB409" s="95">
        <f t="shared" si="47"/>
        <v>0</v>
      </c>
      <c r="AC409" s="95">
        <f t="shared" si="48"/>
        <v>0</v>
      </c>
      <c r="AD409" s="95">
        <f t="shared" si="48"/>
        <v>0</v>
      </c>
      <c r="AE409" s="95">
        <f t="shared" si="48"/>
        <v>1</v>
      </c>
      <c r="AF409" s="95">
        <f t="shared" si="44"/>
        <v>0</v>
      </c>
      <c r="AG409" s="262"/>
    </row>
    <row r="410" spans="2:33" s="262" customFormat="1" ht="12" outlineLevel="2" x14ac:dyDescent="0.25">
      <c r="B410" s="579" t="str">
        <f t="shared" si="40"/>
        <v>Paquete Conectes Negocio Netflix (Netflix 1 dispositivo)No Residencial</v>
      </c>
      <c r="C410" s="95">
        <f t="shared" si="42"/>
        <v>51</v>
      </c>
      <c r="D410" s="101" t="str">
        <v>Paquete Conectes Negocio Netflix (Netflix 1 dispositivo)</v>
      </c>
      <c r="F410" s="113" t="str">
        <f>IFERROR(VLOOKUP($D410,'Info planes y paquetes'!$C$472:$BS$579,2,FALSE),"")</f>
        <v>No Residencial</v>
      </c>
      <c r="G410" s="113" t="str">
        <f>IFERROR(VLOOKUP($D410,'Info planes y paquetes'!$C$472:$BS$579,3,FALSE),"")</f>
        <v>Telefonía fija + Internet fijo</v>
      </c>
      <c r="H410" s="113" t="str">
        <f>IFERROR(VLOOKUP($D410,'Info planes y paquetes'!$C$472:$BS$579,13,FALSE),"")</f>
        <v>20 Mbps</v>
      </c>
      <c r="I410" s="312">
        <f>INDEX(vector.implicit.prices.broadband.after.discount,MATCH('Cálculos auxiliares'!D410,vector.plans.names,0))</f>
        <v>81</v>
      </c>
      <c r="J410" s="172">
        <f t="shared" si="37"/>
        <v>81</v>
      </c>
      <c r="K410" s="299">
        <f t="shared" si="49"/>
        <v>2.2697604518112429E-4</v>
      </c>
      <c r="M410" s="463">
        <f t="shared" si="41"/>
        <v>20</v>
      </c>
      <c r="Q410" s="95">
        <f t="shared" si="45"/>
        <v>0</v>
      </c>
      <c r="R410" s="95">
        <f t="shared" si="45"/>
        <v>0</v>
      </c>
      <c r="S410" s="95">
        <f t="shared" si="45"/>
        <v>0</v>
      </c>
      <c r="T410" s="95">
        <f t="shared" si="45"/>
        <v>1</v>
      </c>
      <c r="U410" s="95">
        <f t="shared" si="46"/>
        <v>0</v>
      </c>
      <c r="V410" s="95">
        <f t="shared" si="46"/>
        <v>0</v>
      </c>
      <c r="W410" s="95">
        <f t="shared" si="46"/>
        <v>0</v>
      </c>
      <c r="X410" s="95">
        <f t="shared" si="46"/>
        <v>0</v>
      </c>
      <c r="Y410" s="95">
        <f t="shared" si="47"/>
        <v>0</v>
      </c>
      <c r="Z410" s="95">
        <f t="shared" si="47"/>
        <v>0</v>
      </c>
      <c r="AA410" s="95">
        <f t="shared" si="47"/>
        <v>0</v>
      </c>
      <c r="AB410" s="95">
        <f t="shared" si="47"/>
        <v>0</v>
      </c>
      <c r="AC410" s="95">
        <f t="shared" si="48"/>
        <v>0</v>
      </c>
      <c r="AD410" s="95">
        <f t="shared" si="48"/>
        <v>0</v>
      </c>
      <c r="AE410" s="95">
        <f t="shared" si="48"/>
        <v>0</v>
      </c>
      <c r="AF410" s="95">
        <f t="shared" si="44"/>
        <v>0</v>
      </c>
    </row>
    <row r="411" spans="2:33" s="262" customFormat="1" ht="12" outlineLevel="2" x14ac:dyDescent="0.25">
      <c r="B411" s="579" t="str">
        <f t="shared" si="40"/>
        <v>Paquete Conectes Negocio Netflix (Netflix 2 dispositivos)No Residencial</v>
      </c>
      <c r="C411" s="95">
        <f t="shared" si="42"/>
        <v>52</v>
      </c>
      <c r="D411" s="101" t="str">
        <v>Paquete Conectes Negocio Netflix (Netflix 2 dispositivos)</v>
      </c>
      <c r="F411" s="113" t="str">
        <f>IFERROR(VLOOKUP($D411,'Info planes y paquetes'!$C$472:$BS$579,2,FALSE),"")</f>
        <v>No Residencial</v>
      </c>
      <c r="G411" s="113" t="str">
        <f>IFERROR(VLOOKUP($D411,'Info planes y paquetes'!$C$472:$BS$579,3,FALSE),"")</f>
        <v>Telefonía fija + Internet fijo</v>
      </c>
      <c r="H411" s="113" t="str">
        <f>IFERROR(VLOOKUP($D411,'Info planes y paquetes'!$C$472:$BS$579,13,FALSE),"")</f>
        <v>20 Mbps</v>
      </c>
      <c r="I411" s="312">
        <f>INDEX(vector.implicit.prices.broadband.after.discount,MATCH('Cálculos auxiliares'!D411,vector.plans.names,0))</f>
        <v>109</v>
      </c>
      <c r="J411" s="172">
        <f t="shared" si="37"/>
        <v>109</v>
      </c>
      <c r="K411" s="299">
        <f t="shared" si="49"/>
        <v>1.2589035643418409E-4</v>
      </c>
      <c r="M411" s="463">
        <f t="shared" si="41"/>
        <v>20</v>
      </c>
      <c r="Q411" s="95">
        <f t="shared" si="45"/>
        <v>0</v>
      </c>
      <c r="R411" s="95">
        <f t="shared" si="45"/>
        <v>0</v>
      </c>
      <c r="S411" s="95">
        <f t="shared" si="45"/>
        <v>0</v>
      </c>
      <c r="T411" s="95">
        <f t="shared" si="45"/>
        <v>1</v>
      </c>
      <c r="U411" s="95">
        <f t="shared" si="46"/>
        <v>0</v>
      </c>
      <c r="V411" s="95">
        <f t="shared" si="46"/>
        <v>0</v>
      </c>
      <c r="W411" s="95">
        <f t="shared" si="46"/>
        <v>0</v>
      </c>
      <c r="X411" s="95">
        <f t="shared" si="46"/>
        <v>0</v>
      </c>
      <c r="Y411" s="95">
        <f t="shared" si="47"/>
        <v>0</v>
      </c>
      <c r="Z411" s="95">
        <f t="shared" si="47"/>
        <v>0</v>
      </c>
      <c r="AA411" s="95">
        <f t="shared" si="47"/>
        <v>0</v>
      </c>
      <c r="AB411" s="95">
        <f t="shared" si="47"/>
        <v>0</v>
      </c>
      <c r="AC411" s="95">
        <f t="shared" si="48"/>
        <v>0</v>
      </c>
      <c r="AD411" s="95">
        <f t="shared" si="48"/>
        <v>0</v>
      </c>
      <c r="AE411" s="95">
        <f t="shared" si="48"/>
        <v>0</v>
      </c>
      <c r="AF411" s="95">
        <f t="shared" si="44"/>
        <v>0</v>
      </c>
    </row>
    <row r="412" spans="2:33" s="262" customFormat="1" ht="12" outlineLevel="2" x14ac:dyDescent="0.25">
      <c r="B412" s="579" t="str">
        <f t="shared" si="40"/>
        <v>Paquete Conectes Negocio Netflix (Netflix 4 dispositivos)No Residencial</v>
      </c>
      <c r="C412" s="95">
        <f t="shared" si="42"/>
        <v>53</v>
      </c>
      <c r="D412" s="101" t="str">
        <v>Paquete Conectes Negocio Netflix (Netflix 4 dispositivos)</v>
      </c>
      <c r="F412" s="113" t="str">
        <f>IFERROR(VLOOKUP($D412,'Info planes y paquetes'!$C$472:$BS$579,2,FALSE),"")</f>
        <v>No Residencial</v>
      </c>
      <c r="G412" s="113" t="str">
        <f>IFERROR(VLOOKUP($D412,'Info planes y paquetes'!$C$472:$BS$579,3,FALSE),"")</f>
        <v>Telefonía fija + Internet fijo</v>
      </c>
      <c r="H412" s="113" t="str">
        <f>IFERROR(VLOOKUP($D412,'Info planes y paquetes'!$C$472:$BS$579,13,FALSE),"")</f>
        <v>20 Mbps</v>
      </c>
      <c r="I412" s="312">
        <f>INDEX(vector.implicit.prices.broadband.after.discount,MATCH('Cálculos auxiliares'!D412,vector.plans.names,0))</f>
        <v>96</v>
      </c>
      <c r="J412" s="172">
        <f t="shared" si="37"/>
        <v>96</v>
      </c>
      <c r="K412" s="299">
        <f t="shared" si="49"/>
        <v>7.050215582790113E-5</v>
      </c>
      <c r="M412" s="463">
        <f t="shared" si="41"/>
        <v>20</v>
      </c>
      <c r="Q412" s="95">
        <f t="shared" si="45"/>
        <v>0</v>
      </c>
      <c r="R412" s="95">
        <f t="shared" si="45"/>
        <v>0</v>
      </c>
      <c r="S412" s="95">
        <f t="shared" si="45"/>
        <v>0</v>
      </c>
      <c r="T412" s="95">
        <f t="shared" si="45"/>
        <v>1</v>
      </c>
      <c r="U412" s="95">
        <f t="shared" si="46"/>
        <v>0</v>
      </c>
      <c r="V412" s="95">
        <f t="shared" si="46"/>
        <v>0</v>
      </c>
      <c r="W412" s="95">
        <f t="shared" si="46"/>
        <v>0</v>
      </c>
      <c r="X412" s="95">
        <f t="shared" si="46"/>
        <v>0</v>
      </c>
      <c r="Y412" s="95">
        <f t="shared" si="47"/>
        <v>0</v>
      </c>
      <c r="Z412" s="95">
        <f t="shared" si="47"/>
        <v>0</v>
      </c>
      <c r="AA412" s="95">
        <f t="shared" si="47"/>
        <v>0</v>
      </c>
      <c r="AB412" s="95">
        <f t="shared" si="47"/>
        <v>0</v>
      </c>
      <c r="AC412" s="95">
        <f t="shared" si="48"/>
        <v>0</v>
      </c>
      <c r="AD412" s="95">
        <f t="shared" si="48"/>
        <v>0</v>
      </c>
      <c r="AE412" s="95">
        <f t="shared" si="48"/>
        <v>0</v>
      </c>
      <c r="AF412" s="95">
        <f t="shared" si="44"/>
        <v>0</v>
      </c>
    </row>
    <row r="413" spans="2:33" s="262" customFormat="1" ht="12" outlineLevel="2" x14ac:dyDescent="0.25">
      <c r="B413" s="579" t="str">
        <f t="shared" si="40"/>
        <v>Paquete Mi Negocio Netflix (Netflix 2 dispositivos)No Residencial</v>
      </c>
      <c r="C413" s="95">
        <f t="shared" si="42"/>
        <v>54</v>
      </c>
      <c r="D413" s="101" t="str">
        <v>Paquete Mi Negocio Netflix (Netflix 2 dispositivos)</v>
      </c>
      <c r="F413" s="113" t="str">
        <f>IFERROR(VLOOKUP($D413,'Info planes y paquetes'!$C$472:$BS$579,2,FALSE),"")</f>
        <v>No Residencial</v>
      </c>
      <c r="G413" s="113" t="str">
        <f>IFERROR(VLOOKUP($D413,'Info planes y paquetes'!$C$472:$BS$579,3,FALSE),"")</f>
        <v>Telefonía fija + Internet fijo</v>
      </c>
      <c r="H413" s="113" t="str">
        <f>IFERROR(VLOOKUP($D413,'Info planes y paquetes'!$C$472:$BS$579,13,FALSE),"")</f>
        <v>100 Mbps</v>
      </c>
      <c r="I413" s="312">
        <f>INDEX(vector.implicit.prices.broadband.after.discount,MATCH('Cálculos auxiliares'!D413,vector.plans.names,0))</f>
        <v>191</v>
      </c>
      <c r="J413" s="172">
        <f t="shared" si="37"/>
        <v>191</v>
      </c>
      <c r="K413" s="299">
        <f t="shared" si="49"/>
        <v>1.2348990472251534E-4</v>
      </c>
      <c r="M413" s="463">
        <f t="shared" si="41"/>
        <v>100</v>
      </c>
      <c r="Q413" s="95">
        <f t="shared" si="45"/>
        <v>0</v>
      </c>
      <c r="R413" s="95">
        <f t="shared" si="45"/>
        <v>0</v>
      </c>
      <c r="S413" s="95">
        <f t="shared" si="45"/>
        <v>0</v>
      </c>
      <c r="T413" s="95">
        <f t="shared" si="45"/>
        <v>0</v>
      </c>
      <c r="U413" s="95">
        <f t="shared" si="46"/>
        <v>0</v>
      </c>
      <c r="V413" s="95">
        <f t="shared" si="46"/>
        <v>0</v>
      </c>
      <c r="W413" s="95">
        <f t="shared" si="46"/>
        <v>0</v>
      </c>
      <c r="X413" s="95">
        <f t="shared" si="46"/>
        <v>0</v>
      </c>
      <c r="Y413" s="95">
        <f t="shared" si="47"/>
        <v>0</v>
      </c>
      <c r="Z413" s="95">
        <f t="shared" si="47"/>
        <v>1</v>
      </c>
      <c r="AA413" s="95">
        <f t="shared" si="47"/>
        <v>0</v>
      </c>
      <c r="AB413" s="95">
        <f t="shared" si="47"/>
        <v>0</v>
      </c>
      <c r="AC413" s="95">
        <f t="shared" si="48"/>
        <v>0</v>
      </c>
      <c r="AD413" s="95">
        <f t="shared" si="48"/>
        <v>0</v>
      </c>
      <c r="AE413" s="95">
        <f t="shared" si="48"/>
        <v>0</v>
      </c>
      <c r="AF413" s="95">
        <f t="shared" si="44"/>
        <v>0</v>
      </c>
    </row>
    <row r="414" spans="2:33" s="262" customFormat="1" ht="12" outlineLevel="2" x14ac:dyDescent="0.25">
      <c r="B414" s="579" t="str">
        <f t="shared" si="40"/>
        <v>Paquete Mi Negocio Netflix (Netflix 4 dispositivos)No Residencial</v>
      </c>
      <c r="C414" s="95">
        <f t="shared" si="42"/>
        <v>55</v>
      </c>
      <c r="D414" s="101" t="str">
        <v>Paquete Mi Negocio Netflix (Netflix 4 dispositivos)</v>
      </c>
      <c r="F414" s="113" t="str">
        <f>IFERROR(VLOOKUP($D414,'Info planes y paquetes'!$C$472:$BS$579,2,FALSE),"")</f>
        <v>No Residencial</v>
      </c>
      <c r="G414" s="113" t="str">
        <f>IFERROR(VLOOKUP($D414,'Info planes y paquetes'!$C$472:$BS$579,3,FALSE),"")</f>
        <v>Telefonía fija + Internet fijo</v>
      </c>
      <c r="H414" s="113" t="str">
        <f>IFERROR(VLOOKUP($D414,'Info planes y paquetes'!$C$472:$BS$579,13,FALSE),"")</f>
        <v>100 Mbps</v>
      </c>
      <c r="I414" s="312">
        <f>INDEX(vector.implicit.prices.broadband.after.discount,MATCH('Cálculos auxiliares'!D414,vector.plans.names,0))</f>
        <v>187</v>
      </c>
      <c r="J414" s="172">
        <f t="shared" si="37"/>
        <v>187</v>
      </c>
      <c r="K414" s="299">
        <f t="shared" si="49"/>
        <v>7.423619182383031E-5</v>
      </c>
      <c r="M414" s="463">
        <f t="shared" si="41"/>
        <v>100</v>
      </c>
      <c r="Q414" s="95">
        <f t="shared" si="45"/>
        <v>0</v>
      </c>
      <c r="R414" s="95">
        <f t="shared" si="45"/>
        <v>0</v>
      </c>
      <c r="S414" s="95">
        <f t="shared" si="45"/>
        <v>0</v>
      </c>
      <c r="T414" s="95">
        <f t="shared" si="45"/>
        <v>0</v>
      </c>
      <c r="U414" s="95">
        <f t="shared" si="46"/>
        <v>0</v>
      </c>
      <c r="V414" s="95">
        <f t="shared" si="46"/>
        <v>0</v>
      </c>
      <c r="W414" s="95">
        <f t="shared" si="46"/>
        <v>0</v>
      </c>
      <c r="X414" s="95">
        <f t="shared" si="46"/>
        <v>0</v>
      </c>
      <c r="Y414" s="95">
        <f t="shared" si="47"/>
        <v>0</v>
      </c>
      <c r="Z414" s="95">
        <f t="shared" si="47"/>
        <v>1</v>
      </c>
      <c r="AA414" s="95">
        <f t="shared" si="47"/>
        <v>0</v>
      </c>
      <c r="AB414" s="95">
        <f t="shared" si="47"/>
        <v>0</v>
      </c>
      <c r="AC414" s="95">
        <f t="shared" si="48"/>
        <v>0</v>
      </c>
      <c r="AD414" s="95">
        <f t="shared" si="48"/>
        <v>0</v>
      </c>
      <c r="AE414" s="95">
        <f t="shared" si="48"/>
        <v>0</v>
      </c>
      <c r="AF414" s="95">
        <f t="shared" si="44"/>
        <v>0</v>
      </c>
    </row>
    <row r="415" spans="2:33" s="262" customFormat="1" ht="12" outlineLevel="2" x14ac:dyDescent="0.25">
      <c r="B415" s="579" t="str">
        <f t="shared" si="40"/>
        <v>Paquete Supernegocio Netflix (Netflix 2 dispositivos)No Residencial</v>
      </c>
      <c r="C415" s="95">
        <f t="shared" si="42"/>
        <v>56</v>
      </c>
      <c r="D415" s="101" t="str">
        <v>Paquete Supernegocio Netflix (Netflix 2 dispositivos)</v>
      </c>
      <c r="F415" s="113" t="str">
        <f>IFERROR(VLOOKUP($D415,'Info planes y paquetes'!$C$472:$BS$579,2,FALSE),"")</f>
        <v>No Residencial</v>
      </c>
      <c r="G415" s="113" t="str">
        <f>IFERROR(VLOOKUP($D415,'Info planes y paquetes'!$C$472:$BS$579,3,FALSE),"")</f>
        <v>Telefonía fija + Internet fijo</v>
      </c>
      <c r="H415" s="113" t="str">
        <f>IFERROR(VLOOKUP($D415,'Info planes y paquetes'!$C$472:$BS$579,13,FALSE),"")</f>
        <v>200 Mbps</v>
      </c>
      <c r="I415" s="312">
        <f>INDEX(vector.implicit.prices.broadband.after.discount,MATCH('Cálculos auxiliares'!D415,vector.plans.names,0))</f>
        <v>456</v>
      </c>
      <c r="J415" s="172">
        <f t="shared" si="37"/>
        <v>456</v>
      </c>
      <c r="K415" s="299">
        <f t="shared" si="49"/>
        <v>1.1575511587380487E-4</v>
      </c>
      <c r="M415" s="463">
        <f t="shared" si="41"/>
        <v>200</v>
      </c>
      <c r="Q415" s="95">
        <f t="shared" si="45"/>
        <v>0</v>
      </c>
      <c r="R415" s="95">
        <f t="shared" si="45"/>
        <v>0</v>
      </c>
      <c r="S415" s="95">
        <f t="shared" si="45"/>
        <v>0</v>
      </c>
      <c r="T415" s="95">
        <f t="shared" si="45"/>
        <v>0</v>
      </c>
      <c r="U415" s="95">
        <f t="shared" si="46"/>
        <v>0</v>
      </c>
      <c r="V415" s="95">
        <f t="shared" si="46"/>
        <v>0</v>
      </c>
      <c r="W415" s="95">
        <f t="shared" si="46"/>
        <v>0</v>
      </c>
      <c r="X415" s="95">
        <f t="shared" si="46"/>
        <v>0</v>
      </c>
      <c r="Y415" s="95">
        <f t="shared" si="47"/>
        <v>0</v>
      </c>
      <c r="Z415" s="95">
        <f t="shared" si="47"/>
        <v>0</v>
      </c>
      <c r="AA415" s="95">
        <f t="shared" si="47"/>
        <v>0</v>
      </c>
      <c r="AB415" s="95">
        <f t="shared" si="47"/>
        <v>0</v>
      </c>
      <c r="AC415" s="95">
        <f t="shared" si="48"/>
        <v>1</v>
      </c>
      <c r="AD415" s="95">
        <f t="shared" si="48"/>
        <v>0</v>
      </c>
      <c r="AE415" s="95">
        <f t="shared" si="48"/>
        <v>0</v>
      </c>
      <c r="AF415" s="95">
        <f t="shared" si="44"/>
        <v>0</v>
      </c>
    </row>
    <row r="416" spans="2:33" s="262" customFormat="1" ht="12" outlineLevel="2" x14ac:dyDescent="0.25">
      <c r="B416" s="579" t="str">
        <f t="shared" si="40"/>
        <v>Paquete Supernegocio Netflix (Netflix 4 dispositivos)No Residencial</v>
      </c>
      <c r="C416" s="95">
        <f t="shared" si="42"/>
        <v>57</v>
      </c>
      <c r="D416" s="101" t="str">
        <v>Paquete Supernegocio Netflix (Netflix 4 dispositivos)</v>
      </c>
      <c r="F416" s="113" t="str">
        <f>IFERROR(VLOOKUP($D416,'Info planes y paquetes'!$C$472:$BS$579,2,FALSE),"")</f>
        <v>No Residencial</v>
      </c>
      <c r="G416" s="113" t="str">
        <f>IFERROR(VLOOKUP($D416,'Info planes y paquetes'!$C$472:$BS$579,3,FALSE),"")</f>
        <v>Telefonía fija + Internet fijo</v>
      </c>
      <c r="H416" s="113" t="str">
        <f>IFERROR(VLOOKUP($D416,'Info planes y paquetes'!$C$472:$BS$579,13,FALSE),"")</f>
        <v>200 Mbps</v>
      </c>
      <c r="I416" s="312">
        <f>INDEX(vector.implicit.prices.broadband.after.discount,MATCH('Cálculos auxiliares'!D416,vector.plans.names,0))</f>
        <v>428</v>
      </c>
      <c r="J416" s="172">
        <f t="shared" si="37"/>
        <v>428</v>
      </c>
      <c r="K416" s="299">
        <f t="shared" si="49"/>
        <v>9.7351652751011009E-5</v>
      </c>
      <c r="M416" s="463">
        <f t="shared" si="41"/>
        <v>200</v>
      </c>
      <c r="Q416" s="95">
        <f t="shared" si="45"/>
        <v>0</v>
      </c>
      <c r="R416" s="95">
        <f t="shared" si="45"/>
        <v>0</v>
      </c>
      <c r="S416" s="95">
        <f t="shared" si="45"/>
        <v>0</v>
      </c>
      <c r="T416" s="95">
        <f t="shared" si="45"/>
        <v>0</v>
      </c>
      <c r="U416" s="95">
        <f t="shared" si="46"/>
        <v>0</v>
      </c>
      <c r="V416" s="95">
        <f t="shared" si="46"/>
        <v>0</v>
      </c>
      <c r="W416" s="95">
        <f t="shared" si="46"/>
        <v>0</v>
      </c>
      <c r="X416" s="95">
        <f t="shared" si="46"/>
        <v>0</v>
      </c>
      <c r="Y416" s="95">
        <f t="shared" si="47"/>
        <v>0</v>
      </c>
      <c r="Z416" s="95">
        <f t="shared" si="47"/>
        <v>0</v>
      </c>
      <c r="AA416" s="95">
        <f t="shared" si="47"/>
        <v>0</v>
      </c>
      <c r="AB416" s="95">
        <f t="shared" si="47"/>
        <v>0</v>
      </c>
      <c r="AC416" s="95">
        <f t="shared" si="48"/>
        <v>1</v>
      </c>
      <c r="AD416" s="95">
        <f t="shared" si="48"/>
        <v>0</v>
      </c>
      <c r="AE416" s="95">
        <f t="shared" si="48"/>
        <v>0</v>
      </c>
      <c r="AF416" s="95">
        <f t="shared" si="44"/>
        <v>0</v>
      </c>
    </row>
    <row r="417" spans="2:32" s="262" customFormat="1" ht="12" outlineLevel="2" x14ac:dyDescent="0.25">
      <c r="B417" s="579" t="str">
        <f t="shared" si="40"/>
        <v>Infinitum Netflix Negocio 50 (Netflix 1 dispositivo)No Residencial</v>
      </c>
      <c r="C417" s="95">
        <f t="shared" si="42"/>
        <v>58</v>
      </c>
      <c r="D417" s="101" t="str">
        <v>Infinitum Netflix Negocio 50 (Netflix 1 dispositivo)</v>
      </c>
      <c r="F417" s="113" t="str">
        <f>IFERROR(VLOOKUP($D417,'Info planes y paquetes'!$C$472:$BS$579,2,FALSE),"")</f>
        <v>No Residencial</v>
      </c>
      <c r="G417" s="113" t="str">
        <f>IFERROR(VLOOKUP($D417,'Info planes y paquetes'!$C$472:$BS$579,3,FALSE),"")</f>
        <v>Internet fijo</v>
      </c>
      <c r="H417" s="113" t="str">
        <f>IFERROR(VLOOKUP($D417,'Info planes y paquetes'!$C$472:$BS$579,13,FALSE),"")</f>
        <v>50 Mbps</v>
      </c>
      <c r="I417" s="312">
        <f>INDEX(vector.implicit.prices.broadband.after.discount,MATCH('Cálculos auxiliares'!D417,vector.plans.names,0))</f>
        <v>329</v>
      </c>
      <c r="J417" s="172">
        <f t="shared" si="37"/>
        <v>240.86550852309631</v>
      </c>
      <c r="K417" s="299">
        <f t="shared" si="49"/>
        <v>4.3830470142692632E-5</v>
      </c>
      <c r="M417" s="463">
        <f t="shared" si="41"/>
        <v>50</v>
      </c>
      <c r="Q417" s="95">
        <f t="shared" si="45"/>
        <v>0</v>
      </c>
      <c r="R417" s="95">
        <f t="shared" si="45"/>
        <v>0</v>
      </c>
      <c r="S417" s="95">
        <f t="shared" si="45"/>
        <v>0</v>
      </c>
      <c r="T417" s="95">
        <f t="shared" si="45"/>
        <v>0</v>
      </c>
      <c r="U417" s="95">
        <f t="shared" si="46"/>
        <v>0</v>
      </c>
      <c r="V417" s="95">
        <f t="shared" si="46"/>
        <v>0</v>
      </c>
      <c r="W417" s="95">
        <f t="shared" si="46"/>
        <v>1</v>
      </c>
      <c r="X417" s="95">
        <f t="shared" si="46"/>
        <v>0</v>
      </c>
      <c r="Y417" s="95">
        <f t="shared" si="47"/>
        <v>0</v>
      </c>
      <c r="Z417" s="95">
        <f t="shared" si="47"/>
        <v>0</v>
      </c>
      <c r="AA417" s="95">
        <f t="shared" si="47"/>
        <v>0</v>
      </c>
      <c r="AB417" s="95">
        <f t="shared" si="47"/>
        <v>0</v>
      </c>
      <c r="AC417" s="95">
        <f t="shared" si="48"/>
        <v>0</v>
      </c>
      <c r="AD417" s="95">
        <f t="shared" si="48"/>
        <v>0</v>
      </c>
      <c r="AE417" s="95">
        <f t="shared" si="48"/>
        <v>0</v>
      </c>
      <c r="AF417" s="95">
        <f t="shared" si="44"/>
        <v>0</v>
      </c>
    </row>
    <row r="418" spans="2:32" s="262" customFormat="1" ht="12" outlineLevel="2" x14ac:dyDescent="0.25">
      <c r="B418" s="579" t="str">
        <f t="shared" si="40"/>
        <v>Infinitum Netflix Negocio 50 (Netflix 2 dispositivos)No Residencial</v>
      </c>
      <c r="C418" s="95">
        <f t="shared" si="42"/>
        <v>59</v>
      </c>
      <c r="D418" s="101" t="str">
        <v>Infinitum Netflix Negocio 50 (Netflix 2 dispositivos)</v>
      </c>
      <c r="F418" s="113" t="str">
        <f>IFERROR(VLOOKUP($D418,'Info planes y paquetes'!$C$472:$BS$579,2,FALSE),"")</f>
        <v>No Residencial</v>
      </c>
      <c r="G418" s="113" t="str">
        <f>IFERROR(VLOOKUP($D418,'Info planes y paquetes'!$C$472:$BS$579,3,FALSE),"")</f>
        <v>Internet fijo</v>
      </c>
      <c r="H418" s="113" t="str">
        <f>IFERROR(VLOOKUP($D418,'Info planes y paquetes'!$C$472:$BS$579,13,FALSE),"")</f>
        <v>50 Mbps</v>
      </c>
      <c r="I418" s="312">
        <f>INDEX(vector.implicit.prices.broadband.after.discount,MATCH('Cálculos auxiliares'!D418,vector.plans.names,0))</f>
        <v>312</v>
      </c>
      <c r="J418" s="172">
        <f t="shared" si="37"/>
        <v>223.86550852309631</v>
      </c>
      <c r="K418" s="299">
        <f t="shared" si="49"/>
        <v>2.0626103596561236E-5</v>
      </c>
      <c r="M418" s="463">
        <f t="shared" si="41"/>
        <v>50</v>
      </c>
      <c r="Q418" s="95">
        <f t="shared" si="45"/>
        <v>0</v>
      </c>
      <c r="R418" s="95">
        <f t="shared" si="45"/>
        <v>0</v>
      </c>
      <c r="S418" s="95">
        <f t="shared" si="45"/>
        <v>0</v>
      </c>
      <c r="T418" s="95">
        <f t="shared" si="45"/>
        <v>0</v>
      </c>
      <c r="U418" s="95">
        <f t="shared" si="46"/>
        <v>0</v>
      </c>
      <c r="V418" s="95">
        <f t="shared" si="46"/>
        <v>0</v>
      </c>
      <c r="W418" s="95">
        <f t="shared" si="46"/>
        <v>1</v>
      </c>
      <c r="X418" s="95">
        <f t="shared" si="46"/>
        <v>0</v>
      </c>
      <c r="Y418" s="95">
        <f t="shared" si="47"/>
        <v>0</v>
      </c>
      <c r="Z418" s="95">
        <f t="shared" si="47"/>
        <v>0</v>
      </c>
      <c r="AA418" s="95">
        <f t="shared" si="47"/>
        <v>0</v>
      </c>
      <c r="AB418" s="95">
        <f t="shared" si="47"/>
        <v>0</v>
      </c>
      <c r="AC418" s="95">
        <f t="shared" si="48"/>
        <v>0</v>
      </c>
      <c r="AD418" s="95">
        <f t="shared" si="48"/>
        <v>0</v>
      </c>
      <c r="AE418" s="95">
        <f t="shared" si="48"/>
        <v>0</v>
      </c>
      <c r="AF418" s="95">
        <f t="shared" si="44"/>
        <v>0</v>
      </c>
    </row>
    <row r="419" spans="2:32" s="262" customFormat="1" ht="12" outlineLevel="2" x14ac:dyDescent="0.25">
      <c r="B419" s="579" t="str">
        <f t="shared" si="40"/>
        <v>Infinitum Netflix Negocio 50 (Netflix 4 dispositivos)No Residencial</v>
      </c>
      <c r="C419" s="95">
        <f t="shared" si="42"/>
        <v>60</v>
      </c>
      <c r="D419" s="101" t="str">
        <v>Infinitum Netflix Negocio 50 (Netflix 4 dispositivos)</v>
      </c>
      <c r="F419" s="113" t="str">
        <f>IFERROR(VLOOKUP($D419,'Info planes y paquetes'!$C$472:$BS$579,2,FALSE),"")</f>
        <v>No Residencial</v>
      </c>
      <c r="G419" s="113" t="str">
        <f>IFERROR(VLOOKUP($D419,'Info planes y paquetes'!$C$472:$BS$579,3,FALSE),"")</f>
        <v>Internet fijo</v>
      </c>
      <c r="H419" s="113" t="str">
        <f>IFERROR(VLOOKUP($D419,'Info planes y paquetes'!$C$472:$BS$579,13,FALSE),"")</f>
        <v>50 Mbps</v>
      </c>
      <c r="I419" s="312">
        <f>INDEX(vector.implicit.prices.broadband.after.discount,MATCH('Cálculos auxiliares'!D419,vector.plans.names,0))</f>
        <v>295</v>
      </c>
      <c r="J419" s="172">
        <f t="shared" si="37"/>
        <v>206.86550852309631</v>
      </c>
      <c r="K419" s="299">
        <f t="shared" si="49"/>
        <v>1.0579768655132704E-5</v>
      </c>
      <c r="M419" s="463">
        <f t="shared" si="41"/>
        <v>50</v>
      </c>
      <c r="Q419" s="95">
        <f t="shared" si="45"/>
        <v>0</v>
      </c>
      <c r="R419" s="95">
        <f t="shared" si="45"/>
        <v>0</v>
      </c>
      <c r="S419" s="95">
        <f t="shared" si="45"/>
        <v>0</v>
      </c>
      <c r="T419" s="95">
        <f t="shared" si="45"/>
        <v>0</v>
      </c>
      <c r="U419" s="95">
        <f t="shared" si="46"/>
        <v>0</v>
      </c>
      <c r="V419" s="95">
        <f t="shared" si="46"/>
        <v>0</v>
      </c>
      <c r="W419" s="95">
        <f t="shared" si="46"/>
        <v>1</v>
      </c>
      <c r="X419" s="95">
        <f t="shared" si="46"/>
        <v>0</v>
      </c>
      <c r="Y419" s="95">
        <f t="shared" si="47"/>
        <v>0</v>
      </c>
      <c r="Z419" s="95">
        <f t="shared" si="47"/>
        <v>0</v>
      </c>
      <c r="AA419" s="95">
        <f t="shared" si="47"/>
        <v>0</v>
      </c>
      <c r="AB419" s="95">
        <f t="shared" si="47"/>
        <v>0</v>
      </c>
      <c r="AC419" s="95">
        <f t="shared" si="48"/>
        <v>0</v>
      </c>
      <c r="AD419" s="95">
        <f t="shared" si="48"/>
        <v>0</v>
      </c>
      <c r="AE419" s="95">
        <f t="shared" si="48"/>
        <v>0</v>
      </c>
      <c r="AF419" s="95">
        <f t="shared" si="44"/>
        <v>0</v>
      </c>
    </row>
    <row r="420" spans="2:32" s="262" customFormat="1" ht="12" outlineLevel="2" x14ac:dyDescent="0.25">
      <c r="B420" s="579" t="str">
        <f t="shared" si="40"/>
        <v>Infinitum Netflix Negocio 60 (Netflix 2 dispositivos)No Residencial</v>
      </c>
      <c r="C420" s="95">
        <f t="shared" si="42"/>
        <v>61</v>
      </c>
      <c r="D420" s="101" t="str">
        <v>Infinitum Netflix Negocio 60 (Netflix 2 dispositivos)</v>
      </c>
      <c r="F420" s="113" t="str">
        <f>IFERROR(VLOOKUP($D420,'Info planes y paquetes'!$C$472:$BS$579,2,FALSE),"")</f>
        <v>No Residencial</v>
      </c>
      <c r="G420" s="113" t="str">
        <f>IFERROR(VLOOKUP($D420,'Info planes y paquetes'!$C$472:$BS$579,3,FALSE),"")</f>
        <v>Internet fijo</v>
      </c>
      <c r="H420" s="113" t="str">
        <f>IFERROR(VLOOKUP($D420,'Info planes y paquetes'!$C$472:$BS$579,13,FALSE),"")</f>
        <v>60 Mbps</v>
      </c>
      <c r="I420" s="312">
        <f>INDEX(vector.implicit.prices.broadband.after.discount,MATCH('Cálculos auxiliares'!D420,vector.plans.names,0))</f>
        <v>390</v>
      </c>
      <c r="J420" s="172">
        <f t="shared" si="37"/>
        <v>301.86550852309631</v>
      </c>
      <c r="K420" s="299">
        <f t="shared" si="49"/>
        <v>1.3424748461554943E-5</v>
      </c>
      <c r="M420" s="463">
        <f t="shared" si="41"/>
        <v>60</v>
      </c>
      <c r="Q420" s="95">
        <f t="shared" si="45"/>
        <v>0</v>
      </c>
      <c r="R420" s="95">
        <f t="shared" si="45"/>
        <v>0</v>
      </c>
      <c r="S420" s="95">
        <f t="shared" si="45"/>
        <v>0</v>
      </c>
      <c r="T420" s="95">
        <f t="shared" si="45"/>
        <v>0</v>
      </c>
      <c r="U420" s="95">
        <f t="shared" si="46"/>
        <v>0</v>
      </c>
      <c r="V420" s="95">
        <f t="shared" si="46"/>
        <v>0</v>
      </c>
      <c r="W420" s="95">
        <f t="shared" si="46"/>
        <v>0</v>
      </c>
      <c r="X420" s="95">
        <f t="shared" si="46"/>
        <v>1</v>
      </c>
      <c r="Y420" s="95">
        <f t="shared" si="47"/>
        <v>0</v>
      </c>
      <c r="Z420" s="95">
        <f t="shared" si="47"/>
        <v>0</v>
      </c>
      <c r="AA420" s="95">
        <f t="shared" si="47"/>
        <v>0</v>
      </c>
      <c r="AB420" s="95">
        <f t="shared" si="47"/>
        <v>0</v>
      </c>
      <c r="AC420" s="95">
        <f t="shared" si="48"/>
        <v>0</v>
      </c>
      <c r="AD420" s="95">
        <f t="shared" si="48"/>
        <v>0</v>
      </c>
      <c r="AE420" s="95">
        <f t="shared" si="48"/>
        <v>0</v>
      </c>
      <c r="AF420" s="95">
        <f t="shared" si="44"/>
        <v>0</v>
      </c>
    </row>
    <row r="421" spans="2:32" s="262" customFormat="1" ht="12" outlineLevel="2" x14ac:dyDescent="0.25">
      <c r="B421" s="579" t="str">
        <f t="shared" si="40"/>
        <v>Infinitum Netflix Negocio 60 (Netflix 4 dispositivos)No Residencial</v>
      </c>
      <c r="C421" s="95">
        <f t="shared" si="42"/>
        <v>62</v>
      </c>
      <c r="D421" s="101" t="str">
        <v>Infinitum Netflix Negocio 60 (Netflix 4 dispositivos)</v>
      </c>
      <c r="F421" s="113" t="str">
        <f>IFERROR(VLOOKUP($D421,'Info planes y paquetes'!$C$472:$BS$579,2,FALSE),"")</f>
        <v>No Residencial</v>
      </c>
      <c r="G421" s="113" t="str">
        <f>IFERROR(VLOOKUP($D421,'Info planes y paquetes'!$C$472:$BS$579,3,FALSE),"")</f>
        <v>Internet fijo</v>
      </c>
      <c r="H421" s="113" t="str">
        <f>IFERROR(VLOOKUP($D421,'Info planes y paquetes'!$C$472:$BS$579,13,FALSE),"")</f>
        <v>60 Mbps</v>
      </c>
      <c r="I421" s="312">
        <f>INDEX(vector.implicit.prices.broadband.after.discount,MATCH('Cálculos auxiliares'!D421,vector.plans.names,0))</f>
        <v>247</v>
      </c>
      <c r="J421" s="172">
        <f t="shared" si="37"/>
        <v>158.86550852309631</v>
      </c>
      <c r="K421" s="299">
        <f t="shared" si="49"/>
        <v>3.1116966632743244E-6</v>
      </c>
      <c r="M421" s="463">
        <f t="shared" si="41"/>
        <v>60</v>
      </c>
      <c r="Q421" s="95">
        <f t="shared" si="45"/>
        <v>0</v>
      </c>
      <c r="R421" s="95">
        <f t="shared" si="45"/>
        <v>0</v>
      </c>
      <c r="S421" s="95">
        <f t="shared" si="45"/>
        <v>0</v>
      </c>
      <c r="T421" s="95">
        <f t="shared" si="45"/>
        <v>0</v>
      </c>
      <c r="U421" s="95">
        <f t="shared" si="46"/>
        <v>0</v>
      </c>
      <c r="V421" s="95">
        <f t="shared" si="46"/>
        <v>0</v>
      </c>
      <c r="W421" s="95">
        <f t="shared" si="46"/>
        <v>0</v>
      </c>
      <c r="X421" s="95">
        <f t="shared" si="46"/>
        <v>1</v>
      </c>
      <c r="Y421" s="95">
        <f t="shared" si="47"/>
        <v>0</v>
      </c>
      <c r="Z421" s="95">
        <f t="shared" si="47"/>
        <v>0</v>
      </c>
      <c r="AA421" s="95">
        <f t="shared" si="47"/>
        <v>0</v>
      </c>
      <c r="AB421" s="95">
        <f t="shared" si="47"/>
        <v>0</v>
      </c>
      <c r="AC421" s="95">
        <f t="shared" si="48"/>
        <v>0</v>
      </c>
      <c r="AD421" s="95">
        <f t="shared" si="48"/>
        <v>0</v>
      </c>
      <c r="AE421" s="95">
        <f t="shared" si="48"/>
        <v>0</v>
      </c>
      <c r="AF421" s="95">
        <f t="shared" si="44"/>
        <v>0</v>
      </c>
    </row>
    <row r="422" spans="2:32" s="262" customFormat="1" ht="12" outlineLevel="2" x14ac:dyDescent="0.25">
      <c r="B422" s="579" t="str">
        <f t="shared" si="40"/>
        <v>Infinitum Netflix Negocio 200 (Netflix 4 dispositivos)No Residencial</v>
      </c>
      <c r="C422" s="95">
        <f t="shared" si="42"/>
        <v>63</v>
      </c>
      <c r="D422" s="101" t="str">
        <v>Infinitum Netflix Negocio 200 (Netflix 4 dispositivos)</v>
      </c>
      <c r="F422" s="113" t="str">
        <f>IFERROR(VLOOKUP($D422,'Info planes y paquetes'!$C$472:$BS$579,2,FALSE),"")</f>
        <v>No Residencial</v>
      </c>
      <c r="G422" s="113" t="str">
        <f>IFERROR(VLOOKUP($D422,'Info planes y paquetes'!$C$472:$BS$579,3,FALSE),"")</f>
        <v>Internet fijo</v>
      </c>
      <c r="H422" s="113" t="str">
        <f>IFERROR(VLOOKUP($D422,'Info planes y paquetes'!$C$472:$BS$579,13,FALSE),"")</f>
        <v>200 Mbps</v>
      </c>
      <c r="I422" s="312">
        <f>INDEX(vector.implicit.prices.broadband.after.discount,MATCH('Cálculos auxiliares'!D422,vector.plans.names,0))</f>
        <v>395</v>
      </c>
      <c r="J422" s="172">
        <f t="shared" si="37"/>
        <v>306.86550852309631</v>
      </c>
      <c r="K422" s="299">
        <f t="shared" si="49"/>
        <v>1.5113955221618147E-5</v>
      </c>
      <c r="M422" s="463">
        <f t="shared" si="41"/>
        <v>200</v>
      </c>
      <c r="Q422" s="95">
        <f t="shared" si="45"/>
        <v>0</v>
      </c>
      <c r="R422" s="95">
        <f t="shared" si="45"/>
        <v>0</v>
      </c>
      <c r="S422" s="95">
        <f t="shared" si="45"/>
        <v>0</v>
      </c>
      <c r="T422" s="95">
        <f t="shared" si="45"/>
        <v>0</v>
      </c>
      <c r="U422" s="95">
        <f t="shared" si="46"/>
        <v>0</v>
      </c>
      <c r="V422" s="95">
        <f t="shared" si="46"/>
        <v>0</v>
      </c>
      <c r="W422" s="95">
        <f t="shared" si="46"/>
        <v>0</v>
      </c>
      <c r="X422" s="95">
        <f t="shared" si="46"/>
        <v>0</v>
      </c>
      <c r="Y422" s="95">
        <f t="shared" si="47"/>
        <v>0</v>
      </c>
      <c r="Z422" s="95">
        <f t="shared" si="47"/>
        <v>0</v>
      </c>
      <c r="AA422" s="95">
        <f t="shared" si="47"/>
        <v>0</v>
      </c>
      <c r="AB422" s="95">
        <f t="shared" si="47"/>
        <v>0</v>
      </c>
      <c r="AC422" s="95">
        <f t="shared" si="48"/>
        <v>1</v>
      </c>
      <c r="AD422" s="95">
        <f t="shared" si="48"/>
        <v>0</v>
      </c>
      <c r="AE422" s="95">
        <f t="shared" si="48"/>
        <v>0</v>
      </c>
      <c r="AF422" s="95">
        <f t="shared" si="44"/>
        <v>0</v>
      </c>
    </row>
    <row r="423" spans="2:32" s="262" customFormat="1" ht="12" outlineLevel="2" x14ac:dyDescent="0.25">
      <c r="B423" s="579" t="str">
        <f t="shared" si="40"/>
        <v>Infinitum Netflix Negocio 200 (Netflix 2 dispositivos)No Residencial</v>
      </c>
      <c r="C423" s="95">
        <f t="shared" si="42"/>
        <v>64</v>
      </c>
      <c r="D423" s="101" t="str">
        <v>Infinitum Netflix Negocio 200 (Netflix 2 dispositivos)</v>
      </c>
      <c r="F423" s="113" t="str">
        <f>IFERROR(VLOOKUP($D423,'Info planes y paquetes'!$C$472:$BS$579,2,FALSE),"")</f>
        <v>No Residencial</v>
      </c>
      <c r="G423" s="113" t="str">
        <f>IFERROR(VLOOKUP($D423,'Info planes y paquetes'!$C$472:$BS$579,3,FALSE),"")</f>
        <v>Internet fijo</v>
      </c>
      <c r="H423" s="113" t="str">
        <f>IFERROR(VLOOKUP($D423,'Info planes y paquetes'!$C$472:$BS$579,13,FALSE),"")</f>
        <v>200 Mbps</v>
      </c>
      <c r="I423" s="312">
        <f>INDEX(vector.implicit.prices.broadband.after.discount,MATCH('Cálculos auxiliares'!D423,vector.plans.names,0))</f>
        <v>455</v>
      </c>
      <c r="J423" s="172">
        <f t="shared" si="37"/>
        <v>366.86550852309631</v>
      </c>
      <c r="K423" s="299">
        <f t="shared" si="49"/>
        <v>8.8905618950694995E-6</v>
      </c>
      <c r="M423" s="463">
        <f t="shared" si="41"/>
        <v>200</v>
      </c>
      <c r="Q423" s="95">
        <f t="shared" si="45"/>
        <v>0</v>
      </c>
      <c r="R423" s="95">
        <f t="shared" si="45"/>
        <v>0</v>
      </c>
      <c r="S423" s="95">
        <f t="shared" si="45"/>
        <v>0</v>
      </c>
      <c r="T423" s="95">
        <f t="shared" si="45"/>
        <v>0</v>
      </c>
      <c r="U423" s="95">
        <f t="shared" si="46"/>
        <v>0</v>
      </c>
      <c r="V423" s="95">
        <f t="shared" si="46"/>
        <v>0</v>
      </c>
      <c r="W423" s="95">
        <f t="shared" si="46"/>
        <v>0</v>
      </c>
      <c r="X423" s="95">
        <f t="shared" si="46"/>
        <v>0</v>
      </c>
      <c r="Y423" s="95">
        <f t="shared" si="47"/>
        <v>0</v>
      </c>
      <c r="Z423" s="95">
        <f t="shared" si="47"/>
        <v>0</v>
      </c>
      <c r="AA423" s="95">
        <f t="shared" si="47"/>
        <v>0</v>
      </c>
      <c r="AB423" s="95">
        <f t="shared" si="47"/>
        <v>0</v>
      </c>
      <c r="AC423" s="95">
        <f t="shared" si="48"/>
        <v>1</v>
      </c>
      <c r="AD423" s="95">
        <f t="shared" si="48"/>
        <v>0</v>
      </c>
      <c r="AE423" s="95">
        <f t="shared" si="48"/>
        <v>0</v>
      </c>
      <c r="AF423" s="95">
        <f t="shared" si="44"/>
        <v>0</v>
      </c>
    </row>
    <row r="424" spans="2:32" s="262" customFormat="1" ht="12" outlineLevel="2" x14ac:dyDescent="0.25">
      <c r="B424" s="579" t="str">
        <f t="shared" si="40"/>
        <v>Infinitum Netflix Negocio 500 (Netflix 4 dispositivos)No Residencial</v>
      </c>
      <c r="C424" s="95">
        <f t="shared" si="42"/>
        <v>65</v>
      </c>
      <c r="D424" s="101" t="str">
        <v>Infinitum Netflix Negocio 500 (Netflix 4 dispositivos)</v>
      </c>
      <c r="F424" s="113" t="str">
        <f>IFERROR(VLOOKUP($D424,'Info planes y paquetes'!$C$472:$BS$579,2,FALSE),"")</f>
        <v>No Residencial</v>
      </c>
      <c r="G424" s="113" t="str">
        <f>IFERROR(VLOOKUP($D424,'Info planes y paquetes'!$C$472:$BS$579,3,FALSE),"")</f>
        <v>Internet fijo</v>
      </c>
      <c r="H424" s="113" t="str">
        <f>IFERROR(VLOOKUP($D424,'Info planes y paquetes'!$C$472:$BS$579,13,FALSE),"")</f>
        <v>500 Mbps</v>
      </c>
      <c r="I424" s="312">
        <f>INDEX(vector.implicit.prices.broadband.after.discount,MATCH('Cálculos auxiliares'!D424,vector.plans.names,0))</f>
        <v>609</v>
      </c>
      <c r="J424" s="172">
        <f t="shared" ref="J424:J467" si="50">IF(G424="Internet fijo",I424-VLOOKUP(H424,weighted.average.local.loop.by.plan.by.tx.media,5,FALSE),I424)</f>
        <v>520.86550852309631</v>
      </c>
      <c r="K424" s="299">
        <f t="shared" ref="K424:K455" si="51">VLOOKUP(B424,AEP.broadband.distribution.by.plan,6+MATCH(Year.selected,Years,0),FALSE)</f>
        <v>1.6447539505878574E-5</v>
      </c>
      <c r="M424" s="463">
        <f t="shared" si="41"/>
        <v>500</v>
      </c>
      <c r="Q424" s="95">
        <f t="shared" si="45"/>
        <v>0</v>
      </c>
      <c r="R424" s="95">
        <f t="shared" si="45"/>
        <v>0</v>
      </c>
      <c r="S424" s="95">
        <f t="shared" si="45"/>
        <v>0</v>
      </c>
      <c r="T424" s="95">
        <f t="shared" si="45"/>
        <v>0</v>
      </c>
      <c r="U424" s="95">
        <f t="shared" si="46"/>
        <v>0</v>
      </c>
      <c r="V424" s="95">
        <f t="shared" si="46"/>
        <v>0</v>
      </c>
      <c r="W424" s="95">
        <f t="shared" si="46"/>
        <v>0</v>
      </c>
      <c r="X424" s="95">
        <f t="shared" si="46"/>
        <v>0</v>
      </c>
      <c r="Y424" s="95">
        <f t="shared" si="47"/>
        <v>0</v>
      </c>
      <c r="Z424" s="95">
        <f t="shared" si="47"/>
        <v>0</v>
      </c>
      <c r="AA424" s="95">
        <f t="shared" si="47"/>
        <v>0</v>
      </c>
      <c r="AB424" s="95">
        <f t="shared" si="47"/>
        <v>0</v>
      </c>
      <c r="AC424" s="95">
        <f t="shared" si="48"/>
        <v>0</v>
      </c>
      <c r="AD424" s="95">
        <f t="shared" si="48"/>
        <v>0</v>
      </c>
      <c r="AE424" s="95">
        <f t="shared" si="48"/>
        <v>1</v>
      </c>
      <c r="AF424" s="95">
        <f t="shared" si="44"/>
        <v>0</v>
      </c>
    </row>
    <row r="425" spans="2:32" s="262" customFormat="1" ht="12" outlineLevel="2" x14ac:dyDescent="0.25">
      <c r="B425" s="579" t="str">
        <f t="shared" ref="B425:B467" si="52">D425&amp;F425</f>
        <v>Infinitum Netflix Negocio 500 (Netflix 2 dispositivos)No Residencial</v>
      </c>
      <c r="C425" s="95">
        <f t="shared" si="42"/>
        <v>66</v>
      </c>
      <c r="D425" s="101" t="str">
        <v>Infinitum Netflix Negocio 500 (Netflix 2 dispositivos)</v>
      </c>
      <c r="F425" s="113" t="str">
        <f>IFERROR(VLOOKUP($D425,'Info planes y paquetes'!$C$472:$BS$579,2,FALSE),"")</f>
        <v>No Residencial</v>
      </c>
      <c r="G425" s="113" t="str">
        <f>IFERROR(VLOOKUP($D425,'Info planes y paquetes'!$C$472:$BS$579,3,FALSE),"")</f>
        <v>Internet fijo</v>
      </c>
      <c r="H425" s="113" t="str">
        <f>IFERROR(VLOOKUP($D425,'Info planes y paquetes'!$C$472:$BS$579,13,FALSE),"")</f>
        <v>500 Mbps</v>
      </c>
      <c r="I425" s="312">
        <f>INDEX(vector.implicit.prices.broadband.after.discount,MATCH('Cálculos auxiliares'!D425,vector.plans.names,0))</f>
        <v>887</v>
      </c>
      <c r="J425" s="172">
        <f t="shared" si="50"/>
        <v>798.86550852309631</v>
      </c>
      <c r="K425" s="299">
        <f t="shared" si="51"/>
        <v>4.711997804386834E-6</v>
      </c>
      <c r="M425" s="463">
        <f t="shared" ref="M425:M468" si="53">LEFT(H425,FIND(" ",H425))*1</f>
        <v>500</v>
      </c>
      <c r="Q425" s="95">
        <f t="shared" si="45"/>
        <v>0</v>
      </c>
      <c r="R425" s="95">
        <f t="shared" si="45"/>
        <v>0</v>
      </c>
      <c r="S425" s="95">
        <f t="shared" si="45"/>
        <v>0</v>
      </c>
      <c r="T425" s="95">
        <f t="shared" si="45"/>
        <v>0</v>
      </c>
      <c r="U425" s="95">
        <f t="shared" si="46"/>
        <v>0</v>
      </c>
      <c r="V425" s="95">
        <f t="shared" si="46"/>
        <v>0</v>
      </c>
      <c r="W425" s="95">
        <f t="shared" si="46"/>
        <v>0</v>
      </c>
      <c r="X425" s="95">
        <f t="shared" si="46"/>
        <v>0</v>
      </c>
      <c r="Y425" s="95">
        <f t="shared" si="47"/>
        <v>0</v>
      </c>
      <c r="Z425" s="95">
        <f t="shared" si="47"/>
        <v>0</v>
      </c>
      <c r="AA425" s="95">
        <f t="shared" si="47"/>
        <v>0</v>
      </c>
      <c r="AB425" s="95">
        <f t="shared" si="47"/>
        <v>0</v>
      </c>
      <c r="AC425" s="95">
        <f t="shared" si="48"/>
        <v>0</v>
      </c>
      <c r="AD425" s="95">
        <f t="shared" si="48"/>
        <v>0</v>
      </c>
      <c r="AE425" s="95">
        <f t="shared" si="48"/>
        <v>1</v>
      </c>
      <c r="AF425" s="95">
        <f t="shared" si="44"/>
        <v>0</v>
      </c>
    </row>
    <row r="426" spans="2:32" s="262" customFormat="1" ht="12" outlineLevel="2" x14ac:dyDescent="0.25">
      <c r="B426" s="579" t="str">
        <f t="shared" si="52"/>
        <v>Paquete Infinitum Entretenimiento 30Residencial</v>
      </c>
      <c r="C426" s="95">
        <f t="shared" ref="C426:C479" si="54">1+C425</f>
        <v>67</v>
      </c>
      <c r="D426" s="101" t="str">
        <v>Paquete Infinitum Entretenimiento 30</v>
      </c>
      <c r="F426" s="113" t="str">
        <f>IFERROR(VLOOKUP($D426,'Info planes y paquetes'!$C$472:$BS$579,2,FALSE),"")</f>
        <v>Residencial</v>
      </c>
      <c r="G426" s="113" t="str">
        <f>IFERROR(VLOOKUP($D426,'Info planes y paquetes'!$C$472:$BS$579,3,FALSE),"")</f>
        <v>Telefonía fija + Internet fijo</v>
      </c>
      <c r="H426" s="113" t="str">
        <f>IFERROR(VLOOKUP($D426,'Info planes y paquetes'!$C$472:$BS$579,13,FALSE),"")</f>
        <v>30 Mbps</v>
      </c>
      <c r="I426" s="312">
        <f>INDEX(vector.implicit.prices.broadband.after.discount,MATCH('Cálculos auxiliares'!D426,vector.plans.names,0))</f>
        <v>145.23534204608416</v>
      </c>
      <c r="J426" s="172">
        <f t="shared" si="50"/>
        <v>145.23534204608416</v>
      </c>
      <c r="K426" s="299">
        <f t="shared" si="51"/>
        <v>4.5723982015104532E-2</v>
      </c>
      <c r="M426" s="463">
        <f t="shared" si="53"/>
        <v>30</v>
      </c>
      <c r="Q426" s="95">
        <f t="shared" si="45"/>
        <v>0</v>
      </c>
      <c r="R426" s="95">
        <f t="shared" si="45"/>
        <v>0</v>
      </c>
      <c r="S426" s="95">
        <f t="shared" si="45"/>
        <v>0</v>
      </c>
      <c r="T426" s="95">
        <f t="shared" si="45"/>
        <v>0</v>
      </c>
      <c r="U426" s="95">
        <f t="shared" si="46"/>
        <v>1</v>
      </c>
      <c r="V426" s="95">
        <f t="shared" si="46"/>
        <v>0</v>
      </c>
      <c r="W426" s="95">
        <f t="shared" si="46"/>
        <v>0</v>
      </c>
      <c r="X426" s="95">
        <f t="shared" si="46"/>
        <v>0</v>
      </c>
      <c r="Y426" s="95">
        <f t="shared" si="47"/>
        <v>0</v>
      </c>
      <c r="Z426" s="95">
        <f t="shared" si="47"/>
        <v>0</v>
      </c>
      <c r="AA426" s="95">
        <f t="shared" si="47"/>
        <v>0</v>
      </c>
      <c r="AB426" s="95">
        <f t="shared" si="47"/>
        <v>0</v>
      </c>
      <c r="AC426" s="95">
        <f t="shared" si="48"/>
        <v>0</v>
      </c>
      <c r="AD426" s="95">
        <f t="shared" si="48"/>
        <v>0</v>
      </c>
      <c r="AE426" s="95">
        <f t="shared" si="48"/>
        <v>0</v>
      </c>
      <c r="AF426" s="95">
        <f t="shared" si="44"/>
        <v>0</v>
      </c>
    </row>
    <row r="427" spans="2:32" s="262" customFormat="1" ht="12" outlineLevel="2" x14ac:dyDescent="0.25">
      <c r="B427" s="579" t="str">
        <f t="shared" si="52"/>
        <v>Paquete Infinitum  Entretenimiento 40Residencial</v>
      </c>
      <c r="C427" s="95">
        <f t="shared" si="54"/>
        <v>68</v>
      </c>
      <c r="D427" s="101" t="str">
        <v>Paquete Infinitum  Entretenimiento 40</v>
      </c>
      <c r="F427" s="113" t="str">
        <f>IFERROR(VLOOKUP($D427,'Info planes y paquetes'!$C$472:$BS$579,2,FALSE),"")</f>
        <v>Residencial</v>
      </c>
      <c r="G427" s="113" t="str">
        <f>IFERROR(VLOOKUP($D427,'Info planes y paquetes'!$C$472:$BS$579,3,FALSE),"")</f>
        <v>Telefonía fija + Internet fijo</v>
      </c>
      <c r="H427" s="113" t="str">
        <f>IFERROR(VLOOKUP($D427,'Info planes y paquetes'!$C$472:$BS$579,13,FALSE),"")</f>
        <v>40 Mbps</v>
      </c>
      <c r="I427" s="312">
        <f>INDEX(vector.implicit.prices.broadband.after.discount,MATCH('Cálculos auxiliares'!D427,vector.plans.names,0))</f>
        <v>173.75390729899564</v>
      </c>
      <c r="J427" s="172">
        <f t="shared" si="50"/>
        <v>173.75390729899564</v>
      </c>
      <c r="K427" s="299">
        <f t="shared" si="51"/>
        <v>3.5897421763722115E-3</v>
      </c>
      <c r="M427" s="463">
        <f t="shared" si="53"/>
        <v>40</v>
      </c>
      <c r="Q427" s="95">
        <f t="shared" si="45"/>
        <v>0</v>
      </c>
      <c r="R427" s="95">
        <f t="shared" si="45"/>
        <v>0</v>
      </c>
      <c r="S427" s="95">
        <f t="shared" si="45"/>
        <v>0</v>
      </c>
      <c r="T427" s="95">
        <f t="shared" si="45"/>
        <v>0</v>
      </c>
      <c r="U427" s="95">
        <f t="shared" si="46"/>
        <v>0</v>
      </c>
      <c r="V427" s="95">
        <f t="shared" si="46"/>
        <v>1</v>
      </c>
      <c r="W427" s="95">
        <f t="shared" si="46"/>
        <v>0</v>
      </c>
      <c r="X427" s="95">
        <f t="shared" si="46"/>
        <v>0</v>
      </c>
      <c r="Y427" s="95">
        <f t="shared" si="47"/>
        <v>0</v>
      </c>
      <c r="Z427" s="95">
        <f t="shared" si="47"/>
        <v>0</v>
      </c>
      <c r="AA427" s="95">
        <f t="shared" si="47"/>
        <v>0</v>
      </c>
      <c r="AB427" s="95">
        <f t="shared" si="47"/>
        <v>0</v>
      </c>
      <c r="AC427" s="95">
        <f t="shared" si="48"/>
        <v>0</v>
      </c>
      <c r="AD427" s="95">
        <f t="shared" si="48"/>
        <v>0</v>
      </c>
      <c r="AE427" s="95">
        <f t="shared" si="48"/>
        <v>0</v>
      </c>
      <c r="AF427" s="95">
        <f t="shared" si="44"/>
        <v>0</v>
      </c>
    </row>
    <row r="428" spans="2:32" s="262" customFormat="1" ht="12" outlineLevel="2" x14ac:dyDescent="0.25">
      <c r="B428" s="579" t="str">
        <f t="shared" si="52"/>
        <v>Paquete Infinitum Entretenimiento 50Residencial</v>
      </c>
      <c r="C428" s="95">
        <f t="shared" si="54"/>
        <v>69</v>
      </c>
      <c r="D428" s="101" t="str">
        <v>Paquete Infinitum Entretenimiento 50</v>
      </c>
      <c r="F428" s="113" t="str">
        <f>IFERROR(VLOOKUP($D428,'Info planes y paquetes'!$C$472:$BS$579,2,FALSE),"")</f>
        <v>Residencial</v>
      </c>
      <c r="G428" s="113" t="str">
        <f>IFERROR(VLOOKUP($D428,'Info planes y paquetes'!$C$472:$BS$579,3,FALSE),"")</f>
        <v>Telefonía fija + Internet fijo</v>
      </c>
      <c r="H428" s="113" t="str">
        <f>IFERROR(VLOOKUP($D428,'Info planes y paquetes'!$C$472:$BS$579,13,FALSE),"")</f>
        <v>50 Mbps</v>
      </c>
      <c r="I428" s="312">
        <f>INDEX(vector.implicit.prices.broadband.after.discount,MATCH('Cálculos auxiliares'!D428,vector.plans.names,0))</f>
        <v>272.64211064526023</v>
      </c>
      <c r="J428" s="172">
        <f t="shared" si="50"/>
        <v>272.64211064526023</v>
      </c>
      <c r="K428" s="299">
        <f t="shared" si="51"/>
        <v>2.120221200736174E-3</v>
      </c>
      <c r="M428" s="463">
        <f t="shared" si="53"/>
        <v>50</v>
      </c>
      <c r="Q428" s="95">
        <f t="shared" si="45"/>
        <v>0</v>
      </c>
      <c r="R428" s="95">
        <f t="shared" si="45"/>
        <v>0</v>
      </c>
      <c r="S428" s="95">
        <f t="shared" si="45"/>
        <v>0</v>
      </c>
      <c r="T428" s="95">
        <f t="shared" si="45"/>
        <v>0</v>
      </c>
      <c r="U428" s="95">
        <f t="shared" si="46"/>
        <v>0</v>
      </c>
      <c r="V428" s="95">
        <f t="shared" si="46"/>
        <v>0</v>
      </c>
      <c r="W428" s="95">
        <f t="shared" si="46"/>
        <v>1</v>
      </c>
      <c r="X428" s="95">
        <f t="shared" si="46"/>
        <v>0</v>
      </c>
      <c r="Y428" s="95">
        <f t="shared" si="47"/>
        <v>0</v>
      </c>
      <c r="Z428" s="95">
        <f t="shared" si="47"/>
        <v>0</v>
      </c>
      <c r="AA428" s="95">
        <f t="shared" si="47"/>
        <v>0</v>
      </c>
      <c r="AB428" s="95">
        <f t="shared" si="47"/>
        <v>0</v>
      </c>
      <c r="AC428" s="95">
        <f t="shared" si="48"/>
        <v>0</v>
      </c>
      <c r="AD428" s="95">
        <f t="shared" si="48"/>
        <v>0</v>
      </c>
      <c r="AE428" s="95">
        <f t="shared" si="48"/>
        <v>0</v>
      </c>
      <c r="AF428" s="95">
        <f t="shared" si="44"/>
        <v>0</v>
      </c>
    </row>
    <row r="429" spans="2:32" s="262" customFormat="1" ht="12" outlineLevel="2" x14ac:dyDescent="0.25">
      <c r="B429" s="579" t="str">
        <f t="shared" si="52"/>
        <v>Paquete Infinitum Entretenimiento 250Residencial</v>
      </c>
      <c r="C429" s="95">
        <f t="shared" si="54"/>
        <v>70</v>
      </c>
      <c r="D429" s="101" t="str">
        <v>Paquete Infinitum Entretenimiento 250</v>
      </c>
      <c r="F429" s="113" t="str">
        <f>IFERROR(VLOOKUP($D429,'Info planes y paquetes'!$C$472:$BS$579,2,FALSE),"")</f>
        <v>Residencial</v>
      </c>
      <c r="G429" s="113" t="str">
        <f>IFERROR(VLOOKUP($D429,'Info planes y paquetes'!$C$472:$BS$579,3,FALSE),"")</f>
        <v>Telefonía fija + Internet fijo</v>
      </c>
      <c r="H429" s="113" t="str">
        <f>IFERROR(VLOOKUP($D429,'Info planes y paquetes'!$C$472:$BS$579,13,FALSE),"")</f>
        <v>250 Mbps</v>
      </c>
      <c r="I429" s="312">
        <f>INDEX(vector.implicit.prices.broadband.after.discount,MATCH('Cálculos auxiliares'!D429,vector.plans.names,0))</f>
        <v>303.48258049173614</v>
      </c>
      <c r="J429" s="172">
        <f t="shared" si="50"/>
        <v>303.48258049173614</v>
      </c>
      <c r="K429" s="299">
        <f t="shared" si="51"/>
        <v>6.9598874739362068E-3</v>
      </c>
      <c r="M429" s="463">
        <f t="shared" si="53"/>
        <v>250</v>
      </c>
      <c r="Q429" s="95">
        <f t="shared" si="45"/>
        <v>0</v>
      </c>
      <c r="R429" s="95">
        <f t="shared" si="45"/>
        <v>0</v>
      </c>
      <c r="S429" s="95">
        <f t="shared" si="45"/>
        <v>0</v>
      </c>
      <c r="T429" s="95">
        <f t="shared" si="45"/>
        <v>0</v>
      </c>
      <c r="U429" s="95">
        <f t="shared" si="46"/>
        <v>0</v>
      </c>
      <c r="V429" s="95">
        <f t="shared" si="46"/>
        <v>0</v>
      </c>
      <c r="W429" s="95">
        <f t="shared" si="46"/>
        <v>0</v>
      </c>
      <c r="X429" s="95">
        <f t="shared" si="46"/>
        <v>0</v>
      </c>
      <c r="Y429" s="95">
        <f t="shared" si="47"/>
        <v>0</v>
      </c>
      <c r="Z429" s="95">
        <f t="shared" si="47"/>
        <v>0</v>
      </c>
      <c r="AA429" s="95">
        <f t="shared" si="47"/>
        <v>0</v>
      </c>
      <c r="AB429" s="95">
        <f t="shared" si="47"/>
        <v>0</v>
      </c>
      <c r="AC429" s="95">
        <f t="shared" si="48"/>
        <v>0</v>
      </c>
      <c r="AD429" s="95">
        <f t="shared" si="48"/>
        <v>1</v>
      </c>
      <c r="AE429" s="95">
        <f t="shared" si="48"/>
        <v>0</v>
      </c>
      <c r="AF429" s="95">
        <f t="shared" si="44"/>
        <v>0</v>
      </c>
    </row>
    <row r="430" spans="2:32" s="262" customFormat="1" ht="12" outlineLevel="2" x14ac:dyDescent="0.25">
      <c r="B430" s="579" t="str">
        <f t="shared" si="52"/>
        <v>Paquete Infinitum Entretenimiento 500Residencial</v>
      </c>
      <c r="C430" s="95">
        <f t="shared" si="54"/>
        <v>71</v>
      </c>
      <c r="D430" s="101" t="str">
        <v>Paquete Infinitum Entretenimiento 500</v>
      </c>
      <c r="F430" s="113" t="str">
        <f>IFERROR(VLOOKUP($D430,'Info planes y paquetes'!$C$472:$BS$579,2,FALSE),"")</f>
        <v>Residencial</v>
      </c>
      <c r="G430" s="113" t="str">
        <f>IFERROR(VLOOKUP($D430,'Info planes y paquetes'!$C$472:$BS$579,3,FALSE),"")</f>
        <v>Telefonía fija + Internet fijo</v>
      </c>
      <c r="H430" s="113" t="str">
        <f>IFERROR(VLOOKUP($D430,'Info planes y paquetes'!$C$472:$BS$579,13,FALSE),"")</f>
        <v>500 Mbps</v>
      </c>
      <c r="I430" s="312">
        <f>INDEX(vector.implicit.prices.broadband.after.discount,MATCH('Cálculos auxiliares'!D430,vector.plans.names,0))</f>
        <v>680.19809218317289</v>
      </c>
      <c r="J430" s="172">
        <f t="shared" si="50"/>
        <v>680.19809218317289</v>
      </c>
      <c r="K430" s="299">
        <f t="shared" si="51"/>
        <v>8.0948566054607788E-4</v>
      </c>
      <c r="M430" s="463">
        <f t="shared" si="53"/>
        <v>500</v>
      </c>
      <c r="Q430" s="95">
        <f t="shared" si="45"/>
        <v>0</v>
      </c>
      <c r="R430" s="95">
        <f t="shared" si="45"/>
        <v>0</v>
      </c>
      <c r="S430" s="95">
        <f t="shared" si="45"/>
        <v>0</v>
      </c>
      <c r="T430" s="95">
        <f t="shared" si="45"/>
        <v>0</v>
      </c>
      <c r="U430" s="95">
        <f t="shared" si="46"/>
        <v>0</v>
      </c>
      <c r="V430" s="95">
        <f t="shared" si="46"/>
        <v>0</v>
      </c>
      <c r="W430" s="95">
        <f t="shared" si="46"/>
        <v>0</v>
      </c>
      <c r="X430" s="95">
        <f t="shared" si="46"/>
        <v>0</v>
      </c>
      <c r="Y430" s="95">
        <f t="shared" si="47"/>
        <v>0</v>
      </c>
      <c r="Z430" s="95">
        <f t="shared" si="47"/>
        <v>0</v>
      </c>
      <c r="AA430" s="95">
        <f t="shared" si="47"/>
        <v>0</v>
      </c>
      <c r="AB430" s="95">
        <f t="shared" si="47"/>
        <v>0</v>
      </c>
      <c r="AC430" s="95">
        <f t="shared" si="48"/>
        <v>0</v>
      </c>
      <c r="AD430" s="95">
        <f t="shared" si="48"/>
        <v>0</v>
      </c>
      <c r="AE430" s="95">
        <f t="shared" si="48"/>
        <v>1</v>
      </c>
      <c r="AF430" s="95">
        <f t="shared" si="44"/>
        <v>0</v>
      </c>
    </row>
    <row r="431" spans="2:32" s="262" customFormat="1" ht="12" outlineLevel="2" x14ac:dyDescent="0.25">
      <c r="B431" s="579" t="str">
        <f t="shared" si="52"/>
        <v>Infinitum Entretenimiento 30Residencial</v>
      </c>
      <c r="C431" s="95">
        <f t="shared" si="54"/>
        <v>72</v>
      </c>
      <c r="D431" s="101" t="str">
        <v>Infinitum Entretenimiento 30</v>
      </c>
      <c r="F431" s="113" t="str">
        <f>IFERROR(VLOOKUP($D431,'Info planes y paquetes'!$C$472:$BS$579,2,FALSE),"")</f>
        <v>Residencial</v>
      </c>
      <c r="G431" s="113" t="str">
        <f>IFERROR(VLOOKUP($D431,'Info planes y paquetes'!$C$472:$BS$579,3,FALSE),"")</f>
        <v>Internet fijo</v>
      </c>
      <c r="H431" s="113" t="str">
        <f>IFERROR(VLOOKUP($D431,'Info planes y paquetes'!$C$472:$BS$579,13,FALSE),"")</f>
        <v>30 Mbps</v>
      </c>
      <c r="I431" s="312">
        <f>INDEX(vector.implicit.prices.broadband.after.discount,MATCH('Cálculos auxiliares'!D431,vector.plans.names,0))</f>
        <v>294.1318138465677</v>
      </c>
      <c r="J431" s="172">
        <f t="shared" si="50"/>
        <v>205.997322369664</v>
      </c>
      <c r="K431" s="299">
        <f t="shared" si="51"/>
        <v>8.3673523275446596E-3</v>
      </c>
      <c r="M431" s="463">
        <f t="shared" si="53"/>
        <v>30</v>
      </c>
      <c r="Q431" s="95">
        <f t="shared" si="45"/>
        <v>0</v>
      </c>
      <c r="R431" s="95">
        <f t="shared" si="45"/>
        <v>0</v>
      </c>
      <c r="S431" s="95">
        <f t="shared" si="45"/>
        <v>0</v>
      </c>
      <c r="T431" s="95">
        <f t="shared" si="45"/>
        <v>0</v>
      </c>
      <c r="U431" s="95">
        <f t="shared" si="46"/>
        <v>1</v>
      </c>
      <c r="V431" s="95">
        <f t="shared" si="46"/>
        <v>0</v>
      </c>
      <c r="W431" s="95">
        <f t="shared" si="46"/>
        <v>0</v>
      </c>
      <c r="X431" s="95">
        <f t="shared" si="46"/>
        <v>0</v>
      </c>
      <c r="Y431" s="95">
        <f t="shared" si="47"/>
        <v>0</v>
      </c>
      <c r="Z431" s="95">
        <f t="shared" si="47"/>
        <v>0</v>
      </c>
      <c r="AA431" s="95">
        <f t="shared" si="47"/>
        <v>0</v>
      </c>
      <c r="AB431" s="95">
        <f t="shared" si="47"/>
        <v>0</v>
      </c>
      <c r="AC431" s="95">
        <f t="shared" si="48"/>
        <v>0</v>
      </c>
      <c r="AD431" s="95">
        <f t="shared" si="48"/>
        <v>0</v>
      </c>
      <c r="AE431" s="95">
        <f t="shared" si="48"/>
        <v>0</v>
      </c>
      <c r="AF431" s="95">
        <f t="shared" si="44"/>
        <v>0</v>
      </c>
    </row>
    <row r="432" spans="2:32" s="262" customFormat="1" ht="12" outlineLevel="2" x14ac:dyDescent="0.25">
      <c r="B432" s="579" t="str">
        <f t="shared" si="52"/>
        <v>Infinitum Entretenimiento 40Residencial</v>
      </c>
      <c r="C432" s="95">
        <f t="shared" si="54"/>
        <v>73</v>
      </c>
      <c r="D432" s="101" t="str">
        <v>Infinitum Entretenimiento 40</v>
      </c>
      <c r="F432" s="113" t="str">
        <f>IFERROR(VLOOKUP($D432,'Info planes y paquetes'!$C$472:$BS$579,2,FALSE),"")</f>
        <v>Residencial</v>
      </c>
      <c r="G432" s="113" t="str">
        <f>IFERROR(VLOOKUP($D432,'Info planes y paquetes'!$C$472:$BS$579,3,FALSE),"")</f>
        <v>Internet fijo</v>
      </c>
      <c r="H432" s="113" t="str">
        <f>IFERROR(VLOOKUP($D432,'Info planes y paquetes'!$C$472:$BS$579,13,FALSE),"")</f>
        <v>40 Mbps</v>
      </c>
      <c r="I432" s="312">
        <f>INDEX(vector.implicit.prices.broadband.after.discount,MATCH('Cálculos auxiliares'!D432,vector.plans.names,0))</f>
        <v>268.69941903096623</v>
      </c>
      <c r="J432" s="172">
        <f t="shared" si="50"/>
        <v>180.56492755406254</v>
      </c>
      <c r="K432" s="299">
        <f t="shared" si="51"/>
        <v>2.6777483371759822E-3</v>
      </c>
      <c r="M432" s="463">
        <f t="shared" si="53"/>
        <v>40</v>
      </c>
      <c r="Q432" s="95">
        <f t="shared" si="45"/>
        <v>0</v>
      </c>
      <c r="R432" s="95">
        <f t="shared" si="45"/>
        <v>0</v>
      </c>
      <c r="S432" s="95">
        <f t="shared" si="45"/>
        <v>0</v>
      </c>
      <c r="T432" s="95">
        <f t="shared" si="45"/>
        <v>0</v>
      </c>
      <c r="U432" s="95">
        <f t="shared" si="46"/>
        <v>0</v>
      </c>
      <c r="V432" s="95">
        <f t="shared" si="46"/>
        <v>1</v>
      </c>
      <c r="W432" s="95">
        <f t="shared" si="46"/>
        <v>0</v>
      </c>
      <c r="X432" s="95">
        <f t="shared" si="46"/>
        <v>0</v>
      </c>
      <c r="Y432" s="95">
        <f t="shared" si="47"/>
        <v>0</v>
      </c>
      <c r="Z432" s="95">
        <f t="shared" si="47"/>
        <v>0</v>
      </c>
      <c r="AA432" s="95">
        <f t="shared" si="47"/>
        <v>0</v>
      </c>
      <c r="AB432" s="95">
        <f t="shared" si="47"/>
        <v>0</v>
      </c>
      <c r="AC432" s="95">
        <f t="shared" si="48"/>
        <v>0</v>
      </c>
      <c r="AD432" s="95">
        <f t="shared" si="48"/>
        <v>0</v>
      </c>
      <c r="AE432" s="95">
        <f t="shared" si="48"/>
        <v>0</v>
      </c>
      <c r="AF432" s="95">
        <f t="shared" si="44"/>
        <v>0</v>
      </c>
    </row>
    <row r="433" spans="2:32" s="262" customFormat="1" ht="12" outlineLevel="2" x14ac:dyDescent="0.25">
      <c r="B433" s="579" t="str">
        <f t="shared" si="52"/>
        <v>Infinitum Entretenimiento 200Residencial</v>
      </c>
      <c r="C433" s="95">
        <f t="shared" si="54"/>
        <v>74</v>
      </c>
      <c r="D433" s="101" t="str">
        <v>Infinitum Entretenimiento 200</v>
      </c>
      <c r="F433" s="113" t="str">
        <f>IFERROR(VLOOKUP($D433,'Info planes y paquetes'!$C$472:$BS$579,2,FALSE),"")</f>
        <v>Residencial</v>
      </c>
      <c r="G433" s="113" t="str">
        <f>IFERROR(VLOOKUP($D433,'Info planes y paquetes'!$C$472:$BS$579,3,FALSE),"")</f>
        <v>Internet fijo</v>
      </c>
      <c r="H433" s="113" t="str">
        <f>IFERROR(VLOOKUP($D433,'Info planes y paquetes'!$C$472:$BS$579,13,FALSE),"")</f>
        <v>200 Mbps</v>
      </c>
      <c r="I433" s="312">
        <f>INDEX(vector.implicit.prices.broadband.after.discount,MATCH('Cálculos auxiliares'!D433,vector.plans.names,0))</f>
        <v>479.82496599556413</v>
      </c>
      <c r="J433" s="172">
        <f t="shared" si="50"/>
        <v>391.69047451866044</v>
      </c>
      <c r="K433" s="299">
        <f t="shared" si="51"/>
        <v>1.8315446560032674E-3</v>
      </c>
      <c r="M433" s="463">
        <f t="shared" si="53"/>
        <v>200</v>
      </c>
      <c r="Q433" s="95">
        <f t="shared" si="45"/>
        <v>0</v>
      </c>
      <c r="R433" s="95">
        <f t="shared" si="45"/>
        <v>0</v>
      </c>
      <c r="S433" s="95">
        <f t="shared" si="45"/>
        <v>0</v>
      </c>
      <c r="T433" s="95">
        <f t="shared" si="45"/>
        <v>0</v>
      </c>
      <c r="U433" s="95">
        <f t="shared" si="46"/>
        <v>0</v>
      </c>
      <c r="V433" s="95">
        <f t="shared" si="46"/>
        <v>0</v>
      </c>
      <c r="W433" s="95">
        <f t="shared" si="46"/>
        <v>0</v>
      </c>
      <c r="X433" s="95">
        <f t="shared" si="46"/>
        <v>0</v>
      </c>
      <c r="Y433" s="95">
        <f t="shared" si="47"/>
        <v>0</v>
      </c>
      <c r="Z433" s="95">
        <f t="shared" si="47"/>
        <v>0</v>
      </c>
      <c r="AA433" s="95">
        <f t="shared" si="47"/>
        <v>0</v>
      </c>
      <c r="AB433" s="95">
        <f t="shared" si="47"/>
        <v>0</v>
      </c>
      <c r="AC433" s="95">
        <f t="shared" si="48"/>
        <v>1</v>
      </c>
      <c r="AD433" s="95">
        <f t="shared" si="48"/>
        <v>0</v>
      </c>
      <c r="AE433" s="95">
        <f t="shared" si="48"/>
        <v>0</v>
      </c>
      <c r="AF433" s="95">
        <f t="shared" si="44"/>
        <v>0</v>
      </c>
    </row>
    <row r="434" spans="2:32" s="262" customFormat="1" ht="12" outlineLevel="2" x14ac:dyDescent="0.25">
      <c r="B434" s="579" t="str">
        <f t="shared" si="52"/>
        <v>Infinitum Entretenimiento 500Residencial</v>
      </c>
      <c r="C434" s="95">
        <f t="shared" si="54"/>
        <v>75</v>
      </c>
      <c r="D434" s="101" t="str">
        <v>Infinitum Entretenimiento 500</v>
      </c>
      <c r="F434" s="113" t="str">
        <f>IFERROR(VLOOKUP($D434,'Info planes y paquetes'!$C$472:$BS$579,2,FALSE),"")</f>
        <v>Residencial</v>
      </c>
      <c r="G434" s="113" t="str">
        <f>IFERROR(VLOOKUP($D434,'Info planes y paquetes'!$C$472:$BS$579,3,FALSE),"")</f>
        <v>Internet fijo</v>
      </c>
      <c r="H434" s="113" t="str">
        <f>IFERROR(VLOOKUP($D434,'Info planes y paquetes'!$C$472:$BS$579,13,FALSE),"")</f>
        <v>500 Mbps</v>
      </c>
      <c r="I434" s="312">
        <f>INDEX(vector.implicit.prices.broadband.after.discount,MATCH('Cálculos auxiliares'!D434,vector.plans.names,0))</f>
        <v>826.36674602900746</v>
      </c>
      <c r="J434" s="172">
        <f t="shared" si="50"/>
        <v>738.23225455210377</v>
      </c>
      <c r="K434" s="299">
        <f t="shared" si="51"/>
        <v>2.1008397758049227E-4</v>
      </c>
      <c r="M434" s="463">
        <f t="shared" si="53"/>
        <v>500</v>
      </c>
      <c r="Q434" s="95">
        <f t="shared" si="45"/>
        <v>0</v>
      </c>
      <c r="R434" s="95">
        <f t="shared" si="45"/>
        <v>0</v>
      </c>
      <c r="S434" s="95">
        <f t="shared" si="45"/>
        <v>0</v>
      </c>
      <c r="T434" s="95">
        <f t="shared" si="45"/>
        <v>0</v>
      </c>
      <c r="U434" s="95">
        <f t="shared" si="46"/>
        <v>0</v>
      </c>
      <c r="V434" s="95">
        <f t="shared" si="46"/>
        <v>0</v>
      </c>
      <c r="W434" s="95">
        <f t="shared" si="46"/>
        <v>0</v>
      </c>
      <c r="X434" s="95">
        <f t="shared" si="46"/>
        <v>0</v>
      </c>
      <c r="Y434" s="95">
        <f t="shared" si="47"/>
        <v>0</v>
      </c>
      <c r="Z434" s="95">
        <f t="shared" si="47"/>
        <v>0</v>
      </c>
      <c r="AA434" s="95">
        <f t="shared" si="47"/>
        <v>0</v>
      </c>
      <c r="AB434" s="95">
        <f t="shared" si="47"/>
        <v>0</v>
      </c>
      <c r="AC434" s="95">
        <f t="shared" si="48"/>
        <v>0</v>
      </c>
      <c r="AD434" s="95">
        <f t="shared" si="48"/>
        <v>0</v>
      </c>
      <c r="AE434" s="95">
        <f t="shared" si="48"/>
        <v>1</v>
      </c>
      <c r="AF434" s="95">
        <f t="shared" si="44"/>
        <v>0</v>
      </c>
    </row>
    <row r="435" spans="2:32" s="262" customFormat="1" ht="12" outlineLevel="2" x14ac:dyDescent="0.25">
      <c r="B435" s="579" t="str">
        <f t="shared" si="52"/>
        <v>Paquete infinitum Entretenimiento+ 30  (Netflix 1 dispositivo)Residencial</v>
      </c>
      <c r="C435" s="95">
        <f t="shared" si="54"/>
        <v>76</v>
      </c>
      <c r="D435" s="101" t="str">
        <v>Paquete infinitum Entretenimiento+ 30  (Netflix 1 dispositivo)</v>
      </c>
      <c r="F435" s="113" t="str">
        <f>IFERROR(VLOOKUP($D435,'Info planes y paquetes'!$C$472:$BS$579,2,FALSE),"")</f>
        <v>Residencial</v>
      </c>
      <c r="G435" s="113" t="str">
        <f>IFERROR(VLOOKUP($D435,'Info planes y paquetes'!$C$472:$BS$579,3,FALSE),"")</f>
        <v>Telefonía fija + Internet fijo</v>
      </c>
      <c r="H435" s="113" t="str">
        <f>IFERROR(VLOOKUP($D435,'Info planes y paquetes'!$C$472:$BS$579,13,FALSE),"")</f>
        <v>30 Mbps</v>
      </c>
      <c r="I435" s="312">
        <f>INDEX(vector.implicit.prices.broadband.after.discount,MATCH('Cálculos auxiliares'!D435,vector.plans.names,0))</f>
        <v>108.04131484899659</v>
      </c>
      <c r="J435" s="172">
        <f t="shared" si="50"/>
        <v>108.04131484899659</v>
      </c>
      <c r="K435" s="299">
        <f t="shared" si="51"/>
        <v>2.708776398189775E-3</v>
      </c>
      <c r="M435" s="463">
        <f t="shared" si="53"/>
        <v>30</v>
      </c>
      <c r="Q435" s="95">
        <f t="shared" si="45"/>
        <v>0</v>
      </c>
      <c r="R435" s="95">
        <f t="shared" si="45"/>
        <v>0</v>
      </c>
      <c r="S435" s="95">
        <f t="shared" si="45"/>
        <v>0</v>
      </c>
      <c r="T435" s="95">
        <f t="shared" si="45"/>
        <v>0</v>
      </c>
      <c r="U435" s="95">
        <f t="shared" si="46"/>
        <v>1</v>
      </c>
      <c r="V435" s="95">
        <f t="shared" si="46"/>
        <v>0</v>
      </c>
      <c r="W435" s="95">
        <f t="shared" si="46"/>
        <v>0</v>
      </c>
      <c r="X435" s="95">
        <f t="shared" si="46"/>
        <v>0</v>
      </c>
      <c r="Y435" s="95">
        <f t="shared" si="47"/>
        <v>0</v>
      </c>
      <c r="Z435" s="95">
        <f t="shared" si="47"/>
        <v>0</v>
      </c>
      <c r="AA435" s="95">
        <f t="shared" si="47"/>
        <v>0</v>
      </c>
      <c r="AB435" s="95">
        <f t="shared" si="47"/>
        <v>0</v>
      </c>
      <c r="AC435" s="95">
        <f t="shared" si="48"/>
        <v>0</v>
      </c>
      <c r="AD435" s="95">
        <f t="shared" si="48"/>
        <v>0</v>
      </c>
      <c r="AE435" s="95">
        <f t="shared" si="48"/>
        <v>0</v>
      </c>
      <c r="AF435" s="95">
        <f t="shared" si="44"/>
        <v>0</v>
      </c>
    </row>
    <row r="436" spans="2:32" s="262" customFormat="1" ht="12" outlineLevel="2" x14ac:dyDescent="0.25">
      <c r="B436" s="579" t="str">
        <f t="shared" si="52"/>
        <v>Paquete infinitum Entretenimiento+ 30  (Netflix 2 dispositivos)Residencial</v>
      </c>
      <c r="C436" s="95">
        <f t="shared" si="54"/>
        <v>77</v>
      </c>
      <c r="D436" s="101" t="str">
        <v>Paquete infinitum Entretenimiento+ 30  (Netflix 2 dispositivos)</v>
      </c>
      <c r="F436" s="113" t="str">
        <f>IFERROR(VLOOKUP($D436,'Info planes y paquetes'!$C$472:$BS$579,2,FALSE),"")</f>
        <v>Residencial</v>
      </c>
      <c r="G436" s="113" t="str">
        <f>IFERROR(VLOOKUP($D436,'Info planes y paquetes'!$C$472:$BS$579,3,FALSE),"")</f>
        <v>Telefonía fija + Internet fijo</v>
      </c>
      <c r="H436" s="113" t="str">
        <f>IFERROR(VLOOKUP($D436,'Info planes y paquetes'!$C$472:$BS$579,13,FALSE),"")</f>
        <v>30 Mbps</v>
      </c>
      <c r="I436" s="312">
        <f>INDEX(vector.implicit.prices.broadband.after.discount,MATCH('Cálculos auxiliares'!D436,vector.plans.names,0))</f>
        <v>120.37861979541852</v>
      </c>
      <c r="J436" s="172">
        <f t="shared" si="50"/>
        <v>120.37861979541852</v>
      </c>
      <c r="K436" s="299">
        <f t="shared" si="51"/>
        <v>3.4953244090465733E-3</v>
      </c>
      <c r="M436" s="463">
        <f t="shared" si="53"/>
        <v>30</v>
      </c>
      <c r="Q436" s="95">
        <f t="shared" si="45"/>
        <v>0</v>
      </c>
      <c r="R436" s="95">
        <f t="shared" si="45"/>
        <v>0</v>
      </c>
      <c r="S436" s="95">
        <f t="shared" si="45"/>
        <v>0</v>
      </c>
      <c r="T436" s="95">
        <f t="shared" si="45"/>
        <v>0</v>
      </c>
      <c r="U436" s="95">
        <f t="shared" si="46"/>
        <v>1</v>
      </c>
      <c r="V436" s="95">
        <f t="shared" si="46"/>
        <v>0</v>
      </c>
      <c r="W436" s="95">
        <f t="shared" si="46"/>
        <v>0</v>
      </c>
      <c r="X436" s="95">
        <f t="shared" si="46"/>
        <v>0</v>
      </c>
      <c r="Y436" s="95">
        <f t="shared" si="47"/>
        <v>0</v>
      </c>
      <c r="Z436" s="95">
        <f t="shared" si="47"/>
        <v>0</v>
      </c>
      <c r="AA436" s="95">
        <f t="shared" si="47"/>
        <v>0</v>
      </c>
      <c r="AB436" s="95">
        <f t="shared" si="47"/>
        <v>0</v>
      </c>
      <c r="AC436" s="95">
        <f t="shared" si="48"/>
        <v>0</v>
      </c>
      <c r="AD436" s="95">
        <f t="shared" si="48"/>
        <v>0</v>
      </c>
      <c r="AE436" s="95">
        <f t="shared" si="48"/>
        <v>0</v>
      </c>
      <c r="AF436" s="95">
        <f t="shared" si="44"/>
        <v>0</v>
      </c>
    </row>
    <row r="437" spans="2:32" s="262" customFormat="1" ht="12" outlineLevel="2" x14ac:dyDescent="0.25">
      <c r="B437" s="579" t="str">
        <f t="shared" si="52"/>
        <v>Paquete infinitum Entretenimiento+ 30  (Netflix 4 dispositivos)Residencial</v>
      </c>
      <c r="C437" s="95">
        <f t="shared" si="54"/>
        <v>78</v>
      </c>
      <c r="D437" s="101" t="str">
        <v>Paquete infinitum Entretenimiento+ 30  (Netflix 4 dispositivos)</v>
      </c>
      <c r="F437" s="113" t="str">
        <f>IFERROR(VLOOKUP($D437,'Info planes y paquetes'!$C$472:$BS$579,2,FALSE),"")</f>
        <v>Residencial</v>
      </c>
      <c r="G437" s="113" t="str">
        <f>IFERROR(VLOOKUP($D437,'Info planes y paquetes'!$C$472:$BS$579,3,FALSE),"")</f>
        <v>Telefonía fija + Internet fijo</v>
      </c>
      <c r="H437" s="113" t="str">
        <f>IFERROR(VLOOKUP($D437,'Info planes y paquetes'!$C$472:$BS$579,13,FALSE),"")</f>
        <v>30 Mbps</v>
      </c>
      <c r="I437" s="312">
        <f>INDEX(vector.implicit.prices.broadband.after.discount,MATCH('Cálculos auxiliares'!D437,vector.plans.names,0))</f>
        <v>101.56333042158981</v>
      </c>
      <c r="J437" s="172">
        <f t="shared" si="50"/>
        <v>101.56333042158981</v>
      </c>
      <c r="K437" s="299">
        <f t="shared" si="51"/>
        <v>2.7996379407573854E-3</v>
      </c>
      <c r="M437" s="463">
        <f t="shared" si="53"/>
        <v>30</v>
      </c>
      <c r="Q437" s="95">
        <f t="shared" si="45"/>
        <v>0</v>
      </c>
      <c r="R437" s="95">
        <f t="shared" si="45"/>
        <v>0</v>
      </c>
      <c r="S437" s="95">
        <f t="shared" si="45"/>
        <v>0</v>
      </c>
      <c r="T437" s="95">
        <f t="shared" si="45"/>
        <v>0</v>
      </c>
      <c r="U437" s="95">
        <f t="shared" si="46"/>
        <v>1</v>
      </c>
      <c r="V437" s="95">
        <f t="shared" si="46"/>
        <v>0</v>
      </c>
      <c r="W437" s="95">
        <f t="shared" si="46"/>
        <v>0</v>
      </c>
      <c r="X437" s="95">
        <f t="shared" si="46"/>
        <v>0</v>
      </c>
      <c r="Y437" s="95">
        <f t="shared" si="47"/>
        <v>0</v>
      </c>
      <c r="Z437" s="95">
        <f t="shared" si="47"/>
        <v>0</v>
      </c>
      <c r="AA437" s="95">
        <f t="shared" si="47"/>
        <v>0</v>
      </c>
      <c r="AB437" s="95">
        <f t="shared" si="47"/>
        <v>0</v>
      </c>
      <c r="AC437" s="95">
        <f t="shared" si="48"/>
        <v>0</v>
      </c>
      <c r="AD437" s="95">
        <f t="shared" si="48"/>
        <v>0</v>
      </c>
      <c r="AE437" s="95">
        <f t="shared" si="48"/>
        <v>0</v>
      </c>
      <c r="AF437" s="95">
        <f t="shared" si="44"/>
        <v>0</v>
      </c>
    </row>
    <row r="438" spans="2:32" s="262" customFormat="1" ht="12" outlineLevel="2" x14ac:dyDescent="0.25">
      <c r="B438" s="579" t="str">
        <f t="shared" si="52"/>
        <v>Paquete Infinitum Entretenimiento+ 70   (Netflix 2 dispositivos)Residencial</v>
      </c>
      <c r="C438" s="95">
        <f t="shared" si="54"/>
        <v>79</v>
      </c>
      <c r="D438" s="101" t="str">
        <v>Paquete Infinitum Entretenimiento+ 70   (Netflix 2 dispositivos)</v>
      </c>
      <c r="F438" s="113" t="str">
        <f>IFERROR(VLOOKUP($D438,'Info planes y paquetes'!$C$472:$BS$579,2,FALSE),"")</f>
        <v>Residencial</v>
      </c>
      <c r="G438" s="113" t="str">
        <f>IFERROR(VLOOKUP($D438,'Info planes y paquetes'!$C$472:$BS$579,3,FALSE),"")</f>
        <v>Telefonía fija + Internet fijo</v>
      </c>
      <c r="H438" s="113" t="str">
        <f>IFERROR(VLOOKUP($D438,'Info planes y paquetes'!$C$472:$BS$579,13,FALSE),"")</f>
        <v>70 Mbps</v>
      </c>
      <c r="I438" s="312">
        <f>INDEX(vector.implicit.prices.broadband.after.discount,MATCH('Cálculos auxiliares'!D438,vector.plans.names,0))</f>
        <v>236.67940552016984</v>
      </c>
      <c r="J438" s="172">
        <f t="shared" si="50"/>
        <v>236.67940552016984</v>
      </c>
      <c r="K438" s="299">
        <f t="shared" si="51"/>
        <v>1.06944569035791E-3</v>
      </c>
      <c r="M438" s="463">
        <f t="shared" si="53"/>
        <v>70</v>
      </c>
      <c r="Q438" s="95">
        <f t="shared" si="45"/>
        <v>0</v>
      </c>
      <c r="R438" s="95">
        <f t="shared" si="45"/>
        <v>0</v>
      </c>
      <c r="S438" s="95">
        <f t="shared" si="45"/>
        <v>0</v>
      </c>
      <c r="T438" s="95">
        <f t="shared" si="45"/>
        <v>0</v>
      </c>
      <c r="U438" s="95">
        <f t="shared" si="46"/>
        <v>0</v>
      </c>
      <c r="V438" s="95">
        <f t="shared" si="46"/>
        <v>0</v>
      </c>
      <c r="W438" s="95">
        <f t="shared" si="46"/>
        <v>0</v>
      </c>
      <c r="X438" s="95">
        <f t="shared" si="46"/>
        <v>0</v>
      </c>
      <c r="Y438" s="95">
        <f t="shared" si="47"/>
        <v>1</v>
      </c>
      <c r="Z438" s="95">
        <f t="shared" si="47"/>
        <v>0</v>
      </c>
      <c r="AA438" s="95">
        <f t="shared" si="47"/>
        <v>0</v>
      </c>
      <c r="AB438" s="95">
        <f t="shared" si="47"/>
        <v>0</v>
      </c>
      <c r="AC438" s="95">
        <f t="shared" si="48"/>
        <v>0</v>
      </c>
      <c r="AD438" s="95">
        <f t="shared" si="48"/>
        <v>0</v>
      </c>
      <c r="AE438" s="95">
        <f t="shared" si="48"/>
        <v>0</v>
      </c>
      <c r="AF438" s="95">
        <f t="shared" si="48"/>
        <v>0</v>
      </c>
    </row>
    <row r="439" spans="2:32" s="262" customFormat="1" ht="12" outlineLevel="2" x14ac:dyDescent="0.25">
      <c r="B439" s="579" t="str">
        <f t="shared" si="52"/>
        <v>Paquete Infinitum Entretenimiento+ 70   (Netflix 4 dispositivos)Residencial</v>
      </c>
      <c r="C439" s="95">
        <f t="shared" si="54"/>
        <v>80</v>
      </c>
      <c r="D439" s="101" t="str">
        <v>Paquete Infinitum Entretenimiento+ 70   (Netflix 4 dispositivos)</v>
      </c>
      <c r="F439" s="113" t="str">
        <f>IFERROR(VLOOKUP($D439,'Info planes y paquetes'!$C$472:$BS$579,2,FALSE),"")</f>
        <v>Residencial</v>
      </c>
      <c r="G439" s="113" t="str">
        <f>IFERROR(VLOOKUP($D439,'Info planes y paquetes'!$C$472:$BS$579,3,FALSE),"")</f>
        <v>Telefonía fija + Internet fijo</v>
      </c>
      <c r="H439" s="113" t="str">
        <f>IFERROR(VLOOKUP($D439,'Info planes y paquetes'!$C$472:$BS$579,13,FALSE),"")</f>
        <v>70 Mbps</v>
      </c>
      <c r="I439" s="312">
        <f>INDEX(vector.implicit.prices.broadband.after.discount,MATCH('Cálculos auxiliares'!D439,vector.plans.names,0))</f>
        <v>194.72353360246973</v>
      </c>
      <c r="J439" s="172">
        <f t="shared" si="50"/>
        <v>194.72353360246973</v>
      </c>
      <c r="K439" s="299">
        <f t="shared" si="51"/>
        <v>4.4426137789662284E-4</v>
      </c>
      <c r="M439" s="463">
        <f t="shared" si="53"/>
        <v>70</v>
      </c>
      <c r="Q439" s="95">
        <f t="shared" si="45"/>
        <v>0</v>
      </c>
      <c r="R439" s="95">
        <f t="shared" si="45"/>
        <v>0</v>
      </c>
      <c r="S439" s="95">
        <f t="shared" si="45"/>
        <v>0</v>
      </c>
      <c r="T439" s="95">
        <f t="shared" ref="T439:W479" si="55">IF(T$359=$M439,1,0)</f>
        <v>0</v>
      </c>
      <c r="U439" s="95">
        <f t="shared" si="46"/>
        <v>0</v>
      </c>
      <c r="V439" s="95">
        <f t="shared" si="46"/>
        <v>0</v>
      </c>
      <c r="W439" s="95">
        <f t="shared" si="46"/>
        <v>0</v>
      </c>
      <c r="X439" s="95">
        <f t="shared" ref="X439:AA479" si="56">IF(X$359=$M439,1,0)</f>
        <v>0</v>
      </c>
      <c r="Y439" s="95">
        <f t="shared" si="47"/>
        <v>1</v>
      </c>
      <c r="Z439" s="95">
        <f t="shared" si="47"/>
        <v>0</v>
      </c>
      <c r="AA439" s="95">
        <f t="shared" si="47"/>
        <v>0</v>
      </c>
      <c r="AB439" s="95">
        <f t="shared" ref="AB439:AF479" si="57">IF(AB$359=$M439,1,0)</f>
        <v>0</v>
      </c>
      <c r="AC439" s="95">
        <f t="shared" si="48"/>
        <v>0</v>
      </c>
      <c r="AD439" s="95">
        <f t="shared" si="48"/>
        <v>0</v>
      </c>
      <c r="AE439" s="95">
        <f t="shared" si="48"/>
        <v>0</v>
      </c>
      <c r="AF439" s="95">
        <f t="shared" si="48"/>
        <v>0</v>
      </c>
    </row>
    <row r="440" spans="2:32" s="262" customFormat="1" ht="12" outlineLevel="2" x14ac:dyDescent="0.25">
      <c r="B440" s="579" t="str">
        <f t="shared" si="52"/>
        <v>Paquete Infinitum Entretenimiento+ 120    (Netflix 2 dispositivos)Residencial</v>
      </c>
      <c r="C440" s="95">
        <f t="shared" si="54"/>
        <v>81</v>
      </c>
      <c r="D440" s="101" t="str">
        <v>Paquete Infinitum Entretenimiento+ 120    (Netflix 2 dispositivos)</v>
      </c>
      <c r="F440" s="113" t="str">
        <f>IFERROR(VLOOKUP($D440,'Info planes y paquetes'!$C$472:$BS$579,2,FALSE),"")</f>
        <v>Residencial</v>
      </c>
      <c r="G440" s="113" t="str">
        <f>IFERROR(VLOOKUP($D440,'Info planes y paquetes'!$C$472:$BS$579,3,FALSE),"")</f>
        <v>Telefonía fija + Internet fijo</v>
      </c>
      <c r="H440" s="113" t="str">
        <f>IFERROR(VLOOKUP($D440,'Info planes y paquetes'!$C$472:$BS$579,13,FALSE),"")</f>
        <v>120 Mbps</v>
      </c>
      <c r="I440" s="312">
        <f>INDEX(vector.implicit.prices.broadband.after.discount,MATCH('Cálculos auxiliares'!D440,vector.plans.names,0))</f>
        <v>209.94738265083294</v>
      </c>
      <c r="J440" s="172">
        <f t="shared" si="50"/>
        <v>209.94738265083294</v>
      </c>
      <c r="K440" s="299">
        <f t="shared" si="51"/>
        <v>4.2559119791697693E-4</v>
      </c>
      <c r="M440" s="463">
        <f t="shared" si="53"/>
        <v>120</v>
      </c>
      <c r="Q440" s="95">
        <f t="shared" ref="Q440:S479" si="58">IF(Q$359=$M440,1,0)</f>
        <v>0</v>
      </c>
      <c r="R440" s="95">
        <f t="shared" si="58"/>
        <v>0</v>
      </c>
      <c r="S440" s="95">
        <f t="shared" si="58"/>
        <v>0</v>
      </c>
      <c r="T440" s="95">
        <f t="shared" si="55"/>
        <v>0</v>
      </c>
      <c r="U440" s="95">
        <f t="shared" si="55"/>
        <v>0</v>
      </c>
      <c r="V440" s="95">
        <f t="shared" si="55"/>
        <v>0</v>
      </c>
      <c r="W440" s="95">
        <f t="shared" si="55"/>
        <v>0</v>
      </c>
      <c r="X440" s="95">
        <f t="shared" si="56"/>
        <v>0</v>
      </c>
      <c r="Y440" s="95">
        <f t="shared" si="56"/>
        <v>0</v>
      </c>
      <c r="Z440" s="95">
        <f t="shared" si="56"/>
        <v>0</v>
      </c>
      <c r="AA440" s="95">
        <f t="shared" si="56"/>
        <v>1</v>
      </c>
      <c r="AB440" s="95">
        <f t="shared" si="57"/>
        <v>0</v>
      </c>
      <c r="AC440" s="95">
        <f t="shared" si="57"/>
        <v>0</v>
      </c>
      <c r="AD440" s="95">
        <f t="shared" si="57"/>
        <v>0</v>
      </c>
      <c r="AE440" s="95">
        <f t="shared" si="57"/>
        <v>0</v>
      </c>
      <c r="AF440" s="95">
        <f t="shared" si="57"/>
        <v>0</v>
      </c>
    </row>
    <row r="441" spans="2:32" s="262" customFormat="1" ht="12" outlineLevel="2" x14ac:dyDescent="0.25">
      <c r="B441" s="579" t="str">
        <f t="shared" si="52"/>
        <v>Paquete Infinitum Entretenimiento+ 120    (Netflix 4 dispositivos)Residencial</v>
      </c>
      <c r="C441" s="95">
        <f t="shared" si="54"/>
        <v>82</v>
      </c>
      <c r="D441" s="101" t="str">
        <v>Paquete Infinitum Entretenimiento+ 120    (Netflix 4 dispositivos)</v>
      </c>
      <c r="F441" s="113" t="str">
        <f>IFERROR(VLOOKUP($D441,'Info planes y paquetes'!$C$472:$BS$579,2,FALSE),"")</f>
        <v>Residencial</v>
      </c>
      <c r="G441" s="113" t="str">
        <f>IFERROR(VLOOKUP($D441,'Info planes y paquetes'!$C$472:$BS$579,3,FALSE),"")</f>
        <v>Telefonía fija + Internet fijo</v>
      </c>
      <c r="H441" s="113" t="str">
        <f>IFERROR(VLOOKUP($D441,'Info planes y paquetes'!$C$472:$BS$579,13,FALSE),"")</f>
        <v>120 Mbps</v>
      </c>
      <c r="I441" s="312">
        <f>INDEX(vector.implicit.prices.broadband.after.discount,MATCH('Cálculos auxiliares'!D441,vector.plans.names,0))</f>
        <v>284.86087723518563</v>
      </c>
      <c r="J441" s="172">
        <f t="shared" si="50"/>
        <v>284.86087723518563</v>
      </c>
      <c r="K441" s="299">
        <f t="shared" si="51"/>
        <v>3.2157162374466376E-4</v>
      </c>
      <c r="M441" s="463">
        <f t="shared" si="53"/>
        <v>120</v>
      </c>
      <c r="Q441" s="95">
        <f t="shared" si="58"/>
        <v>0</v>
      </c>
      <c r="R441" s="95">
        <f t="shared" si="58"/>
        <v>0</v>
      </c>
      <c r="S441" s="95">
        <f t="shared" si="58"/>
        <v>0</v>
      </c>
      <c r="T441" s="95">
        <f t="shared" si="55"/>
        <v>0</v>
      </c>
      <c r="U441" s="95">
        <f t="shared" si="55"/>
        <v>0</v>
      </c>
      <c r="V441" s="95">
        <f t="shared" si="55"/>
        <v>0</v>
      </c>
      <c r="W441" s="95">
        <f t="shared" si="55"/>
        <v>0</v>
      </c>
      <c r="X441" s="95">
        <f t="shared" si="56"/>
        <v>0</v>
      </c>
      <c r="Y441" s="95">
        <f t="shared" si="56"/>
        <v>0</v>
      </c>
      <c r="Z441" s="95">
        <f t="shared" si="56"/>
        <v>0</v>
      </c>
      <c r="AA441" s="95">
        <f t="shared" si="56"/>
        <v>1</v>
      </c>
      <c r="AB441" s="95">
        <f t="shared" si="57"/>
        <v>0</v>
      </c>
      <c r="AC441" s="95">
        <f t="shared" si="57"/>
        <v>0</v>
      </c>
      <c r="AD441" s="95">
        <f t="shared" si="57"/>
        <v>0</v>
      </c>
      <c r="AE441" s="95">
        <f t="shared" si="57"/>
        <v>0</v>
      </c>
      <c r="AF441" s="95">
        <f t="shared" si="57"/>
        <v>0</v>
      </c>
    </row>
    <row r="442" spans="2:32" s="262" customFormat="1" ht="12" outlineLevel="2" x14ac:dyDescent="0.25">
      <c r="B442" s="579" t="str">
        <f t="shared" si="52"/>
        <v>Paquete infinitum Entretenimiento+ 200  (Netflix 4 dispositivos)Residencial</v>
      </c>
      <c r="C442" s="95">
        <f t="shared" si="54"/>
        <v>83</v>
      </c>
      <c r="D442" s="101" t="str">
        <v>Paquete infinitum Entretenimiento+ 200  (Netflix 4 dispositivos)</v>
      </c>
      <c r="F442" s="113" t="str">
        <f>IFERROR(VLOOKUP($D442,'Info planes y paquetes'!$C$472:$BS$579,2,FALSE),"")</f>
        <v>Residencial</v>
      </c>
      <c r="G442" s="113" t="str">
        <f>IFERROR(VLOOKUP($D442,'Info planes y paquetes'!$C$472:$BS$579,3,FALSE),"")</f>
        <v>Telefonía fija + Internet fijo</v>
      </c>
      <c r="H442" s="113" t="str">
        <f>IFERROR(VLOOKUP($D442,'Info planes y paquetes'!$C$472:$BS$579,13,FALSE),"")</f>
        <v>200 Mbps</v>
      </c>
      <c r="I442" s="312">
        <f>INDEX(vector.implicit.prices.broadband.after.discount,MATCH('Cálculos auxiliares'!D442,vector.plans.names,0))</f>
        <v>290.95644014918719</v>
      </c>
      <c r="J442" s="172">
        <f t="shared" si="50"/>
        <v>290.95644014918719</v>
      </c>
      <c r="K442" s="299">
        <f t="shared" si="51"/>
        <v>2.0152236647554035E-3</v>
      </c>
      <c r="M442" s="463">
        <f t="shared" si="53"/>
        <v>200</v>
      </c>
      <c r="Q442" s="95">
        <f t="shared" si="58"/>
        <v>0</v>
      </c>
      <c r="R442" s="95">
        <f t="shared" si="58"/>
        <v>0</v>
      </c>
      <c r="S442" s="95">
        <f t="shared" si="58"/>
        <v>0</v>
      </c>
      <c r="T442" s="95">
        <f t="shared" si="55"/>
        <v>0</v>
      </c>
      <c r="U442" s="95">
        <f t="shared" si="55"/>
        <v>0</v>
      </c>
      <c r="V442" s="95">
        <f t="shared" si="55"/>
        <v>0</v>
      </c>
      <c r="W442" s="95">
        <f t="shared" si="55"/>
        <v>0</v>
      </c>
      <c r="X442" s="95">
        <f t="shared" si="56"/>
        <v>0</v>
      </c>
      <c r="Y442" s="95">
        <f t="shared" si="56"/>
        <v>0</v>
      </c>
      <c r="Z442" s="95">
        <f t="shared" si="56"/>
        <v>0</v>
      </c>
      <c r="AA442" s="95">
        <f t="shared" si="56"/>
        <v>0</v>
      </c>
      <c r="AB442" s="95">
        <f t="shared" si="57"/>
        <v>0</v>
      </c>
      <c r="AC442" s="95">
        <f t="shared" si="57"/>
        <v>1</v>
      </c>
      <c r="AD442" s="95">
        <f t="shared" si="57"/>
        <v>0</v>
      </c>
      <c r="AE442" s="95">
        <f t="shared" si="57"/>
        <v>0</v>
      </c>
      <c r="AF442" s="95">
        <f t="shared" si="57"/>
        <v>0</v>
      </c>
    </row>
    <row r="443" spans="2:32" s="262" customFormat="1" ht="12" outlineLevel="2" x14ac:dyDescent="0.25">
      <c r="B443" s="579" t="str">
        <f t="shared" si="52"/>
        <v>Paquete infinitum Entretenimiento+ 200  (Netflix 2 dispositivos)Residencial</v>
      </c>
      <c r="C443" s="95">
        <f t="shared" si="54"/>
        <v>84</v>
      </c>
      <c r="D443" s="101" t="str">
        <v>Paquete infinitum Entretenimiento+ 200  (Netflix 2 dispositivos)</v>
      </c>
      <c r="F443" s="113" t="str">
        <f>IFERROR(VLOOKUP($D443,'Info planes y paquetes'!$C$472:$BS$579,2,FALSE),"")</f>
        <v>Residencial</v>
      </c>
      <c r="G443" s="113" t="str">
        <f>IFERROR(VLOOKUP($D443,'Info planes y paquetes'!$C$472:$BS$579,3,FALSE),"")</f>
        <v>Telefonía fija + Internet fijo</v>
      </c>
      <c r="H443" s="113" t="str">
        <f>IFERROR(VLOOKUP($D443,'Info planes y paquetes'!$C$472:$BS$579,13,FALSE),"")</f>
        <v>200 Mbps</v>
      </c>
      <c r="I443" s="312">
        <f>INDEX(vector.implicit.prices.broadband.after.discount,MATCH('Cálculos auxiliares'!D443,vector.plans.names,0))</f>
        <v>260.0213984280627</v>
      </c>
      <c r="J443" s="172">
        <f t="shared" si="50"/>
        <v>260.0213984280627</v>
      </c>
      <c r="K443" s="299">
        <f t="shared" si="51"/>
        <v>3.014789538618067E-4</v>
      </c>
      <c r="M443" s="463">
        <f t="shared" si="53"/>
        <v>200</v>
      </c>
      <c r="Q443" s="95">
        <f t="shared" si="58"/>
        <v>0</v>
      </c>
      <c r="R443" s="95">
        <f t="shared" si="58"/>
        <v>0</v>
      </c>
      <c r="S443" s="95">
        <f t="shared" si="58"/>
        <v>0</v>
      </c>
      <c r="T443" s="95">
        <f t="shared" si="55"/>
        <v>0</v>
      </c>
      <c r="U443" s="95">
        <f t="shared" si="55"/>
        <v>0</v>
      </c>
      <c r="V443" s="95">
        <f t="shared" si="55"/>
        <v>0</v>
      </c>
      <c r="W443" s="95">
        <f t="shared" si="55"/>
        <v>0</v>
      </c>
      <c r="X443" s="95">
        <f t="shared" si="56"/>
        <v>0</v>
      </c>
      <c r="Y443" s="95">
        <f t="shared" si="56"/>
        <v>0</v>
      </c>
      <c r="Z443" s="95">
        <f t="shared" si="56"/>
        <v>0</v>
      </c>
      <c r="AA443" s="95">
        <f t="shared" si="56"/>
        <v>0</v>
      </c>
      <c r="AB443" s="95">
        <f t="shared" si="57"/>
        <v>0</v>
      </c>
      <c r="AC443" s="95">
        <f t="shared" si="57"/>
        <v>1</v>
      </c>
      <c r="AD443" s="95">
        <f t="shared" si="57"/>
        <v>0</v>
      </c>
      <c r="AE443" s="95">
        <f t="shared" si="57"/>
        <v>0</v>
      </c>
      <c r="AF443" s="95">
        <f t="shared" si="57"/>
        <v>0</v>
      </c>
    </row>
    <row r="444" spans="2:32" s="262" customFormat="1" ht="12" outlineLevel="2" x14ac:dyDescent="0.25">
      <c r="B444" s="579" t="str">
        <f t="shared" si="52"/>
        <v>Paquete infinitum Entretenimiento+ 500 (Netflix 4 dispositivos)Residencial</v>
      </c>
      <c r="C444" s="95">
        <f t="shared" si="54"/>
        <v>85</v>
      </c>
      <c r="D444" s="101" t="str">
        <v>Paquete infinitum Entretenimiento+ 500 (Netflix 4 dispositivos)</v>
      </c>
      <c r="F444" s="113" t="str">
        <f>IFERROR(VLOOKUP($D444,'Info planes y paquetes'!$C$472:$BS$579,2,FALSE),"")</f>
        <v>Residencial</v>
      </c>
      <c r="G444" s="113" t="str">
        <f>IFERROR(VLOOKUP($D444,'Info planes y paquetes'!$C$472:$BS$579,3,FALSE),"")</f>
        <v>Telefonía fija + Internet fijo</v>
      </c>
      <c r="H444" s="113" t="str">
        <f>IFERROR(VLOOKUP($D444,'Info planes y paquetes'!$C$472:$BS$579,13,FALSE),"")</f>
        <v>500 Mbps</v>
      </c>
      <c r="I444" s="312">
        <f>INDEX(vector.implicit.prices.broadband.after.discount,MATCH('Cálculos auxiliares'!D444,vector.plans.names,0))</f>
        <v>593.32257783421096</v>
      </c>
      <c r="J444" s="172">
        <f t="shared" si="50"/>
        <v>593.32257783421096</v>
      </c>
      <c r="K444" s="299">
        <f t="shared" si="51"/>
        <v>2.0795024272567559E-4</v>
      </c>
      <c r="M444" s="463">
        <f t="shared" si="53"/>
        <v>500</v>
      </c>
      <c r="Q444" s="95">
        <f t="shared" si="58"/>
        <v>0</v>
      </c>
      <c r="R444" s="95">
        <f t="shared" si="58"/>
        <v>0</v>
      </c>
      <c r="S444" s="95">
        <f t="shared" si="58"/>
        <v>0</v>
      </c>
      <c r="T444" s="95">
        <f t="shared" si="55"/>
        <v>0</v>
      </c>
      <c r="U444" s="95">
        <f t="shared" si="55"/>
        <v>0</v>
      </c>
      <c r="V444" s="95">
        <f t="shared" si="55"/>
        <v>0</v>
      </c>
      <c r="W444" s="95">
        <f t="shared" si="55"/>
        <v>0</v>
      </c>
      <c r="X444" s="95">
        <f t="shared" si="56"/>
        <v>0</v>
      </c>
      <c r="Y444" s="95">
        <f t="shared" si="56"/>
        <v>0</v>
      </c>
      <c r="Z444" s="95">
        <f t="shared" si="56"/>
        <v>0</v>
      </c>
      <c r="AA444" s="95">
        <f t="shared" si="56"/>
        <v>0</v>
      </c>
      <c r="AB444" s="95">
        <f t="shared" si="57"/>
        <v>0</v>
      </c>
      <c r="AC444" s="95">
        <f t="shared" si="57"/>
        <v>0</v>
      </c>
      <c r="AD444" s="95">
        <f t="shared" si="57"/>
        <v>0</v>
      </c>
      <c r="AE444" s="95">
        <f t="shared" si="57"/>
        <v>1</v>
      </c>
      <c r="AF444" s="95">
        <f t="shared" si="57"/>
        <v>0</v>
      </c>
    </row>
    <row r="445" spans="2:32" s="262" customFormat="1" ht="12" outlineLevel="2" x14ac:dyDescent="0.25">
      <c r="B445" s="579" t="str">
        <f t="shared" si="52"/>
        <v>Paquete infinitum Entretenimiento+ 500  (Netflix 2 dispositivos)Residencial</v>
      </c>
      <c r="C445" s="95">
        <f t="shared" si="54"/>
        <v>86</v>
      </c>
      <c r="D445" s="101" t="str">
        <v>Paquete infinitum Entretenimiento+ 500  (Netflix 2 dispositivos)</v>
      </c>
      <c r="F445" s="113" t="str">
        <f>IFERROR(VLOOKUP($D445,'Info planes y paquetes'!$C$472:$BS$579,2,FALSE),"")</f>
        <v>Residencial</v>
      </c>
      <c r="G445" s="113" t="str">
        <f>IFERROR(VLOOKUP($D445,'Info planes y paquetes'!$C$472:$BS$579,3,FALSE),"")</f>
        <v>Telefonía fija + Internet fijo</v>
      </c>
      <c r="H445" s="113" t="str">
        <f>IFERROR(VLOOKUP($D445,'Info planes y paquetes'!$C$472:$BS$579,13,FALSE),"")</f>
        <v>500 Mbps</v>
      </c>
      <c r="I445" s="312">
        <f>INDEX(vector.implicit.prices.broadband.after.discount,MATCH('Cálculos auxiliares'!D445,vector.plans.names,0))</f>
        <v>780.80184843143184</v>
      </c>
      <c r="J445" s="172">
        <f t="shared" si="50"/>
        <v>780.80184843143184</v>
      </c>
      <c r="K445" s="299">
        <f t="shared" si="51"/>
        <v>2.5427007019898767E-5</v>
      </c>
      <c r="M445" s="463">
        <f t="shared" si="53"/>
        <v>500</v>
      </c>
      <c r="Q445" s="95">
        <f t="shared" si="58"/>
        <v>0</v>
      </c>
      <c r="R445" s="95">
        <f t="shared" si="58"/>
        <v>0</v>
      </c>
      <c r="S445" s="95">
        <f t="shared" si="58"/>
        <v>0</v>
      </c>
      <c r="T445" s="95">
        <f t="shared" si="55"/>
        <v>0</v>
      </c>
      <c r="U445" s="95">
        <f t="shared" si="55"/>
        <v>0</v>
      </c>
      <c r="V445" s="95">
        <f t="shared" si="55"/>
        <v>0</v>
      </c>
      <c r="W445" s="95">
        <f t="shared" si="55"/>
        <v>0</v>
      </c>
      <c r="X445" s="95">
        <f t="shared" si="56"/>
        <v>0</v>
      </c>
      <c r="Y445" s="95">
        <f t="shared" si="56"/>
        <v>0</v>
      </c>
      <c r="Z445" s="95">
        <f t="shared" si="56"/>
        <v>0</v>
      </c>
      <c r="AA445" s="95">
        <f t="shared" si="56"/>
        <v>0</v>
      </c>
      <c r="AB445" s="95">
        <f t="shared" si="57"/>
        <v>0</v>
      </c>
      <c r="AC445" s="95">
        <f t="shared" si="57"/>
        <v>0</v>
      </c>
      <c r="AD445" s="95">
        <f t="shared" si="57"/>
        <v>0</v>
      </c>
      <c r="AE445" s="95">
        <f t="shared" si="57"/>
        <v>1</v>
      </c>
      <c r="AF445" s="95">
        <f t="shared" si="57"/>
        <v>0</v>
      </c>
    </row>
    <row r="446" spans="2:32" s="262" customFormat="1" ht="12" outlineLevel="2" x14ac:dyDescent="0.25">
      <c r="B446" s="579" t="str">
        <f t="shared" si="52"/>
        <v>Infinitum Entretenimiento +30   (Netflix 1 dispositivo)Residencial</v>
      </c>
      <c r="C446" s="95">
        <f t="shared" si="54"/>
        <v>87</v>
      </c>
      <c r="D446" s="101" t="str">
        <v>Infinitum Entretenimiento +30   (Netflix 1 dispositivo)</v>
      </c>
      <c r="F446" s="113" t="str">
        <f>IFERROR(VLOOKUP($D446,'Info planes y paquetes'!$C$472:$BS$579,2,FALSE),"")</f>
        <v>Residencial</v>
      </c>
      <c r="G446" s="113" t="str">
        <f>IFERROR(VLOOKUP($D446,'Info planes y paquetes'!$C$472:$BS$579,3,FALSE),"")</f>
        <v>Internet fijo</v>
      </c>
      <c r="H446" s="113" t="str">
        <f>IFERROR(VLOOKUP($D446,'Info planes y paquetes'!$C$472:$BS$579,13,FALSE),"")</f>
        <v>30 Mbps</v>
      </c>
      <c r="I446" s="312">
        <f>INDEX(vector.implicit.prices.broadband.after.discount,MATCH('Cálculos auxiliares'!D446,vector.plans.names,0))</f>
        <v>365.17851598882334</v>
      </c>
      <c r="J446" s="172">
        <f t="shared" si="50"/>
        <v>277.04402451191964</v>
      </c>
      <c r="K446" s="299">
        <f t="shared" si="51"/>
        <v>4.6879932872701468E-4</v>
      </c>
      <c r="M446" s="463">
        <f t="shared" si="53"/>
        <v>30</v>
      </c>
      <c r="Q446" s="95">
        <f t="shared" si="58"/>
        <v>0</v>
      </c>
      <c r="R446" s="95">
        <f t="shared" si="58"/>
        <v>0</v>
      </c>
      <c r="S446" s="95">
        <f t="shared" si="58"/>
        <v>0</v>
      </c>
      <c r="T446" s="95">
        <f t="shared" si="55"/>
        <v>0</v>
      </c>
      <c r="U446" s="95">
        <f t="shared" si="55"/>
        <v>1</v>
      </c>
      <c r="V446" s="95">
        <f t="shared" si="55"/>
        <v>0</v>
      </c>
      <c r="W446" s="95">
        <f t="shared" si="55"/>
        <v>0</v>
      </c>
      <c r="X446" s="95">
        <f t="shared" si="56"/>
        <v>0</v>
      </c>
      <c r="Y446" s="95">
        <f t="shared" si="56"/>
        <v>0</v>
      </c>
      <c r="Z446" s="95">
        <f t="shared" si="56"/>
        <v>0</v>
      </c>
      <c r="AA446" s="95">
        <f t="shared" si="56"/>
        <v>0</v>
      </c>
      <c r="AB446" s="95">
        <f t="shared" si="57"/>
        <v>0</v>
      </c>
      <c r="AC446" s="95">
        <f t="shared" si="57"/>
        <v>0</v>
      </c>
      <c r="AD446" s="95">
        <f t="shared" si="57"/>
        <v>0</v>
      </c>
      <c r="AE446" s="95">
        <f t="shared" si="57"/>
        <v>0</v>
      </c>
      <c r="AF446" s="95">
        <f t="shared" si="57"/>
        <v>0</v>
      </c>
    </row>
    <row r="447" spans="2:32" s="262" customFormat="1" ht="12" outlineLevel="2" x14ac:dyDescent="0.25">
      <c r="B447" s="579" t="str">
        <f t="shared" si="52"/>
        <v>Infinitum Entretenimiento +30   (Netflix 2 dispositivos)Residencial</v>
      </c>
      <c r="C447" s="95">
        <f t="shared" si="54"/>
        <v>88</v>
      </c>
      <c r="D447" s="101" t="str">
        <v>Infinitum Entretenimiento +30   (Netflix 2 dispositivos)</v>
      </c>
      <c r="F447" s="113" t="str">
        <f>IFERROR(VLOOKUP($D447,'Info planes y paquetes'!$C$472:$BS$579,2,FALSE),"")</f>
        <v>Residencial</v>
      </c>
      <c r="G447" s="113" t="str">
        <f>IFERROR(VLOOKUP($D447,'Info planes y paquetes'!$C$472:$BS$579,3,FALSE),"")</f>
        <v>Internet fijo</v>
      </c>
      <c r="H447" s="113" t="str">
        <f>IFERROR(VLOOKUP($D447,'Info planes y paquetes'!$C$472:$BS$579,13,FALSE),"")</f>
        <v>30 Mbps</v>
      </c>
      <c r="I447" s="312">
        <f>INDEX(vector.implicit.prices.broadband.after.discount,MATCH('Cálculos auxiliares'!D447,vector.plans.names,0))</f>
        <v>264.91894952650591</v>
      </c>
      <c r="J447" s="172">
        <f t="shared" si="50"/>
        <v>176.78445804960222</v>
      </c>
      <c r="K447" s="299">
        <f t="shared" si="51"/>
        <v>7.775685433427784E-4</v>
      </c>
      <c r="M447" s="463">
        <f t="shared" si="53"/>
        <v>30</v>
      </c>
      <c r="Q447" s="95">
        <f t="shared" si="58"/>
        <v>0</v>
      </c>
      <c r="R447" s="95">
        <f t="shared" si="58"/>
        <v>0</v>
      </c>
      <c r="S447" s="95">
        <f t="shared" si="58"/>
        <v>0</v>
      </c>
      <c r="T447" s="95">
        <f t="shared" si="55"/>
        <v>0</v>
      </c>
      <c r="U447" s="95">
        <f t="shared" si="55"/>
        <v>1</v>
      </c>
      <c r="V447" s="95">
        <f t="shared" si="55"/>
        <v>0</v>
      </c>
      <c r="W447" s="95">
        <f t="shared" si="55"/>
        <v>0</v>
      </c>
      <c r="X447" s="95">
        <f t="shared" si="56"/>
        <v>0</v>
      </c>
      <c r="Y447" s="95">
        <f t="shared" si="56"/>
        <v>0</v>
      </c>
      <c r="Z447" s="95">
        <f t="shared" si="56"/>
        <v>0</v>
      </c>
      <c r="AA447" s="95">
        <f t="shared" si="56"/>
        <v>0</v>
      </c>
      <c r="AB447" s="95">
        <f t="shared" si="57"/>
        <v>0</v>
      </c>
      <c r="AC447" s="95">
        <f t="shared" si="57"/>
        <v>0</v>
      </c>
      <c r="AD447" s="95">
        <f t="shared" si="57"/>
        <v>0</v>
      </c>
      <c r="AE447" s="95">
        <f t="shared" si="57"/>
        <v>0</v>
      </c>
      <c r="AF447" s="95">
        <f t="shared" si="57"/>
        <v>0</v>
      </c>
    </row>
    <row r="448" spans="2:32" s="262" customFormat="1" ht="12" outlineLevel="2" x14ac:dyDescent="0.25">
      <c r="B448" s="579" t="str">
        <f t="shared" si="52"/>
        <v>Infinitum Entretenimiento +30   (Netflix 4 dispositivos)Residencial</v>
      </c>
      <c r="C448" s="95">
        <f t="shared" si="54"/>
        <v>89</v>
      </c>
      <c r="D448" s="101" t="str">
        <v>Infinitum Entretenimiento +30   (Netflix 4 dispositivos)</v>
      </c>
      <c r="F448" s="113" t="str">
        <f>IFERROR(VLOOKUP($D448,'Info planes y paquetes'!$C$472:$BS$579,2,FALSE),"")</f>
        <v>Residencial</v>
      </c>
      <c r="G448" s="113" t="str">
        <f>IFERROR(VLOOKUP($D448,'Info planes y paquetes'!$C$472:$BS$579,3,FALSE),"")</f>
        <v>Internet fijo</v>
      </c>
      <c r="H448" s="113" t="str">
        <f>IFERROR(VLOOKUP($D448,'Info planes y paquetes'!$C$472:$BS$579,13,FALSE),"")</f>
        <v>30 Mbps</v>
      </c>
      <c r="I448" s="312">
        <f>INDEX(vector.implicit.prices.broadband.after.discount,MATCH('Cálculos auxiliares'!D448,vector.plans.names,0))</f>
        <v>247.00944996365399</v>
      </c>
      <c r="J448" s="172">
        <f t="shared" si="50"/>
        <v>158.8749584867503</v>
      </c>
      <c r="K448" s="299">
        <f t="shared" si="51"/>
        <v>5.8544350079032647E-4</v>
      </c>
      <c r="M448" s="463">
        <f t="shared" si="53"/>
        <v>30</v>
      </c>
      <c r="Q448" s="95">
        <f t="shared" si="58"/>
        <v>0</v>
      </c>
      <c r="R448" s="95">
        <f t="shared" si="58"/>
        <v>0</v>
      </c>
      <c r="S448" s="95">
        <f t="shared" si="58"/>
        <v>0</v>
      </c>
      <c r="T448" s="95">
        <f t="shared" si="55"/>
        <v>0</v>
      </c>
      <c r="U448" s="95">
        <f t="shared" si="55"/>
        <v>1</v>
      </c>
      <c r="V448" s="95">
        <f t="shared" si="55"/>
        <v>0</v>
      </c>
      <c r="W448" s="95">
        <f t="shared" si="55"/>
        <v>0</v>
      </c>
      <c r="X448" s="95">
        <f t="shared" si="56"/>
        <v>0</v>
      </c>
      <c r="Y448" s="95">
        <f t="shared" si="56"/>
        <v>0</v>
      </c>
      <c r="Z448" s="95">
        <f t="shared" si="56"/>
        <v>0</v>
      </c>
      <c r="AA448" s="95">
        <f t="shared" si="56"/>
        <v>0</v>
      </c>
      <c r="AB448" s="95">
        <f t="shared" si="57"/>
        <v>0</v>
      </c>
      <c r="AC448" s="95">
        <f t="shared" si="57"/>
        <v>0</v>
      </c>
      <c r="AD448" s="95">
        <f t="shared" si="57"/>
        <v>0</v>
      </c>
      <c r="AE448" s="95">
        <f t="shared" si="57"/>
        <v>0</v>
      </c>
      <c r="AF448" s="95">
        <f t="shared" si="57"/>
        <v>0</v>
      </c>
    </row>
    <row r="449" spans="2:32" s="262" customFormat="1" ht="12" outlineLevel="2" x14ac:dyDescent="0.25">
      <c r="B449" s="579" t="str">
        <f t="shared" si="52"/>
        <v>Infinitum Entretenimiento+ 70  (Netflix 2 dispositivos)Residencial</v>
      </c>
      <c r="C449" s="95">
        <f t="shared" si="54"/>
        <v>90</v>
      </c>
      <c r="D449" s="101" t="str">
        <v>Infinitum Entretenimiento+ 70  (Netflix 2 dispositivos)</v>
      </c>
      <c r="F449" s="113" t="str">
        <f>IFERROR(VLOOKUP($D449,'Info planes y paquetes'!$C$472:$BS$579,2,FALSE),"")</f>
        <v>Residencial</v>
      </c>
      <c r="G449" s="113" t="str">
        <f>IFERROR(VLOOKUP($D449,'Info planes y paquetes'!$C$472:$BS$579,3,FALSE),"")</f>
        <v>Internet fijo</v>
      </c>
      <c r="H449" s="113" t="str">
        <f>IFERROR(VLOOKUP($D449,'Info planes y paquetes'!$C$472:$BS$579,13,FALSE),"")</f>
        <v>70 Mbps</v>
      </c>
      <c r="I449" s="312">
        <f>INDEX(vector.implicit.prices.broadband.after.discount,MATCH('Cálculos auxiliares'!D449,vector.plans.names,0))</f>
        <v>287.0325581395349</v>
      </c>
      <c r="J449" s="172">
        <f t="shared" si="50"/>
        <v>198.89806666263121</v>
      </c>
      <c r="K449" s="299">
        <f t="shared" si="51"/>
        <v>3.9056238405040308E-4</v>
      </c>
      <c r="M449" s="463">
        <f t="shared" si="53"/>
        <v>70</v>
      </c>
      <c r="Q449" s="95">
        <f t="shared" si="58"/>
        <v>0</v>
      </c>
      <c r="R449" s="95">
        <f t="shared" si="58"/>
        <v>0</v>
      </c>
      <c r="S449" s="95">
        <f t="shared" si="58"/>
        <v>0</v>
      </c>
      <c r="T449" s="95">
        <f t="shared" si="55"/>
        <v>0</v>
      </c>
      <c r="U449" s="95">
        <f t="shared" si="55"/>
        <v>0</v>
      </c>
      <c r="V449" s="95">
        <f t="shared" si="55"/>
        <v>0</v>
      </c>
      <c r="W449" s="95">
        <f t="shared" si="55"/>
        <v>0</v>
      </c>
      <c r="X449" s="95">
        <f t="shared" si="56"/>
        <v>0</v>
      </c>
      <c r="Y449" s="95">
        <f t="shared" si="56"/>
        <v>1</v>
      </c>
      <c r="Z449" s="95">
        <f t="shared" si="56"/>
        <v>0</v>
      </c>
      <c r="AA449" s="95">
        <f t="shared" si="56"/>
        <v>0</v>
      </c>
      <c r="AB449" s="95">
        <f t="shared" si="57"/>
        <v>0</v>
      </c>
      <c r="AC449" s="95">
        <f t="shared" si="57"/>
        <v>0</v>
      </c>
      <c r="AD449" s="95">
        <f t="shared" si="57"/>
        <v>0</v>
      </c>
      <c r="AE449" s="95">
        <f t="shared" si="57"/>
        <v>0</v>
      </c>
      <c r="AF449" s="95">
        <f t="shared" si="57"/>
        <v>0</v>
      </c>
    </row>
    <row r="450" spans="2:32" s="262" customFormat="1" ht="12" outlineLevel="2" x14ac:dyDescent="0.25">
      <c r="B450" s="579" t="str">
        <f t="shared" si="52"/>
        <v>Infinitum Entretenimiento+ 70  (Netflix 4 dispositivos)Residencial</v>
      </c>
      <c r="C450" s="95">
        <f t="shared" si="54"/>
        <v>91</v>
      </c>
      <c r="D450" s="101" t="str">
        <v>Infinitum Entretenimiento+ 70  (Netflix 4 dispositivos)</v>
      </c>
      <c r="F450" s="113" t="str">
        <f>IFERROR(VLOOKUP($D450,'Info planes y paquetes'!$C$472:$BS$579,2,FALSE),"")</f>
        <v>Residencial</v>
      </c>
      <c r="G450" s="113" t="str">
        <f>IFERROR(VLOOKUP($D450,'Info planes y paquetes'!$C$472:$BS$579,3,FALSE),"")</f>
        <v>Internet fijo</v>
      </c>
      <c r="H450" s="113" t="str">
        <f>IFERROR(VLOOKUP($D450,'Info planes y paquetes'!$C$472:$BS$579,13,FALSE),"")</f>
        <v>70 Mbps</v>
      </c>
      <c r="I450" s="312">
        <f>INDEX(vector.implicit.prices.broadband.after.discount,MATCH('Cálculos auxiliares'!D450,vector.plans.names,0))</f>
        <v>766.56447640626538</v>
      </c>
      <c r="J450" s="172">
        <f t="shared" si="50"/>
        <v>678.42998492936169</v>
      </c>
      <c r="K450" s="299">
        <f t="shared" si="51"/>
        <v>1.9123598636294493E-4</v>
      </c>
      <c r="M450" s="463">
        <f t="shared" si="53"/>
        <v>70</v>
      </c>
      <c r="Q450" s="95">
        <f t="shared" si="58"/>
        <v>0</v>
      </c>
      <c r="R450" s="95">
        <f t="shared" si="58"/>
        <v>0</v>
      </c>
      <c r="S450" s="95">
        <f t="shared" si="58"/>
        <v>0</v>
      </c>
      <c r="T450" s="95">
        <f t="shared" si="55"/>
        <v>0</v>
      </c>
      <c r="U450" s="95">
        <f t="shared" si="55"/>
        <v>0</v>
      </c>
      <c r="V450" s="95">
        <f t="shared" si="55"/>
        <v>0</v>
      </c>
      <c r="W450" s="95">
        <f t="shared" si="55"/>
        <v>0</v>
      </c>
      <c r="X450" s="95">
        <f t="shared" si="56"/>
        <v>0</v>
      </c>
      <c r="Y450" s="95">
        <f t="shared" si="56"/>
        <v>1</v>
      </c>
      <c r="Z450" s="95">
        <f t="shared" si="56"/>
        <v>0</v>
      </c>
      <c r="AA450" s="95">
        <f t="shared" si="56"/>
        <v>0</v>
      </c>
      <c r="AB450" s="95">
        <f t="shared" si="57"/>
        <v>0</v>
      </c>
      <c r="AC450" s="95">
        <f t="shared" si="57"/>
        <v>0</v>
      </c>
      <c r="AD450" s="95">
        <f t="shared" si="57"/>
        <v>0</v>
      </c>
      <c r="AE450" s="95">
        <f t="shared" si="57"/>
        <v>0</v>
      </c>
      <c r="AF450" s="95">
        <f t="shared" si="57"/>
        <v>0</v>
      </c>
    </row>
    <row r="451" spans="2:32" s="262" customFormat="1" ht="12" outlineLevel="2" x14ac:dyDescent="0.25">
      <c r="B451" s="579" t="str">
        <f t="shared" si="52"/>
        <v>Infinitum Entretenimiento+ 250  (Netflix 4 dispositivos)Residencial</v>
      </c>
      <c r="C451" s="95">
        <f t="shared" si="54"/>
        <v>92</v>
      </c>
      <c r="D451" s="101" t="str">
        <v>Infinitum Entretenimiento+ 250  (Netflix 4 dispositivos)</v>
      </c>
      <c r="F451" s="113" t="str">
        <f>IFERROR(VLOOKUP($D451,'Info planes y paquetes'!$C$472:$BS$579,2,FALSE),"")</f>
        <v>Residencial</v>
      </c>
      <c r="G451" s="113" t="str">
        <f>IFERROR(VLOOKUP($D451,'Info planes y paquetes'!$C$472:$BS$579,3,FALSE),"")</f>
        <v>Internet fijo</v>
      </c>
      <c r="H451" s="113" t="str">
        <f>IFERROR(VLOOKUP($D451,'Info planes y paquetes'!$C$472:$BS$579,13,FALSE),"")</f>
        <v>250 Mbps</v>
      </c>
      <c r="I451" s="312">
        <f>INDEX(vector.implicit.prices.broadband.after.discount,MATCH('Cálculos auxiliares'!D451,vector.plans.names,0))</f>
        <v>401.10496390859913</v>
      </c>
      <c r="J451" s="172">
        <f t="shared" si="50"/>
        <v>312.97047243169544</v>
      </c>
      <c r="K451" s="299">
        <f t="shared" si="51"/>
        <v>2.4635747011237584E-4</v>
      </c>
      <c r="M451" s="463">
        <f t="shared" si="53"/>
        <v>250</v>
      </c>
      <c r="Q451" s="95">
        <f t="shared" si="58"/>
        <v>0</v>
      </c>
      <c r="R451" s="95">
        <f t="shared" si="58"/>
        <v>0</v>
      </c>
      <c r="S451" s="95">
        <f t="shared" si="58"/>
        <v>0</v>
      </c>
      <c r="T451" s="95">
        <f t="shared" si="55"/>
        <v>0</v>
      </c>
      <c r="U451" s="95">
        <f t="shared" si="55"/>
        <v>0</v>
      </c>
      <c r="V451" s="95">
        <f t="shared" si="55"/>
        <v>0</v>
      </c>
      <c r="W451" s="95">
        <f t="shared" si="55"/>
        <v>0</v>
      </c>
      <c r="X451" s="95">
        <f t="shared" si="56"/>
        <v>0</v>
      </c>
      <c r="Y451" s="95">
        <f t="shared" si="56"/>
        <v>0</v>
      </c>
      <c r="Z451" s="95">
        <f t="shared" si="56"/>
        <v>0</v>
      </c>
      <c r="AA451" s="95">
        <f t="shared" si="56"/>
        <v>0</v>
      </c>
      <c r="AB451" s="95">
        <f t="shared" si="57"/>
        <v>0</v>
      </c>
      <c r="AC451" s="95">
        <f t="shared" si="57"/>
        <v>0</v>
      </c>
      <c r="AD451" s="95">
        <f t="shared" si="57"/>
        <v>1</v>
      </c>
      <c r="AE451" s="95">
        <f t="shared" si="57"/>
        <v>0</v>
      </c>
      <c r="AF451" s="95">
        <f t="shared" si="57"/>
        <v>0</v>
      </c>
    </row>
    <row r="452" spans="2:32" s="262" customFormat="1" ht="12" outlineLevel="2" x14ac:dyDescent="0.25">
      <c r="B452" s="579" t="str">
        <f t="shared" si="52"/>
        <v>Infinitum Entretenimiento+ 250  (Netflix 2 dispositivos)Residencial</v>
      </c>
      <c r="C452" s="95">
        <f t="shared" si="54"/>
        <v>93</v>
      </c>
      <c r="D452" s="101" t="str">
        <v>Infinitum Entretenimiento+ 250  (Netflix 2 dispositivos)</v>
      </c>
      <c r="F452" s="113" t="str">
        <f>IFERROR(VLOOKUP($D452,'Info planes y paquetes'!$C$472:$BS$579,2,FALSE),"")</f>
        <v>Residencial</v>
      </c>
      <c r="G452" s="113" t="str">
        <f>IFERROR(VLOOKUP($D452,'Info planes y paquetes'!$C$472:$BS$579,3,FALSE),"")</f>
        <v>Internet fijo</v>
      </c>
      <c r="H452" s="113" t="str">
        <f>IFERROR(VLOOKUP($D452,'Info planes y paquetes'!$C$472:$BS$579,13,FALSE),"")</f>
        <v>250 Mbps</v>
      </c>
      <c r="I452" s="312">
        <f>INDEX(vector.implicit.prices.broadband.after.discount,MATCH('Cálculos auxiliares'!D452,vector.plans.names,0))</f>
        <v>586.46697920688325</v>
      </c>
      <c r="J452" s="172">
        <f t="shared" si="50"/>
        <v>498.33248772997956</v>
      </c>
      <c r="K452" s="299">
        <f t="shared" si="51"/>
        <v>5.9122236602212168E-5</v>
      </c>
      <c r="M452" s="463">
        <f t="shared" si="53"/>
        <v>250</v>
      </c>
      <c r="Q452" s="95">
        <f t="shared" si="58"/>
        <v>0</v>
      </c>
      <c r="R452" s="95">
        <f t="shared" si="58"/>
        <v>0</v>
      </c>
      <c r="S452" s="95">
        <f t="shared" si="58"/>
        <v>0</v>
      </c>
      <c r="T452" s="95">
        <f t="shared" si="55"/>
        <v>0</v>
      </c>
      <c r="U452" s="95">
        <f t="shared" si="55"/>
        <v>0</v>
      </c>
      <c r="V452" s="95">
        <f t="shared" si="55"/>
        <v>0</v>
      </c>
      <c r="W452" s="95">
        <f t="shared" si="55"/>
        <v>0</v>
      </c>
      <c r="X452" s="95">
        <f t="shared" si="56"/>
        <v>0</v>
      </c>
      <c r="Y452" s="95">
        <f t="shared" si="56"/>
        <v>0</v>
      </c>
      <c r="Z452" s="95">
        <f t="shared" si="56"/>
        <v>0</v>
      </c>
      <c r="AA452" s="95">
        <f t="shared" si="56"/>
        <v>0</v>
      </c>
      <c r="AB452" s="95">
        <f t="shared" si="57"/>
        <v>0</v>
      </c>
      <c r="AC452" s="95">
        <f t="shared" si="57"/>
        <v>0</v>
      </c>
      <c r="AD452" s="95">
        <f t="shared" si="57"/>
        <v>1</v>
      </c>
      <c r="AE452" s="95">
        <f t="shared" si="57"/>
        <v>0</v>
      </c>
      <c r="AF452" s="95">
        <f t="shared" si="57"/>
        <v>0</v>
      </c>
    </row>
    <row r="453" spans="2:32" s="262" customFormat="1" ht="12" outlineLevel="2" x14ac:dyDescent="0.25">
      <c r="B453" s="579" t="str">
        <f t="shared" si="52"/>
        <v>Infinitum Entretenimiento+ 500   (Netflix 4 dispositivos)Residencial</v>
      </c>
      <c r="C453" s="95">
        <f t="shared" si="54"/>
        <v>94</v>
      </c>
      <c r="D453" s="101" t="str">
        <v>Infinitum Entretenimiento+ 500   (Netflix 4 dispositivos)</v>
      </c>
      <c r="F453" s="113" t="str">
        <f>IFERROR(VLOOKUP($D453,'Info planes y paquetes'!$C$472:$BS$579,2,FALSE),"")</f>
        <v>Residencial</v>
      </c>
      <c r="G453" s="113" t="str">
        <f>IFERROR(VLOOKUP($D453,'Info planes y paquetes'!$C$472:$BS$579,3,FALSE),"")</f>
        <v>Internet fijo</v>
      </c>
      <c r="H453" s="113" t="str">
        <f>IFERROR(VLOOKUP($D453,'Info planes y paquetes'!$C$472:$BS$579,13,FALSE),"")</f>
        <v>500 Mbps</v>
      </c>
      <c r="I453" s="312">
        <f>INDEX(vector.implicit.prices.broadband.after.discount,MATCH('Cálculos auxiliares'!D453,vector.plans.names,0))</f>
        <v>967.6669193346105</v>
      </c>
      <c r="J453" s="172">
        <f t="shared" si="50"/>
        <v>879.53242785770681</v>
      </c>
      <c r="K453" s="299">
        <f t="shared" si="51"/>
        <v>5.4943672511529503E-5</v>
      </c>
      <c r="M453" s="463">
        <f t="shared" si="53"/>
        <v>500</v>
      </c>
      <c r="Q453" s="95">
        <f t="shared" si="58"/>
        <v>0</v>
      </c>
      <c r="R453" s="95">
        <f t="shared" si="58"/>
        <v>0</v>
      </c>
      <c r="S453" s="95">
        <f t="shared" si="58"/>
        <v>0</v>
      </c>
      <c r="T453" s="95">
        <f t="shared" si="55"/>
        <v>0</v>
      </c>
      <c r="U453" s="95">
        <f t="shared" si="55"/>
        <v>0</v>
      </c>
      <c r="V453" s="95">
        <f t="shared" si="55"/>
        <v>0</v>
      </c>
      <c r="W453" s="95">
        <f t="shared" si="55"/>
        <v>0</v>
      </c>
      <c r="X453" s="95">
        <f t="shared" si="56"/>
        <v>0</v>
      </c>
      <c r="Y453" s="95">
        <f t="shared" si="56"/>
        <v>0</v>
      </c>
      <c r="Z453" s="95">
        <f t="shared" si="56"/>
        <v>0</v>
      </c>
      <c r="AA453" s="95">
        <f t="shared" si="56"/>
        <v>0</v>
      </c>
      <c r="AB453" s="95">
        <f t="shared" si="57"/>
        <v>0</v>
      </c>
      <c r="AC453" s="95">
        <f t="shared" si="57"/>
        <v>0</v>
      </c>
      <c r="AD453" s="95">
        <f t="shared" si="57"/>
        <v>0</v>
      </c>
      <c r="AE453" s="95">
        <f t="shared" si="57"/>
        <v>1</v>
      </c>
      <c r="AF453" s="95">
        <f t="shared" si="57"/>
        <v>0</v>
      </c>
    </row>
    <row r="454" spans="2:32" s="262" customFormat="1" ht="12" outlineLevel="2" x14ac:dyDescent="0.25">
      <c r="B454" s="579" t="str">
        <f t="shared" si="52"/>
        <v>Infinitum Entretenimiento+ 500   (Netflix 2 dispositivos)Residencial</v>
      </c>
      <c r="C454" s="95">
        <f t="shared" si="54"/>
        <v>95</v>
      </c>
      <c r="D454" s="101" t="str">
        <v>Infinitum Entretenimiento+ 500   (Netflix 2 dispositivos)</v>
      </c>
      <c r="F454" s="113" t="str">
        <f>IFERROR(VLOOKUP($D454,'Info planes y paquetes'!$C$472:$BS$579,2,FALSE),"")</f>
        <v>Residencial</v>
      </c>
      <c r="G454" s="113" t="str">
        <f>IFERROR(VLOOKUP($D454,'Info planes y paquetes'!$C$472:$BS$579,3,FALSE),"")</f>
        <v>Internet fijo</v>
      </c>
      <c r="H454" s="113" t="str">
        <f>IFERROR(VLOOKUP($D454,'Info planes y paquetes'!$C$472:$BS$579,13,FALSE),"")</f>
        <v>500 Mbps</v>
      </c>
      <c r="I454" s="312">
        <f>INDEX(vector.implicit.prices.broadband.after.discount,MATCH('Cálculos auxiliares'!D454,vector.plans.names,0))</f>
        <v>672.19701231177032</v>
      </c>
      <c r="J454" s="172">
        <f t="shared" si="50"/>
        <v>584.06252083486663</v>
      </c>
      <c r="K454" s="299">
        <f t="shared" si="51"/>
        <v>7.2902607539569894E-6</v>
      </c>
      <c r="M454" s="463">
        <f t="shared" si="53"/>
        <v>500</v>
      </c>
      <c r="Q454" s="95">
        <f t="shared" si="58"/>
        <v>0</v>
      </c>
      <c r="R454" s="95">
        <f t="shared" si="58"/>
        <v>0</v>
      </c>
      <c r="S454" s="95">
        <f t="shared" si="58"/>
        <v>0</v>
      </c>
      <c r="T454" s="95">
        <f t="shared" si="55"/>
        <v>0</v>
      </c>
      <c r="U454" s="95">
        <f t="shared" si="55"/>
        <v>0</v>
      </c>
      <c r="V454" s="95">
        <f t="shared" si="55"/>
        <v>0</v>
      </c>
      <c r="W454" s="95">
        <f t="shared" si="55"/>
        <v>0</v>
      </c>
      <c r="X454" s="95">
        <f t="shared" si="56"/>
        <v>0</v>
      </c>
      <c r="Y454" s="95">
        <f t="shared" si="56"/>
        <v>0</v>
      </c>
      <c r="Z454" s="95">
        <f t="shared" si="56"/>
        <v>0</v>
      </c>
      <c r="AA454" s="95">
        <f t="shared" si="56"/>
        <v>0</v>
      </c>
      <c r="AB454" s="95">
        <f t="shared" si="57"/>
        <v>0</v>
      </c>
      <c r="AC454" s="95">
        <f t="shared" si="57"/>
        <v>0</v>
      </c>
      <c r="AD454" s="95">
        <f t="shared" si="57"/>
        <v>0</v>
      </c>
      <c r="AE454" s="95">
        <f t="shared" si="57"/>
        <v>1</v>
      </c>
      <c r="AF454" s="95">
        <f t="shared" si="57"/>
        <v>0</v>
      </c>
    </row>
    <row r="455" spans="2:32" s="262" customFormat="1" ht="12" outlineLevel="2" x14ac:dyDescent="0.25">
      <c r="B455" s="579" t="str">
        <f t="shared" si="52"/>
        <v>Velocidad Simétrica Conectes NegocioNo Residencial</v>
      </c>
      <c r="C455" s="95">
        <f t="shared" si="54"/>
        <v>96</v>
      </c>
      <c r="D455" s="101" t="str">
        <v>Velocidad Simétrica Conectes Negocio</v>
      </c>
      <c r="F455" s="113" t="str">
        <f>IFERROR(VLOOKUP($D455,'Info planes y paquetes'!$C$472:$BS$579,2,FALSE),"")</f>
        <v>No Residencial</v>
      </c>
      <c r="G455" s="113" t="str">
        <f>IFERROR(VLOOKUP($D455,'Info planes y paquetes'!$C$472:$BS$579,3,FALSE),"")</f>
        <v>Telefonía fija + Internet fijo</v>
      </c>
      <c r="H455" s="113" t="str">
        <f>IFERROR(VLOOKUP($D455,'Info planes y paquetes'!$C$472:$BS$579,13,FALSE),"")</f>
        <v>20 Mbps/50 Mbps</v>
      </c>
      <c r="I455" s="312">
        <f>INDEX(vector.implicit.prices.broadband.after.discount,MATCH('Cálculos auxiliares'!D455,vector.plans.names,0))</f>
        <v>94</v>
      </c>
      <c r="J455" s="172">
        <f t="shared" si="50"/>
        <v>94</v>
      </c>
      <c r="K455" s="299">
        <f t="shared" si="51"/>
        <v>1.0266820876426257E-3</v>
      </c>
      <c r="M455" s="463">
        <f t="shared" si="53"/>
        <v>20</v>
      </c>
      <c r="Q455" s="95">
        <f t="shared" si="58"/>
        <v>0</v>
      </c>
      <c r="R455" s="95">
        <f t="shared" si="58"/>
        <v>0</v>
      </c>
      <c r="S455" s="95">
        <f t="shared" si="58"/>
        <v>0</v>
      </c>
      <c r="T455" s="95">
        <f t="shared" si="55"/>
        <v>1</v>
      </c>
      <c r="U455" s="95">
        <f t="shared" si="55"/>
        <v>0</v>
      </c>
      <c r="V455" s="95">
        <f t="shared" si="55"/>
        <v>0</v>
      </c>
      <c r="W455" s="95">
        <f t="shared" si="55"/>
        <v>0</v>
      </c>
      <c r="X455" s="95">
        <f t="shared" si="56"/>
        <v>0</v>
      </c>
      <c r="Y455" s="95">
        <f t="shared" si="56"/>
        <v>0</v>
      </c>
      <c r="Z455" s="95">
        <f t="shared" si="56"/>
        <v>0</v>
      </c>
      <c r="AA455" s="95">
        <f t="shared" si="56"/>
        <v>0</v>
      </c>
      <c r="AB455" s="95">
        <f t="shared" si="57"/>
        <v>0</v>
      </c>
      <c r="AC455" s="95">
        <f t="shared" si="57"/>
        <v>0</v>
      </c>
      <c r="AD455" s="95">
        <f t="shared" si="57"/>
        <v>0</v>
      </c>
      <c r="AE455" s="95">
        <f t="shared" si="57"/>
        <v>0</v>
      </c>
      <c r="AF455" s="95">
        <f t="shared" si="57"/>
        <v>0</v>
      </c>
    </row>
    <row r="456" spans="2:32" s="262" customFormat="1" ht="12" outlineLevel="2" x14ac:dyDescent="0.25">
      <c r="B456" s="579" t="str">
        <f t="shared" si="52"/>
        <v>Velocidad Simétrica Mi NegocioNo Residencial</v>
      </c>
      <c r="C456" s="95">
        <f t="shared" si="54"/>
        <v>97</v>
      </c>
      <c r="D456" s="101" t="str">
        <v>Velocidad Simétrica Mi Negocio</v>
      </c>
      <c r="F456" s="113" t="str">
        <f>IFERROR(VLOOKUP($D456,'Info planes y paquetes'!$C$472:$BS$579,2,FALSE),"")</f>
        <v>No Residencial</v>
      </c>
      <c r="G456" s="113" t="str">
        <f>IFERROR(VLOOKUP($D456,'Info planes y paquetes'!$C$472:$BS$579,3,FALSE),"")</f>
        <v>Telefonía fija + Internet fijo</v>
      </c>
      <c r="H456" s="113" t="str">
        <f>IFERROR(VLOOKUP($D456,'Info planes y paquetes'!$C$472:$BS$579,13,FALSE),"")</f>
        <v>100 Mbps</v>
      </c>
      <c r="I456" s="312">
        <f>INDEX(vector.implicit.prices.broadband.after.discount,MATCH('Cálculos auxiliares'!D456,vector.plans.names,0))</f>
        <v>262</v>
      </c>
      <c r="J456" s="172">
        <f t="shared" si="50"/>
        <v>262</v>
      </c>
      <c r="K456" s="299">
        <f t="shared" ref="K456:K467" si="59">VLOOKUP(B456,AEP.broadband.distribution.by.plan,6+MATCH(Year.selected,Years,0),FALSE)</f>
        <v>1.0834038725331691E-3</v>
      </c>
      <c r="M456" s="463">
        <f t="shared" si="53"/>
        <v>100</v>
      </c>
      <c r="Q456" s="95">
        <f t="shared" si="58"/>
        <v>0</v>
      </c>
      <c r="R456" s="95">
        <f t="shared" si="58"/>
        <v>0</v>
      </c>
      <c r="S456" s="95">
        <f t="shared" si="58"/>
        <v>0</v>
      </c>
      <c r="T456" s="95">
        <f t="shared" si="55"/>
        <v>0</v>
      </c>
      <c r="U456" s="95">
        <f t="shared" si="55"/>
        <v>0</v>
      </c>
      <c r="V456" s="95">
        <f t="shared" si="55"/>
        <v>0</v>
      </c>
      <c r="W456" s="95">
        <f t="shared" si="55"/>
        <v>0</v>
      </c>
      <c r="X456" s="95">
        <f t="shared" si="56"/>
        <v>0</v>
      </c>
      <c r="Y456" s="95">
        <f t="shared" si="56"/>
        <v>0</v>
      </c>
      <c r="Z456" s="95">
        <f t="shared" si="56"/>
        <v>1</v>
      </c>
      <c r="AA456" s="95">
        <f t="shared" si="56"/>
        <v>0</v>
      </c>
      <c r="AB456" s="95">
        <f t="shared" si="57"/>
        <v>0</v>
      </c>
      <c r="AC456" s="95">
        <f t="shared" si="57"/>
        <v>0</v>
      </c>
      <c r="AD456" s="95">
        <f t="shared" si="57"/>
        <v>0</v>
      </c>
      <c r="AE456" s="95">
        <f t="shared" si="57"/>
        <v>0</v>
      </c>
      <c r="AF456" s="95">
        <f t="shared" si="57"/>
        <v>0</v>
      </c>
    </row>
    <row r="457" spans="2:32" s="262" customFormat="1" ht="12" outlineLevel="2" x14ac:dyDescent="0.25">
      <c r="B457" s="579" t="str">
        <f t="shared" si="52"/>
        <v>Velocidad Simétrica SupernegocioNo Residencial</v>
      </c>
      <c r="C457" s="95">
        <f t="shared" si="54"/>
        <v>98</v>
      </c>
      <c r="D457" s="101" t="str">
        <v>Velocidad Simétrica Supernegocio</v>
      </c>
      <c r="F457" s="113" t="str">
        <f>IFERROR(VLOOKUP($D457,'Info planes y paquetes'!$C$472:$BS$579,2,FALSE),"")</f>
        <v>No Residencial</v>
      </c>
      <c r="G457" s="113" t="str">
        <f>IFERROR(VLOOKUP($D457,'Info planes y paquetes'!$C$472:$BS$579,3,FALSE),"")</f>
        <v>Telefonía fija + Internet fijo</v>
      </c>
      <c r="H457" s="113" t="str">
        <f>IFERROR(VLOOKUP($D457,'Info planes y paquetes'!$C$472:$BS$579,13,FALSE),"")</f>
        <v>200 Mbps</v>
      </c>
      <c r="I457" s="312">
        <f>INDEX(vector.implicit.prices.broadband.after.discount,MATCH('Cálculos auxiliares'!D457,vector.plans.names,0))</f>
        <v>258</v>
      </c>
      <c r="J457" s="172">
        <f t="shared" si="50"/>
        <v>258</v>
      </c>
      <c r="K457" s="299">
        <f t="shared" si="59"/>
        <v>7.3356026196218433E-4</v>
      </c>
      <c r="M457" s="463">
        <f t="shared" si="53"/>
        <v>200</v>
      </c>
      <c r="Q457" s="95">
        <f t="shared" si="58"/>
        <v>0</v>
      </c>
      <c r="R457" s="95">
        <f t="shared" si="58"/>
        <v>0</v>
      </c>
      <c r="S457" s="95">
        <f t="shared" si="58"/>
        <v>0</v>
      </c>
      <c r="T457" s="95">
        <f t="shared" si="55"/>
        <v>0</v>
      </c>
      <c r="U457" s="95">
        <f t="shared" si="55"/>
        <v>0</v>
      </c>
      <c r="V457" s="95">
        <f t="shared" si="55"/>
        <v>0</v>
      </c>
      <c r="W457" s="95">
        <f t="shared" si="55"/>
        <v>0</v>
      </c>
      <c r="X457" s="95">
        <f t="shared" si="56"/>
        <v>0</v>
      </c>
      <c r="Y457" s="95">
        <f t="shared" si="56"/>
        <v>0</v>
      </c>
      <c r="Z457" s="95">
        <f t="shared" si="56"/>
        <v>0</v>
      </c>
      <c r="AA457" s="95">
        <f t="shared" si="56"/>
        <v>0</v>
      </c>
      <c r="AB457" s="95">
        <f t="shared" si="57"/>
        <v>0</v>
      </c>
      <c r="AC457" s="95">
        <f t="shared" si="57"/>
        <v>1</v>
      </c>
      <c r="AD457" s="95">
        <f t="shared" si="57"/>
        <v>0</v>
      </c>
      <c r="AE457" s="95">
        <f t="shared" si="57"/>
        <v>0</v>
      </c>
      <c r="AF457" s="95">
        <f t="shared" si="57"/>
        <v>0</v>
      </c>
    </row>
    <row r="458" spans="2:32" s="262" customFormat="1" ht="12" outlineLevel="2" x14ac:dyDescent="0.25">
      <c r="B458" s="579" t="str">
        <f t="shared" si="52"/>
        <v>Velocidad Simétrica Telmex Negocio Sin Límites 1No Residencial</v>
      </c>
      <c r="C458" s="95">
        <f t="shared" si="54"/>
        <v>99</v>
      </c>
      <c r="D458" s="101" t="str">
        <v>Velocidad Simétrica Telmex Negocio Sin Límites 1</v>
      </c>
      <c r="F458" s="113" t="str">
        <f>IFERROR(VLOOKUP($D458,'Info planes y paquetes'!$C$472:$BS$579,2,FALSE),"")</f>
        <v>No Residencial</v>
      </c>
      <c r="G458" s="113" t="str">
        <f>IFERROR(VLOOKUP($D458,'Info planes y paquetes'!$C$472:$BS$579,3,FALSE),"")</f>
        <v>Telefonía fija + Internet fijo</v>
      </c>
      <c r="H458" s="113" t="str">
        <f>IFERROR(VLOOKUP($D458,'Info planes y paquetes'!$C$472:$BS$579,13,FALSE),"")</f>
        <v>500 Mbps</v>
      </c>
      <c r="I458" s="312">
        <f>INDEX(vector.implicit.prices.broadband.after.discount,MATCH('Cálculos auxiliares'!D458,vector.plans.names,0))</f>
        <v>445</v>
      </c>
      <c r="J458" s="172">
        <f t="shared" si="50"/>
        <v>445</v>
      </c>
      <c r="K458" s="299">
        <f t="shared" si="59"/>
        <v>2.272427620379764E-4</v>
      </c>
      <c r="M458" s="463">
        <f t="shared" si="53"/>
        <v>500</v>
      </c>
      <c r="Q458" s="95">
        <f t="shared" si="58"/>
        <v>0</v>
      </c>
      <c r="R458" s="95">
        <f t="shared" si="58"/>
        <v>0</v>
      </c>
      <c r="S458" s="95">
        <f t="shared" si="58"/>
        <v>0</v>
      </c>
      <c r="T458" s="95">
        <f t="shared" si="55"/>
        <v>0</v>
      </c>
      <c r="U458" s="95">
        <f t="shared" si="55"/>
        <v>0</v>
      </c>
      <c r="V458" s="95">
        <f t="shared" si="55"/>
        <v>0</v>
      </c>
      <c r="W458" s="95">
        <f t="shared" si="55"/>
        <v>0</v>
      </c>
      <c r="X458" s="95">
        <f t="shared" si="56"/>
        <v>0</v>
      </c>
      <c r="Y458" s="95">
        <f t="shared" si="56"/>
        <v>0</v>
      </c>
      <c r="Z458" s="95">
        <f t="shared" si="56"/>
        <v>0</v>
      </c>
      <c r="AA458" s="95">
        <f t="shared" si="56"/>
        <v>0</v>
      </c>
      <c r="AB458" s="95">
        <f t="shared" si="57"/>
        <v>0</v>
      </c>
      <c r="AC458" s="95">
        <f t="shared" si="57"/>
        <v>0</v>
      </c>
      <c r="AD458" s="95">
        <f t="shared" si="57"/>
        <v>0</v>
      </c>
      <c r="AE458" s="95">
        <f t="shared" si="57"/>
        <v>1</v>
      </c>
      <c r="AF458" s="95">
        <f t="shared" si="57"/>
        <v>0</v>
      </c>
    </row>
    <row r="459" spans="2:32" s="262" customFormat="1" ht="12" outlineLevel="2" x14ac:dyDescent="0.25">
      <c r="B459" s="579" t="str">
        <f t="shared" si="52"/>
        <v>Velocidad Simétrica Telmex Negocio Sin Límites 2No Residencial</v>
      </c>
      <c r="C459" s="95">
        <f t="shared" si="54"/>
        <v>100</v>
      </c>
      <c r="D459" s="101" t="str">
        <v>Velocidad Simétrica Telmex Negocio Sin Límites 2</v>
      </c>
      <c r="F459" s="113" t="str">
        <f>IFERROR(VLOOKUP($D459,'Info planes y paquetes'!$C$472:$BS$579,2,FALSE),"")</f>
        <v>No Residencial</v>
      </c>
      <c r="G459" s="113" t="str">
        <f>IFERROR(VLOOKUP($D459,'Info planes y paquetes'!$C$472:$BS$579,3,FALSE),"")</f>
        <v>Telefonía fija + Internet fijo</v>
      </c>
      <c r="H459" s="113" t="str">
        <f>IFERROR(VLOOKUP($D459,'Info planes y paquetes'!$C$472:$BS$579,13,FALSE),"")</f>
        <v>500 Mbps</v>
      </c>
      <c r="I459" s="312">
        <f>INDEX(vector.implicit.prices.broadband.after.discount,MATCH('Cálculos auxiliares'!D459,vector.plans.names,0))</f>
        <v>295</v>
      </c>
      <c r="J459" s="172">
        <f t="shared" si="50"/>
        <v>295</v>
      </c>
      <c r="K459" s="299">
        <f t="shared" si="59"/>
        <v>3.3135124182924025E-4</v>
      </c>
      <c r="M459" s="463">
        <f t="shared" si="53"/>
        <v>500</v>
      </c>
      <c r="Q459" s="95">
        <f t="shared" si="58"/>
        <v>0</v>
      </c>
      <c r="R459" s="95">
        <f t="shared" si="58"/>
        <v>0</v>
      </c>
      <c r="S459" s="95">
        <f t="shared" si="58"/>
        <v>0</v>
      </c>
      <c r="T459" s="95">
        <f t="shared" si="55"/>
        <v>0</v>
      </c>
      <c r="U459" s="95">
        <f t="shared" si="55"/>
        <v>0</v>
      </c>
      <c r="V459" s="95">
        <f t="shared" si="55"/>
        <v>0</v>
      </c>
      <c r="W459" s="95">
        <f t="shared" si="55"/>
        <v>0</v>
      </c>
      <c r="X459" s="95">
        <f t="shared" si="56"/>
        <v>0</v>
      </c>
      <c r="Y459" s="95">
        <f t="shared" si="56"/>
        <v>0</v>
      </c>
      <c r="Z459" s="95">
        <f t="shared" si="56"/>
        <v>0</v>
      </c>
      <c r="AA459" s="95">
        <f t="shared" si="56"/>
        <v>0</v>
      </c>
      <c r="AB459" s="95">
        <f t="shared" si="57"/>
        <v>0</v>
      </c>
      <c r="AC459" s="95">
        <f t="shared" si="57"/>
        <v>0</v>
      </c>
      <c r="AD459" s="95">
        <f t="shared" si="57"/>
        <v>0</v>
      </c>
      <c r="AE459" s="95">
        <f t="shared" si="57"/>
        <v>1</v>
      </c>
      <c r="AF459" s="95">
        <f t="shared" si="57"/>
        <v>0</v>
      </c>
    </row>
    <row r="460" spans="2:32" s="262" customFormat="1" ht="12" outlineLevel="2" x14ac:dyDescent="0.25">
      <c r="B460" s="579" t="str">
        <f t="shared" si="52"/>
        <v>Velocidad Simétrica Telmex Negocio Sin Límites 3No Residencial</v>
      </c>
      <c r="C460" s="95">
        <f t="shared" si="54"/>
        <v>101</v>
      </c>
      <c r="D460" s="101" t="str">
        <v>Velocidad Simétrica Telmex Negocio Sin Límites 3</v>
      </c>
      <c r="F460" s="113" t="str">
        <f>IFERROR(VLOOKUP($D460,'Info planes y paquetes'!$C$472:$BS$579,2,FALSE),"")</f>
        <v>No Residencial</v>
      </c>
      <c r="G460" s="113" t="str">
        <f>IFERROR(VLOOKUP($D460,'Info planes y paquetes'!$C$472:$BS$579,3,FALSE),"")</f>
        <v>Telefonía fija + Internet fijo</v>
      </c>
      <c r="H460" s="113" t="str">
        <f>IFERROR(VLOOKUP($D460,'Info planes y paquetes'!$C$472:$BS$579,13,FALSE),"")</f>
        <v>1000 Mbps</v>
      </c>
      <c r="I460" s="312">
        <f>INDEX(vector.implicit.prices.broadband.after.discount,MATCH('Cálculos auxiliares'!D460,vector.plans.names,0))</f>
        <v>552</v>
      </c>
      <c r="J460" s="172">
        <f t="shared" si="50"/>
        <v>552</v>
      </c>
      <c r="K460" s="299">
        <f t="shared" si="59"/>
        <v>2.0128232130437346E-4</v>
      </c>
      <c r="M460" s="463">
        <f t="shared" si="53"/>
        <v>1000</v>
      </c>
      <c r="Q460" s="95">
        <f t="shared" si="58"/>
        <v>0</v>
      </c>
      <c r="R460" s="95">
        <f t="shared" si="58"/>
        <v>0</v>
      </c>
      <c r="S460" s="95">
        <f t="shared" si="58"/>
        <v>0</v>
      </c>
      <c r="T460" s="95">
        <f t="shared" si="55"/>
        <v>0</v>
      </c>
      <c r="U460" s="95">
        <f t="shared" si="55"/>
        <v>0</v>
      </c>
      <c r="V460" s="95">
        <f t="shared" si="55"/>
        <v>0</v>
      </c>
      <c r="W460" s="95">
        <f t="shared" si="55"/>
        <v>0</v>
      </c>
      <c r="X460" s="95">
        <f t="shared" si="56"/>
        <v>0</v>
      </c>
      <c r="Y460" s="95">
        <f t="shared" si="56"/>
        <v>0</v>
      </c>
      <c r="Z460" s="95">
        <f t="shared" si="56"/>
        <v>0</v>
      </c>
      <c r="AA460" s="95">
        <f t="shared" si="56"/>
        <v>0</v>
      </c>
      <c r="AB460" s="95">
        <f t="shared" si="57"/>
        <v>0</v>
      </c>
      <c r="AC460" s="95">
        <f t="shared" si="57"/>
        <v>0</v>
      </c>
      <c r="AD460" s="95">
        <f t="shared" si="57"/>
        <v>0</v>
      </c>
      <c r="AE460" s="95">
        <f t="shared" si="57"/>
        <v>0</v>
      </c>
      <c r="AF460" s="95">
        <f t="shared" si="57"/>
        <v>1</v>
      </c>
    </row>
    <row r="461" spans="2:32" s="262" customFormat="1" ht="12" outlineLevel="2" x14ac:dyDescent="0.25">
      <c r="B461" s="579" t="str">
        <f t="shared" si="52"/>
        <v>Velocidad Simétrica Conectes Negocio Netflix (1 dispositivo)No Residencial</v>
      </c>
      <c r="C461" s="95">
        <f t="shared" si="54"/>
        <v>102</v>
      </c>
      <c r="D461" s="101" t="str">
        <v>Velocidad Simétrica Conectes Negocio Netflix (1 dispositivo)</v>
      </c>
      <c r="F461" s="113" t="str">
        <f>IFERROR(VLOOKUP($D461,'Info planes y paquetes'!$C$472:$BS$579,2,FALSE),"")</f>
        <v>No Residencial</v>
      </c>
      <c r="G461" s="113" t="str">
        <f>IFERROR(VLOOKUP($D461,'Info planes y paquetes'!$C$472:$BS$579,3,FALSE),"")</f>
        <v>Telefonía fija + Internet fijo</v>
      </c>
      <c r="H461" s="113" t="str">
        <f>IFERROR(VLOOKUP($D461,'Info planes y paquetes'!$C$472:$BS$579,13,FALSE),"")</f>
        <v>20 Mbps/50 Mbps</v>
      </c>
      <c r="I461" s="312">
        <f>INDEX(vector.implicit.prices.broadband.after.discount,MATCH('Cálculos auxiliares'!D461,vector.plans.names,0))</f>
        <v>78</v>
      </c>
      <c r="J461" s="172">
        <f t="shared" si="50"/>
        <v>78</v>
      </c>
      <c r="K461" s="299">
        <f t="shared" si="59"/>
        <v>4.4452809475347492E-7</v>
      </c>
      <c r="M461" s="463">
        <f t="shared" si="53"/>
        <v>20</v>
      </c>
      <c r="Q461" s="95">
        <f t="shared" si="58"/>
        <v>0</v>
      </c>
      <c r="R461" s="95">
        <f t="shared" si="58"/>
        <v>0</v>
      </c>
      <c r="S461" s="95">
        <f t="shared" si="58"/>
        <v>0</v>
      </c>
      <c r="T461" s="95">
        <f t="shared" si="55"/>
        <v>1</v>
      </c>
      <c r="U461" s="95">
        <f t="shared" si="55"/>
        <v>0</v>
      </c>
      <c r="V461" s="95">
        <f t="shared" si="55"/>
        <v>0</v>
      </c>
      <c r="W461" s="95">
        <f t="shared" si="55"/>
        <v>0</v>
      </c>
      <c r="X461" s="95">
        <f t="shared" si="56"/>
        <v>0</v>
      </c>
      <c r="Y461" s="95">
        <f t="shared" si="56"/>
        <v>0</v>
      </c>
      <c r="Z461" s="95">
        <f t="shared" si="56"/>
        <v>0</v>
      </c>
      <c r="AA461" s="95">
        <f t="shared" si="56"/>
        <v>0</v>
      </c>
      <c r="AB461" s="95">
        <f t="shared" si="57"/>
        <v>0</v>
      </c>
      <c r="AC461" s="95">
        <f t="shared" si="57"/>
        <v>0</v>
      </c>
      <c r="AD461" s="95">
        <f t="shared" si="57"/>
        <v>0</v>
      </c>
      <c r="AE461" s="95">
        <f t="shared" si="57"/>
        <v>0</v>
      </c>
      <c r="AF461" s="95">
        <f t="shared" si="57"/>
        <v>0</v>
      </c>
    </row>
    <row r="462" spans="2:32" s="262" customFormat="1" ht="12" outlineLevel="2" x14ac:dyDescent="0.25">
      <c r="B462" s="579" t="str">
        <f t="shared" si="52"/>
        <v>Velocidad Simétrica Conectes Negocio Netflix (2 dispositivos)No Residencial</v>
      </c>
      <c r="C462" s="95">
        <f t="shared" si="54"/>
        <v>103</v>
      </c>
      <c r="D462" s="101" t="str">
        <v>Velocidad Simétrica Conectes Negocio Netflix (2 dispositivos)</v>
      </c>
      <c r="F462" s="113" t="str">
        <f>IFERROR(VLOOKUP($D462,'Info planes y paquetes'!$C$472:$BS$579,2,FALSE),"")</f>
        <v>No Residencial</v>
      </c>
      <c r="G462" s="113" t="str">
        <f>IFERROR(VLOOKUP($D462,'Info planes y paquetes'!$C$472:$BS$579,3,FALSE),"")</f>
        <v>Telefonía fija + Internet fijo</v>
      </c>
      <c r="H462" s="113" t="str">
        <f>IFERROR(VLOOKUP($D462,'Info planes y paquetes'!$C$472:$BS$579,13,FALSE),"")</f>
        <v>20 Mbps/50 Mbps</v>
      </c>
      <c r="I462" s="312">
        <f>INDEX(vector.implicit.prices.broadband.after.discount,MATCH('Cálculos auxiliares'!D462,vector.plans.names,0))</f>
        <v>63</v>
      </c>
      <c r="J462" s="172">
        <f t="shared" si="50"/>
        <v>63</v>
      </c>
      <c r="K462" s="299">
        <f t="shared" si="59"/>
        <v>4.4452809475347492E-7</v>
      </c>
      <c r="M462" s="463">
        <f t="shared" si="53"/>
        <v>20</v>
      </c>
      <c r="Q462" s="95">
        <f t="shared" si="58"/>
        <v>0</v>
      </c>
      <c r="R462" s="95">
        <f t="shared" si="58"/>
        <v>0</v>
      </c>
      <c r="S462" s="95">
        <f t="shared" si="58"/>
        <v>0</v>
      </c>
      <c r="T462" s="95">
        <f t="shared" si="55"/>
        <v>1</v>
      </c>
      <c r="U462" s="95">
        <f t="shared" si="55"/>
        <v>0</v>
      </c>
      <c r="V462" s="95">
        <f t="shared" si="55"/>
        <v>0</v>
      </c>
      <c r="W462" s="95">
        <f t="shared" si="55"/>
        <v>0</v>
      </c>
      <c r="X462" s="95">
        <f t="shared" si="56"/>
        <v>0</v>
      </c>
      <c r="Y462" s="95">
        <f t="shared" si="56"/>
        <v>0</v>
      </c>
      <c r="Z462" s="95">
        <f t="shared" si="56"/>
        <v>0</v>
      </c>
      <c r="AA462" s="95">
        <f t="shared" si="56"/>
        <v>0</v>
      </c>
      <c r="AB462" s="95">
        <f t="shared" si="57"/>
        <v>0</v>
      </c>
      <c r="AC462" s="95">
        <f t="shared" si="57"/>
        <v>0</v>
      </c>
      <c r="AD462" s="95">
        <f t="shared" si="57"/>
        <v>0</v>
      </c>
      <c r="AE462" s="95">
        <f t="shared" si="57"/>
        <v>0</v>
      </c>
      <c r="AF462" s="95">
        <f t="shared" si="57"/>
        <v>0</v>
      </c>
    </row>
    <row r="463" spans="2:32" s="262" customFormat="1" ht="12" outlineLevel="2" x14ac:dyDescent="0.25">
      <c r="B463" s="579" t="str">
        <f t="shared" si="52"/>
        <v>Velocidad Simétrica Conectes Negocio Netflix (4 dispositivos)No Residencial</v>
      </c>
      <c r="C463" s="95">
        <f t="shared" si="54"/>
        <v>104</v>
      </c>
      <c r="D463" s="101" t="str">
        <v>Velocidad Simétrica Conectes Negocio Netflix (4 dispositivos)</v>
      </c>
      <c r="F463" s="113" t="str">
        <f>IFERROR(VLOOKUP($D463,'Info planes y paquetes'!$C$472:$BS$579,2,FALSE),"")</f>
        <v>No Residencial</v>
      </c>
      <c r="G463" s="113" t="str">
        <f>IFERROR(VLOOKUP($D463,'Info planes y paquetes'!$C$472:$BS$579,3,FALSE),"")</f>
        <v>Telefonía fija + Internet fijo</v>
      </c>
      <c r="H463" s="113" t="str">
        <f>IFERROR(VLOOKUP($D463,'Info planes y paquetes'!$C$472:$BS$579,13,FALSE),"")</f>
        <v>20 Mbps/50 Mbps</v>
      </c>
      <c r="I463" s="312">
        <f>INDEX(vector.implicit.prices.broadband.after.discount,MATCH('Cálculos auxiliares'!D463,vector.plans.names,0))</f>
        <v>82</v>
      </c>
      <c r="J463" s="172">
        <f t="shared" si="50"/>
        <v>82</v>
      </c>
      <c r="K463" s="299">
        <f t="shared" si="59"/>
        <v>3.5562247580277996E-7</v>
      </c>
      <c r="M463" s="463">
        <f t="shared" si="53"/>
        <v>20</v>
      </c>
      <c r="Q463" s="95">
        <f t="shared" si="58"/>
        <v>0</v>
      </c>
      <c r="R463" s="95">
        <f t="shared" si="58"/>
        <v>0</v>
      </c>
      <c r="S463" s="95">
        <f t="shared" si="58"/>
        <v>0</v>
      </c>
      <c r="T463" s="95">
        <f t="shared" si="55"/>
        <v>1</v>
      </c>
      <c r="U463" s="95">
        <f t="shared" si="55"/>
        <v>0</v>
      </c>
      <c r="V463" s="95">
        <f t="shared" si="55"/>
        <v>0</v>
      </c>
      <c r="W463" s="95">
        <f t="shared" si="55"/>
        <v>0</v>
      </c>
      <c r="X463" s="95">
        <f t="shared" si="56"/>
        <v>0</v>
      </c>
      <c r="Y463" s="95">
        <f t="shared" si="56"/>
        <v>0</v>
      </c>
      <c r="Z463" s="95">
        <f t="shared" si="56"/>
        <v>0</v>
      </c>
      <c r="AA463" s="95">
        <f t="shared" si="56"/>
        <v>0</v>
      </c>
      <c r="AB463" s="95">
        <f t="shared" si="57"/>
        <v>0</v>
      </c>
      <c r="AC463" s="95">
        <f t="shared" si="57"/>
        <v>0</v>
      </c>
      <c r="AD463" s="95">
        <f t="shared" si="57"/>
        <v>0</v>
      </c>
      <c r="AE463" s="95">
        <f t="shared" si="57"/>
        <v>0</v>
      </c>
      <c r="AF463" s="95">
        <f t="shared" si="57"/>
        <v>0</v>
      </c>
    </row>
    <row r="464" spans="2:32" s="262" customFormat="1" ht="12" outlineLevel="2" x14ac:dyDescent="0.25">
      <c r="B464" s="579" t="str">
        <f t="shared" si="52"/>
        <v>Velocidad Simétrica Mi Negocio Netflix (2 dispositivos)No Residencial</v>
      </c>
      <c r="C464" s="95">
        <f t="shared" si="54"/>
        <v>105</v>
      </c>
      <c r="D464" s="101" t="str">
        <v>Velocidad Simétrica Mi Negocio Netflix (2 dispositivos)</v>
      </c>
      <c r="F464" s="113" t="str">
        <f>IFERROR(VLOOKUP($D464,'Info planes y paquetes'!$C$472:$BS$579,2,FALSE),"")</f>
        <v>No Residencial</v>
      </c>
      <c r="G464" s="113" t="str">
        <f>IFERROR(VLOOKUP($D464,'Info planes y paquetes'!$C$472:$BS$579,3,FALSE),"")</f>
        <v>Telefonía fija + Internet fijo</v>
      </c>
      <c r="H464" s="113" t="str">
        <f>IFERROR(VLOOKUP($D464,'Info planes y paquetes'!$C$472:$BS$579,13,FALSE),"")</f>
        <v>100 Mbps</v>
      </c>
      <c r="I464" s="312">
        <f>INDEX(vector.implicit.prices.broadband.after.discount,MATCH('Cálculos auxiliares'!D464,vector.plans.names,0))</f>
        <v>272</v>
      </c>
      <c r="J464" s="172">
        <f t="shared" si="50"/>
        <v>272</v>
      </c>
      <c r="K464" s="299">
        <f t="shared" si="59"/>
        <v>1.6003011411125099E-6</v>
      </c>
      <c r="M464" s="463">
        <f t="shared" si="53"/>
        <v>100</v>
      </c>
      <c r="Q464" s="95">
        <f t="shared" si="58"/>
        <v>0</v>
      </c>
      <c r="R464" s="95">
        <f t="shared" si="58"/>
        <v>0</v>
      </c>
      <c r="S464" s="95">
        <f t="shared" si="58"/>
        <v>0</v>
      </c>
      <c r="T464" s="95">
        <f t="shared" si="55"/>
        <v>0</v>
      </c>
      <c r="U464" s="95">
        <f t="shared" si="55"/>
        <v>0</v>
      </c>
      <c r="V464" s="95">
        <f t="shared" si="55"/>
        <v>0</v>
      </c>
      <c r="W464" s="95">
        <f t="shared" si="55"/>
        <v>0</v>
      </c>
      <c r="X464" s="95">
        <f t="shared" si="56"/>
        <v>0</v>
      </c>
      <c r="Y464" s="95">
        <f t="shared" si="56"/>
        <v>0</v>
      </c>
      <c r="Z464" s="95">
        <f t="shared" si="56"/>
        <v>1</v>
      </c>
      <c r="AA464" s="95">
        <f t="shared" si="56"/>
        <v>0</v>
      </c>
      <c r="AB464" s="95">
        <f t="shared" si="57"/>
        <v>0</v>
      </c>
      <c r="AC464" s="95">
        <f t="shared" si="57"/>
        <v>0</v>
      </c>
      <c r="AD464" s="95">
        <f t="shared" si="57"/>
        <v>0</v>
      </c>
      <c r="AE464" s="95">
        <f t="shared" si="57"/>
        <v>0</v>
      </c>
      <c r="AF464" s="95">
        <f t="shared" si="57"/>
        <v>0</v>
      </c>
    </row>
    <row r="465" spans="2:33" s="262" customFormat="1" ht="12" outlineLevel="2" x14ac:dyDescent="0.25">
      <c r="B465" s="579" t="str">
        <f t="shared" si="52"/>
        <v>Velocidad Simétrica Mi Negocio Netflix (4 dispositivos)No Residencial</v>
      </c>
      <c r="C465" s="95">
        <f t="shared" si="54"/>
        <v>106</v>
      </c>
      <c r="D465" s="101" t="str">
        <v>Velocidad Simétrica Mi Negocio Netflix (4 dispositivos)</v>
      </c>
      <c r="F465" s="113" t="str">
        <f>IFERROR(VLOOKUP($D465,'Info planes y paquetes'!$C$472:$BS$579,2,FALSE),"")</f>
        <v>No Residencial</v>
      </c>
      <c r="G465" s="113" t="str">
        <f>IFERROR(VLOOKUP($D465,'Info planes y paquetes'!$C$472:$BS$579,3,FALSE),"")</f>
        <v>Telefonía fija + Internet fijo</v>
      </c>
      <c r="H465" s="113" t="str">
        <f>IFERROR(VLOOKUP($D465,'Info planes y paquetes'!$C$472:$BS$579,13,FALSE),"")</f>
        <v>100 Mbps</v>
      </c>
      <c r="I465" s="312">
        <f>INDEX(vector.implicit.prices.broadband.after.discount,MATCH('Cálculos auxiliares'!D465,vector.plans.names,0))</f>
        <v>180</v>
      </c>
      <c r="J465" s="172">
        <f t="shared" si="50"/>
        <v>180</v>
      </c>
      <c r="K465" s="299">
        <f t="shared" si="59"/>
        <v>3.5562247580277996E-7</v>
      </c>
      <c r="M465" s="463">
        <f t="shared" si="53"/>
        <v>100</v>
      </c>
      <c r="Q465" s="95">
        <f t="shared" si="58"/>
        <v>0</v>
      </c>
      <c r="R465" s="95">
        <f t="shared" si="58"/>
        <v>0</v>
      </c>
      <c r="S465" s="95">
        <f t="shared" si="58"/>
        <v>0</v>
      </c>
      <c r="T465" s="95">
        <f t="shared" si="55"/>
        <v>0</v>
      </c>
      <c r="U465" s="95">
        <f t="shared" si="55"/>
        <v>0</v>
      </c>
      <c r="V465" s="95">
        <f t="shared" si="55"/>
        <v>0</v>
      </c>
      <c r="W465" s="95">
        <f t="shared" si="55"/>
        <v>0</v>
      </c>
      <c r="X465" s="95">
        <f t="shared" si="56"/>
        <v>0</v>
      </c>
      <c r="Y465" s="95">
        <f t="shared" si="56"/>
        <v>0</v>
      </c>
      <c r="Z465" s="95">
        <f t="shared" si="56"/>
        <v>1</v>
      </c>
      <c r="AA465" s="95">
        <f t="shared" si="56"/>
        <v>0</v>
      </c>
      <c r="AB465" s="95">
        <f t="shared" si="57"/>
        <v>0</v>
      </c>
      <c r="AC465" s="95">
        <f t="shared" si="57"/>
        <v>0</v>
      </c>
      <c r="AD465" s="95">
        <f t="shared" si="57"/>
        <v>0</v>
      </c>
      <c r="AE465" s="95">
        <f t="shared" si="57"/>
        <v>0</v>
      </c>
      <c r="AF465" s="95">
        <f t="shared" si="57"/>
        <v>0</v>
      </c>
    </row>
    <row r="466" spans="2:33" s="262" customFormat="1" ht="12" outlineLevel="2" x14ac:dyDescent="0.25">
      <c r="B466" s="579" t="str">
        <f t="shared" si="52"/>
        <v>Velocidad Simétrica Supernegocio Netflix (2 dispositivos)No Residencial</v>
      </c>
      <c r="C466" s="95">
        <f t="shared" si="54"/>
        <v>107</v>
      </c>
      <c r="D466" s="101" t="str">
        <v>Velocidad Simétrica Supernegocio Netflix (2 dispositivos)</v>
      </c>
      <c r="F466" s="113" t="str">
        <f>IFERROR(VLOOKUP($D466,'Info planes y paquetes'!$C$472:$BS$579,2,FALSE),"")</f>
        <v>No Residencial</v>
      </c>
      <c r="G466" s="113" t="str">
        <f>IFERROR(VLOOKUP($D466,'Info planes y paquetes'!$C$472:$BS$579,3,FALSE),"")</f>
        <v>Telefonía fija + Internet fijo</v>
      </c>
      <c r="H466" s="113" t="str">
        <f>IFERROR(VLOOKUP($D466,'Info planes y paquetes'!$C$472:$BS$579,13,FALSE),"")</f>
        <v>200 Mbps</v>
      </c>
      <c r="I466" s="312">
        <f>INDEX(vector.implicit.prices.broadband.after.discount,MATCH('Cálculos auxiliares'!D466,vector.plans.names,0))</f>
        <v>214</v>
      </c>
      <c r="J466" s="172">
        <f t="shared" si="50"/>
        <v>214</v>
      </c>
      <c r="K466" s="299">
        <f t="shared" si="59"/>
        <v>3.3784135201264095E-6</v>
      </c>
      <c r="M466" s="463">
        <f t="shared" si="53"/>
        <v>200</v>
      </c>
      <c r="Q466" s="95">
        <f t="shared" si="58"/>
        <v>0</v>
      </c>
      <c r="R466" s="95">
        <f t="shared" si="58"/>
        <v>0</v>
      </c>
      <c r="S466" s="95">
        <f t="shared" si="58"/>
        <v>0</v>
      </c>
      <c r="T466" s="95">
        <f t="shared" si="55"/>
        <v>0</v>
      </c>
      <c r="U466" s="95">
        <f t="shared" si="55"/>
        <v>0</v>
      </c>
      <c r="V466" s="95">
        <f t="shared" si="55"/>
        <v>0</v>
      </c>
      <c r="W466" s="95">
        <f t="shared" si="55"/>
        <v>0</v>
      </c>
      <c r="X466" s="95">
        <f t="shared" si="56"/>
        <v>0</v>
      </c>
      <c r="Y466" s="95">
        <f t="shared" si="56"/>
        <v>0</v>
      </c>
      <c r="Z466" s="95">
        <f t="shared" si="56"/>
        <v>0</v>
      </c>
      <c r="AA466" s="95">
        <f t="shared" si="56"/>
        <v>0</v>
      </c>
      <c r="AB466" s="95">
        <f t="shared" si="57"/>
        <v>0</v>
      </c>
      <c r="AC466" s="95">
        <f t="shared" si="57"/>
        <v>1</v>
      </c>
      <c r="AD466" s="95">
        <f t="shared" si="57"/>
        <v>0</v>
      </c>
      <c r="AE466" s="95">
        <f t="shared" si="57"/>
        <v>0</v>
      </c>
      <c r="AF466" s="95">
        <f t="shared" si="57"/>
        <v>0</v>
      </c>
    </row>
    <row r="467" spans="2:33" s="262" customFormat="1" ht="12" outlineLevel="2" x14ac:dyDescent="0.25">
      <c r="B467" s="579" t="str">
        <f t="shared" si="52"/>
        <v>Velocidad Simétrica Supernegocio Netflix (4 dispositivos)No Residencial</v>
      </c>
      <c r="C467" s="95">
        <f t="shared" si="54"/>
        <v>108</v>
      </c>
      <c r="D467" s="101" t="str">
        <v>Velocidad Simétrica Supernegocio Netflix (4 dispositivos)</v>
      </c>
      <c r="F467" s="113" t="str">
        <f>IFERROR(VLOOKUP($D467,'Info planes y paquetes'!$C$472:$BS$579,2,FALSE),"")</f>
        <v>No Residencial</v>
      </c>
      <c r="G467" s="113" t="str">
        <f>IFERROR(VLOOKUP($D467,'Info planes y paquetes'!$C$472:$BS$579,3,FALSE),"")</f>
        <v>Telefonía fija + Internet fijo</v>
      </c>
      <c r="H467" s="113" t="str">
        <f>IFERROR(VLOOKUP($D467,'Info planes y paquetes'!$C$472:$BS$579,13,FALSE),"")</f>
        <v>200 Mbps</v>
      </c>
      <c r="I467" s="312">
        <f>INDEX(vector.implicit.prices.broadband.after.discount,MATCH('Cálculos auxiliares'!D467,vector.plans.names,0))</f>
        <v>308</v>
      </c>
      <c r="J467" s="172">
        <f t="shared" si="50"/>
        <v>308</v>
      </c>
      <c r="K467" s="299">
        <f t="shared" si="59"/>
        <v>4.0007528527812748E-6</v>
      </c>
      <c r="M467" s="463">
        <f t="shared" si="53"/>
        <v>200</v>
      </c>
      <c r="Q467" s="95">
        <f t="shared" si="58"/>
        <v>0</v>
      </c>
      <c r="R467" s="95">
        <f t="shared" si="58"/>
        <v>0</v>
      </c>
      <c r="S467" s="95">
        <f t="shared" si="58"/>
        <v>0</v>
      </c>
      <c r="T467" s="95">
        <f t="shared" si="55"/>
        <v>0</v>
      </c>
      <c r="U467" s="95">
        <f t="shared" si="55"/>
        <v>0</v>
      </c>
      <c r="V467" s="95">
        <f t="shared" si="55"/>
        <v>0</v>
      </c>
      <c r="W467" s="95">
        <f t="shared" si="55"/>
        <v>0</v>
      </c>
      <c r="X467" s="95">
        <f t="shared" si="56"/>
        <v>0</v>
      </c>
      <c r="Y467" s="95">
        <f t="shared" si="56"/>
        <v>0</v>
      </c>
      <c r="Z467" s="95">
        <f t="shared" si="56"/>
        <v>0</v>
      </c>
      <c r="AA467" s="95">
        <f t="shared" si="56"/>
        <v>0</v>
      </c>
      <c r="AB467" s="95">
        <f t="shared" si="57"/>
        <v>0</v>
      </c>
      <c r="AC467" s="95">
        <f t="shared" si="57"/>
        <v>1</v>
      </c>
      <c r="AD467" s="95">
        <f t="shared" si="57"/>
        <v>0</v>
      </c>
      <c r="AE467" s="95">
        <f t="shared" si="57"/>
        <v>0</v>
      </c>
      <c r="AF467" s="95">
        <f t="shared" si="57"/>
        <v>0</v>
      </c>
    </row>
    <row r="468" spans="2:33" s="262" customFormat="1" outlineLevel="2" x14ac:dyDescent="0.25">
      <c r="C468" s="95">
        <f t="shared" si="54"/>
        <v>109</v>
      </c>
      <c r="D468" s="101">
        <v>0</v>
      </c>
      <c r="F468" s="113"/>
      <c r="G468" s="113"/>
      <c r="H468" s="170"/>
      <c r="I468" s="312"/>
      <c r="J468" s="172"/>
      <c r="K468" s="313"/>
      <c r="M468" s="463" t="e">
        <f t="shared" si="53"/>
        <v>#VALUE!</v>
      </c>
      <c r="Q468" s="95" t="e">
        <f t="shared" si="58"/>
        <v>#VALUE!</v>
      </c>
      <c r="R468" s="95" t="e">
        <f t="shared" si="58"/>
        <v>#VALUE!</v>
      </c>
      <c r="S468" s="95" t="e">
        <f t="shared" si="58"/>
        <v>#VALUE!</v>
      </c>
      <c r="T468" s="95" t="e">
        <f t="shared" si="55"/>
        <v>#VALUE!</v>
      </c>
      <c r="U468" s="95" t="e">
        <f t="shared" si="55"/>
        <v>#VALUE!</v>
      </c>
      <c r="V468" s="95" t="e">
        <f t="shared" si="55"/>
        <v>#VALUE!</v>
      </c>
      <c r="W468" s="95" t="e">
        <f t="shared" si="55"/>
        <v>#VALUE!</v>
      </c>
      <c r="X468" s="95" t="e">
        <f t="shared" si="56"/>
        <v>#VALUE!</v>
      </c>
      <c r="Y468" s="95" t="e">
        <f t="shared" si="56"/>
        <v>#VALUE!</v>
      </c>
      <c r="Z468" s="95" t="e">
        <f t="shared" si="56"/>
        <v>#VALUE!</v>
      </c>
      <c r="AA468" s="95" t="e">
        <f t="shared" si="56"/>
        <v>#VALUE!</v>
      </c>
      <c r="AB468" s="95" t="e">
        <f t="shared" si="57"/>
        <v>#VALUE!</v>
      </c>
      <c r="AC468" s="95" t="e">
        <f t="shared" si="57"/>
        <v>#VALUE!</v>
      </c>
      <c r="AD468" s="95" t="e">
        <f t="shared" si="57"/>
        <v>#VALUE!</v>
      </c>
      <c r="AE468" s="95" t="e">
        <f t="shared" si="57"/>
        <v>#VALUE!</v>
      </c>
      <c r="AF468" s="95" t="e">
        <f t="shared" si="57"/>
        <v>#VALUE!</v>
      </c>
    </row>
    <row r="469" spans="2:33" s="262" customFormat="1" outlineLevel="2" x14ac:dyDescent="0.25">
      <c r="C469" s="95">
        <f t="shared" si="54"/>
        <v>110</v>
      </c>
      <c r="D469" s="101">
        <v>0</v>
      </c>
      <c r="F469" s="113"/>
      <c r="G469" s="113"/>
      <c r="H469" s="170"/>
      <c r="I469" s="312"/>
      <c r="J469" s="172"/>
      <c r="K469" s="313"/>
      <c r="M469" s="463"/>
      <c r="Q469" s="95">
        <f t="shared" si="58"/>
        <v>0</v>
      </c>
      <c r="R469" s="95">
        <f t="shared" si="58"/>
        <v>0</v>
      </c>
      <c r="S469" s="95">
        <f t="shared" si="58"/>
        <v>0</v>
      </c>
      <c r="T469" s="95">
        <f t="shared" si="55"/>
        <v>0</v>
      </c>
      <c r="U469" s="95">
        <f t="shared" si="55"/>
        <v>0</v>
      </c>
      <c r="V469" s="95">
        <f t="shared" si="55"/>
        <v>0</v>
      </c>
      <c r="W469" s="95">
        <f t="shared" si="55"/>
        <v>0</v>
      </c>
      <c r="X469" s="95">
        <f t="shared" si="56"/>
        <v>0</v>
      </c>
      <c r="Y469" s="95">
        <f t="shared" si="56"/>
        <v>0</v>
      </c>
      <c r="Z469" s="95">
        <f t="shared" si="56"/>
        <v>0</v>
      </c>
      <c r="AA469" s="95">
        <f t="shared" si="56"/>
        <v>0</v>
      </c>
      <c r="AB469" s="95">
        <f t="shared" si="57"/>
        <v>0</v>
      </c>
      <c r="AC469" s="95">
        <f t="shared" si="57"/>
        <v>0</v>
      </c>
      <c r="AD469" s="95">
        <f t="shared" si="57"/>
        <v>0</v>
      </c>
      <c r="AE469" s="95">
        <f t="shared" si="57"/>
        <v>0</v>
      </c>
      <c r="AF469" s="95">
        <f t="shared" si="57"/>
        <v>0</v>
      </c>
    </row>
    <row r="470" spans="2:33" s="262" customFormat="1" outlineLevel="2" x14ac:dyDescent="0.25">
      <c r="C470" s="95">
        <f t="shared" si="54"/>
        <v>111</v>
      </c>
      <c r="D470" s="101"/>
      <c r="F470" s="113"/>
      <c r="G470" s="113"/>
      <c r="H470" s="170"/>
      <c r="I470" s="312"/>
      <c r="J470" s="172"/>
      <c r="K470" s="313"/>
      <c r="M470" s="463"/>
      <c r="Q470" s="95">
        <f t="shared" si="58"/>
        <v>0</v>
      </c>
      <c r="R470" s="95">
        <f t="shared" si="58"/>
        <v>0</v>
      </c>
      <c r="S470" s="95">
        <f t="shared" si="58"/>
        <v>0</v>
      </c>
      <c r="T470" s="95">
        <f t="shared" si="55"/>
        <v>0</v>
      </c>
      <c r="U470" s="95">
        <f t="shared" si="55"/>
        <v>0</v>
      </c>
      <c r="V470" s="95">
        <f t="shared" si="55"/>
        <v>0</v>
      </c>
      <c r="W470" s="95">
        <f t="shared" si="55"/>
        <v>0</v>
      </c>
      <c r="X470" s="95">
        <f t="shared" si="56"/>
        <v>0</v>
      </c>
      <c r="Y470" s="95">
        <f t="shared" si="56"/>
        <v>0</v>
      </c>
      <c r="Z470" s="95">
        <f t="shared" si="56"/>
        <v>0</v>
      </c>
      <c r="AA470" s="95">
        <f t="shared" si="56"/>
        <v>0</v>
      </c>
      <c r="AB470" s="95">
        <f t="shared" si="57"/>
        <v>0</v>
      </c>
      <c r="AC470" s="95">
        <f t="shared" si="57"/>
        <v>0</v>
      </c>
      <c r="AD470" s="95">
        <f t="shared" si="57"/>
        <v>0</v>
      </c>
      <c r="AE470" s="95">
        <f t="shared" si="57"/>
        <v>0</v>
      </c>
      <c r="AF470" s="95">
        <f t="shared" si="57"/>
        <v>0</v>
      </c>
    </row>
    <row r="471" spans="2:33" s="262" customFormat="1" outlineLevel="2" x14ac:dyDescent="0.25">
      <c r="C471" s="95">
        <f t="shared" si="54"/>
        <v>112</v>
      </c>
      <c r="D471" s="101"/>
      <c r="F471" s="113"/>
      <c r="G471" s="113"/>
      <c r="H471" s="170"/>
      <c r="I471" s="312"/>
      <c r="J471" s="172"/>
      <c r="K471" s="313"/>
      <c r="M471" s="463"/>
      <c r="Q471" s="95">
        <f t="shared" si="58"/>
        <v>0</v>
      </c>
      <c r="R471" s="95">
        <f t="shared" si="58"/>
        <v>0</v>
      </c>
      <c r="S471" s="95">
        <f t="shared" si="58"/>
        <v>0</v>
      </c>
      <c r="T471" s="95">
        <f t="shared" si="55"/>
        <v>0</v>
      </c>
      <c r="U471" s="95">
        <f t="shared" si="55"/>
        <v>0</v>
      </c>
      <c r="V471" s="95">
        <f t="shared" si="55"/>
        <v>0</v>
      </c>
      <c r="W471" s="95">
        <f t="shared" si="55"/>
        <v>0</v>
      </c>
      <c r="X471" s="95">
        <f t="shared" si="56"/>
        <v>0</v>
      </c>
      <c r="Y471" s="95">
        <f t="shared" si="56"/>
        <v>0</v>
      </c>
      <c r="Z471" s="95">
        <f t="shared" si="56"/>
        <v>0</v>
      </c>
      <c r="AA471" s="95">
        <f t="shared" si="56"/>
        <v>0</v>
      </c>
      <c r="AB471" s="95">
        <f t="shared" si="57"/>
        <v>0</v>
      </c>
      <c r="AC471" s="95">
        <f t="shared" si="57"/>
        <v>0</v>
      </c>
      <c r="AD471" s="95">
        <f t="shared" si="57"/>
        <v>0</v>
      </c>
      <c r="AE471" s="95">
        <f t="shared" si="57"/>
        <v>0</v>
      </c>
      <c r="AF471" s="95">
        <f t="shared" si="57"/>
        <v>0</v>
      </c>
    </row>
    <row r="472" spans="2:33" s="262" customFormat="1" outlineLevel="2" x14ac:dyDescent="0.25">
      <c r="C472" s="95">
        <f t="shared" si="54"/>
        <v>113</v>
      </c>
      <c r="D472" s="101"/>
      <c r="F472" s="113"/>
      <c r="G472" s="113"/>
      <c r="H472" s="170"/>
      <c r="I472" s="312"/>
      <c r="J472" s="172"/>
      <c r="K472" s="313"/>
      <c r="M472" s="463"/>
      <c r="Q472" s="95">
        <f t="shared" si="58"/>
        <v>0</v>
      </c>
      <c r="R472" s="95">
        <f t="shared" si="58"/>
        <v>0</v>
      </c>
      <c r="S472" s="95">
        <f t="shared" si="58"/>
        <v>0</v>
      </c>
      <c r="T472" s="95">
        <f t="shared" si="55"/>
        <v>0</v>
      </c>
      <c r="U472" s="95">
        <f t="shared" si="55"/>
        <v>0</v>
      </c>
      <c r="V472" s="95">
        <f t="shared" si="55"/>
        <v>0</v>
      </c>
      <c r="W472" s="95">
        <f t="shared" si="55"/>
        <v>0</v>
      </c>
      <c r="X472" s="95">
        <f t="shared" si="56"/>
        <v>0</v>
      </c>
      <c r="Y472" s="95">
        <f t="shared" si="56"/>
        <v>0</v>
      </c>
      <c r="Z472" s="95">
        <f t="shared" si="56"/>
        <v>0</v>
      </c>
      <c r="AA472" s="95">
        <f t="shared" si="56"/>
        <v>0</v>
      </c>
      <c r="AB472" s="95">
        <f t="shared" si="57"/>
        <v>0</v>
      </c>
      <c r="AC472" s="95">
        <f t="shared" si="57"/>
        <v>0</v>
      </c>
      <c r="AD472" s="95">
        <f t="shared" si="57"/>
        <v>0</v>
      </c>
      <c r="AE472" s="95">
        <f t="shared" si="57"/>
        <v>0</v>
      </c>
      <c r="AF472" s="95">
        <f t="shared" si="57"/>
        <v>0</v>
      </c>
    </row>
    <row r="473" spans="2:33" s="262" customFormat="1" outlineLevel="2" x14ac:dyDescent="0.25">
      <c r="C473" s="95">
        <f t="shared" si="54"/>
        <v>114</v>
      </c>
      <c r="D473" s="101"/>
      <c r="F473" s="113"/>
      <c r="G473" s="113"/>
      <c r="H473" s="170"/>
      <c r="I473" s="312"/>
      <c r="J473" s="172"/>
      <c r="K473" s="313"/>
      <c r="M473" s="463"/>
      <c r="Q473" s="95">
        <f t="shared" si="58"/>
        <v>0</v>
      </c>
      <c r="R473" s="95">
        <f t="shared" si="58"/>
        <v>0</v>
      </c>
      <c r="S473" s="95">
        <f t="shared" si="58"/>
        <v>0</v>
      </c>
      <c r="T473" s="95">
        <f t="shared" si="55"/>
        <v>0</v>
      </c>
      <c r="U473" s="95">
        <f t="shared" si="55"/>
        <v>0</v>
      </c>
      <c r="V473" s="95">
        <f t="shared" si="55"/>
        <v>0</v>
      </c>
      <c r="W473" s="95">
        <f t="shared" si="55"/>
        <v>0</v>
      </c>
      <c r="X473" s="95">
        <f t="shared" si="56"/>
        <v>0</v>
      </c>
      <c r="Y473" s="95">
        <f t="shared" si="56"/>
        <v>0</v>
      </c>
      <c r="Z473" s="95">
        <f t="shared" si="56"/>
        <v>0</v>
      </c>
      <c r="AA473" s="95">
        <f t="shared" si="56"/>
        <v>0</v>
      </c>
      <c r="AB473" s="95">
        <f t="shared" si="57"/>
        <v>0</v>
      </c>
      <c r="AC473" s="95">
        <f t="shared" si="57"/>
        <v>0</v>
      </c>
      <c r="AD473" s="95">
        <f t="shared" si="57"/>
        <v>0</v>
      </c>
      <c r="AE473" s="95">
        <f t="shared" si="57"/>
        <v>0</v>
      </c>
      <c r="AF473" s="95">
        <f t="shared" si="57"/>
        <v>0</v>
      </c>
    </row>
    <row r="474" spans="2:33" s="262" customFormat="1" outlineLevel="2" x14ac:dyDescent="0.25">
      <c r="C474" s="95">
        <f t="shared" si="54"/>
        <v>115</v>
      </c>
      <c r="D474" s="101"/>
      <c r="F474" s="113"/>
      <c r="G474" s="113"/>
      <c r="H474" s="170"/>
      <c r="I474" s="312"/>
      <c r="J474" s="172"/>
      <c r="K474" s="313"/>
      <c r="M474" s="463"/>
      <c r="Q474" s="95">
        <f t="shared" si="58"/>
        <v>0</v>
      </c>
      <c r="R474" s="95">
        <f t="shared" si="58"/>
        <v>0</v>
      </c>
      <c r="S474" s="95">
        <f t="shared" si="58"/>
        <v>0</v>
      </c>
      <c r="T474" s="95">
        <f t="shared" si="55"/>
        <v>0</v>
      </c>
      <c r="U474" s="95">
        <f t="shared" si="55"/>
        <v>0</v>
      </c>
      <c r="V474" s="95">
        <f t="shared" si="55"/>
        <v>0</v>
      </c>
      <c r="W474" s="95">
        <f t="shared" si="55"/>
        <v>0</v>
      </c>
      <c r="X474" s="95">
        <f t="shared" si="56"/>
        <v>0</v>
      </c>
      <c r="Y474" s="95">
        <f t="shared" si="56"/>
        <v>0</v>
      </c>
      <c r="Z474" s="95">
        <f t="shared" si="56"/>
        <v>0</v>
      </c>
      <c r="AA474" s="95">
        <f t="shared" si="56"/>
        <v>0</v>
      </c>
      <c r="AB474" s="95">
        <f t="shared" si="57"/>
        <v>0</v>
      </c>
      <c r="AC474" s="95">
        <f t="shared" si="57"/>
        <v>0</v>
      </c>
      <c r="AD474" s="95">
        <f t="shared" si="57"/>
        <v>0</v>
      </c>
      <c r="AE474" s="95">
        <f t="shared" si="57"/>
        <v>0</v>
      </c>
      <c r="AF474" s="95">
        <f t="shared" si="57"/>
        <v>0</v>
      </c>
    </row>
    <row r="475" spans="2:33" s="262" customFormat="1" outlineLevel="2" x14ac:dyDescent="0.25">
      <c r="C475" s="95">
        <f t="shared" si="54"/>
        <v>116</v>
      </c>
      <c r="D475" s="101"/>
      <c r="F475" s="113"/>
      <c r="G475" s="113"/>
      <c r="H475" s="170"/>
      <c r="I475" s="312"/>
      <c r="J475" s="172"/>
      <c r="K475" s="313"/>
      <c r="M475" s="463"/>
      <c r="Q475" s="95">
        <f t="shared" si="58"/>
        <v>0</v>
      </c>
      <c r="R475" s="95">
        <f t="shared" si="58"/>
        <v>0</v>
      </c>
      <c r="S475" s="95">
        <f t="shared" si="58"/>
        <v>0</v>
      </c>
      <c r="T475" s="95">
        <f t="shared" si="55"/>
        <v>0</v>
      </c>
      <c r="U475" s="95">
        <f t="shared" si="55"/>
        <v>0</v>
      </c>
      <c r="V475" s="95">
        <f t="shared" si="55"/>
        <v>0</v>
      </c>
      <c r="W475" s="95">
        <f t="shared" si="55"/>
        <v>0</v>
      </c>
      <c r="X475" s="95">
        <f t="shared" si="56"/>
        <v>0</v>
      </c>
      <c r="Y475" s="95">
        <f t="shared" si="56"/>
        <v>0</v>
      </c>
      <c r="Z475" s="95">
        <f t="shared" si="56"/>
        <v>0</v>
      </c>
      <c r="AA475" s="95">
        <f t="shared" si="56"/>
        <v>0</v>
      </c>
      <c r="AB475" s="95">
        <f t="shared" si="57"/>
        <v>0</v>
      </c>
      <c r="AC475" s="95">
        <f t="shared" si="57"/>
        <v>0</v>
      </c>
      <c r="AD475" s="95">
        <f t="shared" si="57"/>
        <v>0</v>
      </c>
      <c r="AE475" s="95">
        <f t="shared" si="57"/>
        <v>0</v>
      </c>
      <c r="AF475" s="95">
        <f t="shared" si="57"/>
        <v>0</v>
      </c>
    </row>
    <row r="476" spans="2:33" s="262" customFormat="1" outlineLevel="2" x14ac:dyDescent="0.25">
      <c r="C476" s="95">
        <f t="shared" si="54"/>
        <v>117</v>
      </c>
      <c r="D476" s="101"/>
      <c r="F476" s="113"/>
      <c r="G476" s="113"/>
      <c r="H476" s="170"/>
      <c r="I476" s="312"/>
      <c r="J476" s="172"/>
      <c r="K476" s="313"/>
      <c r="M476" s="463"/>
      <c r="Q476" s="95">
        <f t="shared" si="58"/>
        <v>0</v>
      </c>
      <c r="R476" s="95">
        <f t="shared" si="58"/>
        <v>0</v>
      </c>
      <c r="S476" s="95">
        <f t="shared" si="58"/>
        <v>0</v>
      </c>
      <c r="T476" s="95">
        <f t="shared" si="55"/>
        <v>0</v>
      </c>
      <c r="U476" s="95">
        <f t="shared" si="55"/>
        <v>0</v>
      </c>
      <c r="V476" s="95">
        <f t="shared" si="55"/>
        <v>0</v>
      </c>
      <c r="W476" s="95">
        <f t="shared" si="55"/>
        <v>0</v>
      </c>
      <c r="X476" s="95">
        <f t="shared" si="56"/>
        <v>0</v>
      </c>
      <c r="Y476" s="95">
        <f t="shared" si="56"/>
        <v>0</v>
      </c>
      <c r="Z476" s="95">
        <f t="shared" si="56"/>
        <v>0</v>
      </c>
      <c r="AA476" s="95">
        <f t="shared" si="56"/>
        <v>0</v>
      </c>
      <c r="AB476" s="95">
        <f t="shared" si="57"/>
        <v>0</v>
      </c>
      <c r="AC476" s="95">
        <f t="shared" si="57"/>
        <v>0</v>
      </c>
      <c r="AD476" s="95">
        <f t="shared" si="57"/>
        <v>0</v>
      </c>
      <c r="AE476" s="95">
        <f t="shared" si="57"/>
        <v>0</v>
      </c>
      <c r="AF476" s="95">
        <f t="shared" si="57"/>
        <v>0</v>
      </c>
    </row>
    <row r="477" spans="2:33" s="262" customFormat="1" outlineLevel="2" x14ac:dyDescent="0.25">
      <c r="C477" s="95">
        <f t="shared" si="54"/>
        <v>118</v>
      </c>
      <c r="D477" s="101"/>
      <c r="F477" s="113"/>
      <c r="G477" s="113"/>
      <c r="H477" s="170"/>
      <c r="I477" s="312"/>
      <c r="J477" s="172"/>
      <c r="K477" s="313"/>
      <c r="M477" s="463"/>
      <c r="Q477" s="95">
        <f t="shared" si="58"/>
        <v>0</v>
      </c>
      <c r="R477" s="95">
        <f t="shared" si="58"/>
        <v>0</v>
      </c>
      <c r="S477" s="95">
        <f t="shared" si="58"/>
        <v>0</v>
      </c>
      <c r="T477" s="95">
        <f t="shared" si="55"/>
        <v>0</v>
      </c>
      <c r="U477" s="95">
        <f t="shared" si="55"/>
        <v>0</v>
      </c>
      <c r="V477" s="95">
        <f t="shared" si="55"/>
        <v>0</v>
      </c>
      <c r="W477" s="95">
        <f t="shared" si="55"/>
        <v>0</v>
      </c>
      <c r="X477" s="95">
        <f t="shared" si="56"/>
        <v>0</v>
      </c>
      <c r="Y477" s="95">
        <f t="shared" si="56"/>
        <v>0</v>
      </c>
      <c r="Z477" s="95">
        <f t="shared" si="56"/>
        <v>0</v>
      </c>
      <c r="AA477" s="95">
        <f t="shared" si="56"/>
        <v>0</v>
      </c>
      <c r="AB477" s="95">
        <f t="shared" si="57"/>
        <v>0</v>
      </c>
      <c r="AC477" s="95">
        <f t="shared" si="57"/>
        <v>0</v>
      </c>
      <c r="AD477" s="95">
        <f t="shared" si="57"/>
        <v>0</v>
      </c>
      <c r="AE477" s="95">
        <f t="shared" si="57"/>
        <v>0</v>
      </c>
      <c r="AF477" s="95">
        <f t="shared" si="57"/>
        <v>0</v>
      </c>
    </row>
    <row r="478" spans="2:33" s="262" customFormat="1" outlineLevel="2" x14ac:dyDescent="0.25">
      <c r="C478" s="95">
        <f t="shared" si="54"/>
        <v>119</v>
      </c>
      <c r="D478" s="101"/>
      <c r="F478" s="113"/>
      <c r="G478" s="113"/>
      <c r="H478" s="170"/>
      <c r="I478" s="312"/>
      <c r="J478" s="172"/>
      <c r="K478" s="313"/>
      <c r="M478" s="463"/>
      <c r="Q478" s="95">
        <f t="shared" si="58"/>
        <v>0</v>
      </c>
      <c r="R478" s="95">
        <f t="shared" si="58"/>
        <v>0</v>
      </c>
      <c r="S478" s="95">
        <f t="shared" si="58"/>
        <v>0</v>
      </c>
      <c r="T478" s="95">
        <f t="shared" si="55"/>
        <v>0</v>
      </c>
      <c r="U478" s="95">
        <f t="shared" si="55"/>
        <v>0</v>
      </c>
      <c r="V478" s="95">
        <f t="shared" si="55"/>
        <v>0</v>
      </c>
      <c r="W478" s="95">
        <f t="shared" si="55"/>
        <v>0</v>
      </c>
      <c r="X478" s="95">
        <f t="shared" si="56"/>
        <v>0</v>
      </c>
      <c r="Y478" s="95">
        <f t="shared" si="56"/>
        <v>0</v>
      </c>
      <c r="Z478" s="95">
        <f t="shared" si="56"/>
        <v>0</v>
      </c>
      <c r="AA478" s="95">
        <f t="shared" si="56"/>
        <v>0</v>
      </c>
      <c r="AB478" s="95">
        <f t="shared" si="57"/>
        <v>0</v>
      </c>
      <c r="AC478" s="95">
        <f t="shared" si="57"/>
        <v>0</v>
      </c>
      <c r="AD478" s="95">
        <f t="shared" si="57"/>
        <v>0</v>
      </c>
      <c r="AE478" s="95">
        <f t="shared" si="57"/>
        <v>0</v>
      </c>
      <c r="AF478" s="95">
        <f t="shared" si="57"/>
        <v>0</v>
      </c>
    </row>
    <row r="479" spans="2:33" s="262" customFormat="1" ht="12" outlineLevel="2" thickBot="1" x14ac:dyDescent="0.3">
      <c r="C479" s="95">
        <f t="shared" si="54"/>
        <v>120</v>
      </c>
      <c r="D479" s="101"/>
      <c r="F479" s="113"/>
      <c r="G479" s="113"/>
      <c r="H479" s="170"/>
      <c r="I479" s="312"/>
      <c r="J479" s="172"/>
      <c r="K479" s="313"/>
      <c r="M479" s="463"/>
      <c r="Q479" s="95">
        <f t="shared" si="58"/>
        <v>0</v>
      </c>
      <c r="R479" s="95">
        <f t="shared" si="58"/>
        <v>0</v>
      </c>
      <c r="S479" s="95">
        <f t="shared" si="58"/>
        <v>0</v>
      </c>
      <c r="T479" s="95">
        <f t="shared" si="55"/>
        <v>0</v>
      </c>
      <c r="U479" s="95">
        <f t="shared" si="55"/>
        <v>0</v>
      </c>
      <c r="V479" s="95">
        <f t="shared" si="55"/>
        <v>0</v>
      </c>
      <c r="W479" s="95">
        <f t="shared" si="55"/>
        <v>0</v>
      </c>
      <c r="X479" s="95">
        <f t="shared" si="56"/>
        <v>0</v>
      </c>
      <c r="Y479" s="95">
        <f t="shared" si="56"/>
        <v>0</v>
      </c>
      <c r="Z479" s="95">
        <f t="shared" si="56"/>
        <v>0</v>
      </c>
      <c r="AA479" s="95">
        <f t="shared" si="56"/>
        <v>0</v>
      </c>
      <c r="AB479" s="95">
        <f t="shared" si="57"/>
        <v>0</v>
      </c>
      <c r="AC479" s="95">
        <f t="shared" si="57"/>
        <v>0</v>
      </c>
      <c r="AD479" s="95">
        <f t="shared" si="57"/>
        <v>0</v>
      </c>
      <c r="AE479" s="95">
        <f t="shared" si="57"/>
        <v>0</v>
      </c>
      <c r="AF479" s="95">
        <f t="shared" si="57"/>
        <v>0</v>
      </c>
    </row>
    <row r="480" spans="2:33" s="44" customFormat="1" ht="12" x14ac:dyDescent="0.25">
      <c r="C480" s="41"/>
      <c r="D480" s="41"/>
      <c r="E480" s="41"/>
      <c r="F480" s="41"/>
      <c r="G480" s="41"/>
      <c r="H480" s="41"/>
      <c r="I480" s="41"/>
      <c r="J480" s="41"/>
      <c r="K480" s="41"/>
      <c r="L480" s="223" t="s">
        <v>562</v>
      </c>
      <c r="M480" s="41"/>
      <c r="Q480" s="41" t="s">
        <v>609</v>
      </c>
      <c r="R480" s="41" t="s">
        <v>609</v>
      </c>
      <c r="S480" s="41" t="s">
        <v>609</v>
      </c>
      <c r="T480" s="41" t="s">
        <v>609</v>
      </c>
      <c r="U480" s="41" t="s">
        <v>609</v>
      </c>
      <c r="V480" s="270" t="s">
        <v>609</v>
      </c>
      <c r="W480" s="41" t="s">
        <v>609</v>
      </c>
      <c r="X480" s="270" t="s">
        <v>609</v>
      </c>
      <c r="Y480" s="270" t="s">
        <v>609</v>
      </c>
      <c r="Z480" s="41" t="s">
        <v>609</v>
      </c>
      <c r="AA480" s="270" t="s">
        <v>609</v>
      </c>
      <c r="AB480" s="41" t="s">
        <v>609</v>
      </c>
      <c r="AC480" s="41" t="s">
        <v>609</v>
      </c>
      <c r="AD480" s="270" t="s">
        <v>609</v>
      </c>
      <c r="AE480" s="270" t="s">
        <v>609</v>
      </c>
      <c r="AF480" s="270" t="s">
        <v>609</v>
      </c>
      <c r="AG480" s="262"/>
    </row>
    <row r="481" spans="3:33" s="44" customFormat="1" x14ac:dyDescent="0.25">
      <c r="C481" s="102"/>
      <c r="V481" s="262"/>
      <c r="X481" s="262"/>
      <c r="Y481" s="262"/>
      <c r="AA481" s="262"/>
      <c r="AD481" s="262"/>
      <c r="AE481" s="262"/>
      <c r="AG481" s="262"/>
    </row>
    <row r="482" spans="3:33" s="44" customFormat="1" x14ac:dyDescent="0.25">
      <c r="C482" s="102" t="s">
        <v>616</v>
      </c>
      <c r="Q482" s="466">
        <f t="shared" ref="Q482:X482" si="60">Q359</f>
        <v>3</v>
      </c>
      <c r="R482" s="466">
        <f t="shared" si="60"/>
        <v>5</v>
      </c>
      <c r="S482" s="466">
        <f t="shared" si="60"/>
        <v>10</v>
      </c>
      <c r="T482" s="466">
        <f t="shared" si="60"/>
        <v>20</v>
      </c>
      <c r="U482" s="466">
        <f t="shared" si="60"/>
        <v>30</v>
      </c>
      <c r="V482" s="466">
        <f t="shared" si="60"/>
        <v>40</v>
      </c>
      <c r="W482" s="466">
        <f t="shared" si="60"/>
        <v>50</v>
      </c>
      <c r="X482" s="466">
        <f t="shared" si="60"/>
        <v>60</v>
      </c>
      <c r="Y482" s="466"/>
      <c r="Z482" s="466">
        <f>Z359</f>
        <v>100</v>
      </c>
      <c r="AA482" s="466"/>
      <c r="AB482" s="466">
        <f>AB359</f>
        <v>150</v>
      </c>
      <c r="AC482" s="466">
        <f>AC359</f>
        <v>200</v>
      </c>
      <c r="AD482" s="466"/>
      <c r="AE482" s="466">
        <f>AE359</f>
        <v>500</v>
      </c>
      <c r="AF482" s="466">
        <f>AF359</f>
        <v>1000</v>
      </c>
      <c r="AG482" s="262"/>
    </row>
    <row r="483" spans="3:33" s="44" customFormat="1" ht="28" customHeight="1" x14ac:dyDescent="0.25">
      <c r="H483" s="174" t="str">
        <f>"MXN/ Mbps "&amp;Year.selected</f>
        <v>MXN/ Mbps 2022</v>
      </c>
      <c r="I483" s="175"/>
      <c r="K483" s="424"/>
      <c r="L483" s="426"/>
      <c r="M483" s="268" t="s">
        <v>835</v>
      </c>
      <c r="N483" s="268" t="s">
        <v>944</v>
      </c>
      <c r="O483" s="268" t="s">
        <v>1302</v>
      </c>
      <c r="V483" s="262"/>
      <c r="X483" s="262"/>
      <c r="Y483" s="262"/>
      <c r="AA483" s="262"/>
      <c r="AD483" s="262"/>
      <c r="AE483" s="262"/>
    </row>
    <row r="484" spans="3:33" s="44" customFormat="1" ht="43" customHeight="1" x14ac:dyDescent="0.25">
      <c r="C484" s="68"/>
      <c r="D484" s="176" t="s">
        <v>606</v>
      </c>
      <c r="E484" s="173" t="str">
        <f>"Suscriptores en el perfil en el año "&amp;Year.selected</f>
        <v>Suscriptores en el perfil en el año 2022</v>
      </c>
      <c r="F484" s="1" t="s">
        <v>607</v>
      </c>
      <c r="G484" s="1" t="s">
        <v>718</v>
      </c>
      <c r="H484" s="1" t="s">
        <v>611</v>
      </c>
      <c r="I484" s="214" t="s">
        <v>612</v>
      </c>
      <c r="J484" s="268" t="s">
        <v>942</v>
      </c>
      <c r="K484" s="424"/>
      <c r="L484" s="183"/>
      <c r="M484" s="268" t="s">
        <v>612</v>
      </c>
      <c r="N484" s="268" t="s">
        <v>945</v>
      </c>
      <c r="O484" s="268" t="s">
        <v>945</v>
      </c>
      <c r="V484" s="262"/>
      <c r="X484" s="262"/>
      <c r="Y484" s="262"/>
      <c r="AA484" s="262"/>
      <c r="AD484" s="262"/>
      <c r="AE484" s="262"/>
    </row>
    <row r="485" spans="3:33" s="44" customFormat="1" x14ac:dyDescent="0.25">
      <c r="C485" s="96">
        <v>1</v>
      </c>
      <c r="D485" s="641">
        <v>5</v>
      </c>
      <c r="E485" s="166">
        <f t="shared" ref="E485:E498" si="61">SUMIFS($K$360:$K$479,$M$360:$M$479,D485)</f>
        <v>2.9290578502639122E-2</v>
      </c>
      <c r="F485" s="157">
        <f t="shared" ref="F485:F498" si="62">IFERROR(AVERAGEIFS($J$360:$J$479,$M$360:$M$479,$D485),"")</f>
        <v>88</v>
      </c>
      <c r="G485" s="465">
        <f>IFERROR(SUMPRODUCT($J$360:$J$467,R$360:R$467,$K$360:$K$467)/E485,"")</f>
        <v>84.200469256989535</v>
      </c>
      <c r="H485" s="148">
        <f>IFERROR(F485/$D485,"")</f>
        <v>17.600000000000001</v>
      </c>
      <c r="I485" s="148">
        <f>IFERROR(G485/$D485,"")</f>
        <v>16.840093851397906</v>
      </c>
      <c r="J485" s="216">
        <f>H485</f>
        <v>17.600000000000001</v>
      </c>
      <c r="K485" s="425"/>
      <c r="L485" s="183">
        <v>5</v>
      </c>
      <c r="M485" s="213">
        <v>24.640727940814351</v>
      </c>
      <c r="N485" s="213">
        <v>14.970654913370049</v>
      </c>
      <c r="O485" s="213">
        <v>14.457697534284586</v>
      </c>
      <c r="V485" s="262"/>
      <c r="X485" s="262"/>
      <c r="Y485" s="262"/>
      <c r="AA485" s="262"/>
      <c r="AD485" s="262"/>
      <c r="AE485" s="262"/>
    </row>
    <row r="486" spans="3:33" s="44" customFormat="1" x14ac:dyDescent="0.25">
      <c r="C486" s="95">
        <f>C485+1</f>
        <v>2</v>
      </c>
      <c r="D486" s="641">
        <v>20</v>
      </c>
      <c r="E486" s="166">
        <f t="shared" si="61"/>
        <v>0.5659552113050963</v>
      </c>
      <c r="F486" s="269">
        <f t="shared" si="62"/>
        <v>101.55056215638729</v>
      </c>
      <c r="G486" s="465">
        <f t="shared" ref="G486:G498" si="63">IFERROR(SUMPRODUCT($J$360:$J$467,R$360:R$467,$K$360:$K$467)/E486,"")</f>
        <v>4.357730798243991</v>
      </c>
      <c r="H486" s="148">
        <f t="shared" ref="H486:H498" si="64">IFERROR(F486/$D486,"")</f>
        <v>5.0775281078193641</v>
      </c>
      <c r="I486" s="148">
        <f t="shared" ref="I486:I498" si="65">IFERROR(G486/$D486,"")</f>
        <v>0.21788653991219956</v>
      </c>
      <c r="J486" s="216">
        <f t="shared" ref="J486:J498" si="66">H486</f>
        <v>5.0775281078193641</v>
      </c>
      <c r="K486" s="426"/>
      <c r="L486" s="183">
        <v>10</v>
      </c>
      <c r="M486" s="213">
        <v>12.280776683349986</v>
      </c>
      <c r="N486" s="213">
        <v>9.6201426759562345</v>
      </c>
      <c r="O486" s="213" t="s">
        <v>370</v>
      </c>
      <c r="V486" s="262"/>
      <c r="X486" s="262"/>
      <c r="Y486" s="262"/>
      <c r="AA486" s="262"/>
      <c r="AD486" s="262"/>
      <c r="AE486" s="262"/>
    </row>
    <row r="487" spans="3:33" s="44" customFormat="1" x14ac:dyDescent="0.25">
      <c r="C487" s="95">
        <f t="shared" ref="C487:C498" si="67">1+C486</f>
        <v>3</v>
      </c>
      <c r="D487" s="641">
        <v>30</v>
      </c>
      <c r="E487" s="166">
        <f t="shared" si="61"/>
        <v>0.10190255357385918</v>
      </c>
      <c r="F487" s="269">
        <f t="shared" si="62"/>
        <v>161.90092589119564</v>
      </c>
      <c r="G487" s="465">
        <f t="shared" si="63"/>
        <v>24.202342024170559</v>
      </c>
      <c r="H487" s="148">
        <f t="shared" si="64"/>
        <v>5.3966975297065209</v>
      </c>
      <c r="I487" s="148">
        <f t="shared" si="65"/>
        <v>0.80674473413901859</v>
      </c>
      <c r="J487" s="216">
        <f t="shared" si="66"/>
        <v>5.3966975297065209</v>
      </c>
      <c r="K487" s="426"/>
      <c r="L487" s="183">
        <v>20</v>
      </c>
      <c r="M487" s="213">
        <v>5.837233825489184</v>
      </c>
      <c r="N487" s="213">
        <v>8.2825146166027803</v>
      </c>
      <c r="O487" s="213">
        <v>5.1475930254186402</v>
      </c>
      <c r="V487" s="262"/>
      <c r="X487" s="262"/>
      <c r="Y487" s="262"/>
      <c r="AA487" s="262"/>
      <c r="AD487" s="262"/>
      <c r="AE487" s="262"/>
    </row>
    <row r="488" spans="3:33" s="44" customFormat="1" x14ac:dyDescent="0.25">
      <c r="C488" s="95">
        <f t="shared" si="67"/>
        <v>4</v>
      </c>
      <c r="D488" s="641">
        <v>40</v>
      </c>
      <c r="E488" s="166">
        <f t="shared" si="61"/>
        <v>2.6441775754601996E-2</v>
      </c>
      <c r="F488" s="269">
        <f t="shared" si="62"/>
        <v>181.5491743318974</v>
      </c>
      <c r="G488" s="465">
        <f t="shared" si="63"/>
        <v>93.272118999105643</v>
      </c>
      <c r="H488" s="148">
        <f t="shared" si="64"/>
        <v>4.5387293582974353</v>
      </c>
      <c r="I488" s="148">
        <f t="shared" si="65"/>
        <v>2.331802974977641</v>
      </c>
      <c r="J488" s="216">
        <f t="shared" si="66"/>
        <v>4.5387293582974353</v>
      </c>
      <c r="K488" s="426"/>
      <c r="L488" s="183">
        <v>30</v>
      </c>
      <c r="M488" s="213">
        <v>5.4659238249523581</v>
      </c>
      <c r="N488" s="213">
        <v>7.0268275908063664</v>
      </c>
      <c r="O488" s="213">
        <v>5.2061870205227621</v>
      </c>
      <c r="V488" s="262"/>
      <c r="X488" s="262"/>
      <c r="Y488" s="262"/>
      <c r="AA488" s="262"/>
      <c r="AD488" s="262"/>
      <c r="AE488" s="262"/>
    </row>
    <row r="489" spans="3:33" s="262" customFormat="1" x14ac:dyDescent="0.25">
      <c r="C489" s="95">
        <f t="shared" si="67"/>
        <v>5</v>
      </c>
      <c r="D489" s="641">
        <v>50</v>
      </c>
      <c r="E489" s="166">
        <f t="shared" si="61"/>
        <v>0.10866738211981758</v>
      </c>
      <c r="F489" s="269">
        <f t="shared" si="62"/>
        <v>271.92442452709315</v>
      </c>
      <c r="G489" s="465">
        <f t="shared" si="63"/>
        <v>22.695682978831329</v>
      </c>
      <c r="H489" s="148">
        <f t="shared" si="64"/>
        <v>5.4384884905418627</v>
      </c>
      <c r="I489" s="148">
        <f t="shared" si="65"/>
        <v>0.45391365957662655</v>
      </c>
      <c r="J489" s="216">
        <f t="shared" si="66"/>
        <v>5.4384884905418627</v>
      </c>
      <c r="K489" s="426"/>
      <c r="L489" s="183">
        <v>40</v>
      </c>
      <c r="M489" s="213">
        <v>5.319417217455733</v>
      </c>
      <c r="N489" s="213">
        <v>2.8196959679308331</v>
      </c>
      <c r="O489" s="213">
        <v>3.0244884433384414</v>
      </c>
    </row>
    <row r="490" spans="3:33" s="44" customFormat="1" x14ac:dyDescent="0.25">
      <c r="C490" s="95">
        <f t="shared" si="67"/>
        <v>6</v>
      </c>
      <c r="D490" s="641">
        <v>60</v>
      </c>
      <c r="E490" s="166">
        <f t="shared" si="61"/>
        <v>1.962591538336592E-2</v>
      </c>
      <c r="F490" s="269">
        <f t="shared" si="62"/>
        <v>247.79365700779985</v>
      </c>
      <c r="G490" s="465">
        <f t="shared" si="63"/>
        <v>125.66448018120046</v>
      </c>
      <c r="H490" s="148">
        <f t="shared" si="64"/>
        <v>4.1298942834633312</v>
      </c>
      <c r="I490" s="148">
        <f t="shared" si="65"/>
        <v>2.0944080030200078</v>
      </c>
      <c r="J490" s="216">
        <f t="shared" si="66"/>
        <v>4.1298942834633312</v>
      </c>
      <c r="K490" s="426"/>
      <c r="L490" s="183">
        <v>50</v>
      </c>
      <c r="M490" s="213">
        <v>5.2396843659884498</v>
      </c>
      <c r="N490" s="213">
        <v>5.3222479649836085</v>
      </c>
      <c r="O490" s="213">
        <v>3.8579446158526634</v>
      </c>
      <c r="V490" s="262"/>
      <c r="X490" s="262"/>
      <c r="Y490" s="262"/>
      <c r="AA490" s="262"/>
      <c r="AD490" s="262"/>
      <c r="AE490" s="262"/>
    </row>
    <row r="491" spans="3:33" s="44" customFormat="1" x14ac:dyDescent="0.25">
      <c r="C491" s="95">
        <f t="shared" si="67"/>
        <v>7</v>
      </c>
      <c r="D491" s="641">
        <v>70</v>
      </c>
      <c r="E491" s="166">
        <f t="shared" si="61"/>
        <v>2.0955054386678808E-3</v>
      </c>
      <c r="F491" s="269">
        <f t="shared" si="62"/>
        <v>327.18274767865807</v>
      </c>
      <c r="G491" s="465">
        <f t="shared" si="63"/>
        <v>1176.9382265591855</v>
      </c>
      <c r="H491" s="148">
        <f t="shared" si="64"/>
        <v>4.6740392525522578</v>
      </c>
      <c r="I491" s="148">
        <f t="shared" si="65"/>
        <v>16.813403236559793</v>
      </c>
      <c r="J491" s="216">
        <f t="shared" si="66"/>
        <v>4.6740392525522578</v>
      </c>
      <c r="K491" s="426"/>
      <c r="L491" s="183">
        <v>100</v>
      </c>
      <c r="M491" s="213">
        <v>4.8002014101564185</v>
      </c>
      <c r="N491" s="213">
        <v>9.5234731813431672</v>
      </c>
      <c r="O491" s="213">
        <v>9.5093828110014496</v>
      </c>
      <c r="V491" s="262"/>
      <c r="X491" s="262"/>
      <c r="Y491" s="262"/>
      <c r="AA491" s="262"/>
      <c r="AD491" s="262"/>
      <c r="AE491" s="262"/>
    </row>
    <row r="492" spans="3:33" s="44" customFormat="1" x14ac:dyDescent="0.25">
      <c r="C492" s="95">
        <f t="shared" si="67"/>
        <v>8</v>
      </c>
      <c r="D492" s="641">
        <v>100</v>
      </c>
      <c r="E492" s="166">
        <f t="shared" si="61"/>
        <v>4.6562273096190633E-2</v>
      </c>
      <c r="F492" s="269">
        <f t="shared" si="62"/>
        <v>345.27145235942356</v>
      </c>
      <c r="G492" s="465">
        <f t="shared" si="63"/>
        <v>52.967355129676349</v>
      </c>
      <c r="H492" s="148">
        <f t="shared" si="64"/>
        <v>3.4527145235942358</v>
      </c>
      <c r="I492" s="148">
        <f t="shared" si="65"/>
        <v>0.52967355129676352</v>
      </c>
      <c r="J492" s="216">
        <f t="shared" si="66"/>
        <v>3.4527145235942358</v>
      </c>
      <c r="K492" s="426"/>
      <c r="L492" s="183">
        <v>150</v>
      </c>
      <c r="M492" s="213">
        <v>2.125359559767436</v>
      </c>
      <c r="N492" s="213">
        <v>2.273100795297327</v>
      </c>
      <c r="O492" s="213">
        <v>1.8855379602653795</v>
      </c>
      <c r="V492" s="262"/>
      <c r="X492" s="262"/>
      <c r="Y492" s="262"/>
      <c r="AA492" s="262"/>
      <c r="AD492" s="262"/>
      <c r="AE492" s="262"/>
    </row>
    <row r="493" spans="3:33" s="44" customFormat="1" x14ac:dyDescent="0.25">
      <c r="C493" s="95">
        <f t="shared" si="67"/>
        <v>9</v>
      </c>
      <c r="D493" s="641">
        <v>120</v>
      </c>
      <c r="E493" s="166">
        <f t="shared" si="61"/>
        <v>7.4716282166164064E-4</v>
      </c>
      <c r="F493" s="269">
        <f t="shared" si="62"/>
        <v>247.40412994300928</v>
      </c>
      <c r="G493" s="465">
        <f t="shared" si="63"/>
        <v>3300.8607805806764</v>
      </c>
      <c r="H493" s="148">
        <f t="shared" si="64"/>
        <v>2.0617010828584106</v>
      </c>
      <c r="I493" s="148">
        <f t="shared" si="65"/>
        <v>27.507173171505638</v>
      </c>
      <c r="J493" s="216">
        <f t="shared" si="66"/>
        <v>2.0617010828584106</v>
      </c>
      <c r="K493" s="426"/>
      <c r="L493" s="183">
        <v>200</v>
      </c>
      <c r="M493" s="213">
        <v>2.5204783680033698</v>
      </c>
      <c r="N493" s="213">
        <v>2.6765205321564323</v>
      </c>
      <c r="O493" s="213">
        <v>1.496937005132454</v>
      </c>
      <c r="V493" s="262"/>
      <c r="X493" s="262"/>
      <c r="Y493" s="262"/>
      <c r="AA493" s="262"/>
      <c r="AD493" s="262"/>
      <c r="AE493" s="262"/>
    </row>
    <row r="494" spans="3:33" s="262" customFormat="1" x14ac:dyDescent="0.25">
      <c r="C494" s="95">
        <f t="shared" si="67"/>
        <v>10</v>
      </c>
      <c r="D494" s="641">
        <v>150</v>
      </c>
      <c r="E494" s="166">
        <f t="shared" si="61"/>
        <v>3.86451388230123E-2</v>
      </c>
      <c r="F494" s="269">
        <f t="shared" si="62"/>
        <v>252.66412023505663</v>
      </c>
      <c r="G494" s="465">
        <f t="shared" si="63"/>
        <v>63.818646532129677</v>
      </c>
      <c r="H494" s="148">
        <f t="shared" si="64"/>
        <v>1.6844274682337108</v>
      </c>
      <c r="I494" s="148">
        <f t="shared" si="65"/>
        <v>0.42545764354753118</v>
      </c>
      <c r="J494" s="216">
        <f t="shared" si="66"/>
        <v>1.6844274682337108</v>
      </c>
      <c r="K494" s="426"/>
      <c r="L494" s="183">
        <v>300</v>
      </c>
      <c r="M494" s="213"/>
      <c r="N494" s="213">
        <f>N493+(((D495-D494)/(D496-D494))*(N495-N493))</f>
        <v>2.3146567205309112</v>
      </c>
      <c r="O494" s="213">
        <v>3.2857408957107825</v>
      </c>
    </row>
    <row r="495" spans="3:33" s="262" customFormat="1" x14ac:dyDescent="0.25">
      <c r="C495" s="95">
        <f t="shared" si="67"/>
        <v>11</v>
      </c>
      <c r="D495" s="641">
        <v>200</v>
      </c>
      <c r="E495" s="166">
        <f t="shared" si="61"/>
        <v>3.5104028020206124E-2</v>
      </c>
      <c r="F495" s="269">
        <f t="shared" si="62"/>
        <v>351.20231753224903</v>
      </c>
      <c r="G495" s="465">
        <f t="shared" si="63"/>
        <v>70.256337914022168</v>
      </c>
      <c r="H495" s="148">
        <f t="shared" si="64"/>
        <v>1.7560115876612452</v>
      </c>
      <c r="I495" s="148">
        <f t="shared" si="65"/>
        <v>0.35128168957011086</v>
      </c>
      <c r="J495" s="216">
        <f t="shared" si="66"/>
        <v>1.7560115876612452</v>
      </c>
      <c r="K495" s="426"/>
      <c r="L495" s="183">
        <v>350</v>
      </c>
      <c r="M495" s="213"/>
      <c r="N495" s="213">
        <v>1.9527929089053901</v>
      </c>
      <c r="O495" s="213">
        <v>1.9527929089053901</v>
      </c>
    </row>
    <row r="496" spans="3:33" s="262" customFormat="1" x14ac:dyDescent="0.25">
      <c r="C496" s="95">
        <f t="shared" si="67"/>
        <v>12</v>
      </c>
      <c r="D496" s="641">
        <v>250</v>
      </c>
      <c r="E496" s="166">
        <f t="shared" si="61"/>
        <v>7.2653671806507947E-3</v>
      </c>
      <c r="F496" s="269">
        <f t="shared" si="62"/>
        <v>371.59518021780377</v>
      </c>
      <c r="G496" s="465">
        <f t="shared" si="63"/>
        <v>339.45709740577587</v>
      </c>
      <c r="H496" s="148">
        <f t="shared" si="64"/>
        <v>1.4863807208712152</v>
      </c>
      <c r="I496" s="148">
        <f t="shared" si="65"/>
        <v>1.3578283896231034</v>
      </c>
      <c r="J496" s="216">
        <f t="shared" si="66"/>
        <v>1.4863807208712152</v>
      </c>
      <c r="K496" s="426"/>
      <c r="L496" s="183">
        <v>400</v>
      </c>
      <c r="M496" s="213"/>
      <c r="N496" s="213">
        <v>1.6258924727169264</v>
      </c>
      <c r="O496" s="213">
        <v>1.8377930997763605</v>
      </c>
    </row>
    <row r="497" spans="1:31" s="44" customFormat="1" x14ac:dyDescent="0.25">
      <c r="C497" s="95">
        <f t="shared" si="67"/>
        <v>13</v>
      </c>
      <c r="D497" s="641">
        <v>500</v>
      </c>
      <c r="E497" s="166">
        <f t="shared" si="61"/>
        <v>1.4263306259497895E-2</v>
      </c>
      <c r="F497" s="269">
        <f t="shared" si="62"/>
        <v>667.4492833834546</v>
      </c>
      <c r="G497" s="465">
        <f t="shared" si="63"/>
        <v>172.91085319636986</v>
      </c>
      <c r="H497" s="148">
        <f t="shared" si="64"/>
        <v>1.3348985667669091</v>
      </c>
      <c r="I497" s="148">
        <f t="shared" si="65"/>
        <v>0.34582170639273974</v>
      </c>
      <c r="J497" s="216">
        <f t="shared" si="66"/>
        <v>1.3348985667669091</v>
      </c>
      <c r="K497" s="323"/>
      <c r="V497" s="262"/>
      <c r="X497" s="262"/>
      <c r="Y497" s="262"/>
      <c r="AA497" s="262"/>
      <c r="AD497" s="262"/>
      <c r="AE497" s="262"/>
    </row>
    <row r="498" spans="1:31" s="44" customFormat="1" x14ac:dyDescent="0.25">
      <c r="C498" s="95">
        <f t="shared" si="67"/>
        <v>14</v>
      </c>
      <c r="D498" s="641">
        <v>1000</v>
      </c>
      <c r="E498" s="166">
        <f t="shared" si="61"/>
        <v>3.3528087018686093E-3</v>
      </c>
      <c r="F498" s="269">
        <f t="shared" si="62"/>
        <v>945.24873384221462</v>
      </c>
      <c r="G498" s="465">
        <f t="shared" si="63"/>
        <v>735.58639159949098</v>
      </c>
      <c r="H498" s="148">
        <f t="shared" si="64"/>
        <v>0.94524873384221464</v>
      </c>
      <c r="I498" s="148">
        <f t="shared" si="65"/>
        <v>0.73558639159949102</v>
      </c>
      <c r="J498" s="216">
        <f t="shared" si="66"/>
        <v>0.94524873384221464</v>
      </c>
      <c r="V498" s="262"/>
      <c r="X498" s="262"/>
      <c r="Y498" s="262"/>
      <c r="AA498" s="262"/>
      <c r="AD498" s="262"/>
      <c r="AE498" s="262"/>
    </row>
    <row r="499" spans="1:31" s="44" customFormat="1" x14ac:dyDescent="0.25">
      <c r="C499" s="102" t="s">
        <v>723</v>
      </c>
      <c r="V499" s="262"/>
      <c r="X499" s="262"/>
      <c r="Y499" s="262"/>
      <c r="AA499" s="262"/>
      <c r="AD499" s="262"/>
      <c r="AE499" s="262"/>
    </row>
    <row r="500" spans="1:31" s="44" customFormat="1" x14ac:dyDescent="0.25">
      <c r="C500" s="102"/>
      <c r="V500" s="262"/>
      <c r="X500" s="262"/>
      <c r="Y500" s="262"/>
      <c r="AA500" s="262"/>
      <c r="AD500" s="262"/>
      <c r="AE500" s="262"/>
    </row>
    <row r="501" spans="1:31" s="44" customFormat="1" ht="23" x14ac:dyDescent="0.25">
      <c r="E501" s="177" t="s">
        <v>613</v>
      </c>
      <c r="G501" s="177" t="s">
        <v>615</v>
      </c>
      <c r="J501" s="751" t="s">
        <v>921</v>
      </c>
      <c r="K501" s="751"/>
      <c r="L501" s="751"/>
      <c r="M501" s="751"/>
      <c r="N501" s="751"/>
      <c r="V501" s="262"/>
      <c r="X501" s="262"/>
      <c r="Y501" s="262"/>
      <c r="AA501" s="262"/>
      <c r="AD501" s="262"/>
      <c r="AE501" s="262"/>
    </row>
    <row r="502" spans="1:31" s="44" customFormat="1" ht="41.25" customHeight="1" x14ac:dyDescent="0.25">
      <c r="C502" s="68"/>
      <c r="D502" s="176" t="s">
        <v>606</v>
      </c>
      <c r="E502" s="176" t="s">
        <v>610</v>
      </c>
      <c r="F502" s="176" t="s">
        <v>614</v>
      </c>
      <c r="G502" s="176" t="s">
        <v>719</v>
      </c>
      <c r="H502" s="176" t="s">
        <v>170</v>
      </c>
      <c r="I502" s="215" t="s">
        <v>827</v>
      </c>
      <c r="J502" s="365" t="s">
        <v>828</v>
      </c>
      <c r="K502" s="373" t="s">
        <v>835</v>
      </c>
      <c r="L502" s="373">
        <v>2020</v>
      </c>
      <c r="M502" s="373">
        <v>2021</v>
      </c>
      <c r="N502" s="373">
        <v>2022</v>
      </c>
      <c r="P502" s="262"/>
      <c r="R502" s="262"/>
      <c r="S502" s="262"/>
      <c r="U502" s="262"/>
      <c r="X502" s="262"/>
      <c r="Y502" s="262"/>
    </row>
    <row r="503" spans="1:31" s="44" customFormat="1" x14ac:dyDescent="0.25">
      <c r="A503" s="681">
        <v>5</v>
      </c>
      <c r="C503" s="96">
        <v>1</v>
      </c>
      <c r="D503" s="641">
        <v>5</v>
      </c>
      <c r="E503" s="269">
        <f>EXP(TREND(LN($H$485:$H$498),LN($D$485:$D$498),LN(D503)))</f>
        <v>15.085701264736514</v>
      </c>
      <c r="F503" s="185">
        <f>D503*E503</f>
        <v>75.428506323682569</v>
      </c>
      <c r="G503" s="178">
        <f t="shared" ref="G503:G513" si="68">AVERAGE(F503,N503)</f>
        <v>79.644542025316809</v>
      </c>
      <c r="H503" s="116"/>
      <c r="I503" s="213">
        <v>120.79038485040499</v>
      </c>
      <c r="J503" s="213">
        <v>112.09238480619678</v>
      </c>
      <c r="K503" s="213">
        <v>102.73199830122091</v>
      </c>
      <c r="L503" s="213">
        <v>93.910326593100933</v>
      </c>
      <c r="M503" s="213">
        <v>83.86057772695105</v>
      </c>
      <c r="N503" s="682">
        <v>83.86057772695105</v>
      </c>
      <c r="P503" s="262"/>
      <c r="R503" s="262"/>
      <c r="S503" s="262"/>
      <c r="U503" s="262"/>
      <c r="X503" s="262"/>
      <c r="Y503" s="262"/>
    </row>
    <row r="504" spans="1:31" s="44" customFormat="1" x14ac:dyDescent="0.25">
      <c r="A504" s="681">
        <v>20</v>
      </c>
      <c r="C504" s="95">
        <f>C503+1</f>
        <v>2</v>
      </c>
      <c r="D504" s="641">
        <v>20</v>
      </c>
      <c r="E504" s="269">
        <f t="shared" ref="E504:E516" si="69">EXP(TREND(LN($H$485:$H$498),LN($D$485:$D$498),LN(D504)))</f>
        <v>7.0128455544501156</v>
      </c>
      <c r="F504" s="185">
        <f t="shared" ref="F504:F512" si="70">D504*E504</f>
        <v>140.2569110890023</v>
      </c>
      <c r="G504" s="178">
        <f t="shared" si="68"/>
        <v>152.3234145298774</v>
      </c>
      <c r="H504" s="116"/>
      <c r="I504" s="213">
        <v>206.25796533890323</v>
      </c>
      <c r="J504" s="213">
        <v>194.77070270017231</v>
      </c>
      <c r="K504" s="213">
        <v>182.49278418327958</v>
      </c>
      <c r="L504" s="213">
        <v>175.30220761263053</v>
      </c>
      <c r="M504" s="213">
        <v>164.38991797075249</v>
      </c>
      <c r="N504" s="682">
        <v>164.38991797075249</v>
      </c>
      <c r="P504" s="262"/>
      <c r="R504" s="262"/>
      <c r="S504" s="262"/>
      <c r="U504" s="262"/>
      <c r="X504" s="262"/>
      <c r="Y504" s="262"/>
    </row>
    <row r="505" spans="1:31" s="44" customFormat="1" x14ac:dyDescent="0.25">
      <c r="A505" s="681">
        <v>30</v>
      </c>
      <c r="C505" s="95">
        <f t="shared" ref="C505:C516" si="71">1+C504</f>
        <v>3</v>
      </c>
      <c r="D505" s="641">
        <v>30</v>
      </c>
      <c r="E505" s="269">
        <f t="shared" si="69"/>
        <v>5.6052395469577734</v>
      </c>
      <c r="F505" s="185">
        <f>D505*E505</f>
        <v>168.1571864087332</v>
      </c>
      <c r="G505" s="178">
        <f t="shared" si="68"/>
        <v>184.2440826714917</v>
      </c>
      <c r="H505" s="116"/>
      <c r="I505" s="213">
        <v>241.19985579690092</v>
      </c>
      <c r="J505" s="213">
        <v>228.94564677043039</v>
      </c>
      <c r="K505" s="213">
        <v>215.92036345868991</v>
      </c>
      <c r="L505" s="213">
        <v>210.54004281964521</v>
      </c>
      <c r="M505" s="213">
        <v>200.33097893425017</v>
      </c>
      <c r="N505" s="682">
        <v>200.33097893425017</v>
      </c>
      <c r="P505" s="262"/>
      <c r="R505" s="262"/>
      <c r="S505" s="262"/>
      <c r="U505" s="262"/>
      <c r="X505" s="262"/>
      <c r="Y505" s="262"/>
    </row>
    <row r="506" spans="1:31" s="44" customFormat="1" x14ac:dyDescent="0.25">
      <c r="A506" s="681">
        <v>40</v>
      </c>
      <c r="C506" s="95">
        <f t="shared" si="71"/>
        <v>4</v>
      </c>
      <c r="D506" s="641">
        <v>40</v>
      </c>
      <c r="E506" s="269">
        <f t="shared" si="69"/>
        <v>4.7814394450447564</v>
      </c>
      <c r="F506" s="185">
        <f t="shared" si="70"/>
        <v>191.25757780179026</v>
      </c>
      <c r="G506" s="178">
        <f t="shared" si="68"/>
        <v>210.84289647416801</v>
      </c>
      <c r="H506" s="116"/>
      <c r="I506" s="213">
        <v>267.48392347762547</v>
      </c>
      <c r="J506" s="213">
        <v>255.75503577588071</v>
      </c>
      <c r="K506" s="213">
        <v>242.78777755771156</v>
      </c>
      <c r="L506" s="213">
        <v>239.54309763183818</v>
      </c>
      <c r="M506" s="213">
        <v>230.42821514654574</v>
      </c>
      <c r="N506" s="682">
        <v>230.42821514654574</v>
      </c>
      <c r="P506" s="262"/>
      <c r="R506" s="262"/>
      <c r="S506" s="262"/>
      <c r="U506" s="262"/>
      <c r="X506" s="262"/>
      <c r="Y506" s="262"/>
    </row>
    <row r="507" spans="1:31" s="44" customFormat="1" x14ac:dyDescent="0.25">
      <c r="A507" s="681">
        <v>50</v>
      </c>
      <c r="C507" s="95">
        <f t="shared" si="71"/>
        <v>5</v>
      </c>
      <c r="D507" s="641">
        <v>50</v>
      </c>
      <c r="E507" s="269">
        <f t="shared" si="69"/>
        <v>4.2267888442013684</v>
      </c>
      <c r="F507" s="185">
        <f>D507*E507</f>
        <v>211.33944221006843</v>
      </c>
      <c r="G507" s="178">
        <f t="shared" si="68"/>
        <v>234.23969310092917</v>
      </c>
      <c r="H507" s="116"/>
      <c r="I507" s="213">
        <v>293.76799115834996</v>
      </c>
      <c r="J507" s="213">
        <v>280.67479860371833</v>
      </c>
      <c r="K507" s="213">
        <v>266.90875557014147</v>
      </c>
      <c r="L507" s="213">
        <v>265.28979211741114</v>
      </c>
      <c r="M507" s="213">
        <v>257.13994399178995</v>
      </c>
      <c r="N507" s="682">
        <v>257.13994399178995</v>
      </c>
      <c r="P507" s="262"/>
      <c r="R507" s="262"/>
      <c r="S507" s="262"/>
      <c r="U507" s="262"/>
      <c r="X507" s="262"/>
      <c r="Y507" s="262"/>
    </row>
    <row r="508" spans="1:31" s="44" customFormat="1" x14ac:dyDescent="0.25">
      <c r="A508" s="681">
        <v>60</v>
      </c>
      <c r="C508" s="95">
        <f t="shared" si="71"/>
        <v>6</v>
      </c>
      <c r="D508" s="641">
        <v>60</v>
      </c>
      <c r="E508" s="269">
        <f t="shared" si="69"/>
        <v>3.8217173415064902</v>
      </c>
      <c r="F508" s="185">
        <f t="shared" si="70"/>
        <v>229.30304049038941</v>
      </c>
      <c r="G508" s="178">
        <f t="shared" si="68"/>
        <v>255.22360717280742</v>
      </c>
      <c r="H508" s="116"/>
      <c r="I508" s="213">
        <v>315.18549728739333</v>
      </c>
      <c r="J508" s="213">
        <v>301.84576150612099</v>
      </c>
      <c r="K508" s="213">
        <v>287.8952083704425</v>
      </c>
      <c r="L508" s="213">
        <v>288.13428962688744</v>
      </c>
      <c r="M508" s="213">
        <v>281.1441738552254</v>
      </c>
      <c r="N508" s="682">
        <v>281.1441738552254</v>
      </c>
      <c r="P508" s="262"/>
      <c r="R508" s="262"/>
      <c r="S508" s="262"/>
      <c r="U508" s="262"/>
      <c r="X508" s="262"/>
      <c r="Y508" s="262"/>
    </row>
    <row r="509" spans="1:31" s="221" customFormat="1" x14ac:dyDescent="0.25">
      <c r="A509" s="681">
        <v>70</v>
      </c>
      <c r="C509" s="95">
        <f t="shared" si="71"/>
        <v>7</v>
      </c>
      <c r="D509" s="641">
        <v>70</v>
      </c>
      <c r="E509" s="269">
        <f t="shared" si="69"/>
        <v>3.5096740366833998</v>
      </c>
      <c r="F509" s="185">
        <f t="shared" si="70"/>
        <v>245.67718256783797</v>
      </c>
      <c r="G509" s="178">
        <f t="shared" si="68"/>
        <v>245.67718256783797</v>
      </c>
      <c r="H509" s="116"/>
      <c r="I509" s="213"/>
      <c r="J509" s="213"/>
      <c r="K509" s="213"/>
      <c r="L509" s="213"/>
      <c r="M509" s="213"/>
      <c r="N509" s="682"/>
      <c r="P509" s="262"/>
      <c r="R509" s="262"/>
      <c r="S509" s="262"/>
      <c r="U509" s="262"/>
      <c r="X509" s="262"/>
      <c r="Y509" s="262"/>
    </row>
    <row r="510" spans="1:31" s="262" customFormat="1" x14ac:dyDescent="0.25">
      <c r="A510" s="681">
        <v>100</v>
      </c>
      <c r="C510" s="95">
        <f t="shared" si="71"/>
        <v>8</v>
      </c>
      <c r="D510" s="641">
        <v>100</v>
      </c>
      <c r="E510" s="269">
        <f t="shared" si="69"/>
        <v>2.881873662926298</v>
      </c>
      <c r="F510" s="185">
        <f t="shared" si="70"/>
        <v>288.1873662926298</v>
      </c>
      <c r="G510" s="178">
        <f t="shared" si="68"/>
        <v>324.67227642716716</v>
      </c>
      <c r="H510" s="116"/>
      <c r="I510" s="213">
        <v>383.87838199343037</v>
      </c>
      <c r="J510" s="213">
        <v>370.07014652046655</v>
      </c>
      <c r="K510" s="213">
        <v>355.92904728068902</v>
      </c>
      <c r="L510" s="213">
        <v>363.27293812216448</v>
      </c>
      <c r="M510" s="213">
        <v>361.15718656170446</v>
      </c>
      <c r="N510" s="682">
        <v>361.15718656170446</v>
      </c>
    </row>
    <row r="511" spans="1:31" s="44" customFormat="1" x14ac:dyDescent="0.25">
      <c r="A511" s="681">
        <v>120</v>
      </c>
      <c r="C511" s="95">
        <f t="shared" si="71"/>
        <v>9</v>
      </c>
      <c r="D511" s="641">
        <v>120</v>
      </c>
      <c r="E511" s="269">
        <f t="shared" si="69"/>
        <v>2.6056912137320762</v>
      </c>
      <c r="F511" s="185">
        <f t="shared" si="70"/>
        <v>312.68294564784912</v>
      </c>
      <c r="G511" s="178">
        <f t="shared" si="68"/>
        <v>312.68294564784912</v>
      </c>
      <c r="H511" s="116"/>
      <c r="I511" s="213"/>
      <c r="J511" s="213"/>
      <c r="K511" s="213"/>
      <c r="L511" s="213"/>
      <c r="M511" s="213"/>
      <c r="N511" s="682"/>
      <c r="P511" s="262"/>
      <c r="R511" s="262"/>
      <c r="S511" s="262"/>
      <c r="U511" s="262"/>
      <c r="X511" s="262"/>
      <c r="Y511" s="262"/>
    </row>
    <row r="512" spans="1:31" s="44" customFormat="1" x14ac:dyDescent="0.25">
      <c r="A512" s="681">
        <v>150</v>
      </c>
      <c r="C512" s="95">
        <f t="shared" si="71"/>
        <v>10</v>
      </c>
      <c r="D512" s="641">
        <v>150</v>
      </c>
      <c r="E512" s="269">
        <f t="shared" si="69"/>
        <v>2.3034290573417833</v>
      </c>
      <c r="F512" s="185">
        <f t="shared" si="70"/>
        <v>345.51435860126747</v>
      </c>
      <c r="G512" s="178">
        <f t="shared" si="68"/>
        <v>393.13929486273031</v>
      </c>
      <c r="H512" s="116"/>
      <c r="I512" s="213">
        <v>448.91071347584494</v>
      </c>
      <c r="J512" s="213">
        <v>435.05514058204665</v>
      </c>
      <c r="K512" s="213">
        <v>421.23214344780968</v>
      </c>
      <c r="L512" s="213">
        <v>436.76236866467883</v>
      </c>
      <c r="M512" s="213">
        <v>440.76423112419315</v>
      </c>
      <c r="N512" s="682">
        <v>440.76423112419315</v>
      </c>
      <c r="P512" s="262"/>
      <c r="R512" s="262"/>
      <c r="S512" s="262"/>
      <c r="U512" s="262"/>
      <c r="X512" s="262"/>
      <c r="Y512" s="262"/>
    </row>
    <row r="513" spans="1:59" s="44" customFormat="1" x14ac:dyDescent="0.25">
      <c r="A513" s="681">
        <v>200</v>
      </c>
      <c r="C513" s="95">
        <f t="shared" si="71"/>
        <v>11</v>
      </c>
      <c r="D513" s="641">
        <v>200</v>
      </c>
      <c r="E513" s="269">
        <f t="shared" si="69"/>
        <v>1.964894891889843</v>
      </c>
      <c r="F513" s="185">
        <f>D513*E513</f>
        <v>392.97897837796859</v>
      </c>
      <c r="G513" s="178">
        <f t="shared" si="68"/>
        <v>450.38164745355391</v>
      </c>
      <c r="H513" s="116"/>
      <c r="I513" s="213">
        <v>501.62923326272562</v>
      </c>
      <c r="J513" s="213">
        <v>487.98067437588395</v>
      </c>
      <c r="K513" s="213">
        <v>474.72777429497148</v>
      </c>
      <c r="L513" s="213">
        <v>497.83417619441218</v>
      </c>
      <c r="M513" s="213">
        <v>507.78431652913929</v>
      </c>
      <c r="N513" s="682">
        <v>507.78431652913929</v>
      </c>
      <c r="P513" s="262"/>
      <c r="R513" s="262"/>
      <c r="S513" s="262"/>
      <c r="U513" s="262"/>
      <c r="X513" s="262"/>
      <c r="Y513" s="262"/>
    </row>
    <row r="514" spans="1:59" s="262" customFormat="1" x14ac:dyDescent="0.25">
      <c r="A514" s="681">
        <v>250</v>
      </c>
      <c r="C514" s="95">
        <f t="shared" si="71"/>
        <v>12</v>
      </c>
      <c r="D514" s="641">
        <v>250</v>
      </c>
      <c r="E514" s="269">
        <f t="shared" si="69"/>
        <v>1.7369655946757476</v>
      </c>
      <c r="F514" s="185">
        <f>D514*E514</f>
        <v>434.24139866893688</v>
      </c>
      <c r="G514" s="178">
        <f t="shared" ref="G514:G516" si="72">AVERAGE(F514,M514)</f>
        <v>434.24139866893688</v>
      </c>
      <c r="H514" s="116"/>
      <c r="I514" s="213"/>
      <c r="J514" s="213"/>
      <c r="K514" s="213"/>
      <c r="L514" s="213"/>
      <c r="M514" s="213"/>
      <c r="N514" s="682"/>
    </row>
    <row r="515" spans="1:59" s="262" customFormat="1" x14ac:dyDescent="0.25">
      <c r="A515" s="681">
        <v>500</v>
      </c>
      <c r="C515" s="95">
        <f t="shared" si="71"/>
        <v>13</v>
      </c>
      <c r="D515" s="641">
        <v>500</v>
      </c>
      <c r="E515" s="269">
        <f t="shared" si="69"/>
        <v>1.1842832905108034</v>
      </c>
      <c r="F515" s="185">
        <f>D515*E515</f>
        <v>592.14164525540173</v>
      </c>
      <c r="G515" s="178">
        <f t="shared" si="72"/>
        <v>592.14164525540173</v>
      </c>
      <c r="H515" s="116"/>
      <c r="I515" s="213"/>
      <c r="J515" s="213"/>
      <c r="K515" s="213"/>
      <c r="L515" s="213"/>
      <c r="M515" s="213"/>
      <c r="N515" s="682"/>
    </row>
    <row r="516" spans="1:59" s="262" customFormat="1" ht="12" thickBot="1" x14ac:dyDescent="0.3">
      <c r="A516" s="681">
        <v>1000</v>
      </c>
      <c r="C516" s="95">
        <f t="shared" si="71"/>
        <v>14</v>
      </c>
      <c r="D516" s="641">
        <v>1000</v>
      </c>
      <c r="E516" s="269">
        <f t="shared" si="69"/>
        <v>0.80745808465188185</v>
      </c>
      <c r="F516" s="185">
        <f>D516*E516</f>
        <v>807.45808465188179</v>
      </c>
      <c r="G516" s="178">
        <f t="shared" si="72"/>
        <v>807.45808465188179</v>
      </c>
      <c r="H516" s="116"/>
      <c r="I516" s="213"/>
      <c r="J516" s="213"/>
      <c r="K516" s="213"/>
      <c r="L516" s="213"/>
      <c r="M516" s="213"/>
      <c r="N516" s="185"/>
    </row>
    <row r="517" spans="1:59" s="44" customFormat="1" x14ac:dyDescent="0.25">
      <c r="C517" s="41"/>
      <c r="D517" s="41"/>
      <c r="E517" s="41"/>
      <c r="F517" s="41"/>
      <c r="G517" s="41"/>
      <c r="H517" s="182"/>
      <c r="I517" s="41"/>
      <c r="J517" s="221"/>
      <c r="M517" s="262"/>
      <c r="P517" s="262"/>
      <c r="R517" s="262"/>
      <c r="S517" s="262"/>
      <c r="U517" s="262"/>
      <c r="X517" s="262"/>
      <c r="Y517" s="262"/>
    </row>
    <row r="518" spans="1:59" s="44" customFormat="1" x14ac:dyDescent="0.25">
      <c r="P518" s="262"/>
      <c r="R518" s="262"/>
      <c r="S518" s="262"/>
      <c r="U518" s="262"/>
      <c r="X518" s="262"/>
      <c r="Y518" s="262"/>
    </row>
    <row r="519" spans="1:59" s="221" customFormat="1" x14ac:dyDescent="0.25">
      <c r="V519" s="262"/>
      <c r="X519" s="262"/>
      <c r="Y519" s="262"/>
      <c r="AA519" s="262"/>
      <c r="AD519" s="262"/>
      <c r="AE519" s="262"/>
    </row>
    <row r="520" spans="1:59" s="221" customFormat="1" x14ac:dyDescent="0.25">
      <c r="A520" s="100">
        <v>7</v>
      </c>
      <c r="B520" s="264" t="s">
        <v>739</v>
      </c>
      <c r="C520" s="40"/>
      <c r="D520" s="40"/>
      <c r="E520" s="40"/>
      <c r="F520" s="40"/>
      <c r="G520" s="40"/>
      <c r="H520" s="40"/>
      <c r="I520" s="40"/>
      <c r="J520" s="40"/>
      <c r="K520" s="40"/>
      <c r="L520" s="40"/>
      <c r="M520" s="40"/>
      <c r="N520" s="40"/>
      <c r="O520" s="40"/>
      <c r="P520" s="40"/>
      <c r="Q520" s="40"/>
      <c r="R520" s="40"/>
      <c r="S520" s="40"/>
      <c r="T520" s="40"/>
      <c r="U520" s="40"/>
      <c r="V520" s="265"/>
      <c r="W520" s="40"/>
      <c r="X520" s="265"/>
      <c r="Y520" s="265"/>
      <c r="Z520" s="40"/>
      <c r="AA520" s="265"/>
      <c r="AB520" s="40"/>
      <c r="AC520" s="40"/>
      <c r="AD520" s="265"/>
      <c r="AE520" s="265"/>
      <c r="AF520" s="40"/>
      <c r="AG520" s="40"/>
      <c r="AH520" s="40"/>
      <c r="AI520" s="40"/>
      <c r="AJ520" s="40"/>
      <c r="AK520" s="40"/>
      <c r="AL520" s="40"/>
      <c r="AM520" s="40"/>
      <c r="AN520" s="40"/>
      <c r="AO520" s="40"/>
      <c r="AP520" s="40"/>
      <c r="AQ520" s="40"/>
      <c r="AR520" s="40"/>
      <c r="AS520" s="40"/>
      <c r="AT520" s="40"/>
      <c r="AU520" s="40"/>
      <c r="AV520" s="40"/>
      <c r="AW520" s="40"/>
      <c r="AX520" s="40"/>
      <c r="AY520" s="40"/>
      <c r="AZ520" s="40"/>
      <c r="BA520" s="40"/>
      <c r="BB520" s="40"/>
      <c r="BC520" s="40"/>
      <c r="BD520" s="40"/>
      <c r="BE520" s="40"/>
      <c r="BF520" s="40"/>
      <c r="BG520" s="40"/>
    </row>
    <row r="521" spans="1:59" s="221" customFormat="1" x14ac:dyDescent="0.25">
      <c r="V521" s="262"/>
      <c r="X521" s="262"/>
      <c r="Y521" s="262"/>
      <c r="AA521" s="262"/>
      <c r="AD521" s="262"/>
      <c r="AE521" s="262"/>
    </row>
    <row r="522" spans="1:59" s="221" customFormat="1" x14ac:dyDescent="0.25">
      <c r="D522" s="146" t="s">
        <v>740</v>
      </c>
      <c r="E522" s="176" t="s">
        <v>743</v>
      </c>
      <c r="F522" s="176" t="s">
        <v>426</v>
      </c>
      <c r="G522" s="176" t="s">
        <v>475</v>
      </c>
      <c r="H522" s="176" t="s">
        <v>170</v>
      </c>
      <c r="V522" s="262"/>
      <c r="X522" s="262"/>
      <c r="Y522" s="262"/>
      <c r="AA522" s="262"/>
      <c r="AD522" s="262"/>
      <c r="AE522" s="262"/>
    </row>
    <row r="523" spans="1:59" s="221" customFormat="1" x14ac:dyDescent="0.25">
      <c r="D523" s="221" t="s">
        <v>90</v>
      </c>
      <c r="E523" s="77" t="s">
        <v>427</v>
      </c>
      <c r="F523" s="404">
        <v>688.8</v>
      </c>
      <c r="G523" s="221" t="s">
        <v>985</v>
      </c>
      <c r="J523" s="209"/>
      <c r="V523" s="262"/>
      <c r="X523" s="262"/>
      <c r="Y523" s="262"/>
      <c r="AA523" s="262"/>
      <c r="AD523" s="262"/>
      <c r="AE523" s="262"/>
    </row>
    <row r="524" spans="1:59" s="221" customFormat="1" x14ac:dyDescent="0.25">
      <c r="D524" s="221" t="s">
        <v>741</v>
      </c>
      <c r="E524" s="77" t="s">
        <v>427</v>
      </c>
      <c r="F524" s="404">
        <v>1378.45</v>
      </c>
      <c r="G524" s="262" t="s">
        <v>985</v>
      </c>
      <c r="J524" s="209"/>
      <c r="V524" s="262"/>
      <c r="X524" s="262"/>
      <c r="Y524" s="262"/>
      <c r="AA524" s="262"/>
      <c r="AD524" s="262"/>
      <c r="AE524" s="262"/>
    </row>
    <row r="525" spans="1:59" s="221" customFormat="1" ht="12" thickBot="1" x14ac:dyDescent="0.3">
      <c r="D525" s="221" t="s">
        <v>742</v>
      </c>
      <c r="E525" s="77" t="s">
        <v>427</v>
      </c>
      <c r="F525" s="404">
        <v>1921.55</v>
      </c>
      <c r="G525" s="262" t="s">
        <v>985</v>
      </c>
      <c r="J525" s="209"/>
      <c r="V525" s="262"/>
      <c r="X525" s="262"/>
      <c r="Y525" s="262"/>
      <c r="AA525" s="262"/>
      <c r="AD525" s="262"/>
      <c r="AE525" s="262"/>
    </row>
    <row r="526" spans="1:59" s="221" customFormat="1" x14ac:dyDescent="0.25">
      <c r="D526" s="109"/>
      <c r="E526" s="109"/>
      <c r="F526" s="109"/>
      <c r="G526" s="109"/>
      <c r="H526" s="109"/>
      <c r="V526" s="262"/>
      <c r="X526" s="262"/>
      <c r="Y526" s="262"/>
      <c r="AA526" s="262"/>
      <c r="AD526" s="262"/>
      <c r="AE526" s="262"/>
    </row>
    <row r="527" spans="1:59" s="221" customFormat="1" x14ac:dyDescent="0.25">
      <c r="D527" s="146" t="s">
        <v>740</v>
      </c>
      <c r="E527" s="176" t="s">
        <v>743</v>
      </c>
      <c r="F527" s="176" t="s">
        <v>426</v>
      </c>
      <c r="G527" s="176" t="s">
        <v>475</v>
      </c>
      <c r="H527" s="176" t="s">
        <v>170</v>
      </c>
      <c r="V527" s="262"/>
      <c r="X527" s="262"/>
      <c r="Y527" s="262"/>
      <c r="AA527" s="262"/>
      <c r="AD527" s="262"/>
      <c r="AE527" s="262"/>
    </row>
    <row r="528" spans="1:59" s="221" customFormat="1" x14ac:dyDescent="0.25">
      <c r="D528" s="221" t="s">
        <v>90</v>
      </c>
      <c r="E528" s="77" t="s">
        <v>427</v>
      </c>
      <c r="F528" s="291">
        <f>F523</f>
        <v>688.8</v>
      </c>
      <c r="G528" s="262" t="s">
        <v>985</v>
      </c>
      <c r="I528" s="209"/>
      <c r="V528" s="262"/>
      <c r="X528" s="262"/>
      <c r="Y528" s="262"/>
      <c r="AA528" s="262"/>
      <c r="AD528" s="262"/>
      <c r="AE528" s="262"/>
    </row>
    <row r="529" spans="2:31" s="221" customFormat="1" x14ac:dyDescent="0.25">
      <c r="D529" s="221" t="s">
        <v>741</v>
      </c>
      <c r="E529" s="77" t="s">
        <v>427</v>
      </c>
      <c r="F529" s="291">
        <f>F524</f>
        <v>1378.45</v>
      </c>
      <c r="G529" s="262" t="s">
        <v>985</v>
      </c>
      <c r="I529" s="209"/>
      <c r="V529" s="262"/>
      <c r="X529" s="262"/>
      <c r="Y529" s="262"/>
      <c r="AA529" s="262"/>
      <c r="AD529" s="262"/>
      <c r="AE529" s="262"/>
    </row>
    <row r="530" spans="2:31" s="221" customFormat="1" ht="12" thickBot="1" x14ac:dyDescent="0.3">
      <c r="D530" s="221" t="s">
        <v>742</v>
      </c>
      <c r="E530" s="77" t="s">
        <v>427</v>
      </c>
      <c r="F530" s="291">
        <f>F525</f>
        <v>1921.55</v>
      </c>
      <c r="G530" s="262" t="s">
        <v>985</v>
      </c>
      <c r="I530" s="209"/>
      <c r="V530" s="262"/>
      <c r="X530" s="262"/>
      <c r="Y530" s="262"/>
      <c r="AA530" s="262"/>
      <c r="AD530" s="262"/>
      <c r="AE530" s="262"/>
    </row>
    <row r="531" spans="2:31" s="221" customFormat="1" x14ac:dyDescent="0.25">
      <c r="D531" s="109"/>
      <c r="E531" s="109"/>
      <c r="F531" s="109"/>
      <c r="G531" s="109"/>
      <c r="H531" s="109"/>
      <c r="V531" s="262"/>
      <c r="X531" s="262"/>
      <c r="Y531" s="262"/>
      <c r="AA531" s="262"/>
      <c r="AD531" s="262"/>
      <c r="AE531" s="262"/>
    </row>
    <row r="532" spans="2:31" s="44" customFormat="1" x14ac:dyDescent="0.25">
      <c r="V532" s="262"/>
      <c r="X532" s="262"/>
      <c r="Y532" s="262"/>
      <c r="AA532" s="262"/>
      <c r="AD532" s="262"/>
      <c r="AE532" s="262"/>
    </row>
    <row r="533" spans="2:31" s="221" customFormat="1" ht="46" x14ac:dyDescent="0.25">
      <c r="D533" s="1" t="s">
        <v>740</v>
      </c>
      <c r="E533" s="232" t="str">
        <f>"Cantidad "&amp;Year.selected&amp;" de suscriptores por medio de transmisión"</f>
        <v>Cantidad 2022 de suscriptores por medio de transmisión</v>
      </c>
      <c r="F533" s="1" t="str">
        <f>"Distribución "&amp;Year.selected&amp;" de suscriptores por medio de transmisión"</f>
        <v>Distribución 2022 de suscriptores por medio de transmisión</v>
      </c>
      <c r="G533" s="1" t="s">
        <v>750</v>
      </c>
      <c r="H533" s="1" t="s">
        <v>749</v>
      </c>
      <c r="I533" s="1" t="s">
        <v>751</v>
      </c>
      <c r="J533" s="176" t="s">
        <v>170</v>
      </c>
      <c r="K533" s="382"/>
      <c r="V533" s="262"/>
      <c r="X533" s="262"/>
      <c r="Y533" s="262"/>
      <c r="AA533" s="262"/>
      <c r="AD533" s="262"/>
      <c r="AE533" s="262"/>
    </row>
    <row r="534" spans="2:31" s="221" customFormat="1" x14ac:dyDescent="0.25">
      <c r="E534" s="77" t="s">
        <v>161</v>
      </c>
      <c r="F534" s="77" t="s">
        <v>172</v>
      </c>
      <c r="G534" s="236" t="s">
        <v>427</v>
      </c>
      <c r="H534" s="236" t="s">
        <v>427</v>
      </c>
      <c r="I534" s="236" t="s">
        <v>427</v>
      </c>
      <c r="K534" s="305"/>
      <c r="V534" s="262"/>
      <c r="X534" s="262"/>
      <c r="Y534" s="262"/>
      <c r="AA534" s="262"/>
      <c r="AD534" s="262"/>
      <c r="AE534" s="262"/>
    </row>
    <row r="535" spans="2:31" s="221" customFormat="1" x14ac:dyDescent="0.25">
      <c r="D535" s="77" t="s">
        <v>372</v>
      </c>
      <c r="E535" s="661">
        <f>SUM('Info planes y paquetes'!J767:J874)</f>
        <v>2990498</v>
      </c>
      <c r="F535" s="241">
        <f>E535/(SUM($E$535:$E$537))</f>
        <v>0.23322094839453728</v>
      </c>
      <c r="G535" s="235">
        <f>F535*F528*'Calculos Banda Ancha'!$J$14</f>
        <v>24235000.790036868</v>
      </c>
      <c r="H535" s="235">
        <f>equipo.terminal.parameter*suscriptores2022*F535*F528</f>
        <v>3224613.7141831559</v>
      </c>
      <c r="I535" s="237">
        <f>SUM(G535:H535)</f>
        <v>27459614.504220024</v>
      </c>
      <c r="K535" s="427"/>
      <c r="L535" s="249"/>
      <c r="V535" s="262"/>
      <c r="X535" s="262"/>
      <c r="Y535" s="262"/>
      <c r="AA535" s="262"/>
      <c r="AD535" s="262"/>
      <c r="AE535" s="262"/>
    </row>
    <row r="536" spans="2:31" s="221" customFormat="1" x14ac:dyDescent="0.25">
      <c r="D536" s="77" t="s">
        <v>745</v>
      </c>
      <c r="E536" s="661">
        <f>SUM(F319:F332)</f>
        <v>4171235</v>
      </c>
      <c r="F536" s="241">
        <f t="shared" ref="F536:F537" si="73">E536/(SUM($E$535:$E$537))</f>
        <v>0.32530347208942711</v>
      </c>
      <c r="G536" s="235">
        <f>F536*F529*'Calculos Banda Ancha'!$J$14</f>
        <v>67649105.603742018</v>
      </c>
      <c r="H536" s="235">
        <f>equipo.terminal.parameter*suscriptores2022*F536*F529</f>
        <v>9001123.4401003364</v>
      </c>
      <c r="I536" s="237">
        <f>SUM(G536:H536)</f>
        <v>76650229.04384236</v>
      </c>
      <c r="K536" s="427"/>
      <c r="V536" s="262"/>
      <c r="X536" s="262"/>
      <c r="Y536" s="262"/>
      <c r="AA536" s="262"/>
      <c r="AD536" s="262"/>
      <c r="AE536" s="262"/>
    </row>
    <row r="537" spans="2:31" s="221" customFormat="1" ht="12" thickBot="1" x14ac:dyDescent="0.3">
      <c r="D537" s="77" t="s">
        <v>746</v>
      </c>
      <c r="E537" s="397">
        <f>SUM('Info planes y paquetes'!K767:K874)</f>
        <v>5660863</v>
      </c>
      <c r="F537" s="241">
        <f t="shared" si="73"/>
        <v>0.44147557951603561</v>
      </c>
      <c r="G537" s="235">
        <f>F537*F530*'Calculos Banda Ancha'!$J$14</f>
        <v>127979590.90593012</v>
      </c>
      <c r="H537" s="235">
        <f>equipo.terminal.parameter*suscriptores2022*F537*F530</f>
        <v>17028460.099760711</v>
      </c>
      <c r="I537" s="237">
        <f>SUM(G537:H537)</f>
        <v>145008051.00569081</v>
      </c>
      <c r="K537" s="427"/>
      <c r="L537" s="249"/>
      <c r="V537" s="262"/>
      <c r="X537" s="262"/>
      <c r="Y537" s="262"/>
      <c r="AA537" s="262"/>
      <c r="AD537" s="262"/>
      <c r="AE537" s="262"/>
    </row>
    <row r="538" spans="2:31" s="221" customFormat="1" x14ac:dyDescent="0.25">
      <c r="D538" s="109"/>
      <c r="E538" s="242"/>
      <c r="F538" s="234">
        <f>F535+F537+F536</f>
        <v>1</v>
      </c>
      <c r="G538" s="109"/>
      <c r="H538" s="109"/>
      <c r="I538" s="109"/>
      <c r="J538" s="109"/>
      <c r="K538" s="398"/>
      <c r="V538" s="262"/>
      <c r="X538" s="262"/>
      <c r="Y538" s="262"/>
      <c r="AA538" s="262"/>
      <c r="AD538" s="262"/>
      <c r="AE538" s="262"/>
    </row>
    <row r="539" spans="2:31" s="221" customFormat="1" x14ac:dyDescent="0.25">
      <c r="V539" s="262"/>
      <c r="X539" s="262"/>
      <c r="Y539" s="262"/>
      <c r="AA539" s="262"/>
      <c r="AD539" s="262"/>
      <c r="AE539" s="262"/>
    </row>
    <row r="540" spans="2:31" s="221" customFormat="1" x14ac:dyDescent="0.25">
      <c r="D540" s="2"/>
      <c r="E540" s="2"/>
      <c r="F540" s="2"/>
      <c r="G540" s="2"/>
      <c r="H540" s="2"/>
      <c r="V540" s="262"/>
      <c r="X540" s="262"/>
      <c r="Y540" s="262"/>
      <c r="AA540" s="262"/>
      <c r="AD540" s="262"/>
      <c r="AE540" s="262"/>
    </row>
    <row r="541" spans="2:31" s="221" customFormat="1" ht="38.25" customHeight="1" x14ac:dyDescent="0.25">
      <c r="D541" s="1" t="s">
        <v>740</v>
      </c>
      <c r="E541" s="1" t="s">
        <v>755</v>
      </c>
      <c r="F541" s="1" t="s">
        <v>752</v>
      </c>
      <c r="G541" s="1" t="s">
        <v>756</v>
      </c>
      <c r="H541" s="1" t="s">
        <v>170</v>
      </c>
      <c r="V541" s="262"/>
      <c r="X541" s="262"/>
      <c r="Y541" s="262"/>
      <c r="AA541" s="262"/>
      <c r="AD541" s="262"/>
      <c r="AE541" s="262"/>
    </row>
    <row r="542" spans="2:31" s="221" customFormat="1" x14ac:dyDescent="0.25">
      <c r="E542" s="239" t="s">
        <v>558</v>
      </c>
      <c r="F542" s="239" t="s">
        <v>172</v>
      </c>
      <c r="G542" s="239" t="s">
        <v>558</v>
      </c>
      <c r="V542" s="262"/>
      <c r="X542" s="262"/>
      <c r="Y542" s="262"/>
      <c r="AA542" s="262"/>
      <c r="AD542" s="262"/>
      <c r="AE542" s="262"/>
    </row>
    <row r="543" spans="2:31" s="221" customFormat="1" x14ac:dyDescent="0.25">
      <c r="B543" s="209"/>
      <c r="D543" s="77" t="s">
        <v>90</v>
      </c>
      <c r="E543" s="185">
        <f>(SUMPRODUCT(F319:F332,G503:G516))/(E535)</f>
        <v>257.51336417680238</v>
      </c>
      <c r="F543" s="240">
        <f>'Calculos Banda Ancha'!K97</f>
        <v>4.7095255411537295E-3</v>
      </c>
      <c r="G543" s="248">
        <f>E543*F543</f>
        <v>1.2127657657790727</v>
      </c>
      <c r="V543" s="262"/>
      <c r="X543" s="262"/>
      <c r="Y543" s="262"/>
      <c r="AA543" s="262"/>
      <c r="AD543" s="262"/>
      <c r="AE543" s="262"/>
    </row>
    <row r="544" spans="2:31" s="221" customFormat="1" x14ac:dyDescent="0.25">
      <c r="D544" s="77" t="s">
        <v>741</v>
      </c>
      <c r="E544" s="185">
        <f>(SUMPRODUCT(F319:F332,G503:G516))/(E536)</f>
        <v>184.61995081648462</v>
      </c>
      <c r="F544" s="240">
        <f>'Calculos Banda Ancha'!K98</f>
        <v>9.4248627790408847E-3</v>
      </c>
      <c r="G544" s="248">
        <f>E544*F544</f>
        <v>1.7400177027186448</v>
      </c>
      <c r="V544" s="262"/>
      <c r="X544" s="262"/>
      <c r="Y544" s="262"/>
      <c r="AA544" s="262"/>
      <c r="AD544" s="262"/>
      <c r="AE544" s="262"/>
    </row>
    <row r="545" spans="1:59" s="221" customFormat="1" ht="12" thickBot="1" x14ac:dyDescent="0.3">
      <c r="D545" s="77" t="s">
        <v>742</v>
      </c>
      <c r="E545" s="185">
        <f>(SUMPRODUCT(G319:G332,G503:G516))/(E537)</f>
        <v>233.70891580006514</v>
      </c>
      <c r="F545" s="240">
        <f>'Calculos Banda Ancha'!K99</f>
        <v>1.3138195127183434E-2</v>
      </c>
      <c r="G545" s="248">
        <f>E545*F545</f>
        <v>3.0705133387437393</v>
      </c>
      <c r="V545" s="262"/>
      <c r="X545" s="262"/>
      <c r="Y545" s="262"/>
      <c r="AA545" s="262"/>
      <c r="AD545" s="262"/>
      <c r="AE545" s="262"/>
    </row>
    <row r="546" spans="1:59" s="221" customFormat="1" x14ac:dyDescent="0.25">
      <c r="D546" s="109"/>
      <c r="E546" s="109"/>
      <c r="F546" s="109"/>
      <c r="G546" s="109"/>
      <c r="H546" s="109"/>
      <c r="V546" s="262"/>
      <c r="X546" s="262"/>
      <c r="Y546" s="262"/>
      <c r="AA546" s="262"/>
      <c r="AD546" s="262"/>
      <c r="AE546" s="262"/>
    </row>
    <row r="547" spans="1:59" s="221" customFormat="1" x14ac:dyDescent="0.25">
      <c r="V547" s="262"/>
      <c r="X547" s="262"/>
      <c r="Y547" s="262"/>
      <c r="AA547" s="262"/>
      <c r="AD547" s="262"/>
      <c r="AE547" s="262"/>
    </row>
    <row r="548" spans="1:59" s="221" customFormat="1" x14ac:dyDescent="0.25">
      <c r="A548" s="100">
        <v>7</v>
      </c>
      <c r="B548" s="264" t="s">
        <v>757</v>
      </c>
      <c r="C548" s="40"/>
      <c r="D548" s="40"/>
      <c r="E548" s="40"/>
      <c r="F548" s="40"/>
      <c r="G548" s="40"/>
      <c r="H548" s="40"/>
      <c r="I548" s="40"/>
      <c r="J548" s="40"/>
      <c r="K548" s="40"/>
      <c r="L548" s="40"/>
      <c r="M548" s="40"/>
      <c r="N548" s="40"/>
      <c r="O548" s="40"/>
      <c r="P548" s="40"/>
      <c r="Q548" s="40"/>
      <c r="R548" s="40"/>
      <c r="S548" s="40"/>
      <c r="T548" s="40"/>
      <c r="U548" s="40"/>
      <c r="V548" s="265"/>
      <c r="W548" s="40"/>
      <c r="X548" s="265"/>
      <c r="Y548" s="265"/>
      <c r="Z548" s="40"/>
      <c r="AA548" s="265"/>
      <c r="AB548" s="40"/>
      <c r="AC548" s="40"/>
      <c r="AD548" s="265"/>
      <c r="AE548" s="265"/>
      <c r="AF548" s="40"/>
      <c r="AG548" s="40"/>
      <c r="AH548" s="40"/>
      <c r="AI548" s="40"/>
      <c r="AJ548" s="40"/>
      <c r="AK548" s="40"/>
      <c r="AL548" s="40"/>
      <c r="AM548" s="40"/>
      <c r="AN548" s="40"/>
      <c r="AO548" s="40"/>
      <c r="AP548" s="40"/>
      <c r="AQ548" s="40"/>
      <c r="AR548" s="40"/>
      <c r="AS548" s="40"/>
      <c r="AT548" s="40"/>
      <c r="AU548" s="40"/>
      <c r="AV548" s="40"/>
      <c r="AW548" s="40"/>
      <c r="AX548" s="40"/>
      <c r="AY548" s="40"/>
      <c r="AZ548" s="40"/>
      <c r="BA548" s="40"/>
      <c r="BB548" s="40"/>
      <c r="BC548" s="40"/>
      <c r="BD548" s="40"/>
      <c r="BE548" s="40"/>
      <c r="BF548" s="40"/>
      <c r="BG548" s="40"/>
    </row>
    <row r="549" spans="1:59" s="221" customFormat="1" x14ac:dyDescent="0.25">
      <c r="V549" s="262"/>
      <c r="X549" s="262"/>
      <c r="Y549" s="262"/>
      <c r="AA549" s="262"/>
      <c r="AD549" s="262"/>
      <c r="AE549" s="262"/>
    </row>
    <row r="550" spans="1:59" s="221" customFormat="1" x14ac:dyDescent="0.25">
      <c r="V550" s="262"/>
      <c r="X550" s="262"/>
      <c r="Y550" s="262"/>
      <c r="AA550" s="262"/>
      <c r="AD550" s="262"/>
      <c r="AE550" s="262"/>
    </row>
    <row r="551" spans="1:59" s="221" customFormat="1" x14ac:dyDescent="0.25">
      <c r="D551" s="146" t="s">
        <v>740</v>
      </c>
      <c r="E551" s="176" t="s">
        <v>167</v>
      </c>
      <c r="F551" s="176" t="s">
        <v>426</v>
      </c>
      <c r="G551" s="176" t="s">
        <v>475</v>
      </c>
      <c r="H551" s="176" t="s">
        <v>170</v>
      </c>
      <c r="V551" s="262"/>
      <c r="X551" s="262"/>
      <c r="Y551" s="262"/>
      <c r="AA551" s="262"/>
      <c r="AD551" s="262"/>
      <c r="AE551" s="262"/>
    </row>
    <row r="552" spans="1:59" s="221" customFormat="1" x14ac:dyDescent="0.25">
      <c r="D552" s="221" t="s">
        <v>372</v>
      </c>
      <c r="E552" s="77" t="s">
        <v>427</v>
      </c>
      <c r="F552" s="403">
        <f>'[10]Otros servicios'!$W$110</f>
        <v>610.96</v>
      </c>
      <c r="G552" s="221" t="s">
        <v>744</v>
      </c>
      <c r="V552" s="262"/>
      <c r="X552" s="262"/>
      <c r="Y552" s="262"/>
      <c r="AA552" s="262"/>
      <c r="AD552" s="262"/>
      <c r="AE552" s="262"/>
    </row>
    <row r="553" spans="1:59" s="221" customFormat="1" ht="12" thickBot="1" x14ac:dyDescent="0.3">
      <c r="D553" s="221" t="s">
        <v>758</v>
      </c>
      <c r="E553" s="77" t="s">
        <v>427</v>
      </c>
      <c r="F553" s="403">
        <f>'[10]Otros servicios'!$W$112</f>
        <v>1948.6425855513301</v>
      </c>
      <c r="G553" s="221" t="s">
        <v>744</v>
      </c>
      <c r="V553" s="262"/>
      <c r="X553" s="262"/>
      <c r="Y553" s="262"/>
      <c r="AA553" s="262"/>
      <c r="AD553" s="262"/>
      <c r="AE553" s="262"/>
    </row>
    <row r="554" spans="1:59" s="221" customFormat="1" x14ac:dyDescent="0.25">
      <c r="D554" s="109"/>
      <c r="E554" s="109"/>
      <c r="F554" s="109"/>
      <c r="G554" s="109"/>
      <c r="H554" s="109"/>
      <c r="V554" s="262"/>
      <c r="X554" s="262"/>
      <c r="Y554" s="262"/>
      <c r="AA554" s="262"/>
      <c r="AD554" s="262"/>
      <c r="AE554" s="262"/>
    </row>
    <row r="555" spans="1:59" s="221" customFormat="1" ht="46" x14ac:dyDescent="0.25">
      <c r="D555" s="146" t="s">
        <v>740</v>
      </c>
      <c r="E555" s="232" t="str">
        <f>"Cantidad "&amp;Year.selected&amp;" de suscriptores por medio de transmisión"</f>
        <v>Cantidad 2022 de suscriptores por medio de transmisión</v>
      </c>
      <c r="F555" s="1" t="str">
        <f>"Distribución "&amp;Year.selected&amp;" de suscriptores por medio de transmisión"</f>
        <v>Distribución 2022 de suscriptores por medio de transmisión</v>
      </c>
      <c r="G555" s="1" t="s">
        <v>829</v>
      </c>
      <c r="H555" s="176" t="s">
        <v>170</v>
      </c>
      <c r="V555" s="262"/>
      <c r="X555" s="262"/>
      <c r="Y555" s="262"/>
      <c r="Z555" s="370"/>
      <c r="AA555" s="370"/>
      <c r="AD555" s="262"/>
      <c r="AE555" s="262"/>
    </row>
    <row r="556" spans="1:59" s="221" customFormat="1" ht="12" x14ac:dyDescent="0.25">
      <c r="E556" s="77" t="s">
        <v>161</v>
      </c>
      <c r="F556" s="77" t="s">
        <v>172</v>
      </c>
      <c r="G556" s="239" t="s">
        <v>427</v>
      </c>
      <c r="V556" s="262"/>
      <c r="X556" s="262"/>
      <c r="Y556" s="262"/>
      <c r="Z556" s="370"/>
      <c r="AA556" s="370"/>
      <c r="AD556" s="262"/>
      <c r="AE556" s="262"/>
    </row>
    <row r="557" spans="1:59" ht="17" customHeight="1" x14ac:dyDescent="0.25">
      <c r="D557" s="221" t="s">
        <v>372</v>
      </c>
      <c r="E557" s="399">
        <f>E536+E535</f>
        <v>7161733</v>
      </c>
      <c r="F557" s="241">
        <f>E557/SUM(E557:E558)</f>
        <v>0.55852442048396445</v>
      </c>
      <c r="G557" s="216">
        <f>F552*F557*('Calculos Banda Ancha'!$J$14+'Calculos Renta de Linea y Voz'!J14)</f>
        <v>-80790211.160223618</v>
      </c>
      <c r="H557" s="266" t="s">
        <v>759</v>
      </c>
      <c r="Z557" s="370"/>
      <c r="AA557" s="370"/>
    </row>
    <row r="558" spans="1:59" ht="12.5" thickBot="1" x14ac:dyDescent="0.3">
      <c r="D558" s="221" t="s">
        <v>758</v>
      </c>
      <c r="E558" s="399">
        <f>E537</f>
        <v>5660863</v>
      </c>
      <c r="F558" s="241">
        <f>1-F557</f>
        <v>0.44147557951603555</v>
      </c>
      <c r="G558" s="216">
        <f>F553*F558*'Calculos Banda Ancha'!$J$14</f>
        <v>129784018.58954132</v>
      </c>
      <c r="Z558" s="370"/>
      <c r="AA558" s="370"/>
    </row>
    <row r="559" spans="1:59" s="221" customFormat="1" ht="12" x14ac:dyDescent="0.25">
      <c r="D559" s="109"/>
      <c r="E559" s="242"/>
      <c r="F559" s="243">
        <f>SUM(F557:F558)</f>
        <v>1</v>
      </c>
      <c r="G559" s="109"/>
      <c r="H559" s="109"/>
      <c r="V559" s="262"/>
      <c r="X559" s="262"/>
      <c r="Y559" s="262"/>
      <c r="Z559" s="370"/>
      <c r="AA559" s="370"/>
      <c r="AD559" s="262"/>
      <c r="AE559" s="262"/>
    </row>
    <row r="560" spans="1:59" s="221" customFormat="1" x14ac:dyDescent="0.25">
      <c r="V560" s="262"/>
      <c r="X560" s="262"/>
      <c r="Y560" s="262"/>
      <c r="AA560" s="262"/>
      <c r="AD560" s="262"/>
      <c r="AE560" s="262"/>
    </row>
    <row r="561" spans="2:31" s="221" customFormat="1" ht="44.25" customHeight="1" x14ac:dyDescent="0.25">
      <c r="D561" s="146" t="s">
        <v>740</v>
      </c>
      <c r="E561" s="1" t="s">
        <v>763</v>
      </c>
      <c r="F561" s="1" t="s">
        <v>764</v>
      </c>
      <c r="G561" s="1" t="s">
        <v>836</v>
      </c>
      <c r="H561" s="1" t="s">
        <v>765</v>
      </c>
      <c r="I561" s="176" t="s">
        <v>766</v>
      </c>
      <c r="V561" s="262"/>
      <c r="X561" s="262"/>
      <c r="Y561" s="262"/>
      <c r="AA561" s="262"/>
      <c r="AD561" s="262"/>
      <c r="AE561" s="262"/>
    </row>
    <row r="562" spans="2:31" s="221" customFormat="1" x14ac:dyDescent="0.25">
      <c r="E562" s="77"/>
      <c r="F562" s="239" t="s">
        <v>172</v>
      </c>
      <c r="G562" s="239" t="s">
        <v>558</v>
      </c>
      <c r="H562" s="239" t="s">
        <v>558</v>
      </c>
      <c r="I562" s="239" t="s">
        <v>558</v>
      </c>
      <c r="V562" s="262"/>
      <c r="X562" s="262"/>
      <c r="Y562" s="262"/>
      <c r="AA562" s="262"/>
      <c r="AD562" s="262"/>
      <c r="AE562" s="262"/>
    </row>
    <row r="563" spans="2:31" s="221" customFormat="1" x14ac:dyDescent="0.25">
      <c r="D563" s="221" t="s">
        <v>760</v>
      </c>
      <c r="F563" s="244">
        <f>G557/SUM('Calculos Renta de Linea y Voz'!J50,'Calculos Banda Ancha'!J42*F557)</f>
        <v>-2.0754391636482773E-3</v>
      </c>
      <c r="G563" s="216">
        <f>F563*E543</f>
        <v>-0.53445332117535704</v>
      </c>
      <c r="H563" s="185">
        <f>F563*U570</f>
        <v>-0.73519252913062694</v>
      </c>
      <c r="I563" s="248">
        <f>AVERAGE(G563:H563)</f>
        <v>-0.63482292515299199</v>
      </c>
      <c r="J563" s="217"/>
      <c r="K563" s="209"/>
      <c r="L563" s="209"/>
      <c r="V563" s="262"/>
      <c r="X563" s="262"/>
      <c r="Y563" s="262"/>
      <c r="AA563" s="262"/>
      <c r="AD563" s="262"/>
      <c r="AE563" s="262"/>
    </row>
    <row r="564" spans="2:31" ht="12" thickBot="1" x14ac:dyDescent="0.3">
      <c r="D564" s="221" t="s">
        <v>761</v>
      </c>
      <c r="E564" s="221"/>
      <c r="F564" s="241">
        <f>G558/('Calculos Banda Ancha'!J42*'Cálculos auxiliares'!F558)</f>
        <v>1.175884889696558E-2</v>
      </c>
      <c r="G564" s="216">
        <f>F564*E545</f>
        <v>2.7481478267666177</v>
      </c>
      <c r="H564" s="185">
        <f>V570*F564</f>
        <v>4.685050857856881</v>
      </c>
      <c r="I564" s="248">
        <f>AVERAGE(G564:H564)</f>
        <v>3.7165993423117492</v>
      </c>
    </row>
    <row r="565" spans="2:31" x14ac:dyDescent="0.25">
      <c r="D565" s="109"/>
      <c r="E565" s="233"/>
      <c r="F565" s="182"/>
      <c r="G565" s="109"/>
      <c r="H565" s="109"/>
      <c r="I565" s="109"/>
    </row>
    <row r="567" spans="2:31" x14ac:dyDescent="0.25">
      <c r="D567" s="44"/>
      <c r="E567" s="221"/>
      <c r="F567" s="221"/>
      <c r="G567" s="221"/>
      <c r="H567" s="221"/>
      <c r="I567" s="221"/>
      <c r="J567" s="221"/>
      <c r="K567" s="221"/>
      <c r="L567" s="221"/>
      <c r="M567" s="221"/>
      <c r="N567" s="221"/>
      <c r="O567" s="221"/>
      <c r="P567" s="221"/>
      <c r="Q567" s="221"/>
    </row>
    <row r="568" spans="2:31" x14ac:dyDescent="0.25">
      <c r="D568" s="120"/>
      <c r="E568" s="120"/>
      <c r="F568" s="120"/>
      <c r="H568" s="128">
        <f>Year.selected</f>
        <v>2022</v>
      </c>
      <c r="I568" s="128"/>
      <c r="J568" s="128"/>
      <c r="K568" s="128"/>
      <c r="L568" s="128"/>
      <c r="M568" s="128"/>
      <c r="N568" s="640"/>
      <c r="O568" s="750">
        <v>2022</v>
      </c>
      <c r="P568" s="750"/>
      <c r="R568" s="294">
        <v>2021</v>
      </c>
      <c r="S568" s="294"/>
      <c r="U568" s="294">
        <v>2020</v>
      </c>
      <c r="V568" s="294"/>
      <c r="W568" s="262"/>
      <c r="X568" s="232">
        <v>2019</v>
      </c>
      <c r="Y568" s="232"/>
      <c r="Z568" s="289"/>
      <c r="AA568" s="232">
        <v>2018</v>
      </c>
      <c r="AB568" s="232"/>
      <c r="AC568" s="637"/>
      <c r="AD568" s="636"/>
      <c r="AE568"/>
    </row>
    <row r="569" spans="2:31" ht="23" x14ac:dyDescent="0.25">
      <c r="D569" s="1" t="s">
        <v>252</v>
      </c>
      <c r="E569" s="1" t="s">
        <v>253</v>
      </c>
      <c r="F569" s="122" t="s">
        <v>254</v>
      </c>
      <c r="G569" s="268" t="s">
        <v>342</v>
      </c>
      <c r="H569" s="1" t="s">
        <v>372</v>
      </c>
      <c r="I569" s="1" t="s">
        <v>758</v>
      </c>
      <c r="J569" s="1" t="s">
        <v>372</v>
      </c>
      <c r="K569" s="268" t="s">
        <v>758</v>
      </c>
      <c r="L569" s="1" t="s">
        <v>762</v>
      </c>
      <c r="M569" s="1" t="s">
        <v>986</v>
      </c>
      <c r="O569" s="268" t="s">
        <v>372</v>
      </c>
      <c r="P569" s="268" t="s">
        <v>561</v>
      </c>
      <c r="R569" s="268" t="s">
        <v>372</v>
      </c>
      <c r="S569" s="268" t="s">
        <v>373</v>
      </c>
      <c r="T569" s="262"/>
      <c r="U569" s="268" t="s">
        <v>372</v>
      </c>
      <c r="V569" s="268" t="s">
        <v>373</v>
      </c>
      <c r="W569" s="262"/>
      <c r="X569" s="268" t="s">
        <v>372</v>
      </c>
      <c r="Y569" s="268" t="s">
        <v>373</v>
      </c>
      <c r="Z569" s="638"/>
      <c r="AA569" s="268" t="s">
        <v>372</v>
      </c>
      <c r="AB569" s="268" t="s">
        <v>373</v>
      </c>
      <c r="AC569" s="636"/>
      <c r="AD569" s="636"/>
      <c r="AE569"/>
    </row>
    <row r="570" spans="2:31" ht="12" x14ac:dyDescent="0.25">
      <c r="B570" s="579" t="str">
        <f>D570&amp;E570</f>
        <v>Infinitum 50Residencial</v>
      </c>
      <c r="C570" s="334">
        <v>1</v>
      </c>
      <c r="D570" s="634" t="str">
        <f>'Info planes y paquetes'!C767</f>
        <v>Infinitum 50</v>
      </c>
      <c r="E570" s="575" t="str">
        <f>'Info planes y paquetes'!D767</f>
        <v>Residencial</v>
      </c>
      <c r="F570" s="575" t="str">
        <f>'Info planes y paquetes'!E767</f>
        <v>Internet fijo</v>
      </c>
      <c r="G570" s="263" t="str">
        <f t="shared" ref="G570:G601" si="74">H360</f>
        <v>50 Mbps</v>
      </c>
      <c r="H570" s="280">
        <f>IFERROR(VLOOKUP($B570,'Info planes y paquetes'!$A$767:$L$874,10,FALSE),"")+IFERROR(VLOOKUP($B570,'Info planes y paquetes'!$A$767:$M$874,12,FALSE),"")</f>
        <v>431764</v>
      </c>
      <c r="I570" s="280">
        <f>IFERROR(VLOOKUP($B570,'Info planes y paquetes'!$A$767:$M$874,11,FALSE),"")</f>
        <v>589816</v>
      </c>
      <c r="J570" s="238">
        <f t="shared" ref="J570:J601" si="75">IFERROR(H570/H$690,"")</f>
        <v>0.1035131226648868</v>
      </c>
      <c r="K570" s="238">
        <f t="shared" ref="K570:K601" si="76">IFERROR(I570/I$690,"")</f>
        <v>0.10419188735003833</v>
      </c>
      <c r="L570" s="635">
        <f>IFERROR(VLOOKUP($B570,'Info planes y paquetes'!$A$471:$G$579,6,FALSE),"")</f>
        <v>300.86</v>
      </c>
      <c r="M570" s="635"/>
      <c r="O570" s="293">
        <f>SUMPRODUCT(J570:J689,$L$570:$L$689)</f>
        <v>361.24644618307303</v>
      </c>
      <c r="P570" s="293">
        <f>SUMPRODUCT(K570:K689,$L$570:$L$689)</f>
        <v>418.60168122069007</v>
      </c>
      <c r="R570" s="480">
        <v>351.10707757000114</v>
      </c>
      <c r="S570" s="480">
        <v>407.13554822910902</v>
      </c>
      <c r="T570" s="262"/>
      <c r="U570" s="480">
        <v>354.23468054745609</v>
      </c>
      <c r="V570" s="480">
        <v>398.42767765013781</v>
      </c>
      <c r="W570" s="262"/>
      <c r="X570" s="293">
        <v>359.92725525919627</v>
      </c>
      <c r="Y570" s="293">
        <v>421.27195625216774</v>
      </c>
      <c r="Z570" s="639"/>
      <c r="AA570" s="293">
        <v>323.67502835645826</v>
      </c>
      <c r="AB570" s="293">
        <v>419.37750009751812</v>
      </c>
      <c r="AC570" s="636"/>
      <c r="AD570" s="636"/>
      <c r="AE570"/>
    </row>
    <row r="571" spans="2:31" ht="12" x14ac:dyDescent="0.25">
      <c r="B571" s="579" t="str">
        <f t="shared" ref="B571:B634" si="77">D571&amp;E571</f>
        <v>Infinitum 500Residencial</v>
      </c>
      <c r="C571" s="334">
        <f>C570+1</f>
        <v>2</v>
      </c>
      <c r="D571" s="634" t="str">
        <f>'Info planes y paquetes'!C768</f>
        <v>Infinitum 500</v>
      </c>
      <c r="E571" s="575" t="str">
        <f>'Info planes y paquetes'!D768</f>
        <v>Residencial</v>
      </c>
      <c r="F571" s="575" t="str">
        <f>'Info planes y paquetes'!E768</f>
        <v>Internet fijo</v>
      </c>
      <c r="G571" s="263" t="str">
        <f t="shared" si="74"/>
        <v>500 Mbps</v>
      </c>
      <c r="H571" s="280">
        <f>IFERROR(VLOOKUP($B571,'Info planes y paquetes'!$A$767:$L$874,10,FALSE),"")+IFERROR(VLOOKUP($B571,'Info planes y paquetes'!$A$767:$M$874,12,FALSE),"")</f>
        <v>12</v>
      </c>
      <c r="I571" s="280">
        <f>IFERROR(VLOOKUP($B571,'Info planes y paquetes'!$A$767:$M$874,11,FALSE),"")</f>
        <v>10666</v>
      </c>
      <c r="J571" s="238">
        <f t="shared" si="75"/>
        <v>2.8769361780478261E-6</v>
      </c>
      <c r="K571" s="238">
        <f t="shared" si="76"/>
        <v>1.8841650115892223E-3</v>
      </c>
      <c r="L571" s="635">
        <f>IFERROR(VLOOKUP($B571,'Info planes y paquetes'!$A$471:$G$579,6,FALSE),"")</f>
        <v>775</v>
      </c>
      <c r="M571" s="635"/>
      <c r="N571" s="221"/>
      <c r="O571" s="221"/>
      <c r="U571" s="262"/>
      <c r="V571"/>
      <c r="W571" s="262"/>
      <c r="Y571"/>
      <c r="Z571" s="636"/>
      <c r="AA571" s="636"/>
      <c r="AB571" s="636"/>
      <c r="AC571" s="636"/>
      <c r="AD571" s="636"/>
      <c r="AE571"/>
    </row>
    <row r="572" spans="2:31" ht="12" x14ac:dyDescent="0.25">
      <c r="B572" s="579" t="str">
        <f t="shared" si="77"/>
        <v>Infinitum 60Residencial</v>
      </c>
      <c r="C572" s="334">
        <f t="shared" ref="C572:C635" si="78">C571+1</f>
        <v>3</v>
      </c>
      <c r="D572" s="634" t="str">
        <f>'Info planes y paquetes'!C769</f>
        <v>Infinitum 60</v>
      </c>
      <c r="E572" s="575" t="str">
        <f>'Info planes y paquetes'!D769</f>
        <v>Residencial</v>
      </c>
      <c r="F572" s="575" t="str">
        <f>'Info planes y paquetes'!E769</f>
        <v>Internet fijo</v>
      </c>
      <c r="G572" s="263" t="str">
        <f t="shared" si="74"/>
        <v>60 Mbps</v>
      </c>
      <c r="H572" s="280">
        <f>IFERROR(VLOOKUP($B572,'Info planes y paquetes'!$A$767:$L$874,10,FALSE),"")+IFERROR(VLOOKUP($B572,'Info planes y paquetes'!$A$767:$M$874,12,FALSE),"")</f>
        <v>30869</v>
      </c>
      <c r="I572" s="280">
        <f>IFERROR(VLOOKUP($B572,'Info planes y paquetes'!$A$767:$M$874,11,FALSE),"")</f>
        <v>145283</v>
      </c>
      <c r="J572" s="238">
        <f t="shared" si="75"/>
        <v>7.4006785733465291E-3</v>
      </c>
      <c r="K572" s="238">
        <f t="shared" si="76"/>
        <v>2.5664461408092722E-2</v>
      </c>
      <c r="L572" s="635">
        <f>IFERROR(VLOOKUP($B572,'Info planes y paquetes'!$A$471:$G$579,6,FALSE),"")</f>
        <v>343.97</v>
      </c>
      <c r="M572" s="635"/>
      <c r="N572" s="221"/>
      <c r="O572" s="221"/>
      <c r="U572" s="262"/>
      <c r="V572"/>
      <c r="W572" s="262"/>
      <c r="Y572"/>
      <c r="AB572" s="262"/>
      <c r="AD572"/>
      <c r="AE572"/>
    </row>
    <row r="573" spans="2:31" ht="12" x14ac:dyDescent="0.25">
      <c r="B573" s="579" t="str">
        <f t="shared" si="77"/>
        <v>Infinitum 100Residencial</v>
      </c>
      <c r="C573" s="334">
        <f t="shared" si="78"/>
        <v>4</v>
      </c>
      <c r="D573" s="634" t="str">
        <f>'Info planes y paquetes'!C770</f>
        <v>Infinitum 100</v>
      </c>
      <c r="E573" s="575" t="str">
        <f>'Info planes y paquetes'!D770</f>
        <v>Residencial</v>
      </c>
      <c r="F573" s="575" t="str">
        <f>'Info planes y paquetes'!E770</f>
        <v>Internet fijo</v>
      </c>
      <c r="G573" s="263" t="str">
        <f t="shared" si="74"/>
        <v>100 Mbps</v>
      </c>
      <c r="H573" s="280">
        <f>IFERROR(VLOOKUP($B573,'Info planes y paquetes'!$A$767:$L$874,10,FALSE),"")+IFERROR(VLOOKUP($B573,'Info planes y paquetes'!$A$767:$M$874,12,FALSE),"")</f>
        <v>7</v>
      </c>
      <c r="I573" s="280">
        <f>IFERROR(VLOOKUP($B573,'Info planes y paquetes'!$A$767:$M$874,11,FALSE),"")</f>
        <v>5971</v>
      </c>
      <c r="J573" s="238">
        <f t="shared" si="75"/>
        <v>1.6782127705278987E-6</v>
      </c>
      <c r="K573" s="238">
        <f t="shared" si="76"/>
        <v>1.054786169529275E-3</v>
      </c>
      <c r="L573" s="635">
        <f>IFERROR(VLOOKUP($B573,'Info planes y paquetes'!$A$471:$G$579,6,FALSE),"")</f>
        <v>387.07</v>
      </c>
      <c r="M573" s="635"/>
      <c r="N573" s="221"/>
      <c r="O573" s="221"/>
      <c r="U573" s="262"/>
      <c r="V573"/>
      <c r="W573" s="262"/>
      <c r="Y573"/>
      <c r="AB573" s="262"/>
      <c r="AD573"/>
      <c r="AE573"/>
    </row>
    <row r="574" spans="2:31" ht="12" x14ac:dyDescent="0.25">
      <c r="B574" s="579" t="str">
        <f t="shared" si="77"/>
        <v>Infinitum 200Residencial</v>
      </c>
      <c r="C574" s="334">
        <f t="shared" si="78"/>
        <v>5</v>
      </c>
      <c r="D574" s="634" t="str">
        <f>'Info planes y paquetes'!C771</f>
        <v>Infinitum 200</v>
      </c>
      <c r="E574" s="575" t="str">
        <f>'Info planes y paquetes'!D771</f>
        <v>Residencial</v>
      </c>
      <c r="F574" s="575" t="str">
        <f>'Info planes y paquetes'!E771</f>
        <v>Internet fijo</v>
      </c>
      <c r="G574" s="263" t="str">
        <f t="shared" si="74"/>
        <v>200 Mbps</v>
      </c>
      <c r="H574" s="280">
        <f>IFERROR(VLOOKUP($B574,'Info planes y paquetes'!$A$767:$L$874,10,FALSE),"")+IFERROR(VLOOKUP($B574,'Info planes y paquetes'!$A$767:$M$874,12,FALSE),"")</f>
        <v>1722</v>
      </c>
      <c r="I574" s="280">
        <f>IFERROR(VLOOKUP($B574,'Info planes y paquetes'!$A$767:$M$874,11,FALSE),"")</f>
        <v>90779</v>
      </c>
      <c r="J574" s="238">
        <f t="shared" si="75"/>
        <v>4.1284034154986308E-4</v>
      </c>
      <c r="K574" s="238">
        <f t="shared" si="76"/>
        <v>1.6036247476753987E-2</v>
      </c>
      <c r="L574" s="635">
        <f>IFERROR(VLOOKUP($B574,'Info planes y paquetes'!$A$471:$G$579,6,FALSE),"")</f>
        <v>473.28</v>
      </c>
      <c r="M574" s="635"/>
      <c r="N574" s="221"/>
      <c r="O574" s="221"/>
      <c r="U574" s="262"/>
      <c r="V574"/>
      <c r="W574" s="262"/>
      <c r="Y574"/>
      <c r="AB574" s="262"/>
      <c r="AD574"/>
      <c r="AE574"/>
    </row>
    <row r="575" spans="2:31" ht="12" x14ac:dyDescent="0.25">
      <c r="B575" s="579" t="str">
        <f t="shared" si="77"/>
        <v>Infinitum 279Residencial</v>
      </c>
      <c r="C575" s="334">
        <f t="shared" si="78"/>
        <v>6</v>
      </c>
      <c r="D575" s="634" t="str">
        <f>'Info planes y paquetes'!C772</f>
        <v>Infinitum 279</v>
      </c>
      <c r="E575" s="575" t="str">
        <f>'Info planes y paquetes'!D772</f>
        <v>Residencial</v>
      </c>
      <c r="F575" s="575" t="str">
        <f>'Info planes y paquetes'!E772</f>
        <v>Internet fijo</v>
      </c>
      <c r="G575" s="263" t="str">
        <f t="shared" si="74"/>
        <v>30 Mbps</v>
      </c>
      <c r="H575" s="280">
        <f>IFERROR(VLOOKUP($B575,'Info planes y paquetes'!$A$767:$L$874,10,FALSE),"")+IFERROR(VLOOKUP($B575,'Info planes y paquetes'!$A$767:$M$874,12,FALSE),"")</f>
        <v>13417</v>
      </c>
      <c r="I575" s="280">
        <f>IFERROR(VLOOKUP($B575,'Info planes y paquetes'!$A$767:$M$874,11,FALSE),"")</f>
        <v>14980</v>
      </c>
      <c r="J575" s="238">
        <f t="shared" si="75"/>
        <v>3.2166543917389735E-3</v>
      </c>
      <c r="K575" s="238">
        <f t="shared" si="76"/>
        <v>2.646239628127372E-3</v>
      </c>
      <c r="L575" s="635">
        <f>IFERROR(VLOOKUP($B575,'Info planes y paquetes'!$A$471:$G$579,6,FALSE),"")</f>
        <v>240.52</v>
      </c>
      <c r="M575" s="635"/>
      <c r="N575" s="221"/>
      <c r="O575" s="221"/>
      <c r="U575" s="262"/>
      <c r="V575"/>
      <c r="W575" s="262"/>
      <c r="Y575"/>
      <c r="AB575" s="262"/>
      <c r="AD575"/>
      <c r="AE575"/>
    </row>
    <row r="576" spans="2:31" ht="12" x14ac:dyDescent="0.25">
      <c r="B576" s="579" t="str">
        <f t="shared" si="77"/>
        <v>Infinitum 299Residencial</v>
      </c>
      <c r="C576" s="334">
        <f t="shared" si="78"/>
        <v>7</v>
      </c>
      <c r="D576" s="634" t="str">
        <f>'Info planes y paquetes'!C773</f>
        <v>Infinitum 299</v>
      </c>
      <c r="E576" s="575" t="str">
        <f>'Info planes y paquetes'!D773</f>
        <v>Residencial</v>
      </c>
      <c r="F576" s="575" t="str">
        <f>'Info planes y paquetes'!E773</f>
        <v>Internet fijo</v>
      </c>
      <c r="G576" s="263" t="str">
        <f t="shared" si="74"/>
        <v>40 Mbps</v>
      </c>
      <c r="H576" s="280">
        <f>IFERROR(VLOOKUP($B576,'Info planes y paquetes'!$A$767:$L$874,10,FALSE),"")+IFERROR(VLOOKUP($B576,'Info planes y paquetes'!$A$767:$M$874,12,FALSE),"")</f>
        <v>69</v>
      </c>
      <c r="I576" s="280">
        <f>IFERROR(VLOOKUP($B576,'Info planes y paquetes'!$A$767:$M$874,11,FALSE),"")</f>
        <v>161</v>
      </c>
      <c r="J576" s="238">
        <f t="shared" si="75"/>
        <v>1.6542383023775001E-5</v>
      </c>
      <c r="K576" s="238">
        <f t="shared" si="76"/>
        <v>2.8440893199499795E-5</v>
      </c>
      <c r="L576" s="635">
        <f>IFERROR(VLOOKUP($B576,'Info planes y paquetes'!$A$471:$G$579,6,FALSE),"")</f>
        <v>257.76</v>
      </c>
      <c r="M576" s="635"/>
      <c r="N576" s="221"/>
      <c r="O576" s="221"/>
      <c r="U576" s="262"/>
      <c r="V576"/>
      <c r="W576" s="262"/>
      <c r="Y576"/>
      <c r="AB576" s="262"/>
      <c r="AD576"/>
      <c r="AE576"/>
    </row>
    <row r="577" spans="2:31" ht="12" x14ac:dyDescent="0.25">
      <c r="B577" s="579" t="str">
        <f t="shared" si="77"/>
        <v>Infinitum 299No Residencial</v>
      </c>
      <c r="C577" s="334">
        <f t="shared" si="78"/>
        <v>8</v>
      </c>
      <c r="D577" s="634" t="str">
        <f>'Info planes y paquetes'!C774</f>
        <v>Infinitum 299</v>
      </c>
      <c r="E577" s="575" t="str">
        <f>'Info planes y paquetes'!D774</f>
        <v>No Residencial</v>
      </c>
      <c r="F577" s="575" t="str">
        <f>'Info planes y paquetes'!E774</f>
        <v>Internet fijo</v>
      </c>
      <c r="G577" s="263" t="str">
        <f t="shared" si="74"/>
        <v>40 Mbps</v>
      </c>
      <c r="H577" s="280">
        <f>IFERROR(VLOOKUP($B577,'Info planes y paquetes'!$A$767:$L$874,10,FALSE),"")+IFERROR(VLOOKUP($B577,'Info planes y paquetes'!$A$767:$M$874,12,FALSE),"")</f>
        <v>594</v>
      </c>
      <c r="I577" s="280">
        <f>IFERROR(VLOOKUP($B577,'Info planes y paquetes'!$A$767:$M$874,11,FALSE),"")</f>
        <v>623</v>
      </c>
      <c r="J577" s="238">
        <f t="shared" si="75"/>
        <v>1.4240834081336739E-4</v>
      </c>
      <c r="K577" s="238">
        <f t="shared" si="76"/>
        <v>1.1005389107632529E-4</v>
      </c>
      <c r="L577" s="635">
        <f>IFERROR(VLOOKUP($B577,'Info planes y paquetes'!$A$471:$G$579,6,FALSE),"")</f>
        <v>257.76</v>
      </c>
      <c r="M577" s="635"/>
      <c r="N577" s="221"/>
      <c r="O577" s="221"/>
      <c r="U577" s="262"/>
      <c r="V577"/>
      <c r="W577" s="262"/>
      <c r="Y577"/>
      <c r="AB577" s="262"/>
      <c r="AD577"/>
      <c r="AE577"/>
    </row>
    <row r="578" spans="2:31" ht="12" x14ac:dyDescent="0.25">
      <c r="B578" s="579" t="str">
        <f t="shared" si="77"/>
        <v>Infinitum Negocio 20 MbNo Residencial</v>
      </c>
      <c r="C578" s="334">
        <f t="shared" si="78"/>
        <v>9</v>
      </c>
      <c r="D578" s="634" t="str">
        <f>'Info planes y paquetes'!C775</f>
        <v>Infinitum Negocio 20 Mb</v>
      </c>
      <c r="E578" s="575" t="str">
        <f>'Info planes y paquetes'!D775</f>
        <v>No Residencial</v>
      </c>
      <c r="F578" s="575" t="str">
        <f>'Info planes y paquetes'!E775</f>
        <v>Internet fijo</v>
      </c>
      <c r="G578" s="263" t="str">
        <f t="shared" si="74"/>
        <v>20 Mbps</v>
      </c>
      <c r="H578" s="280">
        <f>IFERROR(VLOOKUP($B578,'Info planes y paquetes'!$A$767:$L$874,10,FALSE),"")+IFERROR(VLOOKUP($B578,'Info planes y paquetes'!$A$767:$M$874,12,FALSE),"")</f>
        <v>16764</v>
      </c>
      <c r="I578" s="280">
        <f>IFERROR(VLOOKUP($B578,'Info planes y paquetes'!$A$767:$M$874,11,FALSE),"")</f>
        <v>28051</v>
      </c>
      <c r="J578" s="238">
        <f t="shared" si="75"/>
        <v>4.0190798407328133E-3</v>
      </c>
      <c r="K578" s="238">
        <f t="shared" si="76"/>
        <v>4.9552515226035324E-3</v>
      </c>
      <c r="L578" s="635">
        <f>IFERROR(VLOOKUP($B578,'Info planes y paquetes'!$A$471:$G$579,6,FALSE),"")</f>
        <v>300.86</v>
      </c>
      <c r="M578" s="635"/>
      <c r="N578" s="221"/>
      <c r="O578" s="221"/>
      <c r="U578" s="262"/>
      <c r="V578"/>
      <c r="W578" s="262"/>
      <c r="Y578"/>
      <c r="AB578" s="262"/>
      <c r="AD578"/>
      <c r="AE578"/>
    </row>
    <row r="579" spans="2:31" ht="12" x14ac:dyDescent="0.25">
      <c r="B579" s="579" t="str">
        <f t="shared" si="77"/>
        <v>Infinitum Negocio 60No Residencial</v>
      </c>
      <c r="C579" s="334">
        <f t="shared" si="78"/>
        <v>10</v>
      </c>
      <c r="D579" s="634" t="str">
        <f>'Info planes y paquetes'!C776</f>
        <v>Infinitum Negocio 60</v>
      </c>
      <c r="E579" s="575" t="str">
        <f>'Info planes y paquetes'!D776</f>
        <v>No Residencial</v>
      </c>
      <c r="F579" s="575" t="str">
        <f>'Info planes y paquetes'!E776</f>
        <v>Internet fijo</v>
      </c>
      <c r="G579" s="263" t="str">
        <f t="shared" si="74"/>
        <v>60 Mbps</v>
      </c>
      <c r="H579" s="280">
        <f>IFERROR(VLOOKUP($B579,'Info planes y paquetes'!$A$767:$L$874,10,FALSE),"")+IFERROR(VLOOKUP($B579,'Info planes y paquetes'!$A$767:$M$874,12,FALSE),"")</f>
        <v>4428</v>
      </c>
      <c r="I579" s="280">
        <f>IFERROR(VLOOKUP($B579,'Info planes y paquetes'!$A$767:$M$874,11,FALSE),"")</f>
        <v>10030</v>
      </c>
      <c r="J579" s="238">
        <f t="shared" si="75"/>
        <v>1.0615894496996479E-3</v>
      </c>
      <c r="K579" s="238">
        <f t="shared" si="76"/>
        <v>1.7718146508756704E-3</v>
      </c>
      <c r="L579" s="635">
        <f>IFERROR(VLOOKUP($B579,'Info planes y paquetes'!$A$471:$G$579,6,FALSE),"")</f>
        <v>343.97</v>
      </c>
      <c r="M579" s="635"/>
      <c r="N579" s="221"/>
      <c r="O579" s="221"/>
      <c r="U579" s="262"/>
      <c r="V579"/>
      <c r="W579" s="262"/>
      <c r="Y579"/>
      <c r="AB579" s="262"/>
      <c r="AD579"/>
      <c r="AE579"/>
    </row>
    <row r="580" spans="2:31" ht="12" x14ac:dyDescent="0.25">
      <c r="B580" s="579" t="str">
        <f t="shared" si="77"/>
        <v>Infinitum Negocio 200No Residencial</v>
      </c>
      <c r="C580" s="334">
        <f t="shared" si="78"/>
        <v>11</v>
      </c>
      <c r="D580" s="634" t="str">
        <f>'Info planes y paquetes'!C777</f>
        <v>Infinitum Negocio 200</v>
      </c>
      <c r="E580" s="575" t="str">
        <f>'Info planes y paquetes'!D777</f>
        <v>No Residencial</v>
      </c>
      <c r="F580" s="575" t="str">
        <f>'Info planes y paquetes'!E777</f>
        <v>Internet fijo</v>
      </c>
      <c r="G580" s="263" t="str">
        <f t="shared" si="74"/>
        <v>200 Mbps</v>
      </c>
      <c r="H580" s="280">
        <f>IFERROR(VLOOKUP($B580,'Info planes y paquetes'!$A$767:$L$874,10,FALSE),"")+IFERROR(VLOOKUP($B580,'Info planes y paquetes'!$A$767:$M$874,12,FALSE),"")</f>
        <v>397</v>
      </c>
      <c r="I580" s="280">
        <f>IFERROR(VLOOKUP($B580,'Info planes y paquetes'!$A$767:$M$874,11,FALSE),"")</f>
        <v>9211</v>
      </c>
      <c r="J580" s="238">
        <f t="shared" si="75"/>
        <v>9.5178638557082254E-5</v>
      </c>
      <c r="K580" s="238">
        <f t="shared" si="76"/>
        <v>1.6271370637303889E-3</v>
      </c>
      <c r="L580" s="635">
        <f>IFERROR(VLOOKUP($B580,'Info planes y paquetes'!$A$471:$G$579,6,FALSE),"")</f>
        <v>473.28</v>
      </c>
      <c r="M580" s="635"/>
      <c r="N580" s="221"/>
      <c r="O580" s="221"/>
      <c r="U580" s="262"/>
      <c r="V580"/>
      <c r="W580" s="262"/>
      <c r="Y580"/>
      <c r="AB580" s="262"/>
      <c r="AD580"/>
      <c r="AE580"/>
    </row>
    <row r="581" spans="2:31" ht="12" x14ac:dyDescent="0.25">
      <c r="B581" s="579" t="str">
        <f t="shared" si="77"/>
        <v>Infinitum Negocio 500No Residencial</v>
      </c>
      <c r="C581" s="334">
        <f t="shared" si="78"/>
        <v>12</v>
      </c>
      <c r="D581" s="634" t="str">
        <f>'Info planes y paquetes'!C778</f>
        <v>Infinitum Negocio 500</v>
      </c>
      <c r="E581" s="575" t="str">
        <f>'Info planes y paquetes'!D778</f>
        <v>No Residencial</v>
      </c>
      <c r="F581" s="575" t="str">
        <f>'Info planes y paquetes'!E778</f>
        <v>Internet fijo</v>
      </c>
      <c r="G581" s="263" t="str">
        <f t="shared" si="74"/>
        <v>500 Mbps</v>
      </c>
      <c r="H581" s="280">
        <f>IFERROR(VLOOKUP($B581,'Info planes y paquetes'!$A$767:$L$874,10,FALSE),"")+IFERROR(VLOOKUP($B581,'Info planes y paquetes'!$A$767:$M$874,12,FALSE),"")</f>
        <v>27</v>
      </c>
      <c r="I581" s="280">
        <f>IFERROR(VLOOKUP($B581,'Info planes y paquetes'!$A$767:$M$874,11,FALSE),"")</f>
        <v>4059</v>
      </c>
      <c r="J581" s="238">
        <f t="shared" si="75"/>
        <v>6.4731064006076092E-6</v>
      </c>
      <c r="K581" s="238">
        <f t="shared" si="76"/>
        <v>7.1702848134639545E-4</v>
      </c>
      <c r="L581" s="635">
        <f>IFERROR(VLOOKUP($B581,'Info planes y paquetes'!$A$471:$G$579,6,FALSE),"")</f>
        <v>775</v>
      </c>
      <c r="M581" s="635"/>
      <c r="U581" s="262"/>
      <c r="V581"/>
      <c r="W581" s="262"/>
      <c r="Y581"/>
      <c r="AB581" s="262"/>
      <c r="AD581"/>
      <c r="AE581"/>
    </row>
    <row r="582" spans="2:31" ht="12" x14ac:dyDescent="0.25">
      <c r="B582" s="579" t="str">
        <f t="shared" si="77"/>
        <v>Paquete 249Residencial</v>
      </c>
      <c r="C582" s="334">
        <f t="shared" si="78"/>
        <v>13</v>
      </c>
      <c r="D582" s="634" t="str">
        <f>'Info planes y paquetes'!C779</f>
        <v>Paquete 249</v>
      </c>
      <c r="E582" s="575" t="str">
        <f>'Info planes y paquetes'!D779</f>
        <v>Residencial</v>
      </c>
      <c r="F582" s="575" t="str">
        <f>'Info planes y paquetes'!E779</f>
        <v>Telefonía fija + Internet fijo</v>
      </c>
      <c r="G582" s="263" t="str">
        <f t="shared" si="74"/>
        <v>5 Mbps</v>
      </c>
      <c r="H582" s="280">
        <f>IFERROR(VLOOKUP($B582,'Info planes y paquetes'!$A$767:$L$874,10,FALSE),"")+IFERROR(VLOOKUP($B582,'Info planes y paquetes'!$A$767:$M$874,12,FALSE),"")</f>
        <v>60074</v>
      </c>
      <c r="I582" s="280">
        <f>IFERROR(VLOOKUP($B582,'Info planes y paquetes'!$A$767:$M$874,11,FALSE),"")</f>
        <v>66398</v>
      </c>
      <c r="J582" s="238">
        <f t="shared" si="75"/>
        <v>1.4402421996670425E-2</v>
      </c>
      <c r="K582" s="238">
        <f t="shared" si="76"/>
        <v>1.1729306997890604E-2</v>
      </c>
      <c r="L582" s="635">
        <f>IFERROR(VLOOKUP($B582,'Info planes y paquetes'!$A$471:$G$579,6,FALSE),"")</f>
        <v>210.24</v>
      </c>
      <c r="M582" s="635"/>
      <c r="U582" s="262"/>
      <c r="V582"/>
      <c r="W582" s="262"/>
      <c r="Y582"/>
      <c r="AB582" s="262"/>
      <c r="AD582"/>
      <c r="AE582"/>
    </row>
    <row r="583" spans="2:31" ht="12" x14ac:dyDescent="0.25">
      <c r="B583" s="579" t="str">
        <f t="shared" si="77"/>
        <v>Paquete 289Residencial</v>
      </c>
      <c r="C583" s="334">
        <f t="shared" si="78"/>
        <v>14</v>
      </c>
      <c r="D583" s="634" t="str">
        <f>'Info planes y paquetes'!C780</f>
        <v>Paquete 289</v>
      </c>
      <c r="E583" s="575" t="str">
        <f>'Info planes y paquetes'!D780</f>
        <v>Residencial</v>
      </c>
      <c r="F583" s="575" t="str">
        <f>'Info planes y paquetes'!E780</f>
        <v>Telefonía fija + Internet fijo</v>
      </c>
      <c r="G583" s="263" t="str">
        <f t="shared" si="74"/>
        <v>5 Mbps</v>
      </c>
      <c r="H583" s="280">
        <f>IFERROR(VLOOKUP($B583,'Info planes y paquetes'!$A$767:$L$874,10,FALSE),"")+IFERROR(VLOOKUP($B583,'Info planes y paquetes'!$A$767:$M$874,12,FALSE),"")</f>
        <v>52687</v>
      </c>
      <c r="I583" s="280">
        <f>IFERROR(VLOOKUP($B583,'Info planes y paquetes'!$A$767:$M$874,11,FALSE),"")</f>
        <v>38479</v>
      </c>
      <c r="J583" s="238">
        <f t="shared" si="75"/>
        <v>1.2631428034400484E-2</v>
      </c>
      <c r="K583" s="238">
        <f t="shared" si="76"/>
        <v>6.797373474680451E-3</v>
      </c>
      <c r="L583" s="635">
        <f>IFERROR(VLOOKUP($B583,'Info planes y paquetes'!$A$471:$G$579,6,FALSE),"")</f>
        <v>244.01</v>
      </c>
      <c r="M583" s="635"/>
      <c r="U583" s="262"/>
      <c r="V583"/>
      <c r="W583" s="262"/>
      <c r="Y583"/>
      <c r="AB583" s="262"/>
      <c r="AD583"/>
      <c r="AE583"/>
    </row>
    <row r="584" spans="2:31" ht="12" x14ac:dyDescent="0.25">
      <c r="B584" s="579" t="str">
        <f t="shared" si="77"/>
        <v>Paquete 435Residencial</v>
      </c>
      <c r="C584" s="334">
        <f t="shared" si="78"/>
        <v>15</v>
      </c>
      <c r="D584" s="634" t="str">
        <f>'Info planes y paquetes'!C781</f>
        <v>Paquete 435</v>
      </c>
      <c r="E584" s="575" t="str">
        <f>'Info planes y paquetes'!D781</f>
        <v>Residencial</v>
      </c>
      <c r="F584" s="575" t="str">
        <f>'Info planes y paquetes'!E781</f>
        <v>Telefonía fija + Internet fijo</v>
      </c>
      <c r="G584" s="263" t="str">
        <f t="shared" si="74"/>
        <v>30 Mbps</v>
      </c>
      <c r="H584" s="280">
        <f>IFERROR(VLOOKUP($B584,'Info planes y paquetes'!$A$767:$L$874,10,FALSE),"")+IFERROR(VLOOKUP($B584,'Info planes y paquetes'!$A$767:$M$874,12,FALSE),"")</f>
        <v>40471</v>
      </c>
      <c r="I584" s="280">
        <f>IFERROR(VLOOKUP($B584,'Info planes y paquetes'!$A$767:$M$874,11,FALSE),"")</f>
        <v>252839</v>
      </c>
      <c r="J584" s="238">
        <f t="shared" si="75"/>
        <v>9.7027070051477985E-3</v>
      </c>
      <c r="K584" s="238">
        <f t="shared" si="76"/>
        <v>4.4664391277443032E-2</v>
      </c>
      <c r="L584" s="635">
        <f>IFERROR(VLOOKUP($B584,'Info planes y paquetes'!$A$471:$G$579,6,FALSE),"")</f>
        <v>367.29</v>
      </c>
      <c r="M584" s="635"/>
      <c r="U584" s="262"/>
      <c r="V584"/>
      <c r="W584" s="262"/>
      <c r="Y584"/>
      <c r="AB584" s="262"/>
      <c r="AD584"/>
      <c r="AE584"/>
    </row>
    <row r="585" spans="2:31" ht="12" x14ac:dyDescent="0.25">
      <c r="B585" s="579" t="str">
        <f t="shared" si="77"/>
        <v>Paquete 499Residencial</v>
      </c>
      <c r="C585" s="334">
        <f t="shared" si="78"/>
        <v>16</v>
      </c>
      <c r="D585" s="634" t="str">
        <f>'Info planes y paquetes'!C782</f>
        <v>Paquete 499</v>
      </c>
      <c r="E585" s="575" t="str">
        <f>'Info planes y paquetes'!D782</f>
        <v>Residencial</v>
      </c>
      <c r="F585" s="575" t="str">
        <f>'Info planes y paquetes'!E782</f>
        <v>Telefonía fija + Internet fijo</v>
      </c>
      <c r="G585" s="263" t="str">
        <f t="shared" si="74"/>
        <v>40 Mbps</v>
      </c>
      <c r="H585" s="280">
        <f>IFERROR(VLOOKUP($B585,'Info planes y paquetes'!$A$767:$L$874,10,FALSE),"")+IFERROR(VLOOKUP($B585,'Info planes y paquetes'!$A$767:$M$874,12,FALSE),"")</f>
        <v>23091</v>
      </c>
      <c r="I585" s="280">
        <f>IFERROR(VLOOKUP($B585,'Info planes y paquetes'!$A$767:$M$874,11,FALSE),"")</f>
        <v>189161</v>
      </c>
      <c r="J585" s="238">
        <f t="shared" si="75"/>
        <v>5.5359444406085298E-3</v>
      </c>
      <c r="K585" s="238">
        <f t="shared" si="76"/>
        <v>3.3415576388264472E-2</v>
      </c>
      <c r="L585" s="635">
        <f>IFERROR(VLOOKUP($B585,'Info planes y paquetes'!$A$471:$G$579,6,FALSE),"")</f>
        <v>421.32</v>
      </c>
      <c r="M585" s="635"/>
      <c r="U585" s="262"/>
      <c r="V585"/>
      <c r="W585" s="262"/>
      <c r="Y585"/>
      <c r="AB585" s="262"/>
      <c r="AD585"/>
      <c r="AE585"/>
    </row>
    <row r="586" spans="2:31" ht="12" x14ac:dyDescent="0.25">
      <c r="B586" s="579" t="str">
        <f t="shared" si="77"/>
        <v>Paquete 599Residencial</v>
      </c>
      <c r="C586" s="334">
        <f t="shared" si="78"/>
        <v>17</v>
      </c>
      <c r="D586" s="634" t="str">
        <f>'Info planes y paquetes'!C783</f>
        <v>Paquete 599</v>
      </c>
      <c r="E586" s="575" t="str">
        <f>'Info planes y paquetes'!D783</f>
        <v>Residencial</v>
      </c>
      <c r="F586" s="575" t="str">
        <f>'Info planes y paquetes'!E783</f>
        <v>Telefonía fija + Internet fijo</v>
      </c>
      <c r="G586" s="263" t="str">
        <f t="shared" si="74"/>
        <v>150 Mbps</v>
      </c>
      <c r="H586" s="280">
        <f>IFERROR(VLOOKUP($B586,'Info planes y paquetes'!$A$767:$L$874,10,FALSE),"")+IFERROR(VLOOKUP($B586,'Info planes y paquetes'!$A$767:$M$874,12,FALSE),"")</f>
        <v>114808</v>
      </c>
      <c r="I586" s="280">
        <f>IFERROR(VLOOKUP($B586,'Info planes y paquetes'!$A$767:$M$874,11,FALSE),"")</f>
        <v>403104</v>
      </c>
      <c r="J586" s="238">
        <f t="shared" si="75"/>
        <v>2.7524607394109567E-2</v>
      </c>
      <c r="K586" s="238">
        <f t="shared" si="76"/>
        <v>7.1208930511125243E-2</v>
      </c>
      <c r="L586" s="635">
        <f>IFERROR(VLOOKUP($B586,'Info planes y paquetes'!$A$471:$G$579,6,FALSE),"")</f>
        <v>505.76</v>
      </c>
      <c r="M586" s="635"/>
      <c r="U586" s="262"/>
      <c r="V586"/>
      <c r="W586" s="262"/>
      <c r="Y586"/>
      <c r="AB586" s="262"/>
      <c r="AD586"/>
      <c r="AE586"/>
    </row>
    <row r="587" spans="2:31" ht="12" x14ac:dyDescent="0.25">
      <c r="B587" s="579" t="str">
        <f t="shared" si="77"/>
        <v>Paquete 389Residencial</v>
      </c>
      <c r="C587" s="334">
        <f t="shared" si="78"/>
        <v>18</v>
      </c>
      <c r="D587" s="634" t="str">
        <f>'Info planes y paquetes'!C784</f>
        <v>Paquete 389</v>
      </c>
      <c r="E587" s="575" t="str">
        <f>'Info planes y paquetes'!D784</f>
        <v>Residencial</v>
      </c>
      <c r="F587" s="575" t="str">
        <f>'Info planes y paquetes'!E784</f>
        <v>Telefonía fija + Internet fijo</v>
      </c>
      <c r="G587" s="263" t="str">
        <f t="shared" si="74"/>
        <v>20 Mbps</v>
      </c>
      <c r="H587" s="280">
        <f>IFERROR(VLOOKUP($B587,'Info planes y paquetes'!$A$767:$L$874,10,FALSE),"")+IFERROR(VLOOKUP($B587,'Info planes y paquetes'!$A$767:$M$874,12,FALSE),"")</f>
        <v>2186322</v>
      </c>
      <c r="I587" s="280">
        <f>IFERROR(VLOOKUP($B587,'Info planes y paquetes'!$A$767:$M$874,11,FALSE),"")</f>
        <v>1770177</v>
      </c>
      <c r="J587" s="238">
        <f t="shared" si="75"/>
        <v>0.52415907155515662</v>
      </c>
      <c r="K587" s="238">
        <f t="shared" si="76"/>
        <v>0.31270444100131023</v>
      </c>
      <c r="L587" s="635">
        <f>IFERROR(VLOOKUP($B587,'Info planes y paquetes'!$A$471:$G$579,6,FALSE),"")</f>
        <v>328.44</v>
      </c>
      <c r="M587" s="635"/>
      <c r="U587" s="262"/>
      <c r="V587"/>
      <c r="W587" s="262"/>
      <c r="Y587"/>
      <c r="AB587" s="262"/>
      <c r="AD587"/>
      <c r="AE587"/>
    </row>
    <row r="588" spans="2:31" ht="12" x14ac:dyDescent="0.25">
      <c r="B588" s="579" t="str">
        <f t="shared" si="77"/>
        <v>Paquete Conectes NegocioNo Residencial</v>
      </c>
      <c r="C588" s="334">
        <f t="shared" si="78"/>
        <v>19</v>
      </c>
      <c r="D588" s="634" t="str">
        <f>'Info planes y paquetes'!C785</f>
        <v>Paquete Conectes Negocio</v>
      </c>
      <c r="E588" s="575" t="str">
        <f>'Info planes y paquetes'!D785</f>
        <v>No Residencial</v>
      </c>
      <c r="F588" s="575" t="str">
        <f>'Info planes y paquetes'!E785</f>
        <v>Telefonía fija + Internet fijo</v>
      </c>
      <c r="G588" s="263" t="str">
        <f t="shared" si="74"/>
        <v>20 Mbps</v>
      </c>
      <c r="H588" s="280">
        <f>IFERROR(VLOOKUP($B588,'Info planes y paquetes'!$A$767:$L$874,10,FALSE),"")+IFERROR(VLOOKUP($B588,'Info planes y paquetes'!$A$767:$M$874,12,FALSE),"")</f>
        <v>308153</v>
      </c>
      <c r="I588" s="280">
        <f>IFERROR(VLOOKUP($B588,'Info planes y paquetes'!$A$767:$M$874,11,FALSE),"")</f>
        <v>368154</v>
      </c>
      <c r="J588" s="238">
        <f t="shared" si="75"/>
        <v>7.3878042839497643E-2</v>
      </c>
      <c r="K588" s="238">
        <f t="shared" si="76"/>
        <v>6.5034960217196569E-2</v>
      </c>
      <c r="L588" s="635">
        <f>IFERROR(VLOOKUP($B588,'Info planes y paquetes'!$A$471:$G$579,6,FALSE),"")</f>
        <v>336.9</v>
      </c>
      <c r="M588" s="635"/>
      <c r="U588" s="262"/>
      <c r="V588"/>
      <c r="W588" s="262"/>
      <c r="Y588"/>
      <c r="AB588" s="262"/>
      <c r="AD588"/>
      <c r="AE588"/>
    </row>
    <row r="589" spans="2:31" ht="12" x14ac:dyDescent="0.25">
      <c r="B589" s="579" t="str">
        <f t="shared" si="77"/>
        <v>Paquete 1499Residencial</v>
      </c>
      <c r="C589" s="334">
        <f t="shared" si="78"/>
        <v>20</v>
      </c>
      <c r="D589" s="634" t="str">
        <f>'Info planes y paquetes'!C786</f>
        <v>Paquete 1499</v>
      </c>
      <c r="E589" s="575" t="str">
        <f>'Info planes y paquetes'!D786</f>
        <v>Residencial</v>
      </c>
      <c r="F589" s="575" t="str">
        <f>'Info planes y paquetes'!E786</f>
        <v>Telefonía fija + Internet fijo</v>
      </c>
      <c r="G589" s="263" t="str">
        <f t="shared" si="74"/>
        <v>1000 Mbps</v>
      </c>
      <c r="H589" s="280">
        <f>IFERROR(VLOOKUP($B589,'Info planes y paquetes'!$A$767:$L$874,10,FALSE),"")+IFERROR(VLOOKUP($B589,'Info planes y paquetes'!$A$767:$M$874,12,FALSE),"")</f>
        <v>7</v>
      </c>
      <c r="I589" s="280">
        <f>IFERROR(VLOOKUP($B589,'Info planes y paquetes'!$A$767:$M$874,11,FALSE),"")</f>
        <v>15294</v>
      </c>
      <c r="J589" s="238">
        <f t="shared" si="75"/>
        <v>1.6782127705278987E-6</v>
      </c>
      <c r="K589" s="238">
        <f t="shared" si="76"/>
        <v>2.7017082024419245E-3</v>
      </c>
      <c r="L589" s="635">
        <f>IFERROR(VLOOKUP($B589,'Info planes y paquetes'!$A$471:$G$579,6,FALSE),"")</f>
        <v>1270.97</v>
      </c>
      <c r="M589" s="635"/>
      <c r="U589" s="262"/>
      <c r="V589"/>
      <c r="W589" s="262"/>
      <c r="Y589"/>
      <c r="AB589" s="262"/>
      <c r="AD589"/>
      <c r="AE589"/>
    </row>
    <row r="590" spans="2:31" ht="12" x14ac:dyDescent="0.25">
      <c r="B590" s="579" t="str">
        <f t="shared" si="77"/>
        <v>Paquete 333Residencial</v>
      </c>
      <c r="C590" s="334">
        <f t="shared" si="78"/>
        <v>21</v>
      </c>
      <c r="D590" s="634" t="str">
        <f>'Info planes y paquetes'!C787</f>
        <v>Paquete 333</v>
      </c>
      <c r="E590" s="575" t="str">
        <f>'Info planes y paquetes'!D787</f>
        <v>Residencial</v>
      </c>
      <c r="F590" s="575" t="str">
        <f>'Info planes y paquetes'!E787</f>
        <v>Telefonía fija + Internet fijo</v>
      </c>
      <c r="G590" s="263" t="str">
        <f t="shared" si="74"/>
        <v>5 Mbps</v>
      </c>
      <c r="H590" s="280">
        <f>IFERROR(VLOOKUP($B590,'Info planes y paquetes'!$A$767:$L$874,10,FALSE),"")+IFERROR(VLOOKUP($B590,'Info planes y paquetes'!$A$767:$M$874,12,FALSE),"")</f>
        <v>53021</v>
      </c>
      <c r="I590" s="280">
        <f>IFERROR(VLOOKUP($B590,'Info planes y paquetes'!$A$767:$M$874,11,FALSE),"")</f>
        <v>46179</v>
      </c>
      <c r="J590" s="238">
        <f t="shared" si="75"/>
        <v>1.2711502758022816E-2</v>
      </c>
      <c r="K590" s="238">
        <f t="shared" si="76"/>
        <v>8.1575901059608748E-3</v>
      </c>
      <c r="L590" s="635">
        <f>IFERROR(VLOOKUP($B590,'Info planes y paquetes'!$A$471:$G$579,6,FALSE),"")</f>
        <v>281.16000000000003</v>
      </c>
      <c r="M590" s="635"/>
      <c r="U590" s="262"/>
      <c r="V590"/>
      <c r="W590" s="262"/>
      <c r="Y590"/>
      <c r="AB590" s="262"/>
      <c r="AD590"/>
      <c r="AE590"/>
    </row>
    <row r="591" spans="2:31" ht="12" x14ac:dyDescent="0.25">
      <c r="B591" s="579" t="str">
        <f t="shared" si="77"/>
        <v>Paquete Mi NegocioNo Residencial</v>
      </c>
      <c r="C591" s="334">
        <f t="shared" si="78"/>
        <v>22</v>
      </c>
      <c r="D591" s="634" t="str">
        <f>'Info planes y paquetes'!C788</f>
        <v>Paquete Mi Negocio</v>
      </c>
      <c r="E591" s="575" t="str">
        <f>'Info planes y paquetes'!D788</f>
        <v>No Residencial</v>
      </c>
      <c r="F591" s="575" t="str">
        <f>'Info planes y paquetes'!E788</f>
        <v>Telefonía fija + Internet fijo</v>
      </c>
      <c r="G591" s="263" t="str">
        <f t="shared" si="74"/>
        <v>100 Mbps</v>
      </c>
      <c r="H591" s="280">
        <f>IFERROR(VLOOKUP($B591,'Info planes y paquetes'!$A$767:$L$874,10,FALSE),"")+IFERROR(VLOOKUP($B591,'Info planes y paquetes'!$A$767:$M$874,12,FALSE),"")</f>
        <v>154109</v>
      </c>
      <c r="I591" s="280">
        <f>IFERROR(VLOOKUP($B591,'Info planes y paquetes'!$A$767:$M$874,11,FALSE),"")</f>
        <v>264712</v>
      </c>
      <c r="J591" s="238">
        <f t="shared" si="75"/>
        <v>3.6946813121897702E-2</v>
      </c>
      <c r="K591" s="238">
        <f t="shared" si="76"/>
        <v>4.6761774662273228E-2</v>
      </c>
      <c r="L591" s="635">
        <f>IFERROR(VLOOKUP($B591,'Info planes y paquetes'!$A$471:$G$579,6,FALSE),"")</f>
        <v>463.55</v>
      </c>
      <c r="M591" s="635"/>
      <c r="U591" s="262"/>
      <c r="V591"/>
      <c r="W591" s="262"/>
      <c r="Y591"/>
      <c r="AB591" s="262"/>
      <c r="AD591"/>
      <c r="AE591"/>
    </row>
    <row r="592" spans="2:31" ht="12" x14ac:dyDescent="0.25">
      <c r="B592" s="579" t="str">
        <f t="shared" si="77"/>
        <v>Paquete SuperNegocioNo Residencial</v>
      </c>
      <c r="C592" s="334">
        <f t="shared" si="78"/>
        <v>23</v>
      </c>
      <c r="D592" s="634" t="str">
        <f>'Info planes y paquetes'!C789</f>
        <v>Paquete SuperNegocio</v>
      </c>
      <c r="E592" s="575" t="str">
        <f>'Info planes y paquetes'!D789</f>
        <v>No Residencial</v>
      </c>
      <c r="F592" s="575" t="str">
        <f>'Info planes y paquetes'!E789</f>
        <v>Telefonía fija + Internet fijo</v>
      </c>
      <c r="G592" s="263" t="str">
        <f t="shared" si="74"/>
        <v>200 Mbps</v>
      </c>
      <c r="H592" s="280">
        <f>IFERROR(VLOOKUP($B592,'Info planes y paquetes'!$A$767:$L$874,10,FALSE),"")+IFERROR(VLOOKUP($B592,'Info planes y paquetes'!$A$767:$M$874,12,FALSE),"")</f>
        <v>56323</v>
      </c>
      <c r="I592" s="280">
        <f>IFERROR(VLOOKUP($B592,'Info planes y paquetes'!$A$767:$M$874,11,FALSE),"")</f>
        <v>125173</v>
      </c>
      <c r="J592" s="238">
        <f t="shared" si="75"/>
        <v>1.3503139696348976E-2</v>
      </c>
      <c r="K592" s="238">
        <f t="shared" si="76"/>
        <v>2.2111999530813588E-2</v>
      </c>
      <c r="L592" s="635">
        <f>IFERROR(VLOOKUP($B592,'Info planes y paquetes'!$A$471:$G$579,6,FALSE),"")</f>
        <v>674.64</v>
      </c>
      <c r="M592" s="635"/>
      <c r="U592" s="262"/>
      <c r="V592"/>
      <c r="W592" s="262"/>
      <c r="Y592"/>
      <c r="AB592" s="262"/>
      <c r="AD592"/>
      <c r="AE592"/>
    </row>
    <row r="593" spans="2:31" ht="12" x14ac:dyDescent="0.25">
      <c r="B593" s="579" t="str">
        <f t="shared" si="77"/>
        <v>Paquete Infinitum 500Residencial</v>
      </c>
      <c r="C593" s="334">
        <f t="shared" si="78"/>
        <v>24</v>
      </c>
      <c r="D593" s="634" t="str">
        <f>'Info planes y paquetes'!C790</f>
        <v>Paquete Infinitum 500</v>
      </c>
      <c r="E593" s="575" t="str">
        <f>'Info planes y paquetes'!D790</f>
        <v>Residencial</v>
      </c>
      <c r="F593" s="575" t="str">
        <f>'Info planes y paquetes'!E790</f>
        <v>Telefonía fija + Internet fijo</v>
      </c>
      <c r="G593" s="263" t="str">
        <f t="shared" si="74"/>
        <v>500 Mbps</v>
      </c>
      <c r="H593" s="280">
        <f>IFERROR(VLOOKUP($B593,'Info planes y paquetes'!$A$767:$L$874,10,FALSE),"")+IFERROR(VLOOKUP($B593,'Info planes y paquetes'!$A$767:$M$874,12,FALSE),"")</f>
        <v>4536</v>
      </c>
      <c r="I593" s="280">
        <f>IFERROR(VLOOKUP($B593,'Info planes y paquetes'!$A$767:$M$874,11,FALSE),"")</f>
        <v>56216</v>
      </c>
      <c r="J593" s="238">
        <f t="shared" si="75"/>
        <v>1.0874818753020784E-3</v>
      </c>
      <c r="K593" s="238">
        <f t="shared" si="76"/>
        <v>9.9306413174104369E-3</v>
      </c>
      <c r="L593" s="635">
        <f>IFERROR(VLOOKUP($B593,'Info planes y paquetes'!$A$471:$G$579,6,FALSE),"")</f>
        <v>843.5</v>
      </c>
      <c r="M593" s="635"/>
      <c r="U593" s="262"/>
      <c r="V593"/>
      <c r="W593" s="262"/>
      <c r="Y593"/>
      <c r="AB593" s="262"/>
      <c r="AD593"/>
      <c r="AE593"/>
    </row>
    <row r="594" spans="2:31" ht="12" x14ac:dyDescent="0.25">
      <c r="B594" s="579" t="str">
        <f t="shared" si="77"/>
        <v>Paquete Telmex Negocio Sin Límites 1No Residencial</v>
      </c>
      <c r="C594" s="334">
        <f t="shared" si="78"/>
        <v>25</v>
      </c>
      <c r="D594" s="634" t="str">
        <f>'Info planes y paquetes'!C791</f>
        <v>Paquete Telmex Negocio Sin Límites 1</v>
      </c>
      <c r="E594" s="575" t="str">
        <f>'Info planes y paquetes'!D791</f>
        <v>No Residencial</v>
      </c>
      <c r="F594" s="575" t="str">
        <f>'Info planes y paquetes'!E791</f>
        <v>Telefonía fija + Internet fijo</v>
      </c>
      <c r="G594" s="263" t="str">
        <f t="shared" si="74"/>
        <v>500 Mbps</v>
      </c>
      <c r="H594" s="280">
        <f>IFERROR(VLOOKUP($B594,'Info planes y paquetes'!$A$767:$L$874,10,FALSE),"")+IFERROR(VLOOKUP($B594,'Info planes y paquetes'!$A$767:$M$874,12,FALSE),"")</f>
        <v>13995</v>
      </c>
      <c r="I594" s="280">
        <f>IFERROR(VLOOKUP($B594,'Info planes y paquetes'!$A$767:$M$874,11,FALSE),"")</f>
        <v>45486</v>
      </c>
      <c r="J594" s="238">
        <f t="shared" si="75"/>
        <v>3.3552268176482774E-3</v>
      </c>
      <c r="K594" s="238">
        <f t="shared" si="76"/>
        <v>8.0351706091456379E-3</v>
      </c>
      <c r="L594" s="635">
        <f>IFERROR(VLOOKUP($B594,'Info planes y paquetes'!$A$471:$G$579,6,FALSE),"")</f>
        <v>1302.21</v>
      </c>
      <c r="M594" s="635"/>
      <c r="U594" s="262"/>
      <c r="V594"/>
      <c r="W594" s="262"/>
      <c r="Y594"/>
      <c r="AB594" s="262"/>
      <c r="AD594"/>
      <c r="AE594"/>
    </row>
    <row r="595" spans="2:31" s="262" customFormat="1" ht="12" x14ac:dyDescent="0.25">
      <c r="B595" s="579" t="str">
        <f t="shared" si="77"/>
        <v>Paquete Telmex Negocio Sin Límites 2No Residencial</v>
      </c>
      <c r="C595" s="334">
        <f t="shared" si="78"/>
        <v>26</v>
      </c>
      <c r="D595" s="634" t="str">
        <f>'Info planes y paquetes'!C792</f>
        <v>Paquete Telmex Negocio Sin Límites 2</v>
      </c>
      <c r="E595" s="575" t="str">
        <f>'Info planes y paquetes'!D792</f>
        <v>No Residencial</v>
      </c>
      <c r="F595" s="575" t="str">
        <f>'Info planes y paquetes'!E792</f>
        <v>Telefonía fija + Internet fijo</v>
      </c>
      <c r="G595" s="263" t="str">
        <f t="shared" si="74"/>
        <v>500 Mbps</v>
      </c>
      <c r="H595" s="280">
        <f>IFERROR(VLOOKUP($B595,'Info planes y paquetes'!$A$767:$L$874,10,FALSE),"")+IFERROR(VLOOKUP($B595,'Info planes y paquetes'!$A$767:$M$874,12,FALSE),"")</f>
        <v>4252</v>
      </c>
      <c r="I595" s="280">
        <f>IFERROR(VLOOKUP($B595,'Info planes y paquetes'!$A$767:$M$874,11,FALSE),"")</f>
        <v>19368</v>
      </c>
      <c r="J595" s="238">
        <f t="shared" si="75"/>
        <v>1.0193943857549465E-3</v>
      </c>
      <c r="K595" s="238">
        <f t="shared" si="76"/>
        <v>3.4213864564466585E-3</v>
      </c>
      <c r="L595" s="635">
        <f>IFERROR(VLOOKUP($B595,'Info planes y paquetes'!$A$471:$G$579,6,FALSE),"")</f>
        <v>1547.07</v>
      </c>
      <c r="M595" s="635"/>
    </row>
    <row r="596" spans="2:31" s="262" customFormat="1" ht="12" x14ac:dyDescent="0.25">
      <c r="B596" s="579" t="str">
        <f t="shared" si="77"/>
        <v>Paquete Telmex Negocio Sin Límites 3No Residencial</v>
      </c>
      <c r="C596" s="334">
        <f t="shared" si="78"/>
        <v>27</v>
      </c>
      <c r="D596" s="634" t="str">
        <f>'Info planes y paquetes'!C793</f>
        <v>Paquete Telmex Negocio Sin Límites 3</v>
      </c>
      <c r="E596" s="575" t="str">
        <f>'Info planes y paquetes'!D793</f>
        <v>No Residencial</v>
      </c>
      <c r="F596" s="575" t="str">
        <f>'Info planes y paquetes'!E793</f>
        <v>Telefonía fija + Internet fijo</v>
      </c>
      <c r="G596" s="263" t="str">
        <f t="shared" si="74"/>
        <v>1000 Mbps</v>
      </c>
      <c r="H596" s="280">
        <f>IFERROR(VLOOKUP($B596,'Info planes y paquetes'!$A$767:$L$874,10,FALSE),"")+IFERROR(VLOOKUP($B596,'Info planes y paquetes'!$A$767:$M$874,12,FALSE),"")</f>
        <v>3876</v>
      </c>
      <c r="I596" s="280">
        <f>IFERROR(VLOOKUP($B596,'Info planes y paquetes'!$A$767:$M$874,11,FALSE),"")</f>
        <v>14654</v>
      </c>
      <c r="J596" s="238">
        <f t="shared" si="75"/>
        <v>9.2925038550944789E-4</v>
      </c>
      <c r="K596" s="238">
        <f t="shared" si="76"/>
        <v>2.588651235686149E-3</v>
      </c>
      <c r="L596" s="635">
        <f>IFERROR(VLOOKUP($B596,'Info planes y paquetes'!$A$471:$G$579,6,FALSE),"")</f>
        <v>1969.23</v>
      </c>
      <c r="M596" s="635"/>
    </row>
    <row r="597" spans="2:31" s="262" customFormat="1" ht="12" x14ac:dyDescent="0.25">
      <c r="B597" s="579" t="str">
        <f t="shared" si="77"/>
        <v>Infinitum NegocioNo Residencial</v>
      </c>
      <c r="C597" s="334">
        <f t="shared" si="78"/>
        <v>28</v>
      </c>
      <c r="D597" s="634" t="str">
        <f>'Info planes y paquetes'!C794</f>
        <v>Infinitum Negocio</v>
      </c>
      <c r="E597" s="575" t="str">
        <f>'Info planes y paquetes'!D794</f>
        <v>No Residencial</v>
      </c>
      <c r="F597" s="575" t="str">
        <f>'Info planes y paquetes'!E794</f>
        <v>Internet fijo</v>
      </c>
      <c r="G597" s="263" t="str">
        <f t="shared" si="74"/>
        <v>30 Mbps</v>
      </c>
      <c r="H597" s="280">
        <f>IFERROR(VLOOKUP($B597,'Info planes y paquetes'!$A$767:$L$874,10,FALSE),"")+IFERROR(VLOOKUP($B597,'Info planes y paquetes'!$A$767:$M$874,12,FALSE),"")</f>
        <v>38152</v>
      </c>
      <c r="I597" s="280">
        <f>IFERROR(VLOOKUP($B597,'Info planes y paquetes'!$A$767:$M$874,11,FALSE),"")</f>
        <v>17179</v>
      </c>
      <c r="J597" s="238">
        <f t="shared" si="75"/>
        <v>9.1467390887400562E-3</v>
      </c>
      <c r="K597" s="238">
        <f t="shared" si="76"/>
        <v>3.0346962998397948E-3</v>
      </c>
      <c r="L597" s="635">
        <f>IFERROR(VLOOKUP($B597,'Info planes y paquetes'!$A$471:$G$579,6,FALSE),"")</f>
        <v>349</v>
      </c>
      <c r="M597" s="635"/>
    </row>
    <row r="598" spans="2:31" s="262" customFormat="1" ht="12" x14ac:dyDescent="0.25">
      <c r="B598" s="579" t="str">
        <f t="shared" si="77"/>
        <v>Infinitum Negocio RedNo Residencial</v>
      </c>
      <c r="C598" s="334">
        <f t="shared" si="78"/>
        <v>29</v>
      </c>
      <c r="D598" s="634" t="str">
        <f>'Info planes y paquetes'!C795</f>
        <v>Infinitum Negocio Red</v>
      </c>
      <c r="E598" s="575" t="str">
        <f>'Info planes y paquetes'!D795</f>
        <v>No Residencial</v>
      </c>
      <c r="F598" s="575" t="str">
        <f>'Info planes y paquetes'!E795</f>
        <v>Internet fijo</v>
      </c>
      <c r="G598" s="263" t="str">
        <f t="shared" si="74"/>
        <v>50 Mbps</v>
      </c>
      <c r="H598" s="280">
        <f>IFERROR(VLOOKUP($B598,'Info planes y paquetes'!$A$767:$L$874,10,FALSE),"")+IFERROR(VLOOKUP($B598,'Info planes y paquetes'!$A$767:$M$874,12,FALSE),"")</f>
        <v>7714</v>
      </c>
      <c r="I598" s="280">
        <f>IFERROR(VLOOKUP($B598,'Info planes y paquetes'!$A$767:$M$874,11,FALSE),"")</f>
        <v>6004</v>
      </c>
      <c r="J598" s="238">
        <f t="shared" si="75"/>
        <v>1.8493904731217443E-3</v>
      </c>
      <c r="K598" s="238">
        <f t="shared" si="76"/>
        <v>1.0606156693776197E-3</v>
      </c>
      <c r="L598" s="635">
        <f>IFERROR(VLOOKUP($B598,'Info planes y paquetes'!$A$471:$G$579,6,FALSE),"")</f>
        <v>608.69000000000005</v>
      </c>
      <c r="M598" s="635"/>
    </row>
    <row r="599" spans="2:31" s="262" customFormat="1" ht="12" x14ac:dyDescent="0.25">
      <c r="B599" s="579" t="str">
        <f t="shared" si="77"/>
        <v>Infinitum Negocio PremiumNo Residencial</v>
      </c>
      <c r="C599" s="334">
        <f t="shared" si="78"/>
        <v>30</v>
      </c>
      <c r="D599" s="634" t="str">
        <f>'Info planes y paquetes'!C796</f>
        <v>Infinitum Negocio Premium</v>
      </c>
      <c r="E599" s="575" t="str">
        <f>'Info planes y paquetes'!D796</f>
        <v>No Residencial</v>
      </c>
      <c r="F599" s="575" t="str">
        <f>'Info planes y paquetes'!E796</f>
        <v>Internet fijo</v>
      </c>
      <c r="G599" s="263" t="str">
        <f t="shared" si="74"/>
        <v>100 Mbps</v>
      </c>
      <c r="H599" s="280">
        <f>IFERROR(VLOOKUP($B599,'Info planes y paquetes'!$A$767:$L$874,10,FALSE),"")+IFERROR(VLOOKUP($B599,'Info planes y paquetes'!$A$767:$M$874,12,FALSE),"")</f>
        <v>4808</v>
      </c>
      <c r="I599" s="280">
        <f>IFERROR(VLOOKUP($B599,'Info planes y paquetes'!$A$767:$M$874,11,FALSE),"")</f>
        <v>9224</v>
      </c>
      <c r="J599" s="238">
        <f t="shared" si="75"/>
        <v>1.1526924286711625E-3</v>
      </c>
      <c r="K599" s="238">
        <f t="shared" si="76"/>
        <v>1.6294335333676155E-3</v>
      </c>
      <c r="L599" s="635">
        <f>IFERROR(VLOOKUP($B599,'Info planes y paquetes'!$A$471:$G$579,6,FALSE),"")</f>
        <v>1042.5999999999999</v>
      </c>
      <c r="M599" s="635"/>
    </row>
    <row r="600" spans="2:31" s="262" customFormat="1" ht="12" x14ac:dyDescent="0.25">
      <c r="B600" s="579" t="str">
        <f t="shared" si="77"/>
        <v>Paquete Infinitum Play 20 (Netflix 1 dispositivo)Residencial</v>
      </c>
      <c r="C600" s="334">
        <f t="shared" si="78"/>
        <v>31</v>
      </c>
      <c r="D600" s="634" t="str">
        <f>'Info planes y paquetes'!C797</f>
        <v>Paquete Infinitum Play 20 (Netflix 1 dispositivo)</v>
      </c>
      <c r="E600" s="575" t="str">
        <f>'Info planes y paquetes'!D797</f>
        <v>Residencial</v>
      </c>
      <c r="F600" s="575" t="str">
        <f>'Info planes y paquetes'!E797</f>
        <v>Telefonía fija + Internet fijo</v>
      </c>
      <c r="G600" s="263" t="str">
        <f t="shared" si="74"/>
        <v>20 Mbps</v>
      </c>
      <c r="H600" s="280">
        <f>IFERROR(VLOOKUP($B600,'Info planes y paquetes'!$A$767:$L$874,10,FALSE),"")+IFERROR(VLOOKUP($B600,'Info planes y paquetes'!$A$767:$M$874,12,FALSE),"")</f>
        <v>88318</v>
      </c>
      <c r="I600" s="280">
        <f>IFERROR(VLOOKUP($B600,'Info planes y paquetes'!$A$767:$M$874,11,FALSE),"")</f>
        <v>119645</v>
      </c>
      <c r="J600" s="238">
        <f t="shared" si="75"/>
        <v>2.1173770781068992E-2</v>
      </c>
      <c r="K600" s="238">
        <f t="shared" si="76"/>
        <v>2.1135469980460578E-2</v>
      </c>
      <c r="L600" s="635">
        <f>IFERROR(VLOOKUP($B600,'Info planes y paquetes'!$A$471:$G$579,6,FALSE),"")</f>
        <v>432.24</v>
      </c>
      <c r="M600" s="635"/>
    </row>
    <row r="601" spans="2:31" s="262" customFormat="1" ht="12" x14ac:dyDescent="0.25">
      <c r="B601" s="579" t="str">
        <f t="shared" si="77"/>
        <v>Paquete Infinitum Play 20 (Netflix 2 dispositivos)Residencial</v>
      </c>
      <c r="C601" s="334">
        <f t="shared" si="78"/>
        <v>32</v>
      </c>
      <c r="D601" s="634" t="str">
        <f>'Info planes y paquetes'!C798</f>
        <v>Paquete Infinitum Play 20 (Netflix 2 dispositivos)</v>
      </c>
      <c r="E601" s="575" t="str">
        <f>'Info planes y paquetes'!D798</f>
        <v>Residencial</v>
      </c>
      <c r="F601" s="575" t="str">
        <f>'Info planes y paquetes'!E798</f>
        <v>Telefonía fija + Internet fijo</v>
      </c>
      <c r="G601" s="263" t="str">
        <f t="shared" si="74"/>
        <v>20 Mbps</v>
      </c>
      <c r="H601" s="280">
        <f>IFERROR(VLOOKUP($B601,'Info planes y paquetes'!$A$767:$L$874,10,FALSE),"")+IFERROR(VLOOKUP($B601,'Info planes y paquetes'!$A$767:$M$874,12,FALSE),"")</f>
        <v>71511</v>
      </c>
      <c r="I601" s="280">
        <f>IFERROR(VLOOKUP($B601,'Info planes y paquetes'!$A$767:$M$874,11,FALSE),"")</f>
        <v>97938</v>
      </c>
      <c r="J601" s="238">
        <f t="shared" si="75"/>
        <v>1.7144381919031507E-2</v>
      </c>
      <c r="K601" s="238">
        <f t="shared" si="76"/>
        <v>1.7300895640823669E-2</v>
      </c>
      <c r="L601" s="635">
        <f>IFERROR(VLOOKUP($B601,'Info planes y paquetes'!$A$471:$G$579,6,FALSE),"")</f>
        <v>501.2</v>
      </c>
      <c r="M601" s="635"/>
    </row>
    <row r="602" spans="2:31" s="262" customFormat="1" ht="12" x14ac:dyDescent="0.25">
      <c r="B602" s="579" t="str">
        <f t="shared" si="77"/>
        <v>Paquete Infinitum Play 20 (Netflix 4 dispositivos)Residencial</v>
      </c>
      <c r="C602" s="334">
        <f t="shared" si="78"/>
        <v>33</v>
      </c>
      <c r="D602" s="634" t="str">
        <f>'Info planes y paquetes'!C799</f>
        <v>Paquete Infinitum Play 20 (Netflix 4 dispositivos)</v>
      </c>
      <c r="E602" s="575" t="str">
        <f>'Info planes y paquetes'!D799</f>
        <v>Residencial</v>
      </c>
      <c r="F602" s="575" t="str">
        <f>'Info planes y paquetes'!E799</f>
        <v>Telefonía fija + Internet fijo</v>
      </c>
      <c r="G602" s="263" t="str">
        <f t="shared" ref="G602:G633" si="79">H392</f>
        <v>20 Mbps</v>
      </c>
      <c r="H602" s="280">
        <f>IFERROR(VLOOKUP($B602,'Info planes y paquetes'!$A$767:$L$874,10,FALSE),"")+IFERROR(VLOOKUP($B602,'Info planes y paquetes'!$A$767:$M$874,12,FALSE),"")</f>
        <v>32302</v>
      </c>
      <c r="I602" s="280">
        <f>IFERROR(VLOOKUP($B602,'Info planes y paquetes'!$A$767:$M$874,11,FALSE),"")</f>
        <v>36932</v>
      </c>
      <c r="J602" s="238">
        <f t="shared" ref="J602:J633" si="80">IFERROR(H602/H$690,"")</f>
        <v>7.7442327019417402E-3</v>
      </c>
      <c r="K602" s="238">
        <f t="shared" ref="K602:K633" si="81">IFERROR(I602/I$690,"")</f>
        <v>6.5240935878504748E-3</v>
      </c>
      <c r="L602" s="635">
        <f>IFERROR(VLOOKUP($B602,'Info planes y paquetes'!$A$471:$G$579,6,FALSE),"")</f>
        <v>570.16999999999996</v>
      </c>
      <c r="M602" s="635"/>
    </row>
    <row r="603" spans="2:31" s="262" customFormat="1" ht="12" x14ac:dyDescent="0.25">
      <c r="B603" s="579" t="str">
        <f t="shared" si="77"/>
        <v>Paquete Infinitum Play 30 (Netflix 2 dispositivos)Residencial</v>
      </c>
      <c r="C603" s="334">
        <f t="shared" si="78"/>
        <v>34</v>
      </c>
      <c r="D603" s="634" t="str">
        <f>'Info planes y paquetes'!C800</f>
        <v>Paquete Infinitum Play 30 (Netflix 2 dispositivos)</v>
      </c>
      <c r="E603" s="575" t="str">
        <f>'Info planes y paquetes'!D800</f>
        <v>Residencial</v>
      </c>
      <c r="F603" s="575" t="str">
        <f>'Info planes y paquetes'!E800</f>
        <v>Telefonía fija + Internet fijo</v>
      </c>
      <c r="G603" s="263" t="str">
        <f t="shared" si="79"/>
        <v>30 Mbps</v>
      </c>
      <c r="H603" s="280">
        <f>IFERROR(VLOOKUP($B603,'Info planes y paquetes'!$A$767:$L$874,10,FALSE),"")+IFERROR(VLOOKUP($B603,'Info planes y paquetes'!$A$767:$M$874,12,FALSE),"")</f>
        <v>5880</v>
      </c>
      <c r="I603" s="280">
        <f>IFERROR(VLOOKUP($B603,'Info planes y paquetes'!$A$767:$M$874,11,FALSE),"")</f>
        <v>33076</v>
      </c>
      <c r="J603" s="238">
        <f t="shared" si="80"/>
        <v>1.4096987272434348E-3</v>
      </c>
      <c r="K603" s="238">
        <f t="shared" si="81"/>
        <v>5.8429253631469263E-3</v>
      </c>
      <c r="L603" s="635">
        <f>IFERROR(VLOOKUP($B603,'Info planes y paquetes'!$A$471:$G$579,6,FALSE),"")</f>
        <v>534.97</v>
      </c>
      <c r="M603" s="635"/>
    </row>
    <row r="604" spans="2:31" s="262" customFormat="1" ht="12" x14ac:dyDescent="0.25">
      <c r="B604" s="579" t="str">
        <f t="shared" si="77"/>
        <v>Paquete Infinitum Play 30 (Netflix 4 dispositivos)Residencial</v>
      </c>
      <c r="C604" s="334">
        <f t="shared" si="78"/>
        <v>35</v>
      </c>
      <c r="D604" s="634" t="str">
        <f>'Info planes y paquetes'!C801</f>
        <v>Paquete Infinitum Play 30 (Netflix 4 dispositivos)</v>
      </c>
      <c r="E604" s="575" t="str">
        <f>'Info planes y paquetes'!D801</f>
        <v>Residencial</v>
      </c>
      <c r="F604" s="575" t="str">
        <f>'Info planes y paquetes'!E801</f>
        <v>Telefonía fija + Internet fijo</v>
      </c>
      <c r="G604" s="263" t="str">
        <f t="shared" si="79"/>
        <v>30 Mbps</v>
      </c>
      <c r="H604" s="280">
        <f>IFERROR(VLOOKUP($B604,'Info planes y paquetes'!$A$767:$L$874,10,FALSE),"")+IFERROR(VLOOKUP($B604,'Info planes y paquetes'!$A$767:$M$874,12,FALSE),"")</f>
        <v>3304</v>
      </c>
      <c r="I604" s="280">
        <f>IFERROR(VLOOKUP($B604,'Info planes y paquetes'!$A$767:$M$874,11,FALSE),"")</f>
        <v>8971</v>
      </c>
      <c r="J604" s="238">
        <f t="shared" si="80"/>
        <v>7.921164276891682E-4</v>
      </c>
      <c r="K604" s="238">
        <f t="shared" si="81"/>
        <v>1.5847407011969729E-3</v>
      </c>
      <c r="L604" s="635">
        <f>IFERROR(VLOOKUP($B604,'Info planes y paquetes'!$A$471:$G$579,6,FALSE),"")</f>
        <v>603.94000000000005</v>
      </c>
      <c r="M604" s="635"/>
    </row>
    <row r="605" spans="2:31" s="262" customFormat="1" ht="12" x14ac:dyDescent="0.25">
      <c r="B605" s="579" t="str">
        <f t="shared" si="77"/>
        <v>Paquete Infinitum Play 40 (Netflix 2 dispositivos)Residencial</v>
      </c>
      <c r="C605" s="334">
        <f t="shared" si="78"/>
        <v>36</v>
      </c>
      <c r="D605" s="634" t="str">
        <f>'Info planes y paquetes'!C802</f>
        <v>Paquete Infinitum Play 40 (Netflix 2 dispositivos)</v>
      </c>
      <c r="E605" s="575" t="str">
        <f>'Info planes y paquetes'!D802</f>
        <v>Residencial</v>
      </c>
      <c r="F605" s="575" t="str">
        <f>'Info planes y paquetes'!E802</f>
        <v>Telefonía fija + Internet fijo</v>
      </c>
      <c r="G605" s="263" t="str">
        <f t="shared" si="79"/>
        <v>40 Mbps</v>
      </c>
      <c r="H605" s="280">
        <f>IFERROR(VLOOKUP($B605,'Info planes y paquetes'!$A$767:$L$874,10,FALSE),"")+IFERROR(VLOOKUP($B605,'Info planes y paquetes'!$A$767:$M$874,12,FALSE),"")</f>
        <v>1245</v>
      </c>
      <c r="I605" s="280">
        <f>IFERROR(VLOOKUP($B605,'Info planes y paquetes'!$A$767:$M$874,11,FALSE),"")</f>
        <v>12809</v>
      </c>
      <c r="J605" s="238">
        <f t="shared" si="80"/>
        <v>2.9848212847246198E-4</v>
      </c>
      <c r="K605" s="238">
        <f t="shared" si="81"/>
        <v>2.2627291987105148E-3</v>
      </c>
      <c r="L605" s="635">
        <f>IFERROR(VLOOKUP($B605,'Info planes y paquetes'!$A$471:$G$579,6,FALSE),"")</f>
        <v>654.6</v>
      </c>
      <c r="M605" s="635"/>
    </row>
    <row r="606" spans="2:31" s="262" customFormat="1" ht="12" x14ac:dyDescent="0.25">
      <c r="B606" s="579" t="str">
        <f t="shared" si="77"/>
        <v>Paquete Infinitum Play 40 (Netflix 4 dispositivos)Residencial</v>
      </c>
      <c r="C606" s="334">
        <f t="shared" si="78"/>
        <v>37</v>
      </c>
      <c r="D606" s="634" t="str">
        <f>'Info planes y paquetes'!C803</f>
        <v>Paquete Infinitum Play 40 (Netflix 4 dispositivos)</v>
      </c>
      <c r="E606" s="575" t="str">
        <f>'Info planes y paquetes'!D803</f>
        <v>Residencial</v>
      </c>
      <c r="F606" s="575" t="str">
        <f>'Info planes y paquetes'!E803</f>
        <v>Telefonía fija + Internet fijo</v>
      </c>
      <c r="G606" s="263" t="str">
        <f t="shared" si="79"/>
        <v>40 Mbps</v>
      </c>
      <c r="H606" s="280">
        <f>IFERROR(VLOOKUP($B606,'Info planes y paquetes'!$A$767:$L$874,10,FALSE),"")+IFERROR(VLOOKUP($B606,'Info planes y paquetes'!$A$767:$M$874,12,FALSE),"")</f>
        <v>956</v>
      </c>
      <c r="I606" s="280">
        <f>IFERROR(VLOOKUP($B606,'Info planes y paquetes'!$A$767:$M$874,11,FALSE),"")</f>
        <v>4776</v>
      </c>
      <c r="J606" s="238">
        <f t="shared" si="80"/>
        <v>2.2919591551781015E-4</v>
      </c>
      <c r="K606" s="238">
        <f t="shared" si="81"/>
        <v>8.4368761441497525E-4</v>
      </c>
      <c r="L606" s="635">
        <f>IFERROR(VLOOKUP($B606,'Info planes y paquetes'!$A$471:$G$579,6,FALSE),"")</f>
        <v>585.63</v>
      </c>
      <c r="M606" s="635"/>
    </row>
    <row r="607" spans="2:31" s="262" customFormat="1" ht="12" x14ac:dyDescent="0.25">
      <c r="B607" s="579" t="str">
        <f t="shared" si="77"/>
        <v>Paquete Infinitum Play 150 (Netflix 4 dispositivos)Residencial</v>
      </c>
      <c r="C607" s="334">
        <f t="shared" si="78"/>
        <v>38</v>
      </c>
      <c r="D607" s="634" t="str">
        <f>'Info planes y paquetes'!C804</f>
        <v>Paquete Infinitum Play 150 (Netflix 4 dispositivos)</v>
      </c>
      <c r="E607" s="575" t="str">
        <f>'Info planes y paquetes'!D804</f>
        <v>Residencial</v>
      </c>
      <c r="F607" s="575" t="str">
        <f>'Info planes y paquetes'!E804</f>
        <v>Telefonía fija + Internet fijo</v>
      </c>
      <c r="G607" s="263" t="str">
        <f t="shared" si="79"/>
        <v>150 Mbps</v>
      </c>
      <c r="H607" s="280">
        <f>IFERROR(VLOOKUP($B607,'Info planes y paquetes'!$A$767:$L$874,10,FALSE),"")+IFERROR(VLOOKUP($B607,'Info planes y paquetes'!$A$767:$M$874,12,FALSE),"")</f>
        <v>585</v>
      </c>
      <c r="I607" s="280">
        <f>IFERROR(VLOOKUP($B607,'Info planes y paquetes'!$A$767:$M$874,11,FALSE),"")</f>
        <v>24941</v>
      </c>
      <c r="J607" s="238">
        <f t="shared" si="80"/>
        <v>1.4025063867983154E-4</v>
      </c>
      <c r="K607" s="238">
        <f t="shared" si="81"/>
        <v>4.4058653247746856E-3</v>
      </c>
      <c r="L607" s="635">
        <f>IFERROR(VLOOKUP($B607,'Info planes y paquetes'!$A$471:$G$579,6,FALSE),"")</f>
        <v>720.46</v>
      </c>
      <c r="M607" s="635"/>
    </row>
    <row r="608" spans="2:31" s="262" customFormat="1" ht="12" x14ac:dyDescent="0.25">
      <c r="B608" s="579" t="str">
        <f t="shared" si="77"/>
        <v>Paquete Infinitum Play 150 (Netflix 2 dispositivos)Residencial</v>
      </c>
      <c r="C608" s="334">
        <f t="shared" si="78"/>
        <v>39</v>
      </c>
      <c r="D608" s="634" t="str">
        <f>'Info planes y paquetes'!C805</f>
        <v>Paquete Infinitum Play 150 (Netflix 2 dispositivos)</v>
      </c>
      <c r="E608" s="575" t="str">
        <f>'Info planes y paquetes'!D805</f>
        <v>Residencial</v>
      </c>
      <c r="F608" s="575" t="str">
        <f>'Info planes y paquetes'!E805</f>
        <v>Telefonía fija + Internet fijo</v>
      </c>
      <c r="G608" s="263" t="str">
        <f t="shared" si="79"/>
        <v>150 Mbps</v>
      </c>
      <c r="H608" s="280">
        <f>IFERROR(VLOOKUP($B608,'Info planes y paquetes'!$A$767:$L$874,10,FALSE),"")+IFERROR(VLOOKUP($B608,'Info planes y paquetes'!$A$767:$M$874,12,FALSE),"")</f>
        <v>219</v>
      </c>
      <c r="I608" s="280">
        <f>IFERROR(VLOOKUP($B608,'Info planes y paquetes'!$A$767:$M$874,11,FALSE),"")</f>
        <v>7385</v>
      </c>
      <c r="J608" s="238">
        <f t="shared" si="80"/>
        <v>5.2504085249372825E-5</v>
      </c>
      <c r="K608" s="238">
        <f t="shared" si="81"/>
        <v>1.3045714054553167E-3</v>
      </c>
      <c r="L608" s="635">
        <f>IFERROR(VLOOKUP($B608,'Info planes y paquetes'!$A$471:$G$579,6,FALSE),"")</f>
        <v>670.06</v>
      </c>
      <c r="M608" s="635"/>
    </row>
    <row r="609" spans="2:13" s="262" customFormat="1" ht="12" x14ac:dyDescent="0.25">
      <c r="B609" s="579" t="str">
        <f t="shared" si="77"/>
        <v>Paquete Infinitum Netflix 500 (Netflix 4 dispositivos)Residencial</v>
      </c>
      <c r="C609" s="334">
        <f t="shared" si="78"/>
        <v>40</v>
      </c>
      <c r="D609" s="634" t="str">
        <f>'Info planes y paquetes'!C806</f>
        <v>Paquete Infinitum Netflix 500 (Netflix 4 dispositivos)</v>
      </c>
      <c r="E609" s="575" t="str">
        <f>'Info planes y paquetes'!D806</f>
        <v>Residencial</v>
      </c>
      <c r="F609" s="575" t="str">
        <f>'Info planes y paquetes'!E806</f>
        <v>Telefonía fija + Internet fijo</v>
      </c>
      <c r="G609" s="263" t="str">
        <f t="shared" si="79"/>
        <v>500 Mbps</v>
      </c>
      <c r="H609" s="280">
        <f>IFERROR(VLOOKUP($B609,'Info planes y paquetes'!$A$767:$L$874,10,FALSE),"")+IFERROR(VLOOKUP($B609,'Info planes y paquetes'!$A$767:$M$874,12,FALSE),"")</f>
        <v>2</v>
      </c>
      <c r="I609" s="280">
        <f>IFERROR(VLOOKUP($B609,'Info planes y paquetes'!$A$767:$M$874,11,FALSE),"")</f>
        <v>3156</v>
      </c>
      <c r="J609" s="238">
        <f t="shared" si="80"/>
        <v>4.7948936300797098E-7</v>
      </c>
      <c r="K609" s="238">
        <f t="shared" si="81"/>
        <v>5.5751216731441831E-4</v>
      </c>
      <c r="L609" s="635">
        <f>IFERROR(VLOOKUP($B609,'Info planes y paquetes'!$A$471:$G$579,6,FALSE),"")</f>
        <v>1034.55</v>
      </c>
      <c r="M609" s="635"/>
    </row>
    <row r="610" spans="2:13" s="262" customFormat="1" ht="12" outlineLevel="2" x14ac:dyDescent="0.25">
      <c r="B610" s="579" t="str">
        <f t="shared" si="77"/>
        <v>Paquete Infinitum Netflix 500 (Netflix 2 dispositivos)Residencial</v>
      </c>
      <c r="C610" s="334">
        <f t="shared" si="78"/>
        <v>41</v>
      </c>
      <c r="D610" s="634" t="str">
        <f>'Info planes y paquetes'!C807</f>
        <v>Paquete Infinitum Netflix 500 (Netflix 2 dispositivos)</v>
      </c>
      <c r="E610" s="575" t="str">
        <f>'Info planes y paquetes'!D807</f>
        <v>Residencial</v>
      </c>
      <c r="F610" s="575" t="str">
        <f>'Info planes y paquetes'!E807</f>
        <v>Telefonía fija + Internet fijo</v>
      </c>
      <c r="G610" s="263" t="str">
        <f t="shared" si="79"/>
        <v>500 Mbps</v>
      </c>
      <c r="H610" s="280">
        <f>IFERROR(VLOOKUP($B610,'Info planes y paquetes'!$A$767:$L$874,10,FALSE),"")+IFERROR(VLOOKUP($B610,'Info planes y paquetes'!$A$767:$M$874,12,FALSE),"")</f>
        <v>0</v>
      </c>
      <c r="I610" s="280">
        <f>IFERROR(VLOOKUP($B610,'Info planes y paquetes'!$A$767:$M$874,11,FALSE),"")</f>
        <v>444</v>
      </c>
      <c r="J610" s="238">
        <f t="shared" si="80"/>
        <v>0</v>
      </c>
      <c r="K610" s="238">
        <f t="shared" si="81"/>
        <v>7.8433270686819313E-5</v>
      </c>
      <c r="L610" s="635">
        <f>IFERROR(VLOOKUP($B610,'Info planes y paquetes'!$A$471:$G$579,6,FALSE),"")</f>
        <v>989.22</v>
      </c>
      <c r="M610" s="635"/>
    </row>
    <row r="611" spans="2:13" s="262" customFormat="1" ht="12" outlineLevel="2" x14ac:dyDescent="0.25">
      <c r="B611" s="579" t="str">
        <f t="shared" si="77"/>
        <v>Infinitum Netflix 50 (Netflix 1 dispositivo)Residencial</v>
      </c>
      <c r="C611" s="334">
        <f t="shared" si="78"/>
        <v>42</v>
      </c>
      <c r="D611" s="634" t="str">
        <f>'Info planes y paquetes'!C808</f>
        <v>Infinitum Netflix 50 (Netflix 1 dispositivo)</v>
      </c>
      <c r="E611" s="575" t="str">
        <f>'Info planes y paquetes'!D808</f>
        <v>Residencial</v>
      </c>
      <c r="F611" s="575" t="str">
        <f>'Info planes y paquetes'!E808</f>
        <v>Internet fijo</v>
      </c>
      <c r="G611" s="263" t="str">
        <f t="shared" si="79"/>
        <v>50 Mbps</v>
      </c>
      <c r="H611" s="280">
        <f>IFERROR(VLOOKUP($B611,'Info planes y paquetes'!$A$767:$L$874,10,FALSE),"")+IFERROR(VLOOKUP($B611,'Info planes y paquetes'!$A$767:$M$874,12,FALSE),"")</f>
        <v>13277</v>
      </c>
      <c r="I611" s="280">
        <f>IFERROR(VLOOKUP($B611,'Info planes y paquetes'!$A$767:$M$874,11,FALSE),"")</f>
        <v>16884</v>
      </c>
      <c r="J611" s="238">
        <f t="shared" si="80"/>
        <v>3.1830901363284155E-3</v>
      </c>
      <c r="K611" s="238">
        <f t="shared" si="81"/>
        <v>2.9825841042258046E-3</v>
      </c>
      <c r="L611" s="635">
        <f>IFERROR(VLOOKUP($B611,'Info planes y paquetes'!$A$471:$G$579,6,FALSE),"")</f>
        <v>404.31</v>
      </c>
      <c r="M611" s="635"/>
    </row>
    <row r="612" spans="2:13" s="262" customFormat="1" ht="12" outlineLevel="2" x14ac:dyDescent="0.25">
      <c r="B612" s="579" t="str">
        <f t="shared" si="77"/>
        <v>Infinitum Netflix 50 (Netflix 2 dispositivos)Residencial</v>
      </c>
      <c r="C612" s="334">
        <f t="shared" si="78"/>
        <v>43</v>
      </c>
      <c r="D612" s="634" t="str">
        <f>'Info planes y paquetes'!C809</f>
        <v>Infinitum Netflix 50 (Netflix 2 dispositivos)</v>
      </c>
      <c r="E612" s="575" t="str">
        <f>'Info planes y paquetes'!D809</f>
        <v>Residencial</v>
      </c>
      <c r="F612" s="575" t="str">
        <f>'Info planes y paquetes'!E809</f>
        <v>Internet fijo</v>
      </c>
      <c r="G612" s="263" t="str">
        <f t="shared" si="79"/>
        <v>50 Mbps</v>
      </c>
      <c r="H612" s="280">
        <f>IFERROR(VLOOKUP($B612,'Info planes y paquetes'!$A$767:$L$874,10,FALSE),"")+IFERROR(VLOOKUP($B612,'Info planes y paquetes'!$A$767:$M$874,12,FALSE),"")</f>
        <v>15496</v>
      </c>
      <c r="I612" s="280">
        <f>IFERROR(VLOOKUP($B612,'Info planes y paquetes'!$A$767:$M$874,11,FALSE),"")</f>
        <v>13696</v>
      </c>
      <c r="J612" s="238">
        <f t="shared" si="80"/>
        <v>3.7150835845857597E-3</v>
      </c>
      <c r="K612" s="238">
        <f t="shared" si="81"/>
        <v>2.4194190885735972E-3</v>
      </c>
      <c r="L612" s="635">
        <f>IFERROR(VLOOKUP($B612,'Info planes y paquetes'!$A$471:$G$579,6,FALSE),"")</f>
        <v>473.27</v>
      </c>
      <c r="M612" s="635"/>
    </row>
    <row r="613" spans="2:13" s="262" customFormat="1" ht="12" outlineLevel="2" x14ac:dyDescent="0.25">
      <c r="B613" s="579" t="str">
        <f t="shared" si="77"/>
        <v>Infinitum Netflix 50 (Netflix 4 dispositivos)Residencial</v>
      </c>
      <c r="C613" s="334">
        <f t="shared" si="78"/>
        <v>44</v>
      </c>
      <c r="D613" s="634" t="str">
        <f>'Info planes y paquetes'!C810</f>
        <v>Infinitum Netflix 50 (Netflix 4 dispositivos)</v>
      </c>
      <c r="E613" s="575" t="str">
        <f>'Info planes y paquetes'!D810</f>
        <v>Residencial</v>
      </c>
      <c r="F613" s="575" t="str">
        <f>'Info planes y paquetes'!E810</f>
        <v>Internet fijo</v>
      </c>
      <c r="G613" s="263" t="str">
        <f t="shared" si="79"/>
        <v>50 Mbps</v>
      </c>
      <c r="H613" s="280">
        <f>IFERROR(VLOOKUP($B613,'Info planes y paquetes'!$A$767:$L$874,10,FALSE),"")+IFERROR(VLOOKUP($B613,'Info planes y paquetes'!$A$767:$M$874,12,FALSE),"")</f>
        <v>5600</v>
      </c>
      <c r="I613" s="280">
        <f>IFERROR(VLOOKUP($B613,'Info planes y paquetes'!$A$767:$M$874,11,FALSE),"")</f>
        <v>8529</v>
      </c>
      <c r="J613" s="238">
        <f t="shared" si="80"/>
        <v>1.3425702164223188E-3</v>
      </c>
      <c r="K613" s="238">
        <f t="shared" si="81"/>
        <v>1.5066607335312654E-3</v>
      </c>
      <c r="L613" s="635">
        <f>IFERROR(VLOOKUP($B613,'Info planes y paquetes'!$A$471:$G$579,6,FALSE),"")</f>
        <v>542.24</v>
      </c>
      <c r="M613" s="635"/>
    </row>
    <row r="614" spans="2:13" s="262" customFormat="1" ht="12" outlineLevel="2" x14ac:dyDescent="0.25">
      <c r="B614" s="579" t="str">
        <f t="shared" si="77"/>
        <v>Infinitum Netflix 60 (Netflix 2 dispositivos)Residencial</v>
      </c>
      <c r="C614" s="334">
        <f t="shared" si="78"/>
        <v>45</v>
      </c>
      <c r="D614" s="634" t="str">
        <f>'Info planes y paquetes'!C811</f>
        <v>Infinitum Netflix 60 (Netflix 2 dispositivos)</v>
      </c>
      <c r="E614" s="575" t="str">
        <f>'Info planes y paquetes'!D811</f>
        <v>Residencial</v>
      </c>
      <c r="F614" s="575" t="str">
        <f>'Info planes y paquetes'!E811</f>
        <v>Internet fijo</v>
      </c>
      <c r="G614" s="263" t="str">
        <f t="shared" si="79"/>
        <v>60 Mbps</v>
      </c>
      <c r="H614" s="280">
        <f>IFERROR(VLOOKUP($B614,'Info planes y paquetes'!$A$767:$L$874,10,FALSE),"")+IFERROR(VLOOKUP($B614,'Info planes y paquetes'!$A$767:$M$874,12,FALSE),"")</f>
        <v>2213</v>
      </c>
      <c r="I614" s="280">
        <f>IFERROR(VLOOKUP($B614,'Info planes y paquetes'!$A$767:$M$874,11,FALSE),"")</f>
        <v>12270</v>
      </c>
      <c r="J614" s="238">
        <f t="shared" si="80"/>
        <v>5.3055498016831991E-4</v>
      </c>
      <c r="K614" s="238">
        <f t="shared" si="81"/>
        <v>2.167514034520885E-3</v>
      </c>
      <c r="L614" s="635">
        <f>IFERROR(VLOOKUP($B614,'Info planes y paquetes'!$A$471:$G$579,6,FALSE),"")</f>
        <v>511.20000000000005</v>
      </c>
      <c r="M614" s="635"/>
    </row>
    <row r="615" spans="2:13" s="262" customFormat="1" ht="12" outlineLevel="2" x14ac:dyDescent="0.25">
      <c r="B615" s="579" t="str">
        <f t="shared" si="77"/>
        <v>Infinitum Netflix 60 (Netflix 4 dispositivos)Residencial</v>
      </c>
      <c r="C615" s="334">
        <f t="shared" si="78"/>
        <v>46</v>
      </c>
      <c r="D615" s="634" t="str">
        <f>'Info planes y paquetes'!C812</f>
        <v>Infinitum Netflix 60 (Netflix 4 dispositivos)</v>
      </c>
      <c r="E615" s="575" t="str">
        <f>'Info planes y paquetes'!D812</f>
        <v>Residencial</v>
      </c>
      <c r="F615" s="575" t="str">
        <f>'Info planes y paquetes'!E812</f>
        <v>Internet fijo</v>
      </c>
      <c r="G615" s="263" t="str">
        <f t="shared" si="79"/>
        <v>60 Mbps</v>
      </c>
      <c r="H615" s="280">
        <f>IFERROR(VLOOKUP($B615,'Info planes y paquetes'!$A$767:$L$874,10,FALSE),"")+IFERROR(VLOOKUP($B615,'Info planes y paquetes'!$A$767:$M$874,12,FALSE),"")</f>
        <v>792</v>
      </c>
      <c r="I615" s="280">
        <f>IFERROR(VLOOKUP($B615,'Info planes y paquetes'!$A$767:$M$874,11,FALSE),"")</f>
        <v>3725</v>
      </c>
      <c r="J615" s="238">
        <f t="shared" si="80"/>
        <v>1.8987778775115654E-4</v>
      </c>
      <c r="K615" s="238">
        <f t="shared" si="81"/>
        <v>6.58026876820725E-4</v>
      </c>
      <c r="L615" s="635">
        <f>IFERROR(VLOOKUP($B615,'Info planes y paquetes'!$A$471:$G$579,6,FALSE),"")</f>
        <v>580.17000000000007</v>
      </c>
      <c r="M615" s="635"/>
    </row>
    <row r="616" spans="2:13" s="262" customFormat="1" ht="12" outlineLevel="2" x14ac:dyDescent="0.25">
      <c r="B616" s="579" t="str">
        <f t="shared" si="77"/>
        <v>Infinitum Netflix 200 (Netflix 4 dispositivos)Residencial</v>
      </c>
      <c r="C616" s="334">
        <f t="shared" si="78"/>
        <v>47</v>
      </c>
      <c r="D616" s="634" t="str">
        <f>'Info planes y paquetes'!C813</f>
        <v>Infinitum Netflix 200 (Netflix 4 dispositivos)</v>
      </c>
      <c r="E616" s="575" t="str">
        <f>'Info planes y paquetes'!D813</f>
        <v>Residencial</v>
      </c>
      <c r="F616" s="575" t="str">
        <f>'Info planes y paquetes'!E813</f>
        <v>Internet fijo</v>
      </c>
      <c r="G616" s="263" t="str">
        <f t="shared" si="79"/>
        <v>200 Mbps</v>
      </c>
      <c r="H616" s="280">
        <f>IFERROR(VLOOKUP($B616,'Info planes y paquetes'!$A$767:$L$874,10,FALSE),"")+IFERROR(VLOOKUP($B616,'Info planes y paquetes'!$A$767:$M$874,12,FALSE),"")</f>
        <v>103</v>
      </c>
      <c r="I616" s="280">
        <f>IFERROR(VLOOKUP($B616,'Info planes y paquetes'!$A$767:$M$874,11,FALSE),"")</f>
        <v>7798</v>
      </c>
      <c r="J616" s="238">
        <f t="shared" si="80"/>
        <v>2.4693702194910507E-5</v>
      </c>
      <c r="K616" s="238">
        <f t="shared" si="81"/>
        <v>1.3775284793149031E-3</v>
      </c>
      <c r="L616" s="635">
        <f>IFERROR(VLOOKUP($B616,'Info planes y paquetes'!$A$471:$G$579,6,FALSE),"")</f>
        <v>687.07</v>
      </c>
      <c r="M616" s="635"/>
    </row>
    <row r="617" spans="2:13" s="262" customFormat="1" ht="12" outlineLevel="2" x14ac:dyDescent="0.25">
      <c r="B617" s="579" t="str">
        <f t="shared" si="77"/>
        <v>Infinitum Netflix 200 (Netflix 2 dispositivos)Residencial</v>
      </c>
      <c r="C617" s="334">
        <f t="shared" si="78"/>
        <v>48</v>
      </c>
      <c r="D617" s="634" t="str">
        <f>'Info planes y paquetes'!C814</f>
        <v>Infinitum Netflix 200 (Netflix 2 dispositivos)</v>
      </c>
      <c r="E617" s="575" t="str">
        <f>'Info planes y paquetes'!D814</f>
        <v>Residencial</v>
      </c>
      <c r="F617" s="575" t="str">
        <f>'Info planes y paquetes'!E814</f>
        <v>Internet fijo</v>
      </c>
      <c r="G617" s="263" t="str">
        <f t="shared" si="79"/>
        <v>200 Mbps</v>
      </c>
      <c r="H617" s="280">
        <f>IFERROR(VLOOKUP($B617,'Info planes y paquetes'!$A$767:$L$874,10,FALSE),"")+IFERROR(VLOOKUP($B617,'Info planes y paquetes'!$A$767:$M$874,12,FALSE),"")</f>
        <v>44</v>
      </c>
      <c r="I617" s="280">
        <f>IFERROR(VLOOKUP($B617,'Info planes y paquetes'!$A$767:$M$874,11,FALSE),"")</f>
        <v>1403</v>
      </c>
      <c r="J617" s="238">
        <f t="shared" si="80"/>
        <v>1.0548765986175362E-5</v>
      </c>
      <c r="K617" s="238">
        <f t="shared" si="81"/>
        <v>2.4784206930992679E-4</v>
      </c>
      <c r="L617" s="635">
        <f>IFERROR(VLOOKUP($B617,'Info planes y paquetes'!$A$471:$G$579,6,FALSE),"")</f>
        <v>637.06999999999994</v>
      </c>
      <c r="M617" s="635"/>
    </row>
    <row r="618" spans="2:13" s="262" customFormat="1" ht="12" outlineLevel="2" x14ac:dyDescent="0.25">
      <c r="B618" s="579" t="str">
        <f t="shared" si="77"/>
        <v>Infinitum Netflix 500 (Netflix 4 dispositivos)Residencial</v>
      </c>
      <c r="C618" s="334">
        <f t="shared" si="78"/>
        <v>49</v>
      </c>
      <c r="D618" s="634" t="str">
        <f>'Info planes y paquetes'!C815</f>
        <v>Infinitum Netflix 500 (Netflix 4 dispositivos)</v>
      </c>
      <c r="E618" s="575" t="str">
        <f>'Info planes y paquetes'!D815</f>
        <v>Residencial</v>
      </c>
      <c r="F618" s="575" t="str">
        <f>'Info planes y paquetes'!E815</f>
        <v>Internet fijo</v>
      </c>
      <c r="G618" s="263" t="str">
        <f t="shared" si="79"/>
        <v>500 Mbps</v>
      </c>
      <c r="H618" s="280">
        <f>IFERROR(VLOOKUP($B618,'Info planes y paquetes'!$A$767:$L$874,10,FALSE),"")+IFERROR(VLOOKUP($B618,'Info planes y paquetes'!$A$767:$M$874,12,FALSE),"")</f>
        <v>1</v>
      </c>
      <c r="I618" s="280">
        <f>IFERROR(VLOOKUP($B618,'Info planes y paquetes'!$A$767:$M$874,11,FALSE),"")</f>
        <v>927</v>
      </c>
      <c r="J618" s="238">
        <f t="shared" si="80"/>
        <v>2.3974468150398549E-7</v>
      </c>
      <c r="K618" s="238">
        <f t="shared" si="81"/>
        <v>1.6375595028531869E-4</v>
      </c>
      <c r="L618" s="635">
        <f>IFERROR(VLOOKUP($B618,'Info planes y paquetes'!$A$471:$G$579,6,FALSE),"")</f>
        <v>964.66</v>
      </c>
      <c r="M618" s="635"/>
    </row>
    <row r="619" spans="2:13" s="262" customFormat="1" ht="12" outlineLevel="2" x14ac:dyDescent="0.25">
      <c r="B619" s="579" t="str">
        <f t="shared" si="77"/>
        <v>Infinitum Netflix 500 (Netflix 2 dispositivos)Residencial</v>
      </c>
      <c r="C619" s="334">
        <f t="shared" si="78"/>
        <v>50</v>
      </c>
      <c r="D619" s="634" t="str">
        <f>'Info planes y paquetes'!C816</f>
        <v>Infinitum Netflix 500 (Netflix 2 dispositivos)</v>
      </c>
      <c r="E619" s="575" t="str">
        <f>'Info planes y paquetes'!D816</f>
        <v>Residencial</v>
      </c>
      <c r="F619" s="575" t="str">
        <f>'Info planes y paquetes'!E816</f>
        <v>Internet fijo</v>
      </c>
      <c r="G619" s="263" t="str">
        <f t="shared" si="79"/>
        <v>500 Mbps</v>
      </c>
      <c r="H619" s="280">
        <f>IFERROR(VLOOKUP($B619,'Info planes y paquetes'!$A$767:$L$874,10,FALSE),"")+IFERROR(VLOOKUP($B619,'Info planes y paquetes'!$A$767:$M$874,12,FALSE),"")</f>
        <v>0</v>
      </c>
      <c r="I619" s="280">
        <f>IFERROR(VLOOKUP($B619,'Info planes y paquetes'!$A$767:$M$874,11,FALSE),"")</f>
        <v>95</v>
      </c>
      <c r="J619" s="238">
        <f t="shared" si="80"/>
        <v>0</v>
      </c>
      <c r="K619" s="238">
        <f t="shared" si="81"/>
        <v>1.6781893502810437E-5</v>
      </c>
      <c r="L619" s="635">
        <f>IFERROR(VLOOKUP($B619,'Info planes y paquetes'!$A$471:$G$579,6,FALSE),"")</f>
        <v>919.81999999999994</v>
      </c>
      <c r="M619" s="635"/>
    </row>
    <row r="620" spans="2:13" s="262" customFormat="1" ht="12" outlineLevel="2" x14ac:dyDescent="0.25">
      <c r="B620" s="579" t="str">
        <f t="shared" si="77"/>
        <v>Paquete Conectes Negocio Netflix (Netflix 1 dispositivo)No Residencial</v>
      </c>
      <c r="C620" s="334">
        <f t="shared" si="78"/>
        <v>51</v>
      </c>
      <c r="D620" s="634" t="str">
        <f>'Info planes y paquetes'!C817</f>
        <v>Paquete Conectes Negocio Netflix (Netflix 1 dispositivo)</v>
      </c>
      <c r="E620" s="575" t="str">
        <f>'Info planes y paquetes'!D817</f>
        <v>No Residencial</v>
      </c>
      <c r="F620" s="575" t="str">
        <f>'Info planes y paquetes'!E817</f>
        <v>Telefonía fija + Internet fijo</v>
      </c>
      <c r="G620" s="263" t="str">
        <f t="shared" si="79"/>
        <v>20 Mbps</v>
      </c>
      <c r="H620" s="280">
        <f>IFERROR(VLOOKUP($B620,'Info planes y paquetes'!$A$767:$L$874,10,FALSE),"")+IFERROR(VLOOKUP($B620,'Info planes y paquetes'!$A$767:$M$874,12,FALSE),"")</f>
        <v>786</v>
      </c>
      <c r="I620" s="280">
        <f>IFERROR(VLOOKUP($B620,'Info planes y paquetes'!$A$767:$M$874,11,FALSE),"")</f>
        <v>1361</v>
      </c>
      <c r="J620" s="238">
        <f t="shared" si="80"/>
        <v>1.8843931966213261E-4</v>
      </c>
      <c r="K620" s="238">
        <f t="shared" si="81"/>
        <v>2.4042270586657901E-4</v>
      </c>
      <c r="L620" s="635">
        <f>IFERROR(VLOOKUP($B620,'Info planes y paquetes'!$A$471:$G$579,6,FALSE),"")</f>
        <v>440.68</v>
      </c>
      <c r="M620" s="635"/>
    </row>
    <row r="621" spans="2:13" s="262" customFormat="1" ht="12" outlineLevel="2" x14ac:dyDescent="0.25">
      <c r="B621" s="579" t="str">
        <f t="shared" si="77"/>
        <v>Paquete Conectes Negocio Netflix (Netflix 2 dispositivos)No Residencial</v>
      </c>
      <c r="C621" s="334">
        <f t="shared" si="78"/>
        <v>52</v>
      </c>
      <c r="D621" s="634" t="str">
        <f>'Info planes y paquetes'!C818</f>
        <v>Paquete Conectes Negocio Netflix (Netflix 2 dispositivos)</v>
      </c>
      <c r="E621" s="575" t="str">
        <f>'Info planes y paquetes'!D818</f>
        <v>No Residencial</v>
      </c>
      <c r="F621" s="575" t="str">
        <f>'Info planes y paquetes'!E818</f>
        <v>Telefonía fija + Internet fijo</v>
      </c>
      <c r="G621" s="263" t="str">
        <f t="shared" si="79"/>
        <v>20 Mbps</v>
      </c>
      <c r="H621" s="280">
        <f>IFERROR(VLOOKUP($B621,'Info planes y paquetes'!$A$767:$L$874,10,FALSE),"")+IFERROR(VLOOKUP($B621,'Info planes y paquetes'!$A$767:$M$874,12,FALSE),"")</f>
        <v>347</v>
      </c>
      <c r="I621" s="280">
        <f>IFERROR(VLOOKUP($B621,'Info planes y paquetes'!$A$767:$M$874,11,FALSE),"")</f>
        <v>785</v>
      </c>
      <c r="J621" s="238">
        <f t="shared" si="80"/>
        <v>8.3191404481882975E-5</v>
      </c>
      <c r="K621" s="238">
        <f t="shared" si="81"/>
        <v>1.3867143578638098E-4</v>
      </c>
      <c r="L621" s="635">
        <f>IFERROR(VLOOKUP($B621,'Info planes y paquetes'!$A$471:$G$579,6,FALSE),"")</f>
        <v>509.64</v>
      </c>
      <c r="M621" s="635"/>
    </row>
    <row r="622" spans="2:13" s="262" customFormat="1" ht="12" outlineLevel="2" x14ac:dyDescent="0.25">
      <c r="B622" s="579" t="str">
        <f t="shared" si="77"/>
        <v>Paquete Conectes Negocio Netflix (Netflix 4 dispositivos)No Residencial</v>
      </c>
      <c r="C622" s="334">
        <f t="shared" si="78"/>
        <v>53</v>
      </c>
      <c r="D622" s="634" t="str">
        <f>'Info planes y paquetes'!C819</f>
        <v>Paquete Conectes Negocio Netflix (Netflix 4 dispositivos)</v>
      </c>
      <c r="E622" s="575" t="str">
        <f>'Info planes y paquetes'!D819</f>
        <v>No Residencial</v>
      </c>
      <c r="F622" s="575" t="str">
        <f>'Info planes y paquetes'!E819</f>
        <v>Telefonía fija + Internet fijo</v>
      </c>
      <c r="G622" s="263" t="str">
        <f t="shared" si="79"/>
        <v>20 Mbps</v>
      </c>
      <c r="H622" s="280">
        <f>IFERROR(VLOOKUP($B622,'Info planes y paquetes'!$A$767:$L$874,10,FALSE),"")+IFERROR(VLOOKUP($B622,'Info planes y paquetes'!$A$767:$M$874,12,FALSE),"")</f>
        <v>293</v>
      </c>
      <c r="I622" s="280">
        <f>IFERROR(VLOOKUP($B622,'Info planes y paquetes'!$A$767:$M$874,11,FALSE),"")</f>
        <v>507</v>
      </c>
      <c r="J622" s="238">
        <f t="shared" si="80"/>
        <v>7.024519168066776E-5</v>
      </c>
      <c r="K622" s="238">
        <f t="shared" si="81"/>
        <v>8.9562315851840959E-5</v>
      </c>
      <c r="L622" s="635">
        <f>IFERROR(VLOOKUP($B622,'Info planes y paquetes'!$A$471:$G$579,6,FALSE),"")</f>
        <v>578.61</v>
      </c>
      <c r="M622" s="635"/>
    </row>
    <row r="623" spans="2:13" s="262" customFormat="1" ht="12" outlineLevel="2" x14ac:dyDescent="0.25">
      <c r="B623" s="579" t="str">
        <f t="shared" si="77"/>
        <v>Paquete Mi Negocio Netflix (Netflix 2 dispositivos)No Residencial</v>
      </c>
      <c r="C623" s="334">
        <f t="shared" si="78"/>
        <v>54</v>
      </c>
      <c r="D623" s="634" t="str">
        <f>'Info planes y paquetes'!C820</f>
        <v>Paquete Mi Negocio Netflix (Netflix 2 dispositivos)</v>
      </c>
      <c r="E623" s="575" t="str">
        <f>'Info planes y paquetes'!D820</f>
        <v>No Residencial</v>
      </c>
      <c r="F623" s="575" t="str">
        <f>'Info planes y paquetes'!E820</f>
        <v>Telefonía fija + Internet fijo</v>
      </c>
      <c r="G623" s="263" t="str">
        <f t="shared" si="79"/>
        <v>100 Mbps</v>
      </c>
      <c r="H623" s="280">
        <f>IFERROR(VLOOKUP($B623,'Info planes y paquetes'!$A$767:$L$874,10,FALSE),"")+IFERROR(VLOOKUP($B623,'Info planes y paquetes'!$A$767:$M$874,12,FALSE),"")</f>
        <v>278</v>
      </c>
      <c r="I623" s="280">
        <f>IFERROR(VLOOKUP($B623,'Info planes y paquetes'!$A$767:$M$874,11,FALSE),"")</f>
        <v>776</v>
      </c>
      <c r="J623" s="238">
        <f t="shared" si="80"/>
        <v>6.6649021458107974E-5</v>
      </c>
      <c r="K623" s="238">
        <f t="shared" si="81"/>
        <v>1.3708157219137788E-4</v>
      </c>
      <c r="L623" s="635">
        <f>IFERROR(VLOOKUP($B623,'Info planes y paquetes'!$A$471:$G$579,6,FALSE),"")</f>
        <v>627.85</v>
      </c>
      <c r="M623" s="635"/>
    </row>
    <row r="624" spans="2:13" s="262" customFormat="1" ht="12" outlineLevel="2" x14ac:dyDescent="0.25">
      <c r="B624" s="579" t="str">
        <f t="shared" si="77"/>
        <v>Paquete Mi Negocio Netflix (Netflix 4 dispositivos)No Residencial</v>
      </c>
      <c r="C624" s="334">
        <f t="shared" si="78"/>
        <v>55</v>
      </c>
      <c r="D624" s="634" t="str">
        <f>'Info planes y paquetes'!C821</f>
        <v>Paquete Mi Negocio Netflix (Netflix 4 dispositivos)</v>
      </c>
      <c r="E624" s="575" t="str">
        <f>'Info planes y paquetes'!D821</f>
        <v>No Residencial</v>
      </c>
      <c r="F624" s="575" t="str">
        <f>'Info planes y paquetes'!E821</f>
        <v>Telefonía fija + Internet fijo</v>
      </c>
      <c r="G624" s="263" t="str">
        <f t="shared" si="79"/>
        <v>100 Mbps</v>
      </c>
      <c r="H624" s="280">
        <f>IFERROR(VLOOKUP($B624,'Info planes y paquetes'!$A$767:$L$874,10,FALSE),"")+IFERROR(VLOOKUP($B624,'Info planes y paquetes'!$A$767:$M$874,12,FALSE),"")</f>
        <v>183</v>
      </c>
      <c r="I624" s="280">
        <f>IFERROR(VLOOKUP($B624,'Info planes y paquetes'!$A$767:$M$874,11,FALSE),"")</f>
        <v>639</v>
      </c>
      <c r="J624" s="238">
        <f t="shared" si="80"/>
        <v>4.3873276715229349E-5</v>
      </c>
      <c r="K624" s="238">
        <f t="shared" si="81"/>
        <v>1.1288031524521968E-4</v>
      </c>
      <c r="L624" s="635">
        <f>IFERROR(VLOOKUP($B624,'Info planes y paquetes'!$A$471:$G$579,6,FALSE),"")</f>
        <v>696.81</v>
      </c>
      <c r="M624" s="635"/>
    </row>
    <row r="625" spans="2:13" s="262" customFormat="1" ht="12" outlineLevel="2" x14ac:dyDescent="0.25">
      <c r="B625" s="579" t="str">
        <f t="shared" si="77"/>
        <v>Paquete Supernegocio Netflix (Netflix 2 dispositivos)No Residencial</v>
      </c>
      <c r="C625" s="334">
        <f t="shared" si="78"/>
        <v>56</v>
      </c>
      <c r="D625" s="634" t="str">
        <f>'Info planes y paquetes'!C822</f>
        <v>Paquete Supernegocio Netflix (Netflix 2 dispositivos)</v>
      </c>
      <c r="E625" s="575" t="str">
        <f>'Info planes y paquetes'!D822</f>
        <v>No Residencial</v>
      </c>
      <c r="F625" s="575" t="str">
        <f>'Info planes y paquetes'!E822</f>
        <v>Telefonía fija + Internet fijo</v>
      </c>
      <c r="G625" s="263" t="str">
        <f t="shared" si="79"/>
        <v>200 Mbps</v>
      </c>
      <c r="H625" s="280">
        <f>IFERROR(VLOOKUP($B625,'Info planes y paquetes'!$A$767:$L$874,10,FALSE),"")+IFERROR(VLOOKUP($B625,'Info planes y paquetes'!$A$767:$M$874,12,FALSE),"")</f>
        <v>124</v>
      </c>
      <c r="I625" s="280">
        <f>IFERROR(VLOOKUP($B625,'Info planes y paquetes'!$A$767:$M$874,11,FALSE),"")</f>
        <v>695</v>
      </c>
      <c r="J625" s="238">
        <f t="shared" si="80"/>
        <v>2.9728340506494204E-5</v>
      </c>
      <c r="K625" s="238">
        <f t="shared" si="81"/>
        <v>1.2277279983635003E-4</v>
      </c>
      <c r="L625" s="635">
        <f>IFERROR(VLOOKUP($B625,'Info planes y paquetes'!$A$471:$G$579,6,FALSE),"")</f>
        <v>838.93</v>
      </c>
      <c r="M625" s="635"/>
    </row>
    <row r="626" spans="2:13" s="262" customFormat="1" ht="12" outlineLevel="2" x14ac:dyDescent="0.25">
      <c r="B626" s="579" t="str">
        <f t="shared" si="77"/>
        <v>Paquete Supernegocio Netflix (Netflix 4 dispositivos)No Residencial</v>
      </c>
      <c r="C626" s="334">
        <f t="shared" si="78"/>
        <v>57</v>
      </c>
      <c r="D626" s="634" t="str">
        <f>'Info planes y paquetes'!C823</f>
        <v>Paquete Supernegocio Netflix (Netflix 4 dispositivos)</v>
      </c>
      <c r="E626" s="575" t="str">
        <f>'Info planes y paquetes'!D823</f>
        <v>No Residencial</v>
      </c>
      <c r="F626" s="575" t="str">
        <f>'Info planes y paquetes'!E823</f>
        <v>Telefonía fija + Internet fijo</v>
      </c>
      <c r="G626" s="263" t="str">
        <f t="shared" si="79"/>
        <v>200 Mbps</v>
      </c>
      <c r="H626" s="280">
        <f>IFERROR(VLOOKUP($B626,'Info planes y paquetes'!$A$767:$L$874,10,FALSE),"")+IFERROR(VLOOKUP($B626,'Info planes y paquetes'!$A$767:$M$874,12,FALSE),"")</f>
        <v>58</v>
      </c>
      <c r="I626" s="280">
        <f>IFERROR(VLOOKUP($B626,'Info planes y paquetes'!$A$767:$M$874,11,FALSE),"")</f>
        <v>1770</v>
      </c>
      <c r="J626" s="238">
        <f t="shared" si="80"/>
        <v>1.3905191527231159E-5</v>
      </c>
      <c r="K626" s="238">
        <f t="shared" si="81"/>
        <v>3.1267317368394181E-4</v>
      </c>
      <c r="L626" s="635">
        <f>IFERROR(VLOOKUP($B626,'Info planes y paquetes'!$A$471:$G$579,6,FALSE),"")</f>
        <v>889.31999999999994</v>
      </c>
      <c r="M626" s="635"/>
    </row>
    <row r="627" spans="2:13" s="262" customFormat="1" ht="12" outlineLevel="2" x14ac:dyDescent="0.25">
      <c r="B627" s="579" t="str">
        <f t="shared" si="77"/>
        <v>Infinitum Netflix Negocio 50 (Netflix 1 dispositivo)No Residencial</v>
      </c>
      <c r="C627" s="334">
        <f t="shared" si="78"/>
        <v>58</v>
      </c>
      <c r="D627" s="634" t="str">
        <f>'Info planes y paquetes'!C824</f>
        <v>Infinitum Netflix Negocio 50 (Netflix 1 dispositivo)</v>
      </c>
      <c r="E627" s="575" t="str">
        <f>'Info planes y paquetes'!D824</f>
        <v>No Residencial</v>
      </c>
      <c r="F627" s="575" t="str">
        <f>'Info planes y paquetes'!E824</f>
        <v>Internet fijo</v>
      </c>
      <c r="G627" s="263" t="str">
        <f t="shared" si="79"/>
        <v>50 Mbps</v>
      </c>
      <c r="H627" s="280">
        <f>IFERROR(VLOOKUP($B627,'Info planes y paquetes'!$A$767:$L$874,10,FALSE),"")+IFERROR(VLOOKUP($B627,'Info planes y paquetes'!$A$767:$M$874,12,FALSE),"")</f>
        <v>215</v>
      </c>
      <c r="I627" s="280">
        <f>IFERROR(VLOOKUP($B627,'Info planes y paquetes'!$A$767:$M$874,11,FALSE),"")</f>
        <v>581</v>
      </c>
      <c r="J627" s="238">
        <f t="shared" si="80"/>
        <v>5.1545106523356883E-5</v>
      </c>
      <c r="K627" s="238">
        <f t="shared" si="81"/>
        <v>1.0263452763297752E-4</v>
      </c>
      <c r="L627" s="635">
        <f>IFERROR(VLOOKUP($B627,'Info planes y paquetes'!$A$471:$G$579,6,FALSE),"")</f>
        <v>404.31</v>
      </c>
      <c r="M627" s="635"/>
    </row>
    <row r="628" spans="2:13" s="262" customFormat="1" ht="12" outlineLevel="2" x14ac:dyDescent="0.25">
      <c r="B628" s="579" t="str">
        <f t="shared" si="77"/>
        <v>Infinitum Netflix Negocio 50 (Netflix 2 dispositivos)No Residencial</v>
      </c>
      <c r="C628" s="334">
        <f t="shared" si="78"/>
        <v>59</v>
      </c>
      <c r="D628" s="634" t="str">
        <f>'Info planes y paquetes'!C825</f>
        <v>Infinitum Netflix Negocio 50 (Netflix 2 dispositivos)</v>
      </c>
      <c r="E628" s="575" t="str">
        <f>'Info planes y paquetes'!D825</f>
        <v>No Residencial</v>
      </c>
      <c r="F628" s="575" t="str">
        <f>'Info planes y paquetes'!E825</f>
        <v>Internet fijo</v>
      </c>
      <c r="G628" s="263" t="str">
        <f t="shared" si="79"/>
        <v>50 Mbps</v>
      </c>
      <c r="H628" s="280">
        <f>IFERROR(VLOOKUP($B628,'Info planes y paquetes'!$A$767:$L$874,10,FALSE),"")+IFERROR(VLOOKUP($B628,'Info planes y paquetes'!$A$767:$M$874,12,FALSE),"")</f>
        <v>98</v>
      </c>
      <c r="I628" s="280">
        <f>IFERROR(VLOOKUP($B628,'Info planes y paquetes'!$A$767:$M$874,11,FALSE),"")</f>
        <v>221</v>
      </c>
      <c r="J628" s="238">
        <f t="shared" si="80"/>
        <v>2.349497878739058E-5</v>
      </c>
      <c r="K628" s="238">
        <f t="shared" si="81"/>
        <v>3.9039983832853757E-5</v>
      </c>
      <c r="L628" s="635">
        <f>IFERROR(VLOOKUP($B628,'Info planes y paquetes'!$A$471:$G$579,6,FALSE),"")</f>
        <v>473.27</v>
      </c>
      <c r="M628" s="635"/>
    </row>
    <row r="629" spans="2:13" s="262" customFormat="1" ht="12" outlineLevel="2" x14ac:dyDescent="0.25">
      <c r="B629" s="579" t="str">
        <f t="shared" si="77"/>
        <v>Infinitum Netflix Negocio 50 (Netflix 4 dispositivos)No Residencial</v>
      </c>
      <c r="C629" s="334">
        <f t="shared" si="78"/>
        <v>60</v>
      </c>
      <c r="D629" s="634" t="str">
        <f>'Info planes y paquetes'!C826</f>
        <v>Infinitum Netflix Negocio 50 (Netflix 4 dispositivos)</v>
      </c>
      <c r="E629" s="575" t="str">
        <f>'Info planes y paquetes'!D826</f>
        <v>No Residencial</v>
      </c>
      <c r="F629" s="575" t="str">
        <f>'Info planes y paquetes'!E826</f>
        <v>Internet fijo</v>
      </c>
      <c r="G629" s="263" t="str">
        <f t="shared" si="79"/>
        <v>50 Mbps</v>
      </c>
      <c r="H629" s="280">
        <f>IFERROR(VLOOKUP($B629,'Info planes y paquetes'!$A$767:$L$874,10,FALSE),"")+IFERROR(VLOOKUP($B629,'Info planes y paquetes'!$A$767:$M$874,12,FALSE),"")</f>
        <v>50</v>
      </c>
      <c r="I629" s="280">
        <f>IFERROR(VLOOKUP($B629,'Info planes y paquetes'!$A$767:$M$874,11,FALSE),"")</f>
        <v>76</v>
      </c>
      <c r="J629" s="238">
        <f t="shared" si="80"/>
        <v>1.1987234075199276E-5</v>
      </c>
      <c r="K629" s="238">
        <f t="shared" si="81"/>
        <v>1.3425514802248349E-5</v>
      </c>
      <c r="L629" s="635">
        <f>IFERROR(VLOOKUP($B629,'Info planes y paquetes'!$A$471:$G$579,6,FALSE),"")</f>
        <v>542.24</v>
      </c>
      <c r="M629" s="635"/>
    </row>
    <row r="630" spans="2:13" s="262" customFormat="1" ht="12" outlineLevel="2" x14ac:dyDescent="0.25">
      <c r="B630" s="579" t="str">
        <f t="shared" si="77"/>
        <v>Infinitum Netflix Negocio 60 (Netflix 2 dispositivos)No Residencial</v>
      </c>
      <c r="C630" s="334">
        <f t="shared" si="78"/>
        <v>61</v>
      </c>
      <c r="D630" s="634" t="str">
        <f>'Info planes y paquetes'!C827</f>
        <v>Infinitum Netflix Negocio 60 (Netflix 2 dispositivos)</v>
      </c>
      <c r="E630" s="575" t="str">
        <f>'Info planes y paquetes'!D827</f>
        <v>No Residencial</v>
      </c>
      <c r="F630" s="575" t="str">
        <f>'Info planes y paquetes'!E827</f>
        <v>Internet fijo</v>
      </c>
      <c r="G630" s="263" t="str">
        <f t="shared" si="79"/>
        <v>60 Mbps</v>
      </c>
      <c r="H630" s="280">
        <f>IFERROR(VLOOKUP($B630,'Info planes y paquetes'!$A$767:$L$874,10,FALSE),"")+IFERROR(VLOOKUP($B630,'Info planes y paquetes'!$A$767:$M$874,12,FALSE),"")</f>
        <v>16</v>
      </c>
      <c r="I630" s="280">
        <f>IFERROR(VLOOKUP($B630,'Info planes y paquetes'!$A$767:$M$874,11,FALSE),"")</f>
        <v>88</v>
      </c>
      <c r="J630" s="238">
        <f t="shared" si="80"/>
        <v>3.8359149040637679E-6</v>
      </c>
      <c r="K630" s="238">
        <f t="shared" si="81"/>
        <v>1.5545332928919142E-5</v>
      </c>
      <c r="L630" s="635">
        <f>IFERROR(VLOOKUP($B630,'Info planes y paquetes'!$A$471:$G$579,6,FALSE),"")</f>
        <v>511.2</v>
      </c>
      <c r="M630" s="635"/>
    </row>
    <row r="631" spans="2:13" s="262" customFormat="1" ht="12" outlineLevel="2" x14ac:dyDescent="0.25">
      <c r="B631" s="579" t="str">
        <f t="shared" si="77"/>
        <v>Infinitum Netflix Negocio 60 (Netflix 4 dispositivos)No Residencial</v>
      </c>
      <c r="C631" s="334">
        <f t="shared" si="78"/>
        <v>62</v>
      </c>
      <c r="D631" s="634" t="str">
        <f>'Info planes y paquetes'!C828</f>
        <v>Infinitum Netflix Negocio 60 (Netflix 4 dispositivos)</v>
      </c>
      <c r="E631" s="575" t="str">
        <f>'Info planes y paquetes'!D828</f>
        <v>No Residencial</v>
      </c>
      <c r="F631" s="575" t="str">
        <f>'Info planes y paquetes'!E828</f>
        <v>Internet fijo</v>
      </c>
      <c r="G631" s="263" t="str">
        <f t="shared" si="79"/>
        <v>60 Mbps</v>
      </c>
      <c r="H631" s="280">
        <f>IFERROR(VLOOKUP($B631,'Info planes y paquetes'!$A$767:$L$874,10,FALSE),"")+IFERROR(VLOOKUP($B631,'Info planes y paquetes'!$A$767:$M$874,12,FALSE),"")</f>
        <v>3</v>
      </c>
      <c r="I631" s="280">
        <f>IFERROR(VLOOKUP($B631,'Info planes y paquetes'!$A$767:$M$874,11,FALSE),"")</f>
        <v>38</v>
      </c>
      <c r="J631" s="238">
        <f t="shared" si="80"/>
        <v>7.1923404451195653E-7</v>
      </c>
      <c r="K631" s="238">
        <f t="shared" si="81"/>
        <v>6.7127574011241745E-6</v>
      </c>
      <c r="L631" s="635">
        <f>IFERROR(VLOOKUP($B631,'Info planes y paquetes'!$A$471:$G$579,6,FALSE),"")</f>
        <v>580.17000000000007</v>
      </c>
      <c r="M631" s="635"/>
    </row>
    <row r="632" spans="2:13" s="262" customFormat="1" ht="12" outlineLevel="2" x14ac:dyDescent="0.25">
      <c r="B632" s="579" t="str">
        <f t="shared" si="77"/>
        <v>Infinitum Netflix Negocio 200 (Netflix 4 dispositivos)No Residencial</v>
      </c>
      <c r="C632" s="334">
        <f t="shared" si="78"/>
        <v>63</v>
      </c>
      <c r="D632" s="634" t="str">
        <f>'Info planes y paquetes'!C829</f>
        <v>Infinitum Netflix Negocio 200 (Netflix 4 dispositivos)</v>
      </c>
      <c r="E632" s="575" t="str">
        <f>'Info planes y paquetes'!D829</f>
        <v>No Residencial</v>
      </c>
      <c r="F632" s="575" t="str">
        <f>'Info planes y paquetes'!E829</f>
        <v>Internet fijo</v>
      </c>
      <c r="G632" s="263" t="str">
        <f t="shared" si="79"/>
        <v>200 Mbps</v>
      </c>
      <c r="H632" s="280">
        <f>IFERROR(VLOOKUP($B632,'Info planes y paquetes'!$A$767:$L$874,10,FALSE),"")+IFERROR(VLOOKUP($B632,'Info planes y paquetes'!$A$767:$M$874,12,FALSE),"")</f>
        <v>5</v>
      </c>
      <c r="I632" s="280">
        <f>IFERROR(VLOOKUP($B632,'Info planes y paquetes'!$A$767:$M$874,11,FALSE),"")</f>
        <v>162</v>
      </c>
      <c r="J632" s="238">
        <f t="shared" si="80"/>
        <v>1.1987234075199276E-6</v>
      </c>
      <c r="K632" s="238">
        <f t="shared" si="81"/>
        <v>2.8617544710055694E-5</v>
      </c>
      <c r="L632" s="635">
        <f>IFERROR(VLOOKUP($B632,'Info planes y paquetes'!$A$471:$G$579,6,FALSE),"")</f>
        <v>687.07</v>
      </c>
      <c r="M632" s="635"/>
    </row>
    <row r="633" spans="2:13" s="262" customFormat="1" ht="12" outlineLevel="2" x14ac:dyDescent="0.25">
      <c r="B633" s="579" t="str">
        <f t="shared" si="77"/>
        <v>Infinitum Netflix Negocio 200 (Netflix 2 dispositivos)No Residencial</v>
      </c>
      <c r="C633" s="334">
        <f t="shared" si="78"/>
        <v>64</v>
      </c>
      <c r="D633" s="634" t="str">
        <f>'Info planes y paquetes'!C830</f>
        <v>Infinitum Netflix Negocio 200 (Netflix 2 dispositivos)</v>
      </c>
      <c r="E633" s="575" t="str">
        <f>'Info planes y paquetes'!D830</f>
        <v>No Residencial</v>
      </c>
      <c r="F633" s="575" t="str">
        <f>'Info planes y paquetes'!E830</f>
        <v>Internet fijo</v>
      </c>
      <c r="G633" s="263" t="str">
        <f t="shared" si="79"/>
        <v>200 Mbps</v>
      </c>
      <c r="H633" s="280">
        <f>IFERROR(VLOOKUP($B633,'Info planes y paquetes'!$A$767:$L$874,10,FALSE),"")+IFERROR(VLOOKUP($B633,'Info planes y paquetes'!$A$767:$M$874,12,FALSE),"")</f>
        <v>3</v>
      </c>
      <c r="I633" s="280">
        <f>IFERROR(VLOOKUP($B633,'Info planes y paquetes'!$A$767:$M$874,11,FALSE),"")</f>
        <v>73</v>
      </c>
      <c r="J633" s="238">
        <f t="shared" si="80"/>
        <v>7.1923404451195653E-7</v>
      </c>
      <c r="K633" s="238">
        <f t="shared" si="81"/>
        <v>1.2895560270580651E-5</v>
      </c>
      <c r="L633" s="635">
        <f>IFERROR(VLOOKUP($B633,'Info planes y paquetes'!$A$471:$G$579,6,FALSE),"")</f>
        <v>637.06999999999994</v>
      </c>
      <c r="M633" s="635"/>
    </row>
    <row r="634" spans="2:13" s="262" customFormat="1" ht="12" outlineLevel="2" x14ac:dyDescent="0.25">
      <c r="B634" s="579" t="str">
        <f t="shared" si="77"/>
        <v>Infinitum Netflix Negocio 500 (Netflix 4 dispositivos)No Residencial</v>
      </c>
      <c r="C634" s="334">
        <f t="shared" si="78"/>
        <v>65</v>
      </c>
      <c r="D634" s="634" t="str">
        <f>'Info planes y paquetes'!C831</f>
        <v>Infinitum Netflix Negocio 500 (Netflix 4 dispositivos)</v>
      </c>
      <c r="E634" s="575" t="str">
        <f>'Info planes y paquetes'!D831</f>
        <v>No Residencial</v>
      </c>
      <c r="F634" s="575" t="str">
        <f>'Info planes y paquetes'!E831</f>
        <v>Internet fijo</v>
      </c>
      <c r="G634" s="263" t="str">
        <f t="shared" ref="G634:G665" si="82">H424</f>
        <v>500 Mbps</v>
      </c>
      <c r="H634" s="280">
        <f>IFERROR(VLOOKUP($B634,'Info planes y paquetes'!$A$767:$L$874,10,FALSE),"")+IFERROR(VLOOKUP($B634,'Info planes y paquetes'!$A$767:$M$874,12,FALSE),"")</f>
        <v>1</v>
      </c>
      <c r="I634" s="280">
        <f>IFERROR(VLOOKUP($B634,'Info planes y paquetes'!$A$767:$M$874,11,FALSE),"")</f>
        <v>180</v>
      </c>
      <c r="J634" s="238">
        <f t="shared" ref="J634:J665" si="83">IFERROR(H634/H$690,"")</f>
        <v>2.3974468150398549E-7</v>
      </c>
      <c r="K634" s="238">
        <f t="shared" ref="K634:K665" si="84">IFERROR(I634/I$690,"")</f>
        <v>3.1797271900061881E-5</v>
      </c>
      <c r="L634" s="635">
        <f>IFERROR(VLOOKUP($B634,'Info planes y paquetes'!$A$471:$G$579,6,FALSE),"")</f>
        <v>964.66</v>
      </c>
      <c r="M634" s="635"/>
    </row>
    <row r="635" spans="2:13" s="262" customFormat="1" ht="12" outlineLevel="2" x14ac:dyDescent="0.25">
      <c r="B635" s="579" t="str">
        <f t="shared" ref="B635:B690" si="85">D635&amp;E635</f>
        <v>Infinitum Netflix Negocio 500 (Netflix 2 dispositivos)No Residencial</v>
      </c>
      <c r="C635" s="334">
        <f t="shared" si="78"/>
        <v>66</v>
      </c>
      <c r="D635" s="634" t="str">
        <f>'Info planes y paquetes'!C832</f>
        <v>Infinitum Netflix Negocio 500 (Netflix 2 dispositivos)</v>
      </c>
      <c r="E635" s="575" t="str">
        <f>'Info planes y paquetes'!D832</f>
        <v>No Residencial</v>
      </c>
      <c r="F635" s="575" t="str">
        <f>'Info planes y paquetes'!E832</f>
        <v>Internet fijo</v>
      </c>
      <c r="G635" s="263" t="str">
        <f t="shared" si="82"/>
        <v>500 Mbps</v>
      </c>
      <c r="H635" s="280">
        <f>IFERROR(VLOOKUP($B635,'Info planes y paquetes'!$A$767:$L$874,10,FALSE),"")+IFERROR(VLOOKUP($B635,'Info planes y paquetes'!$A$767:$M$874,12,FALSE),"")</f>
        <v>0</v>
      </c>
      <c r="I635" s="280">
        <f>IFERROR(VLOOKUP($B635,'Info planes y paquetes'!$A$767:$M$874,11,FALSE),"")</f>
        <v>52</v>
      </c>
      <c r="J635" s="238">
        <f t="shared" si="83"/>
        <v>0</v>
      </c>
      <c r="K635" s="238">
        <f t="shared" si="84"/>
        <v>9.185878548906765E-6</v>
      </c>
      <c r="L635" s="635">
        <f>IFERROR(VLOOKUP($B635,'Info planes y paquetes'!$A$471:$G$579,6,FALSE),"")</f>
        <v>919.81999999999994</v>
      </c>
      <c r="M635" s="635"/>
    </row>
    <row r="636" spans="2:13" s="262" customFormat="1" ht="12" outlineLevel="2" x14ac:dyDescent="0.25">
      <c r="B636" s="579" t="str">
        <f t="shared" si="85"/>
        <v>Paquete Infinitum Entretenimiento 30Residencial</v>
      </c>
      <c r="C636" s="334">
        <f t="shared" ref="C636:C676" si="86">C635+1</f>
        <v>67</v>
      </c>
      <c r="D636" s="634" t="str">
        <f>'Info planes y paquetes'!C833</f>
        <v>Paquete Infinitum Entretenimiento 30</v>
      </c>
      <c r="E636" s="575" t="str">
        <f>'Info planes y paquetes'!D833</f>
        <v>Residencial</v>
      </c>
      <c r="F636" s="575" t="str">
        <f>'Info planes y paquetes'!E833</f>
        <v>Telefonía fija + Internet fijo</v>
      </c>
      <c r="G636" s="263" t="str">
        <f t="shared" si="82"/>
        <v>30 Mbps</v>
      </c>
      <c r="H636" s="280">
        <f>IFERROR(VLOOKUP($B636,'Info planes y paquetes'!$A$767:$L$874,10,FALSE),"")+IFERROR(VLOOKUP($B636,'Info planes y paquetes'!$A$767:$M$874,12,FALSE),"")</f>
        <v>166927</v>
      </c>
      <c r="I636" s="280">
        <f>IFERROR(VLOOKUP($B636,'Info planes y paquetes'!$A$767:$M$874,11,FALSE),"")</f>
        <v>214503</v>
      </c>
      <c r="J636" s="238">
        <f t="shared" si="83"/>
        <v>4.0019860449415794E-2</v>
      </c>
      <c r="K636" s="238">
        <f t="shared" si="84"/>
        <v>3.7892278968772078E-2</v>
      </c>
      <c r="L636" s="635">
        <f>IFERROR(VLOOKUP($B636,'Info planes y paquetes'!$A$471:$G$579,6,FALSE),"")</f>
        <v>367.29</v>
      </c>
      <c r="M636" s="635"/>
    </row>
    <row r="637" spans="2:13" s="262" customFormat="1" ht="12" outlineLevel="2" x14ac:dyDescent="0.25">
      <c r="B637" s="579" t="str">
        <f t="shared" si="85"/>
        <v>Paquete Infinitum  Entretenimiento 40Residencial</v>
      </c>
      <c r="C637" s="334">
        <f t="shared" si="86"/>
        <v>68</v>
      </c>
      <c r="D637" s="634" t="str">
        <f>'Info planes y paquetes'!C834</f>
        <v>Paquete Infinitum  Entretenimiento 40</v>
      </c>
      <c r="E637" s="575" t="str">
        <f>'Info planes y paquetes'!D834</f>
        <v>Residencial</v>
      </c>
      <c r="F637" s="575" t="str">
        <f>'Info planes y paquetes'!E834</f>
        <v>Telefonía fija + Internet fijo</v>
      </c>
      <c r="G637" s="263" t="str">
        <f t="shared" si="82"/>
        <v>40 Mbps</v>
      </c>
      <c r="H637" s="280">
        <f>IFERROR(VLOOKUP($B637,'Info planes y paquetes'!$A$767:$L$874,10,FALSE),"")+IFERROR(VLOOKUP($B637,'Info planes y paquetes'!$A$767:$M$874,12,FALSE),"")</f>
        <v>7218</v>
      </c>
      <c r="I637" s="280">
        <f>IFERROR(VLOOKUP($B637,'Info planes y paquetes'!$A$767:$M$874,11,FALSE),"")</f>
        <v>39753</v>
      </c>
      <c r="J637" s="238">
        <f t="shared" si="83"/>
        <v>1.7304771110957674E-3</v>
      </c>
      <c r="K637" s="238">
        <f t="shared" si="84"/>
        <v>7.0224274991286667E-3</v>
      </c>
      <c r="L637" s="635">
        <f>IFERROR(VLOOKUP($B637,'Info planes y paquetes'!$A$471:$G$579,6,FALSE),"")</f>
        <v>388.4</v>
      </c>
      <c r="M637" s="635"/>
    </row>
    <row r="638" spans="2:13" s="262" customFormat="1" ht="12" outlineLevel="2" x14ac:dyDescent="0.25">
      <c r="B638" s="579" t="str">
        <f t="shared" si="85"/>
        <v>Paquete Infinitum Entretenimiento 50Residencial</v>
      </c>
      <c r="C638" s="334">
        <f t="shared" si="86"/>
        <v>69</v>
      </c>
      <c r="D638" s="634" t="str">
        <f>'Info planes y paquetes'!C835</f>
        <v>Paquete Infinitum Entretenimiento 50</v>
      </c>
      <c r="E638" s="575" t="str">
        <f>'Info planes y paquetes'!D835</f>
        <v>Residencial</v>
      </c>
      <c r="F638" s="575" t="str">
        <f>'Info planes y paquetes'!E835</f>
        <v>Telefonía fija + Internet fijo</v>
      </c>
      <c r="G638" s="263" t="str">
        <f t="shared" si="82"/>
        <v>50 Mbps</v>
      </c>
      <c r="H638" s="280">
        <f>IFERROR(VLOOKUP($B638,'Info planes y paquetes'!$A$767:$L$874,10,FALSE),"")+IFERROR(VLOOKUP($B638,'Info planes y paquetes'!$A$767:$M$874,12,FALSE),"")</f>
        <v>4131</v>
      </c>
      <c r="I638" s="280">
        <f>IFERROR(VLOOKUP($B638,'Info planes y paquetes'!$A$767:$M$874,11,FALSE),"")</f>
        <v>23463</v>
      </c>
      <c r="J638" s="238">
        <f t="shared" si="83"/>
        <v>9.9038527929296407E-4</v>
      </c>
      <c r="K638" s="238">
        <f t="shared" si="84"/>
        <v>4.1447743921730661E-3</v>
      </c>
      <c r="L638" s="635">
        <f>IFERROR(VLOOKUP($B638,'Info planes y paquetes'!$A$471:$G$579,6,FALSE),"")</f>
        <v>463.54</v>
      </c>
      <c r="M638" s="635"/>
    </row>
    <row r="639" spans="2:13" s="262" customFormat="1" ht="12" outlineLevel="2" x14ac:dyDescent="0.25">
      <c r="B639" s="579" t="str">
        <f t="shared" si="85"/>
        <v>Paquete Infinitum Entretenimiento 250Residencial</v>
      </c>
      <c r="C639" s="334">
        <f t="shared" si="86"/>
        <v>70</v>
      </c>
      <c r="D639" s="634" t="str">
        <f>'Info planes y paquetes'!C836</f>
        <v>Paquete Infinitum Entretenimiento 250</v>
      </c>
      <c r="E639" s="575" t="str">
        <f>'Info planes y paquetes'!D836</f>
        <v>Residencial</v>
      </c>
      <c r="F639" s="575" t="str">
        <f>'Info planes y paquetes'!E836</f>
        <v>Telefonía fija + Internet fijo</v>
      </c>
      <c r="G639" s="263" t="str">
        <f t="shared" si="82"/>
        <v>250 Mbps</v>
      </c>
      <c r="H639" s="280">
        <f>IFERROR(VLOOKUP($B639,'Info planes y paquetes'!$A$767:$L$874,10,FALSE),"")+IFERROR(VLOOKUP($B639,'Info planes y paquetes'!$A$767:$M$874,12,FALSE),"")</f>
        <v>11902</v>
      </c>
      <c r="I639" s="280">
        <f>IFERROR(VLOOKUP($B639,'Info planes y paquetes'!$A$767:$M$874,11,FALSE),"")</f>
        <v>81548</v>
      </c>
      <c r="J639" s="238">
        <f t="shared" si="83"/>
        <v>2.8534411992604358E-3</v>
      </c>
      <c r="K639" s="238">
        <f t="shared" si="84"/>
        <v>1.4405577382812479E-2</v>
      </c>
      <c r="L639" s="635">
        <f>IFERROR(VLOOKUP($B639,'Info planes y paquetes'!$A$471:$G$579,6,FALSE),"")</f>
        <v>607.08000000000004</v>
      </c>
      <c r="M639" s="635"/>
    </row>
    <row r="640" spans="2:13" s="262" customFormat="1" ht="12" outlineLevel="2" x14ac:dyDescent="0.25">
      <c r="B640" s="579" t="str">
        <f t="shared" si="85"/>
        <v>Paquete Infinitum Entretenimiento 500Residencial</v>
      </c>
      <c r="C640" s="334">
        <f t="shared" si="86"/>
        <v>71</v>
      </c>
      <c r="D640" s="634" t="str">
        <f>'Info planes y paquetes'!C837</f>
        <v>Paquete Infinitum Entretenimiento 500</v>
      </c>
      <c r="E640" s="575" t="str">
        <f>'Info planes y paquetes'!D837</f>
        <v>Residencial</v>
      </c>
      <c r="F640" s="575" t="str">
        <f>'Info planes y paquetes'!E837</f>
        <v>Telefonía fija + Internet fijo</v>
      </c>
      <c r="G640" s="263" t="str">
        <f t="shared" si="82"/>
        <v>500 Mbps</v>
      </c>
      <c r="H640" s="280">
        <f>IFERROR(VLOOKUP($B640,'Info planes y paquetes'!$A$767:$L$874,10,FALSE),"")+IFERROR(VLOOKUP($B640,'Info planes y paquetes'!$A$767:$M$874,12,FALSE),"")</f>
        <v>270</v>
      </c>
      <c r="I640" s="280">
        <f>IFERROR(VLOOKUP($B640,'Info planes y paquetes'!$A$767:$M$874,11,FALSE),"")</f>
        <v>10614</v>
      </c>
      <c r="J640" s="238">
        <f t="shared" si="83"/>
        <v>6.4731064006076088E-5</v>
      </c>
      <c r="K640" s="238">
        <f t="shared" si="84"/>
        <v>1.8749791330403157E-3</v>
      </c>
      <c r="L640" s="635">
        <f>IFERROR(VLOOKUP($B640,'Info planes y paquetes'!$A$471:$G$579,6,FALSE),"")</f>
        <v>1037.69</v>
      </c>
      <c r="M640" s="635"/>
    </row>
    <row r="641" spans="2:13" s="262" customFormat="1" ht="12" outlineLevel="2" x14ac:dyDescent="0.25">
      <c r="B641" s="579" t="str">
        <f t="shared" si="85"/>
        <v>Infinitum Entretenimiento 30Residencial</v>
      </c>
      <c r="C641" s="334">
        <f t="shared" si="86"/>
        <v>72</v>
      </c>
      <c r="D641" s="634" t="str">
        <f>'Info planes y paquetes'!C838</f>
        <v>Infinitum Entretenimiento 30</v>
      </c>
      <c r="E641" s="575" t="str">
        <f>'Info planes y paquetes'!D838</f>
        <v>Residencial</v>
      </c>
      <c r="F641" s="575" t="str">
        <f>'Info planes y paquetes'!E838</f>
        <v>Internet fijo</v>
      </c>
      <c r="G641" s="263" t="str">
        <f t="shared" si="82"/>
        <v>30 Mbps</v>
      </c>
      <c r="H641" s="280">
        <f>IFERROR(VLOOKUP($B641,'Info planes y paquetes'!$A$767:$L$874,10,FALSE),"")+IFERROR(VLOOKUP($B641,'Info planes y paquetes'!$A$767:$M$874,12,FALSE),"")</f>
        <v>34237</v>
      </c>
      <c r="I641" s="280">
        <f>IFERROR(VLOOKUP($B641,'Info planes y paquetes'!$A$767:$M$874,11,FALSE),"")</f>
        <v>42409</v>
      </c>
      <c r="J641" s="238">
        <f t="shared" si="83"/>
        <v>8.2081386606519518E-3</v>
      </c>
      <c r="K641" s="238">
        <f t="shared" si="84"/>
        <v>7.4916139111651349E-3</v>
      </c>
      <c r="L641" s="635">
        <f>IFERROR(VLOOKUP($B641,'Info planes y paquetes'!$A$471:$G$579,6,FALSE),"")</f>
        <v>322.41000000000003</v>
      </c>
      <c r="M641" s="635"/>
    </row>
    <row r="642" spans="2:13" s="262" customFormat="1" ht="12" outlineLevel="2" x14ac:dyDescent="0.25">
      <c r="B642" s="579" t="str">
        <f t="shared" si="85"/>
        <v>Infinitum Entretenimiento 40Residencial</v>
      </c>
      <c r="C642" s="334">
        <f t="shared" si="86"/>
        <v>73</v>
      </c>
      <c r="D642" s="634" t="str">
        <f>'Info planes y paquetes'!C839</f>
        <v>Infinitum Entretenimiento 40</v>
      </c>
      <c r="E642" s="575" t="str">
        <f>'Info planes y paquetes'!D839</f>
        <v>Residencial</v>
      </c>
      <c r="F642" s="575" t="str">
        <f>'Info planes y paquetes'!E839</f>
        <v>Internet fijo</v>
      </c>
      <c r="G642" s="263" t="str">
        <f t="shared" si="82"/>
        <v>40 Mbps</v>
      </c>
      <c r="H642" s="280">
        <f>IFERROR(VLOOKUP($B642,'Info planes y paquetes'!$A$767:$L$874,10,FALSE),"")+IFERROR(VLOOKUP($B642,'Info planes y paquetes'!$A$767:$M$874,12,FALSE),"")</f>
        <v>5285</v>
      </c>
      <c r="I642" s="280">
        <f>IFERROR(VLOOKUP($B642,'Info planes y paquetes'!$A$767:$M$874,11,FALSE),"")</f>
        <v>24760</v>
      </c>
      <c r="J642" s="238">
        <f t="shared" si="83"/>
        <v>1.2670506417485634E-3</v>
      </c>
      <c r="K642" s="238">
        <f t="shared" si="84"/>
        <v>4.3738914013640674E-3</v>
      </c>
      <c r="L642" s="635">
        <f>IFERROR(VLOOKUP($B642,'Info planes y paquetes'!$A$471:$G$579,6,FALSE),"")</f>
        <v>365.52</v>
      </c>
      <c r="M642" s="635"/>
    </row>
    <row r="643" spans="2:13" s="262" customFormat="1" ht="12" outlineLevel="2" x14ac:dyDescent="0.25">
      <c r="B643" s="579" t="str">
        <f t="shared" si="85"/>
        <v>Infinitum Entretenimiento 120Residencial</v>
      </c>
      <c r="C643" s="334">
        <f t="shared" si="86"/>
        <v>74</v>
      </c>
      <c r="D643" s="634" t="str">
        <f>'Info planes y paquetes'!C840</f>
        <v>Infinitum Entretenimiento 120</v>
      </c>
      <c r="E643" s="575" t="str">
        <f>'Info planes y paquetes'!D840</f>
        <v>Residencial</v>
      </c>
      <c r="F643" s="575" t="str">
        <f>'Info planes y paquetes'!E840</f>
        <v>Internet fijo</v>
      </c>
      <c r="G643" s="263" t="str">
        <f t="shared" si="82"/>
        <v>200 Mbps</v>
      </c>
      <c r="H643" s="280">
        <f>IFERROR(VLOOKUP($B643,'Info planes y paquetes'!$A$767:$L$874,10,FALSE),"")+IFERROR(VLOOKUP($B643,'Info planes y paquetes'!$A$767:$M$874,12,FALSE),"")</f>
        <v>1</v>
      </c>
      <c r="I643" s="280">
        <f>IFERROR(VLOOKUP($B643,'Info planes y paquetes'!$A$767:$M$874,11,FALSE),"")</f>
        <v>452</v>
      </c>
      <c r="J643" s="238">
        <f t="shared" si="83"/>
        <v>2.3974468150398549E-7</v>
      </c>
      <c r="K643" s="238">
        <f t="shared" si="84"/>
        <v>7.9846482771266507E-5</v>
      </c>
      <c r="L643" s="635" t="str">
        <f>IFERROR(VLOOKUP($B643,'Info planes y paquetes'!$A$471:$G$579,6,FALSE),"")</f>
        <v/>
      </c>
      <c r="M643" s="635"/>
    </row>
    <row r="644" spans="2:13" s="262" customFormat="1" ht="12" outlineLevel="2" x14ac:dyDescent="0.25">
      <c r="B644" s="579" t="str">
        <f t="shared" si="85"/>
        <v>Infinitum Entretenimiento 200Residencial</v>
      </c>
      <c r="C644" s="334">
        <f t="shared" si="86"/>
        <v>75</v>
      </c>
      <c r="D644" s="634" t="str">
        <f>'Info planes y paquetes'!C841</f>
        <v>Infinitum Entretenimiento 200</v>
      </c>
      <c r="E644" s="575" t="str">
        <f>'Info planes y paquetes'!D841</f>
        <v>Residencial</v>
      </c>
      <c r="F644" s="575" t="str">
        <f>'Info planes y paquetes'!E841</f>
        <v>Internet fijo</v>
      </c>
      <c r="G644" s="263" t="str">
        <f t="shared" si="82"/>
        <v>500 Mbps</v>
      </c>
      <c r="H644" s="280">
        <f>IFERROR(VLOOKUP($B644,'Info planes y paquetes'!$A$767:$L$874,10,FALSE),"")+IFERROR(VLOOKUP($B644,'Info planes y paquetes'!$A$767:$M$874,12,FALSE),"")</f>
        <v>297</v>
      </c>
      <c r="I644" s="280">
        <f>IFERROR(VLOOKUP($B644,'Info planes y paquetes'!$A$767:$M$874,11,FALSE),"")</f>
        <v>19724</v>
      </c>
      <c r="J644" s="238">
        <f t="shared" si="83"/>
        <v>7.1204170406683696E-5</v>
      </c>
      <c r="K644" s="238">
        <f t="shared" si="84"/>
        <v>3.4842743942045586E-3</v>
      </c>
      <c r="L644" s="635">
        <f>IFERROR(VLOOKUP($B644,'Info planes y paquetes'!$A$471:$G$579,6,FALSE),"")</f>
        <v>585.34</v>
      </c>
      <c r="M644" s="635"/>
    </row>
    <row r="645" spans="2:13" s="262" customFormat="1" ht="12" outlineLevel="2" x14ac:dyDescent="0.25">
      <c r="B645" s="579" t="str">
        <f t="shared" si="85"/>
        <v>Infinitum Entretenimiento 500Residencial</v>
      </c>
      <c r="C645" s="334">
        <f t="shared" si="86"/>
        <v>76</v>
      </c>
      <c r="D645" s="634" t="str">
        <f>'Info planes y paquetes'!C842</f>
        <v>Infinitum Entretenimiento 500</v>
      </c>
      <c r="E645" s="575" t="str">
        <f>'Info planes y paquetes'!D842</f>
        <v>Residencial</v>
      </c>
      <c r="F645" s="575" t="str">
        <f>'Info planes y paquetes'!E842</f>
        <v>Internet fijo</v>
      </c>
      <c r="G645" s="263" t="str">
        <f t="shared" si="82"/>
        <v>30 Mbps</v>
      </c>
      <c r="H645" s="280">
        <f>IFERROR(VLOOKUP($B645,'Info planes y paquetes'!$A$767:$L$874,10,FALSE),"")+IFERROR(VLOOKUP($B645,'Info planes y paquetes'!$A$767:$M$874,12,FALSE),"")</f>
        <v>4</v>
      </c>
      <c r="I645" s="280">
        <f>IFERROR(VLOOKUP($B645,'Info planes y paquetes'!$A$767:$M$874,11,FALSE),"")</f>
        <v>2657</v>
      </c>
      <c r="J645" s="238">
        <f t="shared" si="83"/>
        <v>9.5897872601594197E-7</v>
      </c>
      <c r="K645" s="238">
        <f t="shared" si="84"/>
        <v>4.6936306354702456E-4</v>
      </c>
      <c r="L645" s="635">
        <f>IFERROR(VLOOKUP($B645,'Info planes y paquetes'!$A$471:$G$579,6,FALSE),"")</f>
        <v>973.28</v>
      </c>
      <c r="M645" s="635"/>
    </row>
    <row r="646" spans="2:13" s="262" customFormat="1" ht="12" outlineLevel="2" x14ac:dyDescent="0.25">
      <c r="B646" s="579" t="str">
        <f t="shared" si="85"/>
        <v>Paquete infinitum Entretenimiento+ 30  (Netflix 1 dispositivo)Residencial</v>
      </c>
      <c r="C646" s="334">
        <f t="shared" si="86"/>
        <v>77</v>
      </c>
      <c r="D646" s="634" t="str">
        <f>'Info planes y paquetes'!C843</f>
        <v>Paquete infinitum Entretenimiento+ 30  (Netflix 1 dispositivo)</v>
      </c>
      <c r="E646" s="575" t="str">
        <f>'Info planes y paquetes'!D843</f>
        <v>Residencial</v>
      </c>
      <c r="F646" s="575" t="str">
        <f>'Info planes y paquetes'!E843</f>
        <v>Telefonía fija + Internet fijo</v>
      </c>
      <c r="G646" s="263" t="str">
        <f t="shared" si="82"/>
        <v>30 Mbps</v>
      </c>
      <c r="H646" s="280">
        <f>IFERROR(VLOOKUP($B646,'Info planes y paquetes'!$A$767:$L$874,10,FALSE),"")+IFERROR(VLOOKUP($B646,'Info planes y paquetes'!$A$767:$M$874,12,FALSE),"")</f>
        <v>16407</v>
      </c>
      <c r="I646" s="280">
        <f>IFERROR(VLOOKUP($B646,'Info planes y paquetes'!$A$767:$M$874,11,FALSE),"")</f>
        <v>22644</v>
      </c>
      <c r="J646" s="238">
        <f t="shared" si="83"/>
        <v>3.9334909894358904E-3</v>
      </c>
      <c r="K646" s="238">
        <f t="shared" si="84"/>
        <v>4.0000968050277847E-3</v>
      </c>
      <c r="L646" s="635">
        <f>IFERROR(VLOOKUP($B646,'Info planes y paquetes'!$A$471:$G$579,6,FALSE),"")</f>
        <v>453.34</v>
      </c>
      <c r="M646" s="635"/>
    </row>
    <row r="647" spans="2:13" s="262" customFormat="1" ht="12" outlineLevel="2" x14ac:dyDescent="0.25">
      <c r="B647" s="579" t="str">
        <f t="shared" si="85"/>
        <v>Paquete infinitum Entretenimiento+ 30  (Netflix 2 dispositivos)Residencial</v>
      </c>
      <c r="C647" s="334">
        <f t="shared" si="86"/>
        <v>78</v>
      </c>
      <c r="D647" s="634" t="str">
        <f>'Info planes y paquetes'!C844</f>
        <v>Paquete infinitum Entretenimiento+ 30  (Netflix 2 dispositivos)</v>
      </c>
      <c r="E647" s="575" t="str">
        <f>'Info planes y paquetes'!D844</f>
        <v>Residencial</v>
      </c>
      <c r="F647" s="575" t="str">
        <f>'Info planes y paquetes'!E844</f>
        <v>Telefonía fija + Internet fijo</v>
      </c>
      <c r="G647" s="263" t="str">
        <f t="shared" si="82"/>
        <v>30 Mbps</v>
      </c>
      <c r="H647" s="280">
        <f>IFERROR(VLOOKUP($B647,'Info planes y paquetes'!$A$767:$L$874,10,FALSE),"")+IFERROR(VLOOKUP($B647,'Info planes y paquetes'!$A$767:$M$874,12,FALSE),"")</f>
        <v>22075</v>
      </c>
      <c r="I647" s="280">
        <f>IFERROR(VLOOKUP($B647,'Info planes y paquetes'!$A$767:$M$874,11,FALSE),"")</f>
        <v>17936</v>
      </c>
      <c r="J647" s="238">
        <f t="shared" si="83"/>
        <v>5.2923638442004799E-3</v>
      </c>
      <c r="K647" s="238">
        <f t="shared" si="84"/>
        <v>3.1684214933306106E-3</v>
      </c>
      <c r="L647" s="635">
        <f>IFERROR(VLOOKUP($B647,'Info planes y paquetes'!$A$471:$G$579,6,FALSE),"")</f>
        <v>520.61</v>
      </c>
      <c r="M647" s="635"/>
    </row>
    <row r="648" spans="2:13" s="262" customFormat="1" ht="12" outlineLevel="2" x14ac:dyDescent="0.25">
      <c r="B648" s="579" t="str">
        <f t="shared" si="85"/>
        <v>Paquete infinitum Entretenimiento+ 30  (Netflix 4 dispositivos)Residencial</v>
      </c>
      <c r="C648" s="334">
        <f t="shared" si="86"/>
        <v>79</v>
      </c>
      <c r="D648" s="634" t="str">
        <f>'Info planes y paquetes'!C845</f>
        <v>Paquete infinitum Entretenimiento+ 30  (Netflix 4 dispositivos)</v>
      </c>
      <c r="E648" s="575" t="str">
        <f>'Info planes y paquetes'!D845</f>
        <v>Residencial</v>
      </c>
      <c r="F648" s="575" t="str">
        <f>'Info planes y paquetes'!E845</f>
        <v>Telefonía fija + Internet fijo</v>
      </c>
      <c r="G648" s="263" t="str">
        <f t="shared" si="82"/>
        <v>70 Mbps</v>
      </c>
      <c r="H648" s="280">
        <f>IFERROR(VLOOKUP($B648,'Info planes y paquetes'!$A$767:$L$874,10,FALSE),"")+IFERROR(VLOOKUP($B648,'Info planes y paquetes'!$A$767:$M$874,12,FALSE),"")</f>
        <v>15878</v>
      </c>
      <c r="I648" s="280">
        <f>IFERROR(VLOOKUP($B648,'Info planes y paquetes'!$A$767:$M$874,11,FALSE),"")</f>
        <v>11134</v>
      </c>
      <c r="J648" s="238">
        <f t="shared" si="83"/>
        <v>3.8066660529202821E-3</v>
      </c>
      <c r="K648" s="238">
        <f t="shared" si="84"/>
        <v>1.9668379185293831E-3</v>
      </c>
      <c r="L648" s="635">
        <f>IFERROR(VLOOKUP($B648,'Info planes y paquetes'!$A$471:$G$579,6,FALSE),"")</f>
        <v>589.58000000000004</v>
      </c>
      <c r="M648" s="635"/>
    </row>
    <row r="649" spans="2:13" s="262" customFormat="1" ht="12" outlineLevel="2" x14ac:dyDescent="0.25">
      <c r="B649" s="579" t="str">
        <f t="shared" si="85"/>
        <v>Paquete Infinitum Entretenimiento+ 70   (Netflix 2 dispositivos)Residencial</v>
      </c>
      <c r="C649" s="334">
        <f t="shared" si="86"/>
        <v>80</v>
      </c>
      <c r="D649" s="634" t="str">
        <f>'Info planes y paquetes'!C846</f>
        <v>Paquete Infinitum Entretenimiento+ 70   (Netflix 2 dispositivos)</v>
      </c>
      <c r="E649" s="575" t="str">
        <f>'Info planes y paquetes'!D846</f>
        <v>Residencial</v>
      </c>
      <c r="F649" s="575" t="str">
        <f>'Info planes y paquetes'!E846</f>
        <v>Telefonía fija + Internet fijo</v>
      </c>
      <c r="G649" s="263" t="str">
        <f t="shared" si="82"/>
        <v>70 Mbps</v>
      </c>
      <c r="H649" s="280">
        <f>IFERROR(VLOOKUP($B649,'Info planes y paquetes'!$A$767:$L$874,10,FALSE),"")+IFERROR(VLOOKUP($B649,'Info planes y paquetes'!$A$767:$M$874,12,FALSE),"")</f>
        <v>1887</v>
      </c>
      <c r="I649" s="280">
        <f>IFERROR(VLOOKUP($B649,'Info planes y paquetes'!$A$767:$M$874,11,FALSE),"")</f>
        <v>7728</v>
      </c>
      <c r="J649" s="238">
        <f t="shared" si="83"/>
        <v>4.5239821399802065E-4</v>
      </c>
      <c r="K649" s="238">
        <f t="shared" si="84"/>
        <v>1.36516287357599E-3</v>
      </c>
      <c r="L649" s="635">
        <f>IFERROR(VLOOKUP($B649,'Info planes y paquetes'!$A$471:$G$579,6,FALSE),"")</f>
        <v>554.39</v>
      </c>
      <c r="M649" s="635"/>
    </row>
    <row r="650" spans="2:13" s="262" customFormat="1" ht="12" outlineLevel="2" x14ac:dyDescent="0.25">
      <c r="B650" s="579" t="str">
        <f t="shared" si="85"/>
        <v>Paquete Infinitum Entretenimiento+ 70   (Netflix 4 dispositivos)Residencial</v>
      </c>
      <c r="C650" s="334">
        <f t="shared" si="86"/>
        <v>81</v>
      </c>
      <c r="D650" s="634" t="str">
        <f>'Info planes y paquetes'!C847</f>
        <v>Paquete Infinitum Entretenimiento+ 70   (Netflix 4 dispositivos)</v>
      </c>
      <c r="E650" s="575" t="str">
        <f>'Info planes y paquetes'!D847</f>
        <v>Residencial</v>
      </c>
      <c r="F650" s="575" t="str">
        <f>'Info planes y paquetes'!E847</f>
        <v>Telefonía fija + Internet fijo</v>
      </c>
      <c r="G650" s="263" t="str">
        <f t="shared" si="82"/>
        <v>120 Mbps</v>
      </c>
      <c r="H650" s="280">
        <f>IFERROR(VLOOKUP($B650,'Info planes y paquetes'!$A$767:$L$874,10,FALSE),"")+IFERROR(VLOOKUP($B650,'Info planes y paquetes'!$A$767:$M$874,12,FALSE),"")</f>
        <v>1619</v>
      </c>
      <c r="I650" s="280">
        <f>IFERROR(VLOOKUP($B650,'Info planes y paquetes'!$A$767:$M$874,11,FALSE),"")</f>
        <v>3618</v>
      </c>
      <c r="J650" s="238">
        <f t="shared" si="83"/>
        <v>3.8814663935495257E-4</v>
      </c>
      <c r="K650" s="238">
        <f t="shared" si="84"/>
        <v>6.3912516519124376E-4</v>
      </c>
      <c r="L650" s="635">
        <f>IFERROR(VLOOKUP($B650,'Info planes y paquetes'!$A$471:$G$579,6,FALSE),"")</f>
        <v>623.36</v>
      </c>
      <c r="M650" s="635"/>
    </row>
    <row r="651" spans="2:13" s="262" customFormat="1" ht="12" outlineLevel="2" x14ac:dyDescent="0.25">
      <c r="B651" s="579" t="str">
        <f t="shared" si="85"/>
        <v>Paquete Infinitum Entretenimiento+ 120    (Netflix 2 dispositivos)Residencial</v>
      </c>
      <c r="C651" s="334">
        <f t="shared" si="86"/>
        <v>82</v>
      </c>
      <c r="D651" s="634" t="str">
        <f>'Info planes y paquetes'!C848</f>
        <v>Paquete Infinitum Entretenimiento+ 120    (Netflix 2 dispositivos)</v>
      </c>
      <c r="E651" s="575" t="str">
        <f>'Info planes y paquetes'!D848</f>
        <v>Residencial</v>
      </c>
      <c r="F651" s="575" t="str">
        <f>'Info planes y paquetes'!E848</f>
        <v>Telefonía fija + Internet fijo</v>
      </c>
      <c r="G651" s="263" t="str">
        <f t="shared" si="82"/>
        <v>120 Mbps</v>
      </c>
      <c r="H651" s="280">
        <f>IFERROR(VLOOKUP($B651,'Info planes y paquetes'!$A$767:$L$874,10,FALSE),"")+IFERROR(VLOOKUP($B651,'Info planes y paquetes'!$A$767:$M$874,12,FALSE),"")</f>
        <v>627</v>
      </c>
      <c r="I651" s="280">
        <f>IFERROR(VLOOKUP($B651,'Info planes y paquetes'!$A$767:$M$874,11,FALSE),"")</f>
        <v>4250</v>
      </c>
      <c r="J651" s="238">
        <f t="shared" si="83"/>
        <v>1.5031991530299892E-4</v>
      </c>
      <c r="K651" s="238">
        <f t="shared" si="84"/>
        <v>7.5076891986257215E-4</v>
      </c>
      <c r="L651" s="635">
        <f>IFERROR(VLOOKUP($B651,'Info planes y paquetes'!$A$471:$G$579,6,FALSE),"")</f>
        <v>627</v>
      </c>
      <c r="M651" s="635"/>
    </row>
    <row r="652" spans="2:13" s="262" customFormat="1" ht="12" outlineLevel="2" x14ac:dyDescent="0.25">
      <c r="B652" s="579" t="str">
        <f t="shared" si="85"/>
        <v>Paquete Infinitum Entretenimiento+ 120    (Netflix 4 dispositivos)Residencial</v>
      </c>
      <c r="C652" s="334">
        <f t="shared" si="86"/>
        <v>83</v>
      </c>
      <c r="D652" s="634" t="str">
        <f>'Info planes y paquetes'!C849</f>
        <v>Paquete Infinitum Entretenimiento+ 120    (Netflix 4 dispositivos)</v>
      </c>
      <c r="E652" s="575" t="str">
        <f>'Info planes y paquetes'!D849</f>
        <v>Residencial</v>
      </c>
      <c r="F652" s="575" t="str">
        <f>'Info planes y paquetes'!E849</f>
        <v>Telefonía fija + Internet fijo</v>
      </c>
      <c r="G652" s="263" t="str">
        <f t="shared" si="82"/>
        <v>200 Mbps</v>
      </c>
      <c r="H652" s="280">
        <f>IFERROR(VLOOKUP($B652,'Info planes y paquetes'!$A$767:$L$874,10,FALSE),"")+IFERROR(VLOOKUP($B652,'Info planes y paquetes'!$A$767:$M$874,12,FALSE),"")</f>
        <v>576</v>
      </c>
      <c r="I652" s="280">
        <f>IFERROR(VLOOKUP($B652,'Info planes y paquetes'!$A$767:$M$874,11,FALSE),"")</f>
        <v>3187</v>
      </c>
      <c r="J652" s="238">
        <f t="shared" si="83"/>
        <v>1.3809293654629565E-4</v>
      </c>
      <c r="K652" s="238">
        <f t="shared" si="84"/>
        <v>5.6298836414165124E-4</v>
      </c>
      <c r="L652" s="635">
        <f>IFERROR(VLOOKUP($B652,'Info planes y paquetes'!$A$471:$G$579,6,FALSE),"")</f>
        <v>695.13</v>
      </c>
      <c r="M652" s="635"/>
    </row>
    <row r="653" spans="2:13" s="262" customFormat="1" ht="12" outlineLevel="2" x14ac:dyDescent="0.25">
      <c r="B653" s="579" t="str">
        <f t="shared" si="85"/>
        <v>Paquete infinitum Entretenimiento+ 200  (Netflix 4 dispositivos)Residencial</v>
      </c>
      <c r="C653" s="334">
        <f t="shared" si="86"/>
        <v>84</v>
      </c>
      <c r="D653" s="634" t="str">
        <f>'Info planes y paquetes'!C850</f>
        <v>Paquete infinitum Entretenimiento+ 200  (Netflix 4 dispositivos)</v>
      </c>
      <c r="E653" s="575" t="str">
        <f>'Info planes y paquetes'!D850</f>
        <v>Residencial</v>
      </c>
      <c r="F653" s="575" t="str">
        <f>'Info planes y paquetes'!E850</f>
        <v>Telefonía fija + Internet fijo</v>
      </c>
      <c r="G653" s="263" t="str">
        <f t="shared" si="82"/>
        <v>200 Mbps</v>
      </c>
      <c r="H653" s="280">
        <f>IFERROR(VLOOKUP($B653,'Info planes y paquetes'!$A$767:$L$874,10,FALSE),"")+IFERROR(VLOOKUP($B653,'Info planes y paquetes'!$A$767:$M$874,12,FALSE),"")</f>
        <v>258</v>
      </c>
      <c r="I653" s="280">
        <f>IFERROR(VLOOKUP($B653,'Info planes y paquetes'!$A$767:$M$874,11,FALSE),"")</f>
        <v>18778</v>
      </c>
      <c r="J653" s="238">
        <f t="shared" si="83"/>
        <v>6.1854127828028267E-5</v>
      </c>
      <c r="K653" s="238">
        <f t="shared" si="84"/>
        <v>3.3171620652186779E-3</v>
      </c>
      <c r="L653" s="635">
        <f>IFERROR(VLOOKUP($B653,'Info planes y paquetes'!$A$471:$G$579,6,FALSE),"")</f>
        <v>789.11</v>
      </c>
      <c r="M653" s="635"/>
    </row>
    <row r="654" spans="2:13" s="262" customFormat="1" ht="12" outlineLevel="2" x14ac:dyDescent="0.25">
      <c r="B654" s="579" t="str">
        <f t="shared" si="85"/>
        <v>Paquete infinitum Entretenimiento+ 200  (Netflix 2 dispositivos)Residencial</v>
      </c>
      <c r="C654" s="334">
        <f t="shared" si="86"/>
        <v>85</v>
      </c>
      <c r="D654" s="634" t="str">
        <f>'Info planes y paquetes'!C851</f>
        <v>Paquete infinitum Entretenimiento+ 200  (Netflix 2 dispositivos)</v>
      </c>
      <c r="E654" s="575" t="str">
        <f>'Info planes y paquetes'!D851</f>
        <v>Residencial</v>
      </c>
      <c r="F654" s="575" t="str">
        <f>'Info planes y paquetes'!E851</f>
        <v>Telefonía fija + Internet fijo</v>
      </c>
      <c r="G654" s="263" t="str">
        <f t="shared" si="82"/>
        <v>500 Mbps</v>
      </c>
      <c r="H654" s="280">
        <f>IFERROR(VLOOKUP($B654,'Info planes y paquetes'!$A$767:$L$874,10,FALSE),"")+IFERROR(VLOOKUP($B654,'Info planes y paquetes'!$A$767:$M$874,12,FALSE),"")</f>
        <v>178</v>
      </c>
      <c r="I654" s="280">
        <f>IFERROR(VLOOKUP($B654,'Info planes y paquetes'!$A$767:$M$874,11,FALSE),"")</f>
        <v>3497</v>
      </c>
      <c r="J654" s="238">
        <f t="shared" si="83"/>
        <v>4.2674553307709422E-5</v>
      </c>
      <c r="K654" s="238">
        <f t="shared" si="84"/>
        <v>6.1775033241397994E-4</v>
      </c>
      <c r="L654" s="635">
        <f>IFERROR(VLOOKUP($B654,'Info planes y paquetes'!$A$471:$G$579,6,FALSE),"")</f>
        <v>746.49</v>
      </c>
      <c r="M654" s="635"/>
    </row>
    <row r="655" spans="2:13" s="262" customFormat="1" ht="12" outlineLevel="2" x14ac:dyDescent="0.25">
      <c r="B655" s="579" t="str">
        <f t="shared" si="85"/>
        <v>Paquete infinitum Entretenimiento+ 500 (Netflix 4 dispositivos)Residencial</v>
      </c>
      <c r="C655" s="334">
        <f t="shared" si="86"/>
        <v>86</v>
      </c>
      <c r="D655" s="634" t="str">
        <f>'Info planes y paquetes'!C852</f>
        <v>Paquete infinitum Entretenimiento+ 500 (Netflix 4 dispositivos)</v>
      </c>
      <c r="E655" s="575" t="str">
        <f>'Info planes y paquetes'!D852</f>
        <v>Residencial</v>
      </c>
      <c r="F655" s="575" t="str">
        <f>'Info planes y paquetes'!E852</f>
        <v>Telefonía fija + Internet fijo</v>
      </c>
      <c r="G655" s="263" t="str">
        <f t="shared" si="82"/>
        <v>500 Mbps</v>
      </c>
      <c r="H655" s="280">
        <f>IFERROR(VLOOKUP($B655,'Info planes y paquetes'!$A$767:$L$874,10,FALSE),"")+IFERROR(VLOOKUP($B655,'Info planes y paquetes'!$A$767:$M$874,12,FALSE),"")</f>
        <v>1</v>
      </c>
      <c r="I655" s="280">
        <f>IFERROR(VLOOKUP($B655,'Info planes y paquetes'!$A$767:$M$874,11,FALSE),"")</f>
        <v>1491</v>
      </c>
      <c r="J655" s="238">
        <f t="shared" si="83"/>
        <v>2.3974468150398549E-7</v>
      </c>
      <c r="K655" s="238">
        <f t="shared" si="84"/>
        <v>2.6338740223884593E-4</v>
      </c>
      <c r="L655" s="635">
        <f>IFERROR(VLOOKUP($B655,'Info planes y paquetes'!$A$471:$G$579,6,FALSE),"")</f>
        <v>1231.28</v>
      </c>
      <c r="M655" s="635"/>
    </row>
    <row r="656" spans="2:13" s="262" customFormat="1" ht="12" outlineLevel="2" x14ac:dyDescent="0.25">
      <c r="B656" s="579" t="str">
        <f t="shared" si="85"/>
        <v>Paquete infinitum Entretenimiento+ 500  (Netflix 2 dispositivos)Residencial</v>
      </c>
      <c r="C656" s="334">
        <f t="shared" si="86"/>
        <v>87</v>
      </c>
      <c r="D656" s="634" t="str">
        <f>'Info planes y paquetes'!C853</f>
        <v>Paquete infinitum Entretenimiento+ 500  (Netflix 2 dispositivos)</v>
      </c>
      <c r="E656" s="575" t="str">
        <f>'Info planes y paquetes'!D853</f>
        <v>Residencial</v>
      </c>
      <c r="F656" s="575" t="str">
        <f>'Info planes y paquetes'!E853</f>
        <v>Telefonía fija + Internet fijo</v>
      </c>
      <c r="G656" s="263" t="str">
        <f t="shared" si="82"/>
        <v>30 Mbps</v>
      </c>
      <c r="H656" s="280">
        <f>IFERROR(VLOOKUP($B656,'Info planes y paquetes'!$A$767:$L$874,10,FALSE),"")+IFERROR(VLOOKUP($B656,'Info planes y paquetes'!$A$767:$M$874,12,FALSE),"")</f>
        <v>0</v>
      </c>
      <c r="I656" s="280">
        <f>IFERROR(VLOOKUP($B656,'Info planes y paquetes'!$A$767:$M$874,11,FALSE),"")</f>
        <v>309</v>
      </c>
      <c r="J656" s="238">
        <f t="shared" si="83"/>
        <v>0</v>
      </c>
      <c r="K656" s="238">
        <f t="shared" si="84"/>
        <v>5.4585316761772899E-5</v>
      </c>
      <c r="L656" s="635">
        <f>IFERROR(VLOOKUP($B656,'Info planes y paquetes'!$A$471:$G$579,6,FALSE),"")</f>
        <v>1183.42</v>
      </c>
      <c r="M656" s="635"/>
    </row>
    <row r="657" spans="2:13" s="262" customFormat="1" ht="12" outlineLevel="2" x14ac:dyDescent="0.25">
      <c r="B657" s="579" t="str">
        <f t="shared" si="85"/>
        <v>Infinitum Entretenimiento +30   (Netflix 1 dispositivo)Residencial</v>
      </c>
      <c r="C657" s="334">
        <f t="shared" si="86"/>
        <v>88</v>
      </c>
      <c r="D657" s="634" t="str">
        <f>'Info planes y paquetes'!C854</f>
        <v>Infinitum Entretenimiento +30   (Netflix 1 dispositivo)</v>
      </c>
      <c r="E657" s="575" t="str">
        <f>'Info planes y paquetes'!D854</f>
        <v>Residencial</v>
      </c>
      <c r="F657" s="575" t="str">
        <f>'Info planes y paquetes'!E854</f>
        <v>Internet fijo</v>
      </c>
      <c r="G657" s="263" t="str">
        <f t="shared" si="82"/>
        <v>30 Mbps</v>
      </c>
      <c r="H657" s="280">
        <f>IFERROR(VLOOKUP($B657,'Info planes y paquetes'!$A$767:$L$874,10,FALSE),"")+IFERROR(VLOOKUP($B657,'Info planes y paquetes'!$A$767:$M$874,12,FALSE),"")</f>
        <v>3413</v>
      </c>
      <c r="I657" s="280">
        <f>IFERROR(VLOOKUP($B657,'Info planes y paquetes'!$A$767:$M$874,11,FALSE),"")</f>
        <v>5040</v>
      </c>
      <c r="J657" s="238">
        <f t="shared" si="83"/>
        <v>8.1824859797310261E-4</v>
      </c>
      <c r="K657" s="238">
        <f t="shared" si="84"/>
        <v>8.9032361320173271E-4</v>
      </c>
      <c r="L657" s="635">
        <f>IFERROR(VLOOKUP($B657,'Info planes y paquetes'!$A$471:$G$579,6,FALSE),"")</f>
        <v>425.86</v>
      </c>
      <c r="M657" s="635"/>
    </row>
    <row r="658" spans="2:13" s="262" customFormat="1" ht="12" outlineLevel="2" x14ac:dyDescent="0.25">
      <c r="B658" s="579" t="str">
        <f t="shared" si="85"/>
        <v>Infinitum Entretenimiento +30   (Netflix 2 dispositivos)Residencial</v>
      </c>
      <c r="C658" s="334">
        <f t="shared" si="86"/>
        <v>89</v>
      </c>
      <c r="D658" s="634" t="str">
        <f>'Info planes y paquetes'!C855</f>
        <v>Infinitum Entretenimiento +30   (Netflix 2 dispositivos)</v>
      </c>
      <c r="E658" s="575" t="str">
        <f>'Info planes y paquetes'!D855</f>
        <v>Residencial</v>
      </c>
      <c r="F658" s="575" t="str">
        <f>'Info planes y paquetes'!E855</f>
        <v>Internet fijo</v>
      </c>
      <c r="G658" s="263" t="str">
        <f t="shared" si="82"/>
        <v>30 Mbps</v>
      </c>
      <c r="H658" s="280">
        <f>IFERROR(VLOOKUP($B658,'Info planes y paquetes'!$A$767:$L$874,10,FALSE),"")+IFERROR(VLOOKUP($B658,'Info planes y paquetes'!$A$767:$M$874,12,FALSE),"")</f>
        <v>4266</v>
      </c>
      <c r="I658" s="280">
        <f>IFERROR(VLOOKUP($B658,'Info planes y paquetes'!$A$767:$M$874,11,FALSE),"")</f>
        <v>5157</v>
      </c>
      <c r="J658" s="238">
        <f t="shared" si="83"/>
        <v>1.0227508112960022E-3</v>
      </c>
      <c r="K658" s="238">
        <f t="shared" si="84"/>
        <v>9.109918399367729E-4</v>
      </c>
      <c r="L658" s="635">
        <f>IFERROR(VLOOKUP($B658,'Info planes y paquetes'!$A$471:$G$579,6,FALSE),"")</f>
        <v>493.1</v>
      </c>
      <c r="M658" s="635"/>
    </row>
    <row r="659" spans="2:13" s="262" customFormat="1" ht="12" outlineLevel="2" x14ac:dyDescent="0.25">
      <c r="B659" s="579" t="str">
        <f t="shared" si="85"/>
        <v>Infinitum Entretenimiento +30   (Netflix 4 dispositivos)Residencial</v>
      </c>
      <c r="C659" s="334">
        <f t="shared" si="86"/>
        <v>90</v>
      </c>
      <c r="D659" s="634" t="str">
        <f>'Info planes y paquetes'!C856</f>
        <v>Infinitum Entretenimiento +30   (Netflix 4 dispositivos)</v>
      </c>
      <c r="E659" s="575" t="str">
        <f>'Info planes y paquetes'!D856</f>
        <v>Residencial</v>
      </c>
      <c r="F659" s="575" t="str">
        <f>'Info planes y paquetes'!E856</f>
        <v>Internet fijo</v>
      </c>
      <c r="G659" s="263" t="str">
        <f t="shared" si="82"/>
        <v>70 Mbps</v>
      </c>
      <c r="H659" s="280">
        <f>IFERROR(VLOOKUP($B659,'Info planes y paquetes'!$A$767:$L$874,10,FALSE),"")+IFERROR(VLOOKUP($B659,'Info planes y paquetes'!$A$767:$M$874,12,FALSE),"")</f>
        <v>2686</v>
      </c>
      <c r="I659" s="280">
        <f>IFERROR(VLOOKUP($B659,'Info planes y paquetes'!$A$767:$M$874,11,FALSE),"")</f>
        <v>2112</v>
      </c>
      <c r="J659" s="238">
        <f t="shared" si="83"/>
        <v>6.4395421451970514E-4</v>
      </c>
      <c r="K659" s="238">
        <f t="shared" si="84"/>
        <v>3.730879902940594E-4</v>
      </c>
      <c r="L659" s="635">
        <f>IFERROR(VLOOKUP($B659,'Info planes y paquetes'!$A$471:$G$579,6,FALSE),"")</f>
        <v>562.07000000000005</v>
      </c>
      <c r="M659" s="635"/>
    </row>
    <row r="660" spans="2:13" s="262" customFormat="1" ht="12" outlineLevel="2" x14ac:dyDescent="0.25">
      <c r="B660" s="579" t="str">
        <f t="shared" si="85"/>
        <v>Infinitum Entretenimiento+ 250  (Netflix 4 dispositivos)Residencial</v>
      </c>
      <c r="C660" s="334">
        <f t="shared" si="86"/>
        <v>91</v>
      </c>
      <c r="D660" s="634" t="str">
        <f>'Info planes y paquetes'!C857</f>
        <v>Infinitum Entretenimiento+ 250  (Netflix 4 dispositivos)</v>
      </c>
      <c r="E660" s="575" t="str">
        <f>'Info planes y paquetes'!D857</f>
        <v>Residencial</v>
      </c>
      <c r="F660" s="575" t="str">
        <f>'Info planes y paquetes'!E857</f>
        <v>Internet fijo</v>
      </c>
      <c r="G660" s="263" t="str">
        <f t="shared" si="82"/>
        <v>70 Mbps</v>
      </c>
      <c r="H660" s="280">
        <f>IFERROR(VLOOKUP($B660,'Info planes y paquetes'!$A$767:$L$874,10,FALSE),"")+IFERROR(VLOOKUP($B660,'Info planes y paquetes'!$A$767:$M$874,12,FALSE),"")</f>
        <v>34</v>
      </c>
      <c r="I660" s="280">
        <f>IFERROR(VLOOKUP($B660,'Info planes y paquetes'!$A$767:$M$874,11,FALSE),"")</f>
        <v>2943</v>
      </c>
      <c r="J660" s="238">
        <f t="shared" si="83"/>
        <v>8.151319171135507E-6</v>
      </c>
      <c r="K660" s="238">
        <f t="shared" si="84"/>
        <v>5.1988539556601179E-4</v>
      </c>
      <c r="L660" s="635">
        <f>IFERROR(VLOOKUP($B660,'Info planes y paquetes'!$A$471:$G$579,6,FALSE),"")</f>
        <v>786.21</v>
      </c>
      <c r="M660" s="635"/>
    </row>
    <row r="661" spans="2:13" s="262" customFormat="1" ht="12" outlineLevel="2" x14ac:dyDescent="0.25">
      <c r="B661" s="579" t="str">
        <f t="shared" si="85"/>
        <v>Infinitum Entretenimiento+ 250  (Netflix 2 dispositivos)Residencial</v>
      </c>
      <c r="C661" s="334">
        <f t="shared" si="86"/>
        <v>92</v>
      </c>
      <c r="D661" s="634" t="str">
        <f>'Info planes y paquetes'!C858</f>
        <v>Infinitum Entretenimiento+ 250  (Netflix 2 dispositivos)</v>
      </c>
      <c r="E661" s="575" t="str">
        <f>'Info planes y paquetes'!D858</f>
        <v>Residencial</v>
      </c>
      <c r="F661" s="575" t="str">
        <f>'Info planes y paquetes'!E858</f>
        <v>Internet fijo</v>
      </c>
      <c r="G661" s="263" t="str">
        <f t="shared" si="82"/>
        <v>250 Mbps</v>
      </c>
      <c r="H661" s="280">
        <f>IFERROR(VLOOKUP($B661,'Info planes y paquetes'!$A$767:$L$874,10,FALSE),"")+IFERROR(VLOOKUP($B661,'Info planes y paquetes'!$A$767:$M$874,12,FALSE),"")</f>
        <v>29</v>
      </c>
      <c r="I661" s="280">
        <f>IFERROR(VLOOKUP($B661,'Info planes y paquetes'!$A$767:$M$874,11,FALSE),"")</f>
        <v>640</v>
      </c>
      <c r="J661" s="238">
        <f t="shared" si="83"/>
        <v>6.9525957636155796E-6</v>
      </c>
      <c r="K661" s="238">
        <f t="shared" si="84"/>
        <v>1.1305696675577558E-4</v>
      </c>
      <c r="L661" s="635">
        <f>IFERROR(VLOOKUP($B661,'Info planes y paquetes'!$A$471:$G$579,6,FALSE),"")</f>
        <v>735.34</v>
      </c>
      <c r="M661" s="635"/>
    </row>
    <row r="662" spans="2:13" s="262" customFormat="1" ht="12" outlineLevel="2" x14ac:dyDescent="0.25">
      <c r="B662" s="579" t="str">
        <f t="shared" si="85"/>
        <v>Infinitum Entretenimiento+ 500   (Netflix 4 dispositivos)Residencial</v>
      </c>
      <c r="C662" s="334">
        <f t="shared" si="86"/>
        <v>93</v>
      </c>
      <c r="D662" s="634" t="str">
        <f>'Info planes y paquetes'!C859</f>
        <v>Infinitum Entretenimiento+ 500   (Netflix 4 dispositivos)</v>
      </c>
      <c r="E662" s="575" t="str">
        <f>'Info planes y paquetes'!D859</f>
        <v>Residencial</v>
      </c>
      <c r="F662" s="575" t="str">
        <f>'Info planes y paquetes'!E859</f>
        <v>Internet fijo</v>
      </c>
      <c r="G662" s="263" t="str">
        <f t="shared" si="82"/>
        <v>250 Mbps</v>
      </c>
      <c r="H662" s="280">
        <f>IFERROR(VLOOKUP($B662,'Info planes y paquetes'!$A$767:$L$874,10,FALSE),"")+IFERROR(VLOOKUP($B662,'Info planes y paquetes'!$A$767:$M$874,12,FALSE),"")</f>
        <v>1</v>
      </c>
      <c r="I662" s="280">
        <f>IFERROR(VLOOKUP($B662,'Info planes y paquetes'!$A$767:$M$874,11,FALSE),"")</f>
        <v>490</v>
      </c>
      <c r="J662" s="238">
        <f t="shared" si="83"/>
        <v>2.3974468150398549E-7</v>
      </c>
      <c r="K662" s="238">
        <f t="shared" si="84"/>
        <v>8.6559240172390679E-5</v>
      </c>
      <c r="L662" s="635">
        <f>IFERROR(VLOOKUP($B662,'Info planes y paquetes'!$A$471:$G$579,6,FALSE),"")</f>
        <v>1165.52</v>
      </c>
      <c r="M662" s="635"/>
    </row>
    <row r="663" spans="2:13" s="262" customFormat="1" ht="12" outlineLevel="2" x14ac:dyDescent="0.25">
      <c r="B663" s="579" t="str">
        <f t="shared" si="85"/>
        <v>Infinitum Entretenimiento+ 500   (Netflix 2 dispositivos)Residencial</v>
      </c>
      <c r="C663" s="334">
        <f t="shared" si="86"/>
        <v>94</v>
      </c>
      <c r="D663" s="634" t="str">
        <f>'Info planes y paquetes'!C860</f>
        <v>Infinitum Entretenimiento+ 500   (Netflix 2 dispositivos)</v>
      </c>
      <c r="E663" s="575" t="str">
        <f>'Info planes y paquetes'!D860</f>
        <v>Residencial</v>
      </c>
      <c r="F663" s="575" t="str">
        <f>'Info planes y paquetes'!E860</f>
        <v>Internet fijo</v>
      </c>
      <c r="G663" s="263" t="str">
        <f t="shared" si="82"/>
        <v>500 Mbps</v>
      </c>
      <c r="H663" s="280">
        <f>IFERROR(VLOOKUP($B663,'Info planes y paquetes'!$A$767:$L$874,10,FALSE),"")+IFERROR(VLOOKUP($B663,'Info planes y paquetes'!$A$767:$M$874,12,FALSE),"")</f>
        <v>0</v>
      </c>
      <c r="I663" s="280">
        <f>IFERROR(VLOOKUP($B663,'Info planes y paquetes'!$A$767:$M$874,11,FALSE),"")</f>
        <v>87</v>
      </c>
      <c r="J663" s="238">
        <f t="shared" si="83"/>
        <v>0</v>
      </c>
      <c r="K663" s="238">
        <f t="shared" si="84"/>
        <v>1.5368681418363243E-5</v>
      </c>
      <c r="L663" s="635">
        <f>IFERROR(VLOOKUP($B663,'Info planes y paquetes'!$A$471:$G$579,6,FALSE),"")</f>
        <v>1118.0999999999999</v>
      </c>
      <c r="M663" s="635"/>
    </row>
    <row r="664" spans="2:13" s="262" customFormat="1" ht="12" outlineLevel="2" x14ac:dyDescent="0.25">
      <c r="B664" s="579" t="str">
        <f t="shared" si="85"/>
        <v>Velocidad Simétrica Conectes NegocioNo Residencial</v>
      </c>
      <c r="C664" s="334">
        <f t="shared" si="86"/>
        <v>95</v>
      </c>
      <c r="D664" s="634" t="str">
        <f>'Info planes y paquetes'!C861</f>
        <v>Velocidad Simétrica Conectes Negocio</v>
      </c>
      <c r="E664" s="575" t="str">
        <f>'Info planes y paquetes'!D861</f>
        <v>No Residencial</v>
      </c>
      <c r="F664" s="575" t="str">
        <f>'Info planes y paquetes'!E861</f>
        <v>Telefonía fija + Internet fijo</v>
      </c>
      <c r="G664" s="263" t="str">
        <f t="shared" si="82"/>
        <v>500 Mbps</v>
      </c>
      <c r="H664" s="280">
        <f>IFERROR(VLOOKUP($B664,'Info planes y paquetes'!$A$767:$L$874,10,FALSE),"")+IFERROR(VLOOKUP($B664,'Info planes y paquetes'!$A$767:$M$874,12,FALSE),"")</f>
        <v>65</v>
      </c>
      <c r="I664" s="280">
        <f>IFERROR(VLOOKUP($B664,'Info planes y paquetes'!$A$767:$M$874,11,FALSE),"")</f>
        <v>10147</v>
      </c>
      <c r="J664" s="238">
        <f t="shared" si="83"/>
        <v>1.5583404297759059E-5</v>
      </c>
      <c r="K664" s="238">
        <f t="shared" si="84"/>
        <v>1.7924828776107106E-3</v>
      </c>
      <c r="L664" s="635" t="str">
        <f>IFERROR(VLOOKUP($B664,'Info planes y paquetes'!$A$471:$G$579,6,FALSE),"")</f>
        <v>423.11 / 509.31</v>
      </c>
      <c r="M664" s="635"/>
    </row>
    <row r="665" spans="2:13" s="262" customFormat="1" ht="12" outlineLevel="2" x14ac:dyDescent="0.25">
      <c r="B665" s="579" t="str">
        <f t="shared" si="85"/>
        <v>Velocidad Simétrica Mi NegocioNo Residencial</v>
      </c>
      <c r="C665" s="334">
        <f t="shared" si="86"/>
        <v>96</v>
      </c>
      <c r="D665" s="634" t="str">
        <f>'Info planes y paquetes'!C862</f>
        <v>Velocidad Simétrica Mi Negocio</v>
      </c>
      <c r="E665" s="575" t="str">
        <f>'Info planes y paquetes'!D862</f>
        <v>No Residencial</v>
      </c>
      <c r="F665" s="575" t="str">
        <f>'Info planes y paquetes'!E862</f>
        <v>Telefonía fija + Internet fijo</v>
      </c>
      <c r="G665" s="263" t="str">
        <f t="shared" si="82"/>
        <v>20 Mbps/50 Mbps</v>
      </c>
      <c r="H665" s="280">
        <f>IFERROR(VLOOKUP($B665,'Info planes y paquetes'!$A$767:$L$874,10,FALSE),"")+IFERROR(VLOOKUP($B665,'Info planes y paquetes'!$A$767:$M$874,12,FALSE),"")</f>
        <v>33</v>
      </c>
      <c r="I665" s="280">
        <f>IFERROR(VLOOKUP($B665,'Info planes y paquetes'!$A$767:$M$874,11,FALSE),"")</f>
        <v>14987</v>
      </c>
      <c r="J665" s="238">
        <f t="shared" si="83"/>
        <v>7.9115744896315214E-6</v>
      </c>
      <c r="K665" s="238">
        <f t="shared" si="84"/>
        <v>2.6474761887012636E-3</v>
      </c>
      <c r="L665" s="635">
        <f>IFERROR(VLOOKUP($B665,'Info planes y paquetes'!$A$471:$G$579,6,FALSE),"")</f>
        <v>679.07</v>
      </c>
      <c r="M665" s="635"/>
    </row>
    <row r="666" spans="2:13" s="262" customFormat="1" ht="12" outlineLevel="2" x14ac:dyDescent="0.25">
      <c r="B666" s="579" t="str">
        <f t="shared" si="85"/>
        <v>Velocidad Simétrica SupernegocioNo Residencial</v>
      </c>
      <c r="C666" s="334">
        <f t="shared" si="86"/>
        <v>97</v>
      </c>
      <c r="D666" s="634" t="str">
        <f>'Info planes y paquetes'!C863</f>
        <v>Velocidad Simétrica Supernegocio</v>
      </c>
      <c r="E666" s="575" t="str">
        <f>'Info planes y paquetes'!D863</f>
        <v>No Residencial</v>
      </c>
      <c r="F666" s="575" t="str">
        <f>'Info planes y paquetes'!E863</f>
        <v>Telefonía fija + Internet fijo</v>
      </c>
      <c r="G666" s="263" t="str">
        <f t="shared" ref="G666:G677" si="87">H456</f>
        <v>100 Mbps</v>
      </c>
      <c r="H666" s="280">
        <f>IFERROR(VLOOKUP($B666,'Info planes y paquetes'!$A$767:$L$874,10,FALSE),"")+IFERROR(VLOOKUP($B666,'Info planes y paquetes'!$A$767:$M$874,12,FALSE),"")</f>
        <v>13</v>
      </c>
      <c r="I666" s="280">
        <f>IFERROR(VLOOKUP($B666,'Info planes y paquetes'!$A$767:$M$874,11,FALSE),"")</f>
        <v>11862</v>
      </c>
      <c r="J666" s="238">
        <f t="shared" ref="J666:J676" si="88">IFERROR(H666/H$690,"")</f>
        <v>3.1166808595518118E-6</v>
      </c>
      <c r="K666" s="238">
        <f t="shared" ref="K666:K676" si="89">IFERROR(I666/I$690,"")</f>
        <v>2.0954402182140779E-3</v>
      </c>
      <c r="L666" s="635">
        <f>IFERROR(VLOOKUP($B666,'Info planes y paquetes'!$A$471:$G$579,6,FALSE),"")</f>
        <v>933.26</v>
      </c>
      <c r="M666" s="635"/>
    </row>
    <row r="667" spans="2:13" s="262" customFormat="1" ht="12" outlineLevel="2" x14ac:dyDescent="0.25">
      <c r="B667" s="579" t="str">
        <f t="shared" si="85"/>
        <v>Velocidad Simétrica Telmex Negocio Sin Límites 1No Residencial</v>
      </c>
      <c r="C667" s="334">
        <f t="shared" si="86"/>
        <v>98</v>
      </c>
      <c r="D667" s="634" t="str">
        <f>'Info planes y paquetes'!C864</f>
        <v>Velocidad Simétrica Telmex Negocio Sin Límites 1</v>
      </c>
      <c r="E667" s="575" t="str">
        <f>'Info planes y paquetes'!D864</f>
        <v>No Residencial</v>
      </c>
      <c r="F667" s="575" t="str">
        <f>'Info planes y paquetes'!E864</f>
        <v>Telefonía fija + Internet fijo</v>
      </c>
      <c r="G667" s="263" t="str">
        <f t="shared" si="87"/>
        <v>200 Mbps</v>
      </c>
      <c r="H667" s="280">
        <f>IFERROR(VLOOKUP($B667,'Info planes y paquetes'!$A$767:$L$874,10,FALSE),"")+IFERROR(VLOOKUP($B667,'Info planes y paquetes'!$A$767:$M$874,12,FALSE),"")</f>
        <v>3</v>
      </c>
      <c r="I667" s="280">
        <f>IFERROR(VLOOKUP($B667,'Info planes y paquetes'!$A$767:$M$874,11,FALSE),"")</f>
        <v>3084</v>
      </c>
      <c r="J667" s="238">
        <f t="shared" si="88"/>
        <v>7.1923404451195653E-7</v>
      </c>
      <c r="K667" s="238">
        <f t="shared" si="89"/>
        <v>5.4479325855439351E-4</v>
      </c>
      <c r="L667" s="635">
        <f>IFERROR(VLOOKUP($B667,'Info planes y paquetes'!$A$471:$G$579,6,FALSE),"")</f>
        <v>1647.04</v>
      </c>
      <c r="M667" s="635"/>
    </row>
    <row r="668" spans="2:13" s="262" customFormat="1" ht="12" outlineLevel="2" x14ac:dyDescent="0.25">
      <c r="B668" s="579" t="str">
        <f t="shared" si="85"/>
        <v>Velocidad Simétrica Telmex Negocio Sin Límites 2No Residencial</v>
      </c>
      <c r="C668" s="334">
        <f t="shared" si="86"/>
        <v>99</v>
      </c>
      <c r="D668" s="634" t="str">
        <f>'Info planes y paquetes'!C865</f>
        <v>Velocidad Simétrica Telmex Negocio Sin Límites 2</v>
      </c>
      <c r="E668" s="575" t="str">
        <f>'Info planes y paquetes'!D865</f>
        <v>No Residencial</v>
      </c>
      <c r="F668" s="575" t="str">
        <f>'Info planes y paquetes'!E865</f>
        <v>Telefonía fija + Internet fijo</v>
      </c>
      <c r="G668" s="263" t="str">
        <f t="shared" si="87"/>
        <v>500 Mbps</v>
      </c>
      <c r="H668" s="280">
        <f>IFERROR(VLOOKUP($B668,'Info planes y paquetes'!$A$767:$L$874,10,FALSE),"")+IFERROR(VLOOKUP($B668,'Info planes y paquetes'!$A$767:$M$874,12,FALSE),"")</f>
        <v>4</v>
      </c>
      <c r="I668" s="280">
        <f>IFERROR(VLOOKUP($B668,'Info planes y paquetes'!$A$767:$M$874,11,FALSE),"")</f>
        <v>5340</v>
      </c>
      <c r="J668" s="238">
        <f t="shared" si="88"/>
        <v>9.5897872601594197E-7</v>
      </c>
      <c r="K668" s="238">
        <f t="shared" si="89"/>
        <v>9.4331906636850246E-4</v>
      </c>
      <c r="L668" s="635">
        <f>IFERROR(VLOOKUP($B668,'Info planes y paquetes'!$A$471:$G$579,6,FALSE),"")</f>
        <v>1935</v>
      </c>
      <c r="M668" s="635"/>
    </row>
    <row r="669" spans="2:13" s="262" customFormat="1" ht="12" outlineLevel="2" x14ac:dyDescent="0.25">
      <c r="B669" s="579" t="str">
        <f t="shared" si="85"/>
        <v>Velocidad Simétrica Telmex Negocio Sin Límites 3No Residencial</v>
      </c>
      <c r="C669" s="334">
        <f t="shared" si="86"/>
        <v>100</v>
      </c>
      <c r="D669" s="634" t="str">
        <f>'Info planes y paquetes'!C866</f>
        <v>Velocidad Simétrica Telmex Negocio Sin Límites 3</v>
      </c>
      <c r="E669" s="575" t="str">
        <f>'Info planes y paquetes'!D866</f>
        <v>No Residencial</v>
      </c>
      <c r="F669" s="575" t="str">
        <f>'Info planes y paquetes'!E866</f>
        <v>Telefonía fija + Internet fijo</v>
      </c>
      <c r="G669" s="263" t="str">
        <f t="shared" si="87"/>
        <v>500 Mbps</v>
      </c>
      <c r="H669" s="280">
        <f>IFERROR(VLOOKUP($B669,'Info planes y paquetes'!$A$767:$L$874,10,FALSE),"")+IFERROR(VLOOKUP($B669,'Info planes y paquetes'!$A$767:$M$874,12,FALSE),"")</f>
        <v>2</v>
      </c>
      <c r="I669" s="280">
        <f>IFERROR(VLOOKUP($B669,'Info planes y paquetes'!$A$767:$M$874,11,FALSE),"")</f>
        <v>3577</v>
      </c>
      <c r="J669" s="238">
        <f t="shared" si="88"/>
        <v>4.7948936300797098E-7</v>
      </c>
      <c r="K669" s="238">
        <f t="shared" si="89"/>
        <v>6.3188245325845188E-4</v>
      </c>
      <c r="L669" s="635">
        <f>IFERROR(VLOOKUP($B669,'Info planes y paquetes'!$A$471:$G$579,6,FALSE),"")</f>
        <v>2400.2600000000002</v>
      </c>
      <c r="M669" s="635"/>
    </row>
    <row r="670" spans="2:13" s="262" customFormat="1" ht="12" outlineLevel="2" x14ac:dyDescent="0.25">
      <c r="B670" s="579" t="str">
        <f t="shared" si="85"/>
        <v>Velocidad Simétrica Conectes Negocio Netflix (1 dispositivo) No Residencial</v>
      </c>
      <c r="C670" s="334">
        <f t="shared" si="86"/>
        <v>101</v>
      </c>
      <c r="D670" s="634" t="str">
        <f>'Info planes y paquetes'!C867</f>
        <v xml:space="preserve">Velocidad Simétrica Conectes Negocio Netflix (1 dispositivo) </v>
      </c>
      <c r="E670" s="575" t="str">
        <f>'Info planes y paquetes'!D867</f>
        <v>No Residencial</v>
      </c>
      <c r="F670" s="575" t="str">
        <f>'Info planes y paquetes'!E867</f>
        <v>Telefonía fija + Internet fijo</v>
      </c>
      <c r="G670" s="263" t="str">
        <f t="shared" si="87"/>
        <v>1000 Mbps</v>
      </c>
      <c r="H670" s="280">
        <f>IFERROR(VLOOKUP($B670,'Info planes y paquetes'!$A$767:$L$874,10,FALSE),"")+IFERROR(VLOOKUP($B670,'Info planes y paquetes'!$A$767:$M$874,12,FALSE),"")</f>
        <v>0</v>
      </c>
      <c r="I670" s="280">
        <f>IFERROR(VLOOKUP($B670,'Info planes y paquetes'!$A$767:$M$874,11,FALSE),"")</f>
        <v>4</v>
      </c>
      <c r="J670" s="238">
        <f t="shared" si="88"/>
        <v>0</v>
      </c>
      <c r="K670" s="238">
        <f t="shared" si="89"/>
        <v>7.0660604222359736E-7</v>
      </c>
      <c r="L670" s="635" t="str">
        <f>IFERROR(VLOOKUP($B670,'Info planes y paquetes'!$A$471:$G$579,6,FALSE),"")</f>
        <v/>
      </c>
      <c r="M670" s="635"/>
    </row>
    <row r="671" spans="2:13" s="262" customFormat="1" ht="12" outlineLevel="2" x14ac:dyDescent="0.25">
      <c r="B671" s="579" t="str">
        <f t="shared" si="85"/>
        <v>Velocidad Simétrica Conectes Negocio Netflix (2 dispositivos)No Residencial</v>
      </c>
      <c r="C671" s="334">
        <f t="shared" si="86"/>
        <v>102</v>
      </c>
      <c r="D671" s="634" t="str">
        <f>'Info planes y paquetes'!C868</f>
        <v>Velocidad Simétrica Conectes Negocio Netflix (2 dispositivos)</v>
      </c>
      <c r="E671" s="575" t="str">
        <f>'Info planes y paquetes'!D868</f>
        <v>No Residencial</v>
      </c>
      <c r="F671" s="575" t="str">
        <f>'Info planes y paquetes'!E868</f>
        <v>Telefonía fija + Internet fijo</v>
      </c>
      <c r="G671" s="263" t="str">
        <f t="shared" si="87"/>
        <v>20 Mbps/50 Mbps</v>
      </c>
      <c r="H671" s="280">
        <f>IFERROR(VLOOKUP($B671,'Info planes y paquetes'!$A$767:$L$874,10,FALSE),"")+IFERROR(VLOOKUP($B671,'Info planes y paquetes'!$A$767:$M$874,12,FALSE),"")</f>
        <v>0</v>
      </c>
      <c r="I671" s="280">
        <f>IFERROR(VLOOKUP($B671,'Info planes y paquetes'!$A$767:$M$874,11,FALSE),"")</f>
        <v>4</v>
      </c>
      <c r="J671" s="238">
        <f t="shared" si="88"/>
        <v>0</v>
      </c>
      <c r="K671" s="238">
        <f t="shared" si="89"/>
        <v>7.0660604222359736E-7</v>
      </c>
      <c r="L671" s="635" t="str">
        <f>IFERROR(VLOOKUP($B671,'Info planes y paquetes'!$A$471:$G$579,6,FALSE),"")</f>
        <v>595.85 / 682.05</v>
      </c>
      <c r="M671" s="635"/>
    </row>
    <row r="672" spans="2:13" s="262" customFormat="1" ht="12" outlineLevel="2" x14ac:dyDescent="0.25">
      <c r="B672" s="579" t="str">
        <f t="shared" si="85"/>
        <v>Velocidad Simétrica Conectes Negocio Netflix (4 dispositivos)No Residencial</v>
      </c>
      <c r="C672" s="334">
        <f t="shared" si="86"/>
        <v>103</v>
      </c>
      <c r="D672" s="634" t="str">
        <f>'Info planes y paquetes'!C869</f>
        <v>Velocidad Simétrica Conectes Negocio Netflix (4 dispositivos)</v>
      </c>
      <c r="E672" s="575" t="str">
        <f>'Info planes y paquetes'!D869</f>
        <v>No Residencial</v>
      </c>
      <c r="F672" s="575" t="str">
        <f>'Info planes y paquetes'!E869</f>
        <v>Telefonía fija + Internet fijo</v>
      </c>
      <c r="G672" s="263" t="str">
        <f t="shared" si="87"/>
        <v>20 Mbps/50 Mbps</v>
      </c>
      <c r="H672" s="280">
        <f>IFERROR(VLOOKUP($B672,'Info planes y paquetes'!$A$767:$L$874,10,FALSE),"")+IFERROR(VLOOKUP($B672,'Info planes y paquetes'!$A$767:$M$874,12,FALSE),"")</f>
        <v>0</v>
      </c>
      <c r="I672" s="280">
        <f>IFERROR(VLOOKUP($B672,'Info planes y paquetes'!$A$767:$M$874,11,FALSE),"")</f>
        <v>4</v>
      </c>
      <c r="J672" s="238">
        <f t="shared" si="88"/>
        <v>0</v>
      </c>
      <c r="K672" s="238">
        <f t="shared" si="89"/>
        <v>7.0660604222359736E-7</v>
      </c>
      <c r="L672" s="635" t="str">
        <f>IFERROR(VLOOKUP($B672,'Info planes y paquetes'!$A$471:$G$579,6,FALSE),"")</f>
        <v>664.82 / 751.02</v>
      </c>
      <c r="M672" s="635"/>
    </row>
    <row r="673" spans="2:13" s="262" customFormat="1" ht="12" outlineLevel="2" x14ac:dyDescent="0.25">
      <c r="B673" s="579" t="str">
        <f t="shared" si="85"/>
        <v>Velocidad Simétrica Mi Negocio Netflix (2 dispositivos)No Residencial</v>
      </c>
      <c r="C673" s="334">
        <f t="shared" si="86"/>
        <v>104</v>
      </c>
      <c r="D673" s="634" t="str">
        <f>'Info planes y paquetes'!C870</f>
        <v>Velocidad Simétrica Mi Negocio Netflix (2 dispositivos)</v>
      </c>
      <c r="E673" s="575" t="str">
        <f>'Info planes y paquetes'!D870</f>
        <v>No Residencial</v>
      </c>
      <c r="F673" s="575" t="str">
        <f>'Info planes y paquetes'!E870</f>
        <v>Telefonía fija + Internet fijo</v>
      </c>
      <c r="G673" s="263" t="str">
        <f t="shared" si="87"/>
        <v>20 Mbps/50 Mbps</v>
      </c>
      <c r="H673" s="280">
        <f>IFERROR(VLOOKUP($B673,'Info planes y paquetes'!$A$767:$L$874,10,FALSE),"")+IFERROR(VLOOKUP($B673,'Info planes y paquetes'!$A$767:$M$874,12,FALSE),"")</f>
        <v>0</v>
      </c>
      <c r="I673" s="280">
        <f>IFERROR(VLOOKUP($B673,'Info planes y paquetes'!$A$767:$M$874,11,FALSE),"")</f>
        <v>18</v>
      </c>
      <c r="J673" s="238">
        <f t="shared" si="88"/>
        <v>0</v>
      </c>
      <c r="K673" s="238">
        <f t="shared" si="89"/>
        <v>3.179727190006188E-6</v>
      </c>
      <c r="L673" s="635">
        <f>IFERROR(VLOOKUP($B673,'Info planes y paquetes'!$A$471:$G$579,6,FALSE),"")</f>
        <v>843.37</v>
      </c>
      <c r="M673" s="635"/>
    </row>
    <row r="674" spans="2:13" s="262" customFormat="1" ht="12" outlineLevel="2" x14ac:dyDescent="0.25">
      <c r="B674" s="579" t="str">
        <f t="shared" si="85"/>
        <v>Velocidad Simétrica Mi Negocio Netflix (4 dispositivos)No Residencial</v>
      </c>
      <c r="C674" s="334">
        <f t="shared" si="86"/>
        <v>105</v>
      </c>
      <c r="D674" s="634" t="str">
        <f>'Info planes y paquetes'!C871</f>
        <v>Velocidad Simétrica Mi Negocio Netflix (4 dispositivos)</v>
      </c>
      <c r="E674" s="575" t="str">
        <f>'Info planes y paquetes'!D871</f>
        <v>No Residencial</v>
      </c>
      <c r="F674" s="575" t="str">
        <f>'Info planes y paquetes'!E871</f>
        <v>Telefonía fija + Internet fijo</v>
      </c>
      <c r="G674" s="263" t="str">
        <f t="shared" si="87"/>
        <v>100 Mbps</v>
      </c>
      <c r="H674" s="280">
        <f>IFERROR(VLOOKUP($B674,'Info planes y paquetes'!$A$767:$L$874,10,FALSE),"")+IFERROR(VLOOKUP($B674,'Info planes y paquetes'!$A$767:$M$874,12,FALSE),"")</f>
        <v>0</v>
      </c>
      <c r="I674" s="280">
        <f>IFERROR(VLOOKUP($B674,'Info planes y paquetes'!$A$767:$M$874,11,FALSE),"")</f>
        <v>5</v>
      </c>
      <c r="J674" s="238">
        <f t="shared" si="88"/>
        <v>0</v>
      </c>
      <c r="K674" s="238">
        <f t="shared" si="89"/>
        <v>8.8325755277949673E-7</v>
      </c>
      <c r="L674" s="635">
        <f>IFERROR(VLOOKUP($B674,'Info planes y paquetes'!$A$471:$G$579,6,FALSE),"")</f>
        <v>912.32999999999993</v>
      </c>
      <c r="M674" s="635"/>
    </row>
    <row r="675" spans="2:13" s="262" customFormat="1" ht="12" outlineLevel="2" x14ac:dyDescent="0.25">
      <c r="B675" s="579" t="str">
        <f t="shared" si="85"/>
        <v>Velocidad Simétrica Supernegocio Netflix (2 dispositivos)No Residencial</v>
      </c>
      <c r="C675" s="334">
        <f t="shared" si="86"/>
        <v>106</v>
      </c>
      <c r="D675" s="634" t="str">
        <f>'Info planes y paquetes'!C872</f>
        <v>Velocidad Simétrica Supernegocio Netflix (2 dispositivos)</v>
      </c>
      <c r="E675" s="575" t="str">
        <f>'Info planes y paquetes'!D872</f>
        <v>No Residencial</v>
      </c>
      <c r="F675" s="575" t="str">
        <f>'Info planes y paquetes'!E872</f>
        <v>Telefonía fija + Internet fijo</v>
      </c>
      <c r="G675" s="263" t="str">
        <f t="shared" si="87"/>
        <v>100 Mbps</v>
      </c>
      <c r="H675" s="280">
        <f>IFERROR(VLOOKUP($B675,'Info planes y paquetes'!$A$767:$L$874,10,FALSE),"")+IFERROR(VLOOKUP($B675,'Info planes y paquetes'!$A$767:$M$874,12,FALSE),"")</f>
        <v>0</v>
      </c>
      <c r="I675" s="280">
        <f>IFERROR(VLOOKUP($B675,'Info planes y paquetes'!$A$767:$M$874,11,FALSE),"")</f>
        <v>31</v>
      </c>
      <c r="J675" s="238">
        <f t="shared" si="88"/>
        <v>0</v>
      </c>
      <c r="K675" s="238">
        <f t="shared" si="89"/>
        <v>5.4761968272328796E-6</v>
      </c>
      <c r="L675" s="635">
        <f>IFERROR(VLOOKUP($B675,'Info planes y paquetes'!$A$471:$G$579,6,FALSE),"")</f>
        <v>1097.55</v>
      </c>
      <c r="M675" s="635"/>
    </row>
    <row r="676" spans="2:13" s="262" customFormat="1" ht="12" outlineLevel="2" x14ac:dyDescent="0.25">
      <c r="B676" s="579" t="str">
        <f t="shared" si="85"/>
        <v>Velocidad Simétrica Supernegocio Netflix (4 dispositivos)No Residencial</v>
      </c>
      <c r="C676" s="334">
        <f t="shared" si="86"/>
        <v>107</v>
      </c>
      <c r="D676" s="634" t="str">
        <f>'Info planes y paquetes'!C873</f>
        <v>Velocidad Simétrica Supernegocio Netflix (4 dispositivos)</v>
      </c>
      <c r="E676" s="575" t="str">
        <f>'Info planes y paquetes'!D873</f>
        <v>No Residencial</v>
      </c>
      <c r="F676" s="575" t="str">
        <f>'Info planes y paquetes'!E873</f>
        <v>Telefonía fija + Internet fijo</v>
      </c>
      <c r="G676" s="263" t="str">
        <f t="shared" si="87"/>
        <v>200 Mbps</v>
      </c>
      <c r="H676" s="280">
        <f>IFERROR(VLOOKUP($B676,'Info planes y paquetes'!$A$767:$L$874,10,FALSE),"")+IFERROR(VLOOKUP($B676,'Info planes y paquetes'!$A$767:$M$874,12,FALSE),"")</f>
        <v>0</v>
      </c>
      <c r="I676" s="280">
        <f>IFERROR(VLOOKUP($B676,'Info planes y paquetes'!$A$767:$M$874,11,FALSE),"")</f>
        <v>41</v>
      </c>
      <c r="J676" s="238">
        <f t="shared" si="88"/>
        <v>0</v>
      </c>
      <c r="K676" s="238">
        <f t="shared" si="89"/>
        <v>7.2427119327918731E-6</v>
      </c>
      <c r="L676" s="635">
        <f>IFERROR(VLOOKUP($B676,'Info planes y paquetes'!$A$471:$G$579,6,FALSE),"")</f>
        <v>1147.94</v>
      </c>
      <c r="M676" s="635"/>
    </row>
    <row r="677" spans="2:13" s="262" customFormat="1" ht="12" outlineLevel="2" x14ac:dyDescent="0.25">
      <c r="C677" s="334"/>
      <c r="D677" s="334"/>
      <c r="E677" s="334"/>
      <c r="F677" s="334"/>
      <c r="G677" s="263" t="str">
        <f t="shared" si="87"/>
        <v>200 Mbps</v>
      </c>
      <c r="H677" s="280" t="str">
        <f>IFERROR(VLOOKUP($B677,'Info planes y paquetes'!$A$767:$L$874,10,FALSE),"")</f>
        <v/>
      </c>
      <c r="I677" s="280" t="str">
        <f>IFERROR(VLOOKUP($B677,'Info planes y paquetes'!$A$767:$M$874,11,FALSE),"")</f>
        <v/>
      </c>
      <c r="J677" s="238"/>
      <c r="K677" s="238"/>
      <c r="L677" s="98"/>
      <c r="M677" s="98"/>
    </row>
    <row r="678" spans="2:13" s="262" customFormat="1" ht="12" outlineLevel="2" x14ac:dyDescent="0.25">
      <c r="C678" s="334"/>
      <c r="D678" s="334"/>
      <c r="E678" s="123"/>
      <c r="F678" s="334"/>
      <c r="G678" s="263"/>
      <c r="H678" s="279"/>
      <c r="I678" s="279"/>
      <c r="J678" s="238"/>
      <c r="K678" s="462"/>
      <c r="L678" s="98"/>
      <c r="M678" s="98"/>
    </row>
    <row r="679" spans="2:13" s="262" customFormat="1" ht="12" outlineLevel="2" x14ac:dyDescent="0.25">
      <c r="C679" s="334"/>
      <c r="D679" s="334"/>
      <c r="E679" s="123"/>
      <c r="F679" s="123"/>
      <c r="G679" s="263"/>
      <c r="H679" s="279"/>
      <c r="I679" s="279"/>
      <c r="J679" s="238"/>
      <c r="K679" s="462"/>
      <c r="L679" s="98"/>
      <c r="M679" s="98"/>
    </row>
    <row r="680" spans="2:13" s="262" customFormat="1" ht="12" outlineLevel="2" x14ac:dyDescent="0.25">
      <c r="B680" s="262" t="str">
        <f t="shared" si="85"/>
        <v/>
      </c>
      <c r="C680" s="334"/>
      <c r="D680" s="334"/>
      <c r="E680" s="123"/>
      <c r="F680" s="123"/>
      <c r="G680" s="263"/>
      <c r="H680" s="279"/>
      <c r="I680" s="279"/>
      <c r="J680" s="238"/>
      <c r="K680" s="462"/>
      <c r="L680" s="98"/>
      <c r="M680" s="98"/>
    </row>
    <row r="681" spans="2:13" s="262" customFormat="1" ht="12" outlineLevel="2" x14ac:dyDescent="0.25">
      <c r="B681" s="262" t="str">
        <f t="shared" si="85"/>
        <v/>
      </c>
      <c r="C681" s="334"/>
      <c r="D681" s="277"/>
      <c r="E681" s="123"/>
      <c r="F681" s="123"/>
      <c r="G681" s="263"/>
      <c r="H681" s="279"/>
      <c r="I681" s="279"/>
      <c r="J681" s="238"/>
      <c r="K681" s="462"/>
      <c r="L681" s="98"/>
      <c r="M681" s="98"/>
    </row>
    <row r="682" spans="2:13" s="262" customFormat="1" ht="12" outlineLevel="2" x14ac:dyDescent="0.25">
      <c r="B682" s="262" t="str">
        <f t="shared" si="85"/>
        <v/>
      </c>
      <c r="C682" s="334"/>
      <c r="D682" s="277"/>
      <c r="E682" s="123"/>
      <c r="F682" s="123"/>
      <c r="G682" s="263"/>
      <c r="H682" s="279"/>
      <c r="I682" s="279"/>
      <c r="J682" s="238"/>
      <c r="K682" s="462"/>
      <c r="L682" s="98"/>
      <c r="M682" s="98"/>
    </row>
    <row r="683" spans="2:13" s="262" customFormat="1" ht="12" outlineLevel="2" x14ac:dyDescent="0.25">
      <c r="B683" s="262" t="str">
        <f t="shared" si="85"/>
        <v/>
      </c>
      <c r="C683" s="334"/>
      <c r="D683" s="277"/>
      <c r="E683" s="123"/>
      <c r="F683" s="123"/>
      <c r="G683" s="263"/>
      <c r="H683" s="279"/>
      <c r="I683" s="279"/>
      <c r="J683" s="238"/>
      <c r="K683" s="462"/>
      <c r="L683" s="98"/>
      <c r="M683" s="98"/>
    </row>
    <row r="684" spans="2:13" s="262" customFormat="1" ht="12" outlineLevel="2" x14ac:dyDescent="0.25">
      <c r="B684" s="262" t="str">
        <f t="shared" si="85"/>
        <v/>
      </c>
      <c r="C684" s="334"/>
      <c r="D684" s="277"/>
      <c r="E684" s="123"/>
      <c r="F684" s="123"/>
      <c r="G684" s="263"/>
      <c r="H684" s="279"/>
      <c r="I684" s="279"/>
      <c r="J684" s="238"/>
      <c r="K684" s="462"/>
      <c r="L684" s="98"/>
      <c r="M684" s="98"/>
    </row>
    <row r="685" spans="2:13" s="262" customFormat="1" ht="12" outlineLevel="2" x14ac:dyDescent="0.25">
      <c r="B685" s="262" t="str">
        <f t="shared" si="85"/>
        <v/>
      </c>
      <c r="C685" s="334"/>
      <c r="D685" s="277"/>
      <c r="E685" s="123"/>
      <c r="F685" s="123"/>
      <c r="G685" s="263"/>
      <c r="H685" s="279"/>
      <c r="I685" s="279"/>
      <c r="J685" s="238"/>
      <c r="K685" s="462"/>
      <c r="L685" s="98"/>
      <c r="M685" s="98"/>
    </row>
    <row r="686" spans="2:13" s="262" customFormat="1" ht="12" outlineLevel="2" x14ac:dyDescent="0.25">
      <c r="B686" s="262" t="str">
        <f t="shared" si="85"/>
        <v/>
      </c>
      <c r="C686" s="334"/>
      <c r="D686" s="277"/>
      <c r="E686" s="123"/>
      <c r="F686" s="123"/>
      <c r="G686" s="263"/>
      <c r="H686" s="279"/>
      <c r="I686" s="279"/>
      <c r="J686" s="238"/>
      <c r="K686" s="462"/>
      <c r="L686" s="98"/>
      <c r="M686" s="98"/>
    </row>
    <row r="687" spans="2:13" s="262" customFormat="1" ht="12" outlineLevel="2" x14ac:dyDescent="0.25">
      <c r="B687" s="262" t="str">
        <f t="shared" si="85"/>
        <v/>
      </c>
      <c r="C687" s="334"/>
      <c r="D687" s="277"/>
      <c r="E687" s="123"/>
      <c r="F687" s="123"/>
      <c r="G687" s="263"/>
      <c r="H687" s="279"/>
      <c r="I687" s="279"/>
      <c r="J687" s="238"/>
      <c r="K687" s="462"/>
      <c r="L687" s="98"/>
      <c r="M687" s="98"/>
    </row>
    <row r="688" spans="2:13" s="262" customFormat="1" ht="12" outlineLevel="2" x14ac:dyDescent="0.25">
      <c r="B688" s="262" t="str">
        <f t="shared" si="85"/>
        <v/>
      </c>
      <c r="C688" s="334"/>
      <c r="D688" s="277"/>
      <c r="E688" s="123"/>
      <c r="F688" s="123"/>
      <c r="G688" s="263"/>
      <c r="H688" s="279"/>
      <c r="I688" s="279"/>
      <c r="J688" s="238"/>
      <c r="K688" s="462"/>
      <c r="L688" s="98"/>
      <c r="M688" s="98"/>
    </row>
    <row r="689" spans="1:58" s="262" customFormat="1" ht="12" outlineLevel="2" x14ac:dyDescent="0.25">
      <c r="B689" s="262" t="str">
        <f t="shared" si="85"/>
        <v/>
      </c>
      <c r="C689" s="334"/>
      <c r="D689" s="277"/>
      <c r="E689" s="123"/>
      <c r="F689" s="123"/>
      <c r="G689" s="263"/>
      <c r="H689" s="279"/>
      <c r="I689" s="279"/>
      <c r="J689" s="238"/>
      <c r="K689" s="462"/>
      <c r="L689" s="98"/>
      <c r="M689" s="98"/>
    </row>
    <row r="690" spans="1:58" s="221" customFormat="1" x14ac:dyDescent="0.25">
      <c r="B690" s="262" t="str">
        <f t="shared" si="85"/>
        <v/>
      </c>
      <c r="H690" s="371">
        <f>SUMPRODUCT(H570:H689)</f>
        <v>4171104</v>
      </c>
      <c r="I690" s="371">
        <f>SUMPRODUCT(I570:I689)</f>
        <v>5660863</v>
      </c>
      <c r="J690" s="292">
        <f>SUM(J570:J689)</f>
        <v>1.0000000000000002</v>
      </c>
      <c r="K690" s="292">
        <f t="shared" ref="K690" si="90">SUM(K570:K689)</f>
        <v>1</v>
      </c>
      <c r="L690" s="292"/>
      <c r="U690" s="262"/>
      <c r="W690" s="262"/>
      <c r="X690" s="262"/>
      <c r="AA690" s="262"/>
      <c r="AB690" s="262"/>
    </row>
    <row r="691" spans="1:58" s="221" customFormat="1" x14ac:dyDescent="0.25">
      <c r="A691" s="264">
        <v>8</v>
      </c>
      <c r="B691" s="264" t="s">
        <v>838</v>
      </c>
      <c r="C691" s="265"/>
      <c r="D691" s="265"/>
      <c r="E691" s="40"/>
      <c r="F691" s="40"/>
      <c r="G691" s="40"/>
      <c r="H691" s="40"/>
      <c r="I691" s="40"/>
      <c r="J691" s="40"/>
      <c r="K691" s="40"/>
      <c r="L691" s="40"/>
      <c r="M691" s="40"/>
      <c r="N691" s="40"/>
      <c r="O691" s="40"/>
      <c r="P691" s="40"/>
      <c r="Q691" s="40"/>
      <c r="R691" s="40"/>
      <c r="S691" s="265"/>
      <c r="T691" s="265"/>
      <c r="U691" s="265"/>
      <c r="V691" s="265"/>
      <c r="W691" s="265"/>
      <c r="X691" s="265"/>
      <c r="Y691" s="265"/>
      <c r="Z691" s="265"/>
      <c r="AA691" s="265"/>
      <c r="AB691" s="40"/>
      <c r="AC691" s="40"/>
      <c r="AD691" s="265"/>
      <c r="AE691" s="265"/>
      <c r="AF691" s="40"/>
      <c r="AG691" s="40"/>
      <c r="AH691" s="40"/>
      <c r="AI691" s="40"/>
      <c r="AJ691" s="40"/>
      <c r="AK691" s="40"/>
      <c r="AL691" s="40"/>
      <c r="AM691" s="40"/>
      <c r="AN691" s="40"/>
      <c r="AO691" s="40"/>
      <c r="AP691" s="40"/>
      <c r="AQ691" s="40"/>
      <c r="AR691" s="40"/>
      <c r="AS691" s="40"/>
      <c r="AT691" s="40"/>
      <c r="AU691" s="40"/>
      <c r="AV691" s="40"/>
      <c r="AW691" s="40"/>
      <c r="AX691" s="40"/>
      <c r="AY691" s="40"/>
      <c r="AZ691" s="40"/>
      <c r="BA691" s="40"/>
      <c r="BB691" s="40"/>
      <c r="BC691" s="40"/>
      <c r="BD691" s="40"/>
      <c r="BE691" s="40"/>
      <c r="BF691" s="40"/>
    </row>
    <row r="692" spans="1:58" s="221" customFormat="1" ht="12" x14ac:dyDescent="0.25">
      <c r="V692" s="262"/>
      <c r="X692" s="262"/>
      <c r="Y692" s="262"/>
      <c r="Z692" s="369"/>
      <c r="AA692" s="369"/>
      <c r="AD692" s="262"/>
      <c r="AE692" s="262"/>
    </row>
    <row r="693" spans="1:58" s="221" customFormat="1" ht="12" x14ac:dyDescent="0.25">
      <c r="C693" s="102" t="s">
        <v>843</v>
      </c>
      <c r="V693" s="262"/>
      <c r="X693" s="262"/>
      <c r="Y693" s="262"/>
      <c r="Z693" s="369"/>
      <c r="AA693" s="369"/>
      <c r="AD693" s="262"/>
      <c r="AE693" s="262"/>
    </row>
    <row r="694" spans="1:58" s="262" customFormat="1" ht="12" x14ac:dyDescent="0.25">
      <c r="D694" s="126" t="s">
        <v>833</v>
      </c>
      <c r="Z694" s="57"/>
      <c r="AA694" s="57"/>
    </row>
    <row r="695" spans="1:58" s="262" customFormat="1" ht="46" customHeight="1" x14ac:dyDescent="0.25">
      <c r="D695" s="180" t="s">
        <v>834</v>
      </c>
      <c r="E695" s="180" t="s">
        <v>841</v>
      </c>
      <c r="F695" s="180" t="s">
        <v>842</v>
      </c>
      <c r="Z695" s="57"/>
      <c r="AA695" s="57"/>
    </row>
    <row r="696" spans="1:58" s="262" customFormat="1" x14ac:dyDescent="0.25">
      <c r="D696" s="273" t="s">
        <v>780</v>
      </c>
      <c r="E696" s="273" t="s">
        <v>780</v>
      </c>
      <c r="F696" s="273" t="s">
        <v>161</v>
      </c>
      <c r="Z696" s="57"/>
      <c r="AA696" s="57"/>
    </row>
    <row r="697" spans="1:58" s="262" customFormat="1" x14ac:dyDescent="0.25">
      <c r="D697" s="183">
        <v>5</v>
      </c>
      <c r="E697" s="744">
        <v>4</v>
      </c>
      <c r="F697" s="745">
        <v>2734</v>
      </c>
      <c r="Z697" s="57"/>
      <c r="AA697" s="57"/>
    </row>
    <row r="698" spans="1:58" s="262" customFormat="1" x14ac:dyDescent="0.25">
      <c r="D698" s="183">
        <v>10</v>
      </c>
      <c r="E698" s="744">
        <v>10</v>
      </c>
      <c r="F698" s="745">
        <v>31429</v>
      </c>
      <c r="Z698" s="57"/>
      <c r="AA698" s="57"/>
    </row>
    <row r="699" spans="1:58" s="262" customFormat="1" x14ac:dyDescent="0.25">
      <c r="D699" s="183">
        <v>20</v>
      </c>
      <c r="E699" s="744">
        <v>14</v>
      </c>
      <c r="F699" s="745">
        <v>597084</v>
      </c>
      <c r="Z699" s="57"/>
      <c r="AA699" s="57"/>
    </row>
    <row r="700" spans="1:58" s="262" customFormat="1" ht="12" x14ac:dyDescent="0.25">
      <c r="D700" s="183">
        <v>30</v>
      </c>
      <c r="E700" s="744">
        <v>15</v>
      </c>
      <c r="F700" s="745">
        <v>45199</v>
      </c>
      <c r="Z700" s="370"/>
      <c r="AA700" s="370"/>
    </row>
    <row r="701" spans="1:58" s="262" customFormat="1" ht="12" x14ac:dyDescent="0.25">
      <c r="D701" s="183">
        <v>50</v>
      </c>
      <c r="E701" s="744">
        <v>22</v>
      </c>
      <c r="F701" s="745">
        <v>47764</v>
      </c>
      <c r="Z701" s="369"/>
      <c r="AA701" s="369"/>
    </row>
    <row r="702" spans="1:58" s="262" customFormat="1" ht="12" x14ac:dyDescent="0.25">
      <c r="D702" s="183">
        <v>60</v>
      </c>
      <c r="E702" s="744">
        <v>32</v>
      </c>
      <c r="F702" s="745">
        <v>5</v>
      </c>
      <c r="Z702" s="369"/>
      <c r="AA702" s="369"/>
    </row>
    <row r="703" spans="1:58" s="262" customFormat="1" x14ac:dyDescent="0.25">
      <c r="D703" s="183">
        <v>100</v>
      </c>
      <c r="E703" s="744">
        <v>16</v>
      </c>
      <c r="F703" s="745">
        <v>12525</v>
      </c>
    </row>
    <row r="704" spans="1:58" s="262" customFormat="1" x14ac:dyDescent="0.25">
      <c r="D704" s="183">
        <v>150</v>
      </c>
      <c r="E704" s="744">
        <v>14</v>
      </c>
      <c r="F704" s="745">
        <v>3319</v>
      </c>
    </row>
    <row r="705" spans="3:31" s="262" customFormat="1" x14ac:dyDescent="0.25">
      <c r="D705" s="183">
        <v>200</v>
      </c>
      <c r="E705" s="744">
        <v>19</v>
      </c>
      <c r="F705" s="745">
        <v>4077</v>
      </c>
    </row>
    <row r="706" spans="3:31" s="262" customFormat="1" ht="14.5" x14ac:dyDescent="0.35">
      <c r="D706" s="332"/>
      <c r="E706" s="331"/>
      <c r="F706" s="333"/>
    </row>
    <row r="707" spans="3:31" s="262" customFormat="1" ht="12" thickBot="1" x14ac:dyDescent="0.3">
      <c r="D707" s="320"/>
      <c r="E707" s="319"/>
      <c r="F707" s="221"/>
    </row>
    <row r="708" spans="3:31" s="262" customFormat="1" x14ac:dyDescent="0.25">
      <c r="E708" s="336" t="s">
        <v>840</v>
      </c>
      <c r="F708" s="337"/>
    </row>
    <row r="709" spans="3:31" s="262" customFormat="1" x14ac:dyDescent="0.25"/>
    <row r="710" spans="3:31" s="262" customFormat="1" x14ac:dyDescent="0.25">
      <c r="C710" s="102" t="s">
        <v>838</v>
      </c>
      <c r="U710"/>
      <c r="V710"/>
    </row>
    <row r="711" spans="3:31" s="262" customFormat="1" x14ac:dyDescent="0.25"/>
    <row r="712" spans="3:31" s="221" customFormat="1" ht="55" customHeight="1" x14ac:dyDescent="0.25">
      <c r="C712" s="68" t="s">
        <v>161</v>
      </c>
      <c r="D712" s="68" t="s">
        <v>773</v>
      </c>
      <c r="E712" s="68" t="s">
        <v>508</v>
      </c>
      <c r="F712" s="176" t="s">
        <v>774</v>
      </c>
      <c r="G712" s="176" t="s">
        <v>775</v>
      </c>
      <c r="H712" s="176" t="s">
        <v>508</v>
      </c>
      <c r="I712" s="176" t="s">
        <v>776</v>
      </c>
      <c r="K712" s="176" t="s">
        <v>837</v>
      </c>
      <c r="L712" s="176" t="s">
        <v>786</v>
      </c>
      <c r="M712" s="176" t="s">
        <v>775</v>
      </c>
      <c r="N712" s="176" t="s">
        <v>928</v>
      </c>
      <c r="O712" s="176" t="s">
        <v>787</v>
      </c>
      <c r="P712" s="176" t="s">
        <v>170</v>
      </c>
      <c r="X712" s="262"/>
      <c r="Y712" s="262"/>
      <c r="Z712"/>
      <c r="AA712" s="262"/>
      <c r="AB712"/>
      <c r="AD712" s="262"/>
      <c r="AE712" s="262"/>
    </row>
    <row r="713" spans="3:31" s="221" customFormat="1" x14ac:dyDescent="0.25">
      <c r="C713" s="253" t="s">
        <v>779</v>
      </c>
      <c r="F713" s="239" t="s">
        <v>780</v>
      </c>
      <c r="G713" s="239" t="s">
        <v>781</v>
      </c>
      <c r="K713" s="239" t="s">
        <v>780</v>
      </c>
      <c r="L713" s="273" t="s">
        <v>781</v>
      </c>
      <c r="M713" s="273" t="s">
        <v>780</v>
      </c>
      <c r="N713" s="239" t="s">
        <v>172</v>
      </c>
      <c r="O713" s="239" t="s">
        <v>172</v>
      </c>
      <c r="X713" s="349"/>
      <c r="Y713" s="349"/>
      <c r="Z713" s="350"/>
      <c r="AA713" s="350"/>
      <c r="AB713"/>
      <c r="AD713" s="262"/>
      <c r="AE713" s="262"/>
    </row>
    <row r="714" spans="3:31" s="221" customFormat="1" x14ac:dyDescent="0.25">
      <c r="C714" s="254">
        <v>1</v>
      </c>
      <c r="D714" s="77" t="s">
        <v>772</v>
      </c>
      <c r="E714" s="77" t="s">
        <v>778</v>
      </c>
      <c r="F714" s="183">
        <v>3</v>
      </c>
      <c r="G714" s="401">
        <v>512</v>
      </c>
      <c r="H714" s="77" t="s">
        <v>777</v>
      </c>
      <c r="I714" s="77" t="s">
        <v>941</v>
      </c>
      <c r="K714" s="158">
        <f t="shared" ref="K714:K742" si="91">F714</f>
        <v>3</v>
      </c>
      <c r="L714" s="235">
        <f>K714*factor.Mbps.to.Kbps</f>
        <v>3072</v>
      </c>
      <c r="M714" s="400">
        <f>G714</f>
        <v>512</v>
      </c>
      <c r="N714" s="251">
        <f>M714/L714</f>
        <v>0.16666666666666666</v>
      </c>
      <c r="O714" s="256">
        <f>IFERROR(1-M714/L714,"")</f>
        <v>0.83333333333333337</v>
      </c>
      <c r="P714" s="221" t="s">
        <v>788</v>
      </c>
      <c r="Q714" s="116"/>
      <c r="X714" s="349"/>
      <c r="Y714" s="349"/>
      <c r="Z714" s="350"/>
      <c r="AA714" s="350"/>
      <c r="AB714"/>
      <c r="AD714" s="262"/>
      <c r="AE714" s="262"/>
    </row>
    <row r="715" spans="3:31" s="221" customFormat="1" x14ac:dyDescent="0.25">
      <c r="C715" s="171">
        <f>1+C714</f>
        <v>2</v>
      </c>
      <c r="D715" s="158" t="str">
        <f>D714</f>
        <v>Cobre, FTTN, FTTC</v>
      </c>
      <c r="E715" s="158" t="str">
        <f>E714</f>
        <v>Asimétrico</v>
      </c>
      <c r="F715" s="183">
        <v>5</v>
      </c>
      <c r="G715" s="401">
        <v>768</v>
      </c>
      <c r="H715" s="158" t="str">
        <f>H714</f>
        <v>Datos, Doble calidad, Doble calidad con portabilidad</v>
      </c>
      <c r="I715" s="158" t="str">
        <f>I714</f>
        <v>BE, Doble, Datos Generales, Triple</v>
      </c>
      <c r="K715" s="158">
        <f>VLOOKUP(F715,$D$697:$I$705,2,FALSE)</f>
        <v>4</v>
      </c>
      <c r="L715" s="235">
        <f t="shared" ref="L715:L741" si="92">K715*factor.Mbps.to.Kbps</f>
        <v>4096</v>
      </c>
      <c r="M715" s="400">
        <f>G715</f>
        <v>768</v>
      </c>
      <c r="N715" s="251">
        <f t="shared" ref="N715:N722" si="93">M715/L715</f>
        <v>0.1875</v>
      </c>
      <c r="O715" s="256">
        <f t="shared" ref="O715:O723" si="94">IFERROR(1-M715/L715,"")</f>
        <v>0.8125</v>
      </c>
      <c r="P715" s="259" t="str">
        <f>P714</f>
        <v>Se estima la proporción del ancho de banda de subida necesario para hacer simétrico al perfil</v>
      </c>
      <c r="X715" s="349"/>
      <c r="Y715" s="349"/>
      <c r="Z715" s="350"/>
      <c r="AA715" s="350"/>
      <c r="AB715"/>
      <c r="AD715" s="262"/>
      <c r="AE715" s="262"/>
    </row>
    <row r="716" spans="3:31" s="221" customFormat="1" x14ac:dyDescent="0.25">
      <c r="C716" s="171">
        <f t="shared" ref="C716:C742" si="95">1+C715</f>
        <v>3</v>
      </c>
      <c r="D716" s="158" t="str">
        <f t="shared" ref="D716:D722" si="96">D715</f>
        <v>Cobre, FTTN, FTTC</v>
      </c>
      <c r="E716" s="158" t="str">
        <f t="shared" ref="E716:E722" si="97">E715</f>
        <v>Asimétrico</v>
      </c>
      <c r="F716" s="183">
        <v>10</v>
      </c>
      <c r="G716" s="401">
        <v>960</v>
      </c>
      <c r="H716" s="158" t="str">
        <f t="shared" ref="H716:H734" si="98">H715</f>
        <v>Datos, Doble calidad, Doble calidad con portabilidad</v>
      </c>
      <c r="I716" s="158" t="str">
        <f t="shared" ref="I716:I734" si="99">I715</f>
        <v>BE, Doble, Datos Generales, Triple</v>
      </c>
      <c r="K716" s="167">
        <f>VLOOKUP(F716,$D$697:$H$705,2,FALSE)</f>
        <v>10</v>
      </c>
      <c r="L716" s="235">
        <f>K716*factor.Mbps.to.Kbps</f>
        <v>10240</v>
      </c>
      <c r="M716" s="400">
        <f t="shared" ref="M716:M722" si="100">G716</f>
        <v>960</v>
      </c>
      <c r="N716" s="251">
        <f t="shared" si="93"/>
        <v>9.375E-2</v>
      </c>
      <c r="O716" s="256">
        <f t="shared" si="94"/>
        <v>0.90625</v>
      </c>
      <c r="P716" s="259" t="str">
        <f t="shared" ref="P716:P734" si="101">P715</f>
        <v>Se estima la proporción del ancho de banda de subida necesario para hacer simétrico al perfil</v>
      </c>
      <c r="X716" s="349"/>
      <c r="Y716" s="349"/>
      <c r="Z716" s="350"/>
      <c r="AA716" s="350"/>
      <c r="AB716"/>
      <c r="AD716" s="262"/>
      <c r="AE716" s="262"/>
    </row>
    <row r="717" spans="3:31" s="221" customFormat="1" x14ac:dyDescent="0.25">
      <c r="C717" s="171">
        <f t="shared" si="95"/>
        <v>4</v>
      </c>
      <c r="D717" s="158" t="str">
        <f t="shared" si="96"/>
        <v>Cobre, FTTN, FTTC</v>
      </c>
      <c r="E717" s="158" t="str">
        <f t="shared" si="97"/>
        <v>Asimétrico</v>
      </c>
      <c r="F717" s="183">
        <v>20</v>
      </c>
      <c r="G717" s="401">
        <v>2000</v>
      </c>
      <c r="H717" s="158" t="str">
        <f t="shared" si="98"/>
        <v>Datos, Doble calidad, Doble calidad con portabilidad</v>
      </c>
      <c r="I717" s="158" t="str">
        <f t="shared" si="99"/>
        <v>BE, Doble, Datos Generales, Triple</v>
      </c>
      <c r="K717" s="167">
        <f>VLOOKUP(F717,$D$697:$H$705,2,FALSE)</f>
        <v>14</v>
      </c>
      <c r="L717" s="235">
        <f>K717*factor.Mbps.to.Kbps</f>
        <v>14336</v>
      </c>
      <c r="M717" s="400">
        <f t="shared" si="100"/>
        <v>2000</v>
      </c>
      <c r="N717" s="251">
        <f t="shared" si="93"/>
        <v>0.13950892857142858</v>
      </c>
      <c r="O717" s="256">
        <f t="shared" si="94"/>
        <v>0.8604910714285714</v>
      </c>
      <c r="P717" s="259" t="str">
        <f t="shared" si="101"/>
        <v>Se estima la proporción del ancho de banda de subida necesario para hacer simétrico al perfil</v>
      </c>
      <c r="X717" s="349"/>
      <c r="Y717" s="349"/>
      <c r="Z717" s="350"/>
      <c r="AA717" s="350"/>
      <c r="AB717"/>
      <c r="AD717" s="262"/>
      <c r="AE717" s="262"/>
    </row>
    <row r="718" spans="3:31" s="221" customFormat="1" x14ac:dyDescent="0.25">
      <c r="C718" s="171">
        <f t="shared" si="95"/>
        <v>5</v>
      </c>
      <c r="D718" s="158" t="str">
        <f t="shared" si="96"/>
        <v>Cobre, FTTN, FTTC</v>
      </c>
      <c r="E718" s="158" t="str">
        <f t="shared" si="97"/>
        <v>Asimétrico</v>
      </c>
      <c r="F718" s="183">
        <v>30</v>
      </c>
      <c r="G718" s="401">
        <v>3000</v>
      </c>
      <c r="H718" s="158" t="str">
        <f t="shared" si="98"/>
        <v>Datos, Doble calidad, Doble calidad con portabilidad</v>
      </c>
      <c r="I718" s="158" t="str">
        <f t="shared" si="99"/>
        <v>BE, Doble, Datos Generales, Triple</v>
      </c>
      <c r="K718" s="167">
        <f>VLOOKUP(F718,$D$697:$H$705,2,FALSE)</f>
        <v>15</v>
      </c>
      <c r="L718" s="235">
        <f t="shared" si="92"/>
        <v>15360</v>
      </c>
      <c r="M718" s="400">
        <f t="shared" si="100"/>
        <v>3000</v>
      </c>
      <c r="N718" s="251">
        <f t="shared" si="93"/>
        <v>0.1953125</v>
      </c>
      <c r="O718" s="256">
        <f t="shared" si="94"/>
        <v>0.8046875</v>
      </c>
      <c r="P718" s="259" t="str">
        <f t="shared" si="101"/>
        <v>Se estima la proporción del ancho de banda de subida necesario para hacer simétrico al perfil</v>
      </c>
      <c r="X718" s="349"/>
      <c r="Y718" s="349"/>
      <c r="Z718" s="350"/>
      <c r="AA718" s="350"/>
      <c r="AB718"/>
      <c r="AD718" s="262"/>
      <c r="AE718" s="262"/>
    </row>
    <row r="719" spans="3:31" s="221" customFormat="1" x14ac:dyDescent="0.25">
      <c r="C719" s="171">
        <f t="shared" si="95"/>
        <v>6</v>
      </c>
      <c r="D719" s="158" t="str">
        <f t="shared" si="96"/>
        <v>Cobre, FTTN, FTTC</v>
      </c>
      <c r="E719" s="158" t="str">
        <f t="shared" si="97"/>
        <v>Asimétrico</v>
      </c>
      <c r="F719" s="183">
        <v>40</v>
      </c>
      <c r="G719" s="401">
        <v>4000</v>
      </c>
      <c r="H719" s="158" t="str">
        <f t="shared" si="98"/>
        <v>Datos, Doble calidad, Doble calidad con portabilidad</v>
      </c>
      <c r="I719" s="158" t="str">
        <f t="shared" si="99"/>
        <v>BE, Doble, Datos Generales, Triple</v>
      </c>
      <c r="K719" s="167"/>
      <c r="L719" s="235">
        <f t="shared" si="92"/>
        <v>0</v>
      </c>
      <c r="M719" s="400">
        <f t="shared" si="100"/>
        <v>4000</v>
      </c>
      <c r="N719" s="251" t="e">
        <f t="shared" si="93"/>
        <v>#DIV/0!</v>
      </c>
      <c r="O719" s="256" t="str">
        <f t="shared" si="94"/>
        <v/>
      </c>
      <c r="P719" s="259" t="str">
        <f t="shared" si="101"/>
        <v>Se estima la proporción del ancho de banda de subida necesario para hacer simétrico al perfil</v>
      </c>
      <c r="X719" s="349"/>
      <c r="Y719" s="349"/>
      <c r="Z719" s="350"/>
      <c r="AA719" s="350"/>
      <c r="AB719"/>
      <c r="AD719" s="262"/>
      <c r="AE719" s="262"/>
    </row>
    <row r="720" spans="3:31" s="221" customFormat="1" x14ac:dyDescent="0.25">
      <c r="C720" s="171">
        <f t="shared" si="95"/>
        <v>7</v>
      </c>
      <c r="D720" s="158" t="str">
        <f t="shared" si="96"/>
        <v>Cobre, FTTN, FTTC</v>
      </c>
      <c r="E720" s="158" t="str">
        <f t="shared" si="97"/>
        <v>Asimétrico</v>
      </c>
      <c r="F720" s="183">
        <v>50</v>
      </c>
      <c r="G720" s="401">
        <v>5000</v>
      </c>
      <c r="H720" s="158" t="str">
        <f t="shared" si="98"/>
        <v>Datos, Doble calidad, Doble calidad con portabilidad</v>
      </c>
      <c r="I720" s="158" t="str">
        <f t="shared" si="99"/>
        <v>BE, Doble, Datos Generales, Triple</v>
      </c>
      <c r="K720" s="167">
        <f>VLOOKUP(F720,$D$697:$H$705,2,FALSE)</f>
        <v>22</v>
      </c>
      <c r="L720" s="235">
        <f t="shared" si="92"/>
        <v>22528</v>
      </c>
      <c r="M720" s="400">
        <f t="shared" si="100"/>
        <v>5000</v>
      </c>
      <c r="N720" s="251">
        <f t="shared" si="93"/>
        <v>0.22194602272727273</v>
      </c>
      <c r="O720" s="256">
        <f t="shared" si="94"/>
        <v>0.77805397727272729</v>
      </c>
      <c r="P720" s="259" t="str">
        <f t="shared" si="101"/>
        <v>Se estima la proporción del ancho de banda de subida necesario para hacer simétrico al perfil</v>
      </c>
      <c r="X720" s="349"/>
      <c r="Y720" s="349"/>
      <c r="Z720" s="350"/>
      <c r="AA720" s="350"/>
      <c r="AB720"/>
      <c r="AD720" s="262"/>
      <c r="AE720" s="262"/>
    </row>
    <row r="721" spans="3:31" s="221" customFormat="1" x14ac:dyDescent="0.25">
      <c r="C721" s="171">
        <f t="shared" si="95"/>
        <v>8</v>
      </c>
      <c r="D721" s="158" t="str">
        <f t="shared" si="96"/>
        <v>Cobre, FTTN, FTTC</v>
      </c>
      <c r="E721" s="158" t="str">
        <f t="shared" si="97"/>
        <v>Asimétrico</v>
      </c>
      <c r="F721" s="183">
        <v>60</v>
      </c>
      <c r="G721" s="401">
        <v>6000</v>
      </c>
      <c r="H721" s="158" t="str">
        <f t="shared" si="98"/>
        <v>Datos, Doble calidad, Doble calidad con portabilidad</v>
      </c>
      <c r="I721" s="158" t="str">
        <f t="shared" si="99"/>
        <v>BE, Doble, Datos Generales, Triple</v>
      </c>
      <c r="K721" s="167">
        <f>VLOOKUP(F721,$D$697:$H$705,2,FALSE)</f>
        <v>32</v>
      </c>
      <c r="L721" s="235">
        <f t="shared" si="92"/>
        <v>32768</v>
      </c>
      <c r="M721" s="400">
        <f t="shared" si="100"/>
        <v>6000</v>
      </c>
      <c r="N721" s="251">
        <f t="shared" si="93"/>
        <v>0.18310546875</v>
      </c>
      <c r="O721" s="256">
        <f t="shared" si="94"/>
        <v>0.81689453125</v>
      </c>
      <c r="P721" s="259" t="str">
        <f t="shared" si="101"/>
        <v>Se estima la proporción del ancho de banda de subida necesario para hacer simétrico al perfil</v>
      </c>
      <c r="X721" s="349"/>
      <c r="Y721" s="349"/>
      <c r="Z721" s="350"/>
      <c r="AA721" s="350"/>
      <c r="AB721"/>
      <c r="AD721" s="262"/>
      <c r="AE721" s="262"/>
    </row>
    <row r="722" spans="3:31" s="221" customFormat="1" x14ac:dyDescent="0.25">
      <c r="C722" s="171">
        <f t="shared" si="95"/>
        <v>9</v>
      </c>
      <c r="D722" s="158" t="str">
        <f t="shared" si="96"/>
        <v>Cobre, FTTN, FTTC</v>
      </c>
      <c r="E722" s="158" t="str">
        <f t="shared" si="97"/>
        <v>Asimétrico</v>
      </c>
      <c r="F722" s="183">
        <v>100</v>
      </c>
      <c r="G722" s="401">
        <v>10000</v>
      </c>
      <c r="H722" s="158" t="str">
        <f t="shared" si="98"/>
        <v>Datos, Doble calidad, Doble calidad con portabilidad</v>
      </c>
      <c r="I722" s="158" t="str">
        <f t="shared" si="99"/>
        <v>BE, Doble, Datos Generales, Triple</v>
      </c>
      <c r="K722" s="167">
        <f>VLOOKUP(F722,$D$697:$H$705,2,FALSE)</f>
        <v>16</v>
      </c>
      <c r="L722" s="235">
        <f t="shared" si="92"/>
        <v>16384</v>
      </c>
      <c r="M722" s="400">
        <f t="shared" si="100"/>
        <v>10000</v>
      </c>
      <c r="N722" s="251">
        <f t="shared" si="93"/>
        <v>0.6103515625</v>
      </c>
      <c r="O722" s="256">
        <f t="shared" si="94"/>
        <v>0.3896484375</v>
      </c>
      <c r="P722" s="259" t="str">
        <f t="shared" si="101"/>
        <v>Se estima la proporción del ancho de banda de subida necesario para hacer simétrico al perfil</v>
      </c>
      <c r="X722" s="349"/>
      <c r="Y722" s="349"/>
      <c r="Z722" s="350"/>
      <c r="AA722" s="350"/>
      <c r="AB722"/>
      <c r="AD722" s="262"/>
      <c r="AE722" s="262"/>
    </row>
    <row r="723" spans="3:31" s="262" customFormat="1" x14ac:dyDescent="0.25">
      <c r="C723" s="171">
        <f>1+C722</f>
        <v>10</v>
      </c>
      <c r="D723" s="158" t="str">
        <f>D722</f>
        <v>Cobre, FTTN, FTTC</v>
      </c>
      <c r="E723" s="158" t="str">
        <f>E722</f>
        <v>Asimétrico</v>
      </c>
      <c r="F723" s="183">
        <v>200</v>
      </c>
      <c r="G723" s="401"/>
      <c r="H723" s="158" t="str">
        <f>H722</f>
        <v>Datos, Doble calidad, Doble calidad con portabilidad</v>
      </c>
      <c r="I723" s="158" t="str">
        <f>I722</f>
        <v>BE, Doble, Datos Generales, Triple</v>
      </c>
      <c r="K723" s="167">
        <f>VLOOKUP(F723,$D$697:$H$705,2,FALSE)</f>
        <v>19</v>
      </c>
      <c r="L723" s="235"/>
      <c r="M723" s="400"/>
      <c r="N723" s="251"/>
      <c r="O723" s="256" t="str">
        <f t="shared" si="94"/>
        <v/>
      </c>
      <c r="P723" s="259"/>
      <c r="X723" s="349"/>
      <c r="Y723" s="349"/>
      <c r="Z723" s="350"/>
      <c r="AA723" s="350"/>
      <c r="AB723"/>
    </row>
    <row r="724" spans="3:31" s="262" customFormat="1" x14ac:dyDescent="0.25">
      <c r="C724" s="171"/>
      <c r="D724" s="158"/>
      <c r="E724" s="158"/>
      <c r="F724" s="183"/>
      <c r="G724" s="401"/>
      <c r="H724" s="158"/>
      <c r="I724" s="158"/>
      <c r="K724" s="167"/>
      <c r="L724" s="235"/>
      <c r="M724" s="400"/>
      <c r="N724" s="251"/>
      <c r="O724" s="256"/>
      <c r="P724" s="259"/>
      <c r="X724" s="349"/>
      <c r="Y724" s="349"/>
      <c r="Z724" s="350"/>
      <c r="AA724" s="350"/>
    </row>
    <row r="725" spans="3:31" s="221" customFormat="1" x14ac:dyDescent="0.25">
      <c r="C725" s="171">
        <f>1+C723</f>
        <v>11</v>
      </c>
      <c r="D725" s="77" t="s">
        <v>782</v>
      </c>
      <c r="E725" s="77" t="s">
        <v>778</v>
      </c>
      <c r="F725" s="183">
        <v>3</v>
      </c>
      <c r="G725" s="401">
        <v>512</v>
      </c>
      <c r="H725" s="158" t="str">
        <f>H722</f>
        <v>Datos, Doble calidad, Doble calidad con portabilidad</v>
      </c>
      <c r="I725" s="158" t="str">
        <f>I722</f>
        <v>BE, Doble, Datos Generales, Triple</v>
      </c>
      <c r="K725" s="158">
        <f t="shared" si="91"/>
        <v>3</v>
      </c>
      <c r="L725" s="235">
        <f>K725*factor.Mbps.to.Kbps</f>
        <v>3072</v>
      </c>
      <c r="M725" s="255">
        <f>G725</f>
        <v>512</v>
      </c>
      <c r="N725" s="251">
        <f>M725/L725</f>
        <v>0.16666666666666666</v>
      </c>
      <c r="O725" s="256">
        <f>1-M725/L725</f>
        <v>0.83333333333333337</v>
      </c>
      <c r="P725" s="259" t="str">
        <f>P722</f>
        <v>Se estima la proporción del ancho de banda de subida necesario para hacer simétrico al perfil</v>
      </c>
      <c r="X725" s="349"/>
      <c r="Y725" s="349"/>
      <c r="Z725" s="350"/>
      <c r="AA725" s="350"/>
      <c r="AB725"/>
      <c r="AD725" s="262"/>
      <c r="AE725" s="262"/>
    </row>
    <row r="726" spans="3:31" s="221" customFormat="1" x14ac:dyDescent="0.25">
      <c r="C726" s="171">
        <f t="shared" si="95"/>
        <v>12</v>
      </c>
      <c r="D726" s="158" t="str">
        <f>D725</f>
        <v>Fibra FTTH</v>
      </c>
      <c r="E726" s="158" t="str">
        <f>E725</f>
        <v>Asimétrico</v>
      </c>
      <c r="F726" s="183">
        <v>5</v>
      </c>
      <c r="G726" s="401">
        <v>1000</v>
      </c>
      <c r="H726" s="158" t="str">
        <f t="shared" si="98"/>
        <v>Datos, Doble calidad, Doble calidad con portabilidad</v>
      </c>
      <c r="I726" s="158" t="str">
        <f t="shared" si="99"/>
        <v>BE, Doble, Datos Generales, Triple</v>
      </c>
      <c r="K726" s="158">
        <f t="shared" si="91"/>
        <v>5</v>
      </c>
      <c r="L726" s="235">
        <f t="shared" si="92"/>
        <v>5120</v>
      </c>
      <c r="M726" s="255">
        <v>1024</v>
      </c>
      <c r="N726" s="251">
        <f t="shared" ref="N726:N734" si="102">M726/L726</f>
        <v>0.2</v>
      </c>
      <c r="O726" s="256">
        <f t="shared" ref="O726:O734" si="103">1-M726/L726</f>
        <v>0.8</v>
      </c>
      <c r="P726" s="259" t="str">
        <f t="shared" si="101"/>
        <v>Se estima la proporción del ancho de banda de subida necesario para hacer simétrico al perfil</v>
      </c>
      <c r="X726"/>
      <c r="Y726" s="262"/>
      <c r="Z726"/>
      <c r="AA726" s="262"/>
      <c r="AB726"/>
      <c r="AD726" s="262"/>
      <c r="AE726" s="262"/>
    </row>
    <row r="727" spans="3:31" s="221" customFormat="1" x14ac:dyDescent="0.25">
      <c r="C727" s="171">
        <f t="shared" si="95"/>
        <v>13</v>
      </c>
      <c r="D727" s="158" t="str">
        <f t="shared" ref="D727:D736" si="104">D726</f>
        <v>Fibra FTTH</v>
      </c>
      <c r="E727" s="158" t="str">
        <f t="shared" ref="E727:E736" si="105">E726</f>
        <v>Asimétrico</v>
      </c>
      <c r="F727" s="183">
        <v>10</v>
      </c>
      <c r="G727" s="401">
        <v>1000</v>
      </c>
      <c r="H727" s="158" t="str">
        <f t="shared" si="98"/>
        <v>Datos, Doble calidad, Doble calidad con portabilidad</v>
      </c>
      <c r="I727" s="158" t="str">
        <f t="shared" si="99"/>
        <v>BE, Doble, Datos Generales, Triple</v>
      </c>
      <c r="K727" s="158">
        <f t="shared" si="91"/>
        <v>10</v>
      </c>
      <c r="L727" s="235">
        <f t="shared" si="92"/>
        <v>10240</v>
      </c>
      <c r="M727" s="255">
        <f t="shared" ref="M727:M734" si="106">G727</f>
        <v>1000</v>
      </c>
      <c r="N727" s="251">
        <f t="shared" si="102"/>
        <v>9.765625E-2</v>
      </c>
      <c r="O727" s="256">
        <f t="shared" si="103"/>
        <v>0.90234375</v>
      </c>
      <c r="P727" s="259" t="str">
        <f t="shared" si="101"/>
        <v>Se estima la proporción del ancho de banda de subida necesario para hacer simétrico al perfil</v>
      </c>
      <c r="X727"/>
      <c r="Y727" s="262"/>
      <c r="Z727"/>
      <c r="AA727" s="262"/>
      <c r="AB727"/>
      <c r="AD727" s="262"/>
      <c r="AE727" s="262"/>
    </row>
    <row r="728" spans="3:31" s="221" customFormat="1" x14ac:dyDescent="0.25">
      <c r="C728" s="171">
        <f t="shared" si="95"/>
        <v>14</v>
      </c>
      <c r="D728" s="158" t="str">
        <f t="shared" si="104"/>
        <v>Fibra FTTH</v>
      </c>
      <c r="E728" s="158" t="str">
        <f t="shared" si="105"/>
        <v>Asimétrico</v>
      </c>
      <c r="F728" s="183">
        <v>20</v>
      </c>
      <c r="G728" s="401">
        <v>2000</v>
      </c>
      <c r="H728" s="158" t="str">
        <f t="shared" si="98"/>
        <v>Datos, Doble calidad, Doble calidad con portabilidad</v>
      </c>
      <c r="I728" s="158" t="str">
        <f t="shared" si="99"/>
        <v>BE, Doble, Datos Generales, Triple</v>
      </c>
      <c r="K728" s="158">
        <f t="shared" si="91"/>
        <v>20</v>
      </c>
      <c r="L728" s="235">
        <f t="shared" si="92"/>
        <v>20480</v>
      </c>
      <c r="M728" s="255">
        <f t="shared" si="106"/>
        <v>2000</v>
      </c>
      <c r="N728" s="251">
        <f t="shared" si="102"/>
        <v>9.765625E-2</v>
      </c>
      <c r="O728" s="256">
        <f t="shared" si="103"/>
        <v>0.90234375</v>
      </c>
      <c r="P728" s="259" t="str">
        <f t="shared" si="101"/>
        <v>Se estima la proporción del ancho de banda de subida necesario para hacer simétrico al perfil</v>
      </c>
      <c r="X728"/>
      <c r="Y728" s="262"/>
      <c r="Z728"/>
      <c r="AA728" s="262"/>
      <c r="AB728"/>
      <c r="AD728" s="262"/>
      <c r="AE728" s="262"/>
    </row>
    <row r="729" spans="3:31" s="221" customFormat="1" x14ac:dyDescent="0.25">
      <c r="C729" s="171">
        <f t="shared" si="95"/>
        <v>15</v>
      </c>
      <c r="D729" s="158" t="str">
        <f t="shared" si="104"/>
        <v>Fibra FTTH</v>
      </c>
      <c r="E729" s="158" t="str">
        <f t="shared" si="105"/>
        <v>Asimétrico</v>
      </c>
      <c r="F729" s="183">
        <v>30</v>
      </c>
      <c r="G729" s="401">
        <v>3000</v>
      </c>
      <c r="H729" s="158" t="str">
        <f t="shared" si="98"/>
        <v>Datos, Doble calidad, Doble calidad con portabilidad</v>
      </c>
      <c r="I729" s="158" t="str">
        <f t="shared" si="99"/>
        <v>BE, Doble, Datos Generales, Triple</v>
      </c>
      <c r="K729" s="158">
        <f t="shared" si="91"/>
        <v>30</v>
      </c>
      <c r="L729" s="235">
        <f t="shared" si="92"/>
        <v>30720</v>
      </c>
      <c r="M729" s="255">
        <f t="shared" si="106"/>
        <v>3000</v>
      </c>
      <c r="N729" s="251">
        <f t="shared" si="102"/>
        <v>9.765625E-2</v>
      </c>
      <c r="O729" s="256">
        <f t="shared" si="103"/>
        <v>0.90234375</v>
      </c>
      <c r="P729" s="259" t="str">
        <f t="shared" si="101"/>
        <v>Se estima la proporción del ancho de banda de subida necesario para hacer simétrico al perfil</v>
      </c>
      <c r="X729"/>
      <c r="Y729" s="262"/>
      <c r="Z729"/>
      <c r="AA729" s="262"/>
      <c r="AB729"/>
      <c r="AD729" s="262"/>
      <c r="AE729" s="262"/>
    </row>
    <row r="730" spans="3:31" s="221" customFormat="1" x14ac:dyDescent="0.25">
      <c r="C730" s="171">
        <f t="shared" si="95"/>
        <v>16</v>
      </c>
      <c r="D730" s="158" t="str">
        <f t="shared" si="104"/>
        <v>Fibra FTTH</v>
      </c>
      <c r="E730" s="158" t="str">
        <f t="shared" si="105"/>
        <v>Asimétrico</v>
      </c>
      <c r="F730" s="183">
        <v>40</v>
      </c>
      <c r="G730" s="401">
        <v>4000</v>
      </c>
      <c r="H730" s="158" t="str">
        <f t="shared" si="98"/>
        <v>Datos, Doble calidad, Doble calidad con portabilidad</v>
      </c>
      <c r="I730" s="158" t="str">
        <f t="shared" si="99"/>
        <v>BE, Doble, Datos Generales, Triple</v>
      </c>
      <c r="K730" s="158">
        <f t="shared" si="91"/>
        <v>40</v>
      </c>
      <c r="L730" s="235">
        <f t="shared" si="92"/>
        <v>40960</v>
      </c>
      <c r="M730" s="255">
        <f t="shared" si="106"/>
        <v>4000</v>
      </c>
      <c r="N730" s="251">
        <f t="shared" si="102"/>
        <v>9.765625E-2</v>
      </c>
      <c r="O730" s="256">
        <f>1-M730/L730</f>
        <v>0.90234375</v>
      </c>
      <c r="P730" s="259" t="str">
        <f t="shared" si="101"/>
        <v>Se estima la proporción del ancho de banda de subida necesario para hacer simétrico al perfil</v>
      </c>
      <c r="X730"/>
      <c r="Y730" s="262"/>
      <c r="Z730"/>
      <c r="AA730" s="262"/>
      <c r="AB730"/>
      <c r="AD730" s="262"/>
      <c r="AE730" s="262"/>
    </row>
    <row r="731" spans="3:31" s="221" customFormat="1" x14ac:dyDescent="0.25">
      <c r="C731" s="171">
        <f t="shared" si="95"/>
        <v>17</v>
      </c>
      <c r="D731" s="158" t="str">
        <f t="shared" si="104"/>
        <v>Fibra FTTH</v>
      </c>
      <c r="E731" s="158" t="str">
        <f t="shared" si="105"/>
        <v>Asimétrico</v>
      </c>
      <c r="F731" s="183">
        <v>50</v>
      </c>
      <c r="G731" s="401">
        <v>5000</v>
      </c>
      <c r="H731" s="158" t="str">
        <f t="shared" si="98"/>
        <v>Datos, Doble calidad, Doble calidad con portabilidad</v>
      </c>
      <c r="I731" s="158" t="str">
        <f t="shared" si="99"/>
        <v>BE, Doble, Datos Generales, Triple</v>
      </c>
      <c r="K731" s="158">
        <f t="shared" si="91"/>
        <v>50</v>
      </c>
      <c r="L731" s="235">
        <f t="shared" si="92"/>
        <v>51200</v>
      </c>
      <c r="M731" s="255">
        <f t="shared" si="106"/>
        <v>5000</v>
      </c>
      <c r="N731" s="251">
        <f t="shared" si="102"/>
        <v>9.765625E-2</v>
      </c>
      <c r="O731" s="256">
        <f>1-M731/L731</f>
        <v>0.90234375</v>
      </c>
      <c r="P731" s="259" t="str">
        <f t="shared" si="101"/>
        <v>Se estima la proporción del ancho de banda de subida necesario para hacer simétrico al perfil</v>
      </c>
      <c r="U731"/>
      <c r="V731" s="262"/>
      <c r="W731" s="319"/>
      <c r="X731" s="319"/>
      <c r="Y731" s="319"/>
      <c r="AA731" s="262"/>
      <c r="AD731" s="262"/>
      <c r="AE731" s="262"/>
    </row>
    <row r="732" spans="3:31" s="221" customFormat="1" x14ac:dyDescent="0.25">
      <c r="C732" s="171">
        <f t="shared" si="95"/>
        <v>18</v>
      </c>
      <c r="D732" s="158" t="str">
        <f t="shared" si="104"/>
        <v>Fibra FTTH</v>
      </c>
      <c r="E732" s="158" t="str">
        <f t="shared" si="105"/>
        <v>Asimétrico</v>
      </c>
      <c r="F732" s="183">
        <v>60</v>
      </c>
      <c r="G732" s="401">
        <v>6000</v>
      </c>
      <c r="H732" s="158" t="str">
        <f t="shared" si="98"/>
        <v>Datos, Doble calidad, Doble calidad con portabilidad</v>
      </c>
      <c r="I732" s="158" t="str">
        <f t="shared" si="99"/>
        <v>BE, Doble, Datos Generales, Triple</v>
      </c>
      <c r="K732" s="250">
        <f>F732</f>
        <v>60</v>
      </c>
      <c r="L732" s="235">
        <f t="shared" si="92"/>
        <v>61440</v>
      </c>
      <c r="M732" s="255">
        <f t="shared" si="106"/>
        <v>6000</v>
      </c>
      <c r="N732" s="251">
        <f t="shared" si="102"/>
        <v>9.765625E-2</v>
      </c>
      <c r="O732" s="256">
        <f t="shared" si="103"/>
        <v>0.90234375</v>
      </c>
      <c r="P732" s="259" t="str">
        <f t="shared" si="101"/>
        <v>Se estima la proporción del ancho de banda de subida necesario para hacer simétrico al perfil</v>
      </c>
      <c r="U732"/>
      <c r="V732" s="262"/>
      <c r="W732" s="319"/>
      <c r="X732" s="319"/>
      <c r="Y732" s="319"/>
      <c r="AA732" s="262"/>
      <c r="AD732" s="262"/>
      <c r="AE732" s="262"/>
    </row>
    <row r="733" spans="3:31" s="221" customFormat="1" x14ac:dyDescent="0.25">
      <c r="C733" s="171">
        <f t="shared" si="95"/>
        <v>19</v>
      </c>
      <c r="D733" s="158" t="str">
        <f t="shared" si="104"/>
        <v>Fibra FTTH</v>
      </c>
      <c r="E733" s="158" t="str">
        <f t="shared" si="105"/>
        <v>Asimétrico</v>
      </c>
      <c r="F733" s="183">
        <v>100</v>
      </c>
      <c r="G733" s="401">
        <v>10000</v>
      </c>
      <c r="H733" s="158" t="str">
        <f t="shared" si="98"/>
        <v>Datos, Doble calidad, Doble calidad con portabilidad</v>
      </c>
      <c r="I733" s="158" t="str">
        <f t="shared" si="99"/>
        <v>BE, Doble, Datos Generales, Triple</v>
      </c>
      <c r="K733" s="158">
        <f t="shared" si="91"/>
        <v>100</v>
      </c>
      <c r="L733" s="235">
        <f t="shared" si="92"/>
        <v>102400</v>
      </c>
      <c r="M733" s="255">
        <f t="shared" si="106"/>
        <v>10000</v>
      </c>
      <c r="N733" s="251">
        <f t="shared" si="102"/>
        <v>9.765625E-2</v>
      </c>
      <c r="O733" s="256">
        <f t="shared" si="103"/>
        <v>0.90234375</v>
      </c>
      <c r="P733" s="259" t="str">
        <f t="shared" si="101"/>
        <v>Se estima la proporción del ancho de banda de subida necesario para hacer simétrico al perfil</v>
      </c>
      <c r="U733"/>
      <c r="V733" s="262"/>
      <c r="W733" s="319"/>
      <c r="X733" s="319"/>
      <c r="Y733" s="319"/>
      <c r="AA733" s="262"/>
      <c r="AD733" s="262"/>
      <c r="AE733" s="262"/>
    </row>
    <row r="734" spans="3:31" s="221" customFormat="1" x14ac:dyDescent="0.25">
      <c r="C734" s="171">
        <f t="shared" si="95"/>
        <v>20</v>
      </c>
      <c r="D734" s="158" t="str">
        <f t="shared" si="104"/>
        <v>Fibra FTTH</v>
      </c>
      <c r="E734" s="158" t="str">
        <f t="shared" si="105"/>
        <v>Asimétrico</v>
      </c>
      <c r="F734" s="183">
        <v>200</v>
      </c>
      <c r="G734" s="401">
        <v>20000</v>
      </c>
      <c r="H734" s="158" t="str">
        <f t="shared" si="98"/>
        <v>Datos, Doble calidad, Doble calidad con portabilidad</v>
      </c>
      <c r="I734" s="158" t="str">
        <f t="shared" si="99"/>
        <v>BE, Doble, Datos Generales, Triple</v>
      </c>
      <c r="K734" s="158">
        <f t="shared" si="91"/>
        <v>200</v>
      </c>
      <c r="L734" s="235">
        <f t="shared" si="92"/>
        <v>204800</v>
      </c>
      <c r="M734" s="255">
        <f t="shared" si="106"/>
        <v>20000</v>
      </c>
      <c r="N734" s="251">
        <f t="shared" si="102"/>
        <v>9.765625E-2</v>
      </c>
      <c r="O734" s="256">
        <f t="shared" si="103"/>
        <v>0.90234375</v>
      </c>
      <c r="P734" s="259" t="str">
        <f t="shared" si="101"/>
        <v>Se estima la proporción del ancho de banda de subida necesario para hacer simétrico al perfil</v>
      </c>
      <c r="U734"/>
      <c r="V734" s="262"/>
      <c r="W734" s="319"/>
      <c r="X734" s="319"/>
      <c r="Y734" s="319"/>
      <c r="AA734" s="262"/>
      <c r="AD734" s="262"/>
      <c r="AE734" s="262"/>
    </row>
    <row r="735" spans="3:31" s="262" customFormat="1" x14ac:dyDescent="0.25">
      <c r="C735" s="171">
        <f t="shared" si="95"/>
        <v>21</v>
      </c>
      <c r="D735" s="158" t="str">
        <f t="shared" si="104"/>
        <v>Fibra FTTH</v>
      </c>
      <c r="E735" s="158" t="str">
        <f t="shared" si="105"/>
        <v>Asimétrico</v>
      </c>
      <c r="F735" s="183">
        <v>350</v>
      </c>
      <c r="G735" s="401"/>
      <c r="H735" s="158"/>
      <c r="I735" s="158"/>
      <c r="K735" s="158">
        <f t="shared" si="91"/>
        <v>350</v>
      </c>
      <c r="L735" s="235"/>
      <c r="M735" s="255"/>
      <c r="N735" s="251"/>
      <c r="O735" s="256"/>
      <c r="P735" s="259"/>
      <c r="U735"/>
      <c r="W735" s="319"/>
      <c r="X735" s="319"/>
      <c r="Y735" s="319"/>
    </row>
    <row r="736" spans="3:31" s="262" customFormat="1" x14ac:dyDescent="0.25">
      <c r="C736" s="171">
        <f t="shared" si="95"/>
        <v>22</v>
      </c>
      <c r="D736" s="158" t="str">
        <f t="shared" si="104"/>
        <v>Fibra FTTH</v>
      </c>
      <c r="E736" s="158" t="str">
        <f t="shared" si="105"/>
        <v>Asimétrico</v>
      </c>
      <c r="F736" s="183">
        <v>400</v>
      </c>
      <c r="G736" s="401"/>
      <c r="H736" s="158"/>
      <c r="I736" s="158"/>
      <c r="K736" s="158">
        <f t="shared" si="91"/>
        <v>400</v>
      </c>
      <c r="L736" s="235"/>
      <c r="M736" s="255"/>
      <c r="N736" s="251"/>
      <c r="O736" s="256"/>
      <c r="P736" s="259"/>
      <c r="U736"/>
      <c r="W736" s="319"/>
      <c r="X736" s="319"/>
      <c r="Y736" s="319"/>
    </row>
    <row r="737" spans="3:31" s="221" customFormat="1" x14ac:dyDescent="0.25">
      <c r="C737" s="171">
        <f t="shared" si="95"/>
        <v>23</v>
      </c>
      <c r="D737" s="77" t="s">
        <v>782</v>
      </c>
      <c r="E737" s="77" t="s">
        <v>783</v>
      </c>
      <c r="F737" s="183">
        <v>10</v>
      </c>
      <c r="G737" s="401">
        <v>10000</v>
      </c>
      <c r="H737" s="158" t="str">
        <f>H734</f>
        <v>Datos, Doble calidad, Doble calidad con portabilidad</v>
      </c>
      <c r="I737" s="158" t="str">
        <f>I734</f>
        <v>BE, Doble, Datos Generales, Triple</v>
      </c>
      <c r="K737" s="158">
        <f t="shared" si="91"/>
        <v>10</v>
      </c>
      <c r="L737" s="235">
        <f t="shared" si="92"/>
        <v>10240</v>
      </c>
      <c r="M737" s="257"/>
      <c r="N737" s="258"/>
      <c r="O737" s="258"/>
      <c r="P737" s="258"/>
      <c r="U737"/>
      <c r="V737" s="262"/>
      <c r="W737" s="319"/>
      <c r="X737" s="319"/>
      <c r="Y737" s="319"/>
      <c r="AA737" s="262"/>
      <c r="AD737" s="262"/>
      <c r="AE737" s="262"/>
    </row>
    <row r="738" spans="3:31" s="221" customFormat="1" x14ac:dyDescent="0.25">
      <c r="C738" s="171">
        <f t="shared" si="95"/>
        <v>24</v>
      </c>
      <c r="D738" s="158" t="str">
        <f t="shared" ref="D738:E742" si="107">D737</f>
        <v>Fibra FTTH</v>
      </c>
      <c r="E738" s="158" t="str">
        <f t="shared" si="107"/>
        <v>Simétrico</v>
      </c>
      <c r="F738" s="183">
        <v>30</v>
      </c>
      <c r="G738" s="401">
        <v>30000</v>
      </c>
      <c r="H738" s="158" t="str">
        <f t="shared" ref="H738:I742" si="108">H737</f>
        <v>Datos, Doble calidad, Doble calidad con portabilidad</v>
      </c>
      <c r="I738" s="158" t="str">
        <f t="shared" si="108"/>
        <v>BE, Doble, Datos Generales, Triple</v>
      </c>
      <c r="K738" s="158">
        <f t="shared" si="91"/>
        <v>30</v>
      </c>
      <c r="L738" s="235">
        <f t="shared" si="92"/>
        <v>30720</v>
      </c>
      <c r="M738" s="257"/>
      <c r="N738" s="258"/>
      <c r="O738" s="258"/>
      <c r="P738" s="258"/>
      <c r="V738" s="262"/>
      <c r="W738" s="319"/>
      <c r="X738" s="319"/>
      <c r="Y738" s="319"/>
      <c r="AA738" s="262"/>
      <c r="AD738" s="262"/>
      <c r="AE738" s="262"/>
    </row>
    <row r="739" spans="3:31" s="221" customFormat="1" x14ac:dyDescent="0.25">
      <c r="C739" s="171">
        <f t="shared" si="95"/>
        <v>25</v>
      </c>
      <c r="D739" s="158" t="str">
        <f t="shared" si="107"/>
        <v>Fibra FTTH</v>
      </c>
      <c r="E739" s="158" t="str">
        <f t="shared" si="107"/>
        <v>Simétrico</v>
      </c>
      <c r="F739" s="183">
        <v>50</v>
      </c>
      <c r="G739" s="401">
        <v>50000</v>
      </c>
      <c r="H739" s="158" t="str">
        <f t="shared" si="108"/>
        <v>Datos, Doble calidad, Doble calidad con portabilidad</v>
      </c>
      <c r="I739" s="158" t="str">
        <f t="shared" si="108"/>
        <v>BE, Doble, Datos Generales, Triple</v>
      </c>
      <c r="K739" s="158">
        <f t="shared" si="91"/>
        <v>50</v>
      </c>
      <c r="L739" s="235">
        <f t="shared" si="92"/>
        <v>51200</v>
      </c>
      <c r="M739" s="257"/>
      <c r="N739" s="258"/>
      <c r="O739" s="258"/>
      <c r="P739" s="258"/>
      <c r="V739" s="262"/>
      <c r="W739" s="319"/>
      <c r="X739" s="319"/>
      <c r="Y739" s="319"/>
      <c r="AA739" s="262"/>
      <c r="AD739" s="262"/>
      <c r="AE739" s="262"/>
    </row>
    <row r="740" spans="3:31" s="221" customFormat="1" x14ac:dyDescent="0.25">
      <c r="C740" s="171">
        <f t="shared" si="95"/>
        <v>26</v>
      </c>
      <c r="D740" s="158" t="str">
        <f t="shared" si="107"/>
        <v>Fibra FTTH</v>
      </c>
      <c r="E740" s="158" t="str">
        <f t="shared" si="107"/>
        <v>Simétrico</v>
      </c>
      <c r="F740" s="183">
        <v>100</v>
      </c>
      <c r="G740" s="401">
        <v>100000</v>
      </c>
      <c r="H740" s="158" t="str">
        <f t="shared" si="108"/>
        <v>Datos, Doble calidad, Doble calidad con portabilidad</v>
      </c>
      <c r="I740" s="158" t="str">
        <f t="shared" si="108"/>
        <v>BE, Doble, Datos Generales, Triple</v>
      </c>
      <c r="K740" s="158">
        <f t="shared" si="91"/>
        <v>100</v>
      </c>
      <c r="L740" s="235">
        <f t="shared" si="92"/>
        <v>102400</v>
      </c>
      <c r="M740" s="257"/>
      <c r="N740" s="258"/>
      <c r="O740" s="258"/>
      <c r="P740" s="258"/>
      <c r="V740" s="262"/>
      <c r="W740" s="319"/>
      <c r="X740" s="319"/>
      <c r="Y740" s="319"/>
      <c r="AA740" s="262"/>
      <c r="AD740" s="262"/>
      <c r="AE740" s="262"/>
    </row>
    <row r="741" spans="3:31" s="221" customFormat="1" x14ac:dyDescent="0.25">
      <c r="C741" s="171">
        <f t="shared" si="95"/>
        <v>27</v>
      </c>
      <c r="D741" s="158" t="str">
        <f t="shared" si="107"/>
        <v>Fibra FTTH</v>
      </c>
      <c r="E741" s="158" t="str">
        <f t="shared" si="107"/>
        <v>Simétrico</v>
      </c>
      <c r="F741" s="183">
        <v>150</v>
      </c>
      <c r="G741" s="401">
        <v>150000</v>
      </c>
      <c r="H741" s="158" t="str">
        <f t="shared" si="108"/>
        <v>Datos, Doble calidad, Doble calidad con portabilidad</v>
      </c>
      <c r="I741" s="158" t="str">
        <f t="shared" si="108"/>
        <v>BE, Doble, Datos Generales, Triple</v>
      </c>
      <c r="K741" s="158">
        <f t="shared" si="91"/>
        <v>150</v>
      </c>
      <c r="L741" s="235">
        <f t="shared" si="92"/>
        <v>153600</v>
      </c>
      <c r="M741" s="257"/>
      <c r="N741" s="258"/>
      <c r="O741" s="258"/>
      <c r="P741" s="258"/>
      <c r="V741" s="262"/>
      <c r="W741" s="319"/>
      <c r="X741" s="319"/>
      <c r="Y741" s="319"/>
      <c r="AA741" s="262"/>
      <c r="AD741" s="262"/>
      <c r="AE741" s="262"/>
    </row>
    <row r="742" spans="3:31" s="221" customFormat="1" ht="12" thickBot="1" x14ac:dyDescent="0.3">
      <c r="C742" s="171">
        <f t="shared" si="95"/>
        <v>28</v>
      </c>
      <c r="D742" s="158" t="str">
        <f t="shared" si="107"/>
        <v>Fibra FTTH</v>
      </c>
      <c r="E742" s="158" t="str">
        <f t="shared" si="107"/>
        <v>Simétrico</v>
      </c>
      <c r="F742" s="183">
        <v>200</v>
      </c>
      <c r="G742" s="401">
        <v>200000</v>
      </c>
      <c r="H742" s="158" t="str">
        <f t="shared" si="108"/>
        <v>Datos, Doble calidad, Doble calidad con portabilidad</v>
      </c>
      <c r="I742" s="158" t="str">
        <f t="shared" si="108"/>
        <v>BE, Doble, Datos Generales, Triple</v>
      </c>
      <c r="K742" s="158">
        <f t="shared" si="91"/>
        <v>200</v>
      </c>
      <c r="L742" s="235">
        <f>K742*factor.Mbps.to.Kbps</f>
        <v>204800</v>
      </c>
      <c r="M742" s="257"/>
      <c r="N742" s="258"/>
      <c r="O742" s="258"/>
      <c r="P742" s="258"/>
      <c r="V742" s="262"/>
      <c r="W742" s="319"/>
      <c r="X742" s="319"/>
      <c r="Y742" s="319"/>
      <c r="AA742" s="262"/>
      <c r="AD742" s="262"/>
      <c r="AE742" s="262"/>
    </row>
    <row r="743" spans="3:31" s="221" customFormat="1" x14ac:dyDescent="0.25">
      <c r="C743" s="41"/>
      <c r="D743" s="41"/>
      <c r="E743" s="41"/>
      <c r="F743" s="41"/>
      <c r="G743" s="41"/>
      <c r="H743" s="41"/>
      <c r="I743" s="41"/>
      <c r="K743" s="41"/>
      <c r="L743" s="41"/>
      <c r="M743" s="41"/>
      <c r="N743" s="41"/>
      <c r="O743" s="41"/>
      <c r="P743" s="41"/>
      <c r="V743" s="262"/>
      <c r="W743" s="319"/>
      <c r="X743" s="319"/>
      <c r="Y743" s="319"/>
      <c r="AA743" s="262"/>
      <c r="AD743" s="262"/>
      <c r="AE743" s="262"/>
    </row>
    <row r="744" spans="3:31" s="221" customFormat="1" x14ac:dyDescent="0.25">
      <c r="V744" s="262"/>
      <c r="W744" s="319"/>
      <c r="X744" s="319"/>
      <c r="Y744" s="319"/>
      <c r="AA744" s="262"/>
      <c r="AD744" s="262"/>
      <c r="AE744" s="262"/>
    </row>
    <row r="745" spans="3:31" s="221" customFormat="1" ht="60" customHeight="1" x14ac:dyDescent="0.25">
      <c r="D745" s="176" t="s">
        <v>786</v>
      </c>
      <c r="E745" s="176" t="str">
        <f>"Factor promedio de simetría  
"</f>
        <v xml:space="preserve">Factor promedio de simetría  
</v>
      </c>
      <c r="F745" s="176" t="s">
        <v>170</v>
      </c>
      <c r="V745" s="262"/>
      <c r="W745" s="319"/>
      <c r="X745" s="319"/>
      <c r="Y745" s="319"/>
      <c r="AA745" s="262"/>
      <c r="AD745" s="262"/>
      <c r="AE745" s="262"/>
    </row>
    <row r="746" spans="3:31" s="221" customFormat="1" x14ac:dyDescent="0.25">
      <c r="D746" s="239" t="s">
        <v>780</v>
      </c>
      <c r="E746" s="239" t="s">
        <v>172</v>
      </c>
      <c r="V746" s="262"/>
      <c r="W746" s="319"/>
      <c r="X746" s="319"/>
      <c r="Y746" s="319"/>
      <c r="AA746" s="262"/>
      <c r="AD746" s="262"/>
      <c r="AE746" s="262"/>
    </row>
    <row r="747" spans="3:31" s="221" customFormat="1" x14ac:dyDescent="0.25">
      <c r="C747" s="254">
        <v>1</v>
      </c>
      <c r="D747" s="183">
        <v>3</v>
      </c>
      <c r="E747" s="274">
        <f>E748</f>
        <v>0.77523235634807908</v>
      </c>
      <c r="F747" s="257"/>
      <c r="V747" s="262"/>
      <c r="W747" s="319"/>
      <c r="X747" s="319"/>
      <c r="Y747" s="319"/>
      <c r="AA747" s="262"/>
      <c r="AD747" s="262"/>
      <c r="AE747" s="262"/>
    </row>
    <row r="748" spans="3:31" s="221" customFormat="1" x14ac:dyDescent="0.25">
      <c r="C748" s="171">
        <f>1+C747</f>
        <v>2</v>
      </c>
      <c r="D748" s="183">
        <v>5</v>
      </c>
      <c r="E748" s="360">
        <f>AVERAGE(O714:O722)</f>
        <v>0.77523235634807908</v>
      </c>
      <c r="F748" s="130" t="s">
        <v>839</v>
      </c>
      <c r="L748" s="179"/>
      <c r="V748" s="262"/>
      <c r="W748" s="319"/>
      <c r="X748" s="319"/>
      <c r="Y748" s="319"/>
      <c r="AA748" s="262"/>
      <c r="AD748" s="262"/>
      <c r="AE748" s="262"/>
    </row>
    <row r="749" spans="3:31" s="221" customFormat="1" x14ac:dyDescent="0.25">
      <c r="C749" s="171">
        <f t="shared" ref="C749:C757" si="109">1+C748</f>
        <v>3</v>
      </c>
      <c r="D749" s="183">
        <v>10</v>
      </c>
      <c r="E749" s="274">
        <f>E748</f>
        <v>0.77523235634807908</v>
      </c>
      <c r="F749" s="257"/>
      <c r="V749" s="262"/>
      <c r="Y749" s="262"/>
      <c r="AA749" s="262"/>
      <c r="AD749" s="262"/>
      <c r="AE749" s="262"/>
    </row>
    <row r="750" spans="3:31" s="221" customFormat="1" x14ac:dyDescent="0.25">
      <c r="C750" s="171">
        <f t="shared" si="109"/>
        <v>4</v>
      </c>
      <c r="D750" s="183">
        <v>20</v>
      </c>
      <c r="E750" s="274">
        <f t="shared" ref="E750:E755" si="110">E749</f>
        <v>0.77523235634807908</v>
      </c>
      <c r="F750" s="257"/>
      <c r="V750" s="262"/>
      <c r="Y750" s="262"/>
      <c r="AA750" s="262"/>
      <c r="AD750" s="262"/>
      <c r="AE750" s="262"/>
    </row>
    <row r="751" spans="3:31" s="221" customFormat="1" x14ac:dyDescent="0.25">
      <c r="C751" s="171">
        <f t="shared" si="109"/>
        <v>5</v>
      </c>
      <c r="D751" s="183">
        <v>30</v>
      </c>
      <c r="E751" s="274">
        <f t="shared" si="110"/>
        <v>0.77523235634807908</v>
      </c>
      <c r="F751" s="257"/>
      <c r="V751" s="262"/>
      <c r="X751" s="262"/>
      <c r="Y751" s="262"/>
      <c r="AA751" s="262"/>
      <c r="AD751" s="262"/>
      <c r="AE751" s="262"/>
    </row>
    <row r="752" spans="3:31" s="221" customFormat="1" x14ac:dyDescent="0.25">
      <c r="C752" s="171">
        <f t="shared" si="109"/>
        <v>6</v>
      </c>
      <c r="D752" s="183">
        <v>40</v>
      </c>
      <c r="E752" s="274">
        <f t="shared" si="110"/>
        <v>0.77523235634807908</v>
      </c>
      <c r="F752" s="257"/>
      <c r="V752" s="262"/>
      <c r="X752" s="262"/>
      <c r="Y752" s="262"/>
      <c r="AA752" s="262"/>
      <c r="AD752" s="262"/>
      <c r="AE752" s="262"/>
    </row>
    <row r="753" spans="1:59" s="221" customFormat="1" x14ac:dyDescent="0.25">
      <c r="C753" s="171">
        <f t="shared" si="109"/>
        <v>7</v>
      </c>
      <c r="D753" s="183">
        <v>50</v>
      </c>
      <c r="E753" s="274">
        <f t="shared" si="110"/>
        <v>0.77523235634807908</v>
      </c>
      <c r="F753" s="257"/>
      <c r="V753" s="262"/>
      <c r="X753" s="262"/>
      <c r="Y753" s="262"/>
      <c r="AA753" s="262"/>
      <c r="AD753" s="262"/>
      <c r="AE753" s="262"/>
    </row>
    <row r="754" spans="1:59" s="221" customFormat="1" x14ac:dyDescent="0.25">
      <c r="C754" s="171">
        <f t="shared" si="109"/>
        <v>8</v>
      </c>
      <c r="D754" s="183">
        <v>60</v>
      </c>
      <c r="E754" s="274">
        <f t="shared" si="110"/>
        <v>0.77523235634807908</v>
      </c>
      <c r="F754" s="257"/>
      <c r="V754" s="262"/>
      <c r="X754" s="262"/>
      <c r="Y754" s="262"/>
      <c r="AA754" s="262"/>
      <c r="AD754" s="262"/>
      <c r="AE754" s="262"/>
    </row>
    <row r="755" spans="1:59" s="262" customFormat="1" x14ac:dyDescent="0.25">
      <c r="B755" s="289"/>
      <c r="C755" s="171">
        <v>9</v>
      </c>
      <c r="D755" s="183">
        <v>80</v>
      </c>
      <c r="E755" s="274">
        <f t="shared" si="110"/>
        <v>0.77523235634807908</v>
      </c>
      <c r="F755" s="422" t="s">
        <v>940</v>
      </c>
    </row>
    <row r="756" spans="1:59" s="221" customFormat="1" x14ac:dyDescent="0.25">
      <c r="B756" s="289"/>
      <c r="C756" s="171">
        <f>1+C754</f>
        <v>9</v>
      </c>
      <c r="D756" s="183">
        <v>100</v>
      </c>
      <c r="E756" s="274">
        <f>E754</f>
        <v>0.77523235634807908</v>
      </c>
      <c r="F756" s="257"/>
      <c r="V756" s="262"/>
      <c r="X756" s="262"/>
      <c r="Y756" s="262"/>
      <c r="AA756" s="262"/>
      <c r="AD756" s="262"/>
      <c r="AE756" s="262"/>
    </row>
    <row r="757" spans="1:59" s="262" customFormat="1" x14ac:dyDescent="0.25">
      <c r="B757" s="289"/>
      <c r="C757" s="171">
        <f t="shared" si="109"/>
        <v>10</v>
      </c>
      <c r="D757" s="183">
        <v>150</v>
      </c>
      <c r="E757" s="274">
        <f>E756</f>
        <v>0.77523235634807908</v>
      </c>
      <c r="F757" s="257"/>
    </row>
    <row r="758" spans="1:59" s="221" customFormat="1" x14ac:dyDescent="0.25">
      <c r="B758" s="289"/>
      <c r="C758" s="171">
        <f>1+C757</f>
        <v>11</v>
      </c>
      <c r="D758" s="183">
        <v>200</v>
      </c>
      <c r="E758" s="274">
        <f>E757</f>
        <v>0.77523235634807908</v>
      </c>
      <c r="F758" s="257"/>
      <c r="V758" s="262"/>
      <c r="X758" s="262"/>
      <c r="Y758" s="262"/>
      <c r="AA758" s="262"/>
      <c r="AD758" s="262"/>
      <c r="AE758" s="262"/>
    </row>
    <row r="759" spans="1:59" s="262" customFormat="1" x14ac:dyDescent="0.25">
      <c r="B759" s="289"/>
      <c r="C759" s="171">
        <v>12</v>
      </c>
      <c r="D759" s="183">
        <v>300</v>
      </c>
      <c r="E759" s="274">
        <f>E758</f>
        <v>0.77523235634807908</v>
      </c>
      <c r="F759" s="422" t="s">
        <v>940</v>
      </c>
    </row>
    <row r="760" spans="1:59" s="262" customFormat="1" x14ac:dyDescent="0.25">
      <c r="B760" s="289"/>
      <c r="C760" s="171">
        <v>13</v>
      </c>
      <c r="D760" s="183">
        <v>350</v>
      </c>
      <c r="E760" s="274">
        <f>E759</f>
        <v>0.77523235634807908</v>
      </c>
      <c r="F760" s="422" t="s">
        <v>940</v>
      </c>
    </row>
    <row r="761" spans="1:59" s="262" customFormat="1" ht="12" thickBot="1" x14ac:dyDescent="0.3">
      <c r="B761" s="289"/>
      <c r="C761" s="171">
        <v>13</v>
      </c>
      <c r="D761" s="183">
        <v>400</v>
      </c>
      <c r="E761" s="274">
        <f>E760</f>
        <v>0.77523235634807908</v>
      </c>
      <c r="F761" s="422" t="s">
        <v>940</v>
      </c>
    </row>
    <row r="762" spans="1:59" s="221" customFormat="1" x14ac:dyDescent="0.25">
      <c r="C762" s="41"/>
      <c r="D762" s="41"/>
      <c r="E762" s="41"/>
      <c r="F762" s="41"/>
      <c r="V762" s="262"/>
      <c r="X762" s="262"/>
      <c r="Y762" s="262"/>
      <c r="AA762" s="262"/>
      <c r="AD762" s="262"/>
      <c r="AE762" s="262"/>
    </row>
    <row r="763" spans="1:59" s="221" customFormat="1" x14ac:dyDescent="0.25">
      <c r="V763" s="262"/>
      <c r="X763" s="262"/>
      <c r="Y763" s="262"/>
      <c r="AA763" s="262"/>
      <c r="AD763" s="262"/>
      <c r="AE763" s="262"/>
    </row>
    <row r="764" spans="1:59" s="221" customFormat="1" hidden="1" x14ac:dyDescent="0.25">
      <c r="A764" s="100">
        <v>9</v>
      </c>
      <c r="B764" s="261" t="s">
        <v>929</v>
      </c>
      <c r="C764" s="40"/>
      <c r="D764" s="40"/>
      <c r="E764" s="40"/>
      <c r="F764" s="40"/>
      <c r="G764" s="40"/>
      <c r="H764" s="40"/>
      <c r="I764" s="40"/>
      <c r="J764" s="40"/>
      <c r="K764" s="40"/>
      <c r="L764" s="40"/>
      <c r="M764" s="40"/>
      <c r="N764" s="40"/>
      <c r="O764" s="40"/>
      <c r="P764" s="40"/>
      <c r="Q764" s="40"/>
      <c r="R764" s="40"/>
      <c r="S764" s="40"/>
      <c r="T764" s="40"/>
      <c r="U764" s="40"/>
      <c r="V764" s="265"/>
      <c r="W764" s="40"/>
      <c r="X764" s="265"/>
      <c r="Y764" s="265"/>
      <c r="Z764" s="40"/>
      <c r="AA764" s="265"/>
      <c r="AB764" s="40"/>
      <c r="AC764" s="40"/>
      <c r="AD764" s="265"/>
      <c r="AE764" s="265"/>
      <c r="AF764" s="40"/>
      <c r="AG764" s="40"/>
      <c r="AH764" s="40"/>
      <c r="AI764" s="40"/>
      <c r="AJ764" s="40"/>
      <c r="AK764" s="40"/>
      <c r="AL764" s="40"/>
      <c r="AM764" s="40"/>
      <c r="AN764" s="40"/>
      <c r="AO764" s="40"/>
      <c r="AP764" s="40"/>
      <c r="AQ764" s="40"/>
      <c r="AR764" s="40"/>
      <c r="AS764" s="40"/>
      <c r="AT764" s="40"/>
      <c r="AU764" s="40"/>
      <c r="AV764" s="40"/>
      <c r="AW764" s="40"/>
      <c r="AX764" s="40"/>
      <c r="AY764" s="40"/>
      <c r="AZ764" s="40"/>
      <c r="BA764" s="40"/>
      <c r="BB764" s="40"/>
      <c r="BC764" s="40"/>
      <c r="BD764" s="40"/>
      <c r="BE764" s="40"/>
      <c r="BF764" s="40"/>
      <c r="BG764" s="40"/>
    </row>
    <row r="765" spans="1:59" s="262" customFormat="1" hidden="1" x14ac:dyDescent="0.25">
      <c r="A765" s="264"/>
      <c r="B765" s="264"/>
      <c r="C765" s="265"/>
      <c r="D765" s="265"/>
      <c r="E765" s="265"/>
      <c r="F765" s="265"/>
      <c r="G765" s="265"/>
      <c r="H765" s="265"/>
      <c r="I765" s="265"/>
      <c r="J765" s="265"/>
      <c r="K765" s="265"/>
      <c r="L765" s="265"/>
      <c r="M765" s="265"/>
      <c r="N765" s="265"/>
      <c r="O765" s="265"/>
      <c r="P765" s="265"/>
      <c r="Q765" s="265"/>
      <c r="R765" s="265"/>
      <c r="S765" s="265"/>
      <c r="T765" s="265"/>
      <c r="U765" s="265"/>
      <c r="V765" s="265"/>
      <c r="W765" s="265"/>
      <c r="X765" s="265"/>
      <c r="Y765" s="265"/>
      <c r="Z765" s="265"/>
      <c r="AA765" s="265"/>
      <c r="AB765" s="265"/>
      <c r="AC765" s="265"/>
      <c r="AD765" s="265"/>
      <c r="AE765" s="265"/>
      <c r="AF765" s="265"/>
      <c r="AG765" s="265"/>
      <c r="AH765" s="265"/>
      <c r="AI765" s="265"/>
      <c r="AJ765" s="265"/>
      <c r="AK765" s="265"/>
      <c r="AL765" s="265"/>
      <c r="AM765" s="265"/>
      <c r="AN765" s="265"/>
      <c r="AO765" s="265"/>
      <c r="AP765" s="265"/>
      <c r="AQ765" s="265"/>
      <c r="AR765" s="265"/>
      <c r="AS765" s="265"/>
      <c r="AT765" s="265"/>
      <c r="AU765" s="265"/>
      <c r="AV765" s="265"/>
      <c r="AW765" s="265"/>
      <c r="AX765" s="265"/>
      <c r="AY765" s="265"/>
      <c r="AZ765" s="265"/>
      <c r="BA765" s="265"/>
      <c r="BB765" s="265"/>
      <c r="BC765" s="265"/>
      <c r="BD765" s="265"/>
      <c r="BE765" s="265"/>
      <c r="BF765" s="265"/>
      <c r="BG765" s="265"/>
    </row>
    <row r="766" spans="1:59" s="260" customFormat="1" hidden="1" x14ac:dyDescent="0.25">
      <c r="V766" s="262"/>
      <c r="X766" s="262"/>
      <c r="Y766" s="262"/>
      <c r="AA766" s="262"/>
      <c r="AD766" s="262"/>
      <c r="AE766" s="262"/>
    </row>
    <row r="767" spans="1:59" s="262" customFormat="1" hidden="1" x14ac:dyDescent="0.25">
      <c r="C767" s="102" t="s">
        <v>930</v>
      </c>
      <c r="H767" s="374"/>
      <c r="I767" s="375"/>
      <c r="J767" s="374"/>
      <c r="K767" s="374"/>
    </row>
    <row r="768" spans="1:59" s="260" customFormat="1" hidden="1" x14ac:dyDescent="0.25">
      <c r="C768" s="262"/>
      <c r="E768" s="68" t="s">
        <v>789</v>
      </c>
      <c r="F768" s="68" t="s">
        <v>790</v>
      </c>
      <c r="G768" s="68" t="s">
        <v>258</v>
      </c>
      <c r="H768" s="376"/>
      <c r="I768" s="376"/>
      <c r="J768" s="377"/>
      <c r="K768" s="377"/>
      <c r="P768" s="305"/>
      <c r="Q768" s="382"/>
      <c r="R768" s="382"/>
      <c r="S768" s="262"/>
      <c r="V768" s="262"/>
      <c r="X768" s="262"/>
      <c r="Y768" s="262"/>
      <c r="AA768" s="262"/>
      <c r="AD768" s="262"/>
      <c r="AE768" s="262"/>
    </row>
    <row r="769" spans="3:31" s="260" customFormat="1" hidden="1" x14ac:dyDescent="0.25">
      <c r="C769" s="262"/>
      <c r="E769" s="273" t="s">
        <v>780</v>
      </c>
      <c r="F769" s="273" t="s">
        <v>558</v>
      </c>
      <c r="G769" s="273"/>
      <c r="H769" s="374"/>
      <c r="I769" s="378"/>
      <c r="J769" s="378"/>
      <c r="K769" s="378"/>
      <c r="P769" s="305"/>
      <c r="Q769" s="305"/>
      <c r="R769" s="392"/>
      <c r="S769" s="262"/>
      <c r="V769" s="262"/>
      <c r="X769" s="262"/>
      <c r="Y769" s="262"/>
      <c r="AA769" s="262"/>
      <c r="AD769" s="262"/>
      <c r="AE769" s="262"/>
    </row>
    <row r="770" spans="3:31" s="260" customFormat="1" hidden="1" x14ac:dyDescent="0.25">
      <c r="F770" s="265"/>
      <c r="G770" s="265"/>
      <c r="H770" s="379"/>
      <c r="I770" s="379"/>
      <c r="J770" s="379"/>
      <c r="K770" s="379"/>
      <c r="P770" s="305"/>
      <c r="Q770" s="305"/>
      <c r="R770" s="392"/>
      <c r="S770" s="262"/>
      <c r="V770" s="262"/>
      <c r="X770" s="262"/>
      <c r="Y770" s="262"/>
      <c r="AA770" s="262"/>
      <c r="AD770" s="262"/>
      <c r="AE770" s="262"/>
    </row>
    <row r="771" spans="3:31" s="260" customFormat="1" hidden="1" x14ac:dyDescent="0.25">
      <c r="C771" s="267">
        <v>1</v>
      </c>
      <c r="D771" s="301" t="s">
        <v>817</v>
      </c>
      <c r="E771" s="183">
        <f>IFERROR(MID(VLOOKUP(D771,#REF!,14,FALSE),1,FIND(" Mbps",VLOOKUP(D771,#REF!,14,FALSE))),0)*1</f>
        <v>0</v>
      </c>
      <c r="F771" s="211" t="e">
        <f>VLOOKUP(D771,#REF!,4,FALSE)</f>
        <v>#REF!</v>
      </c>
      <c r="G771" s="260" t="s">
        <v>791</v>
      </c>
      <c r="H771" s="380"/>
      <c r="I771" s="381"/>
      <c r="J771" s="374"/>
      <c r="K771" s="374"/>
      <c r="P771" s="305"/>
      <c r="Q771" s="305"/>
      <c r="R771" s="305"/>
      <c r="S771" s="262"/>
      <c r="U771" s="306"/>
      <c r="V771" s="218"/>
      <c r="W771" s="209"/>
      <c r="Y771" s="262"/>
      <c r="Z771" s="209"/>
      <c r="AA771" s="209"/>
      <c r="AD771" s="262"/>
      <c r="AE771" s="262"/>
    </row>
    <row r="772" spans="3:31" s="260" customFormat="1" hidden="1" x14ac:dyDescent="0.25">
      <c r="C772" s="95">
        <v>2</v>
      </c>
      <c r="D772" s="301" t="s">
        <v>818</v>
      </c>
      <c r="E772" s="183">
        <f>IFERROR(MID(VLOOKUP(D772,#REF!,14,FALSE),1,FIND(" Mbps",VLOOKUP(D772,#REF!,14,FALSE))),0)*1</f>
        <v>0</v>
      </c>
      <c r="F772" s="211" t="e">
        <f>VLOOKUP(D772,#REF!,4,FALSE)</f>
        <v>#REF!</v>
      </c>
      <c r="G772" s="260" t="s">
        <v>792</v>
      </c>
      <c r="H772" s="380"/>
      <c r="I772" s="381"/>
      <c r="J772" s="374"/>
      <c r="K772" s="374"/>
      <c r="Q772" s="326"/>
      <c r="R772" s="327"/>
      <c r="S772" s="327"/>
      <c r="T772" s="327"/>
      <c r="U772" s="306"/>
      <c r="V772" s="218"/>
      <c r="W772" s="209"/>
      <c r="Y772" s="262"/>
      <c r="Z772" s="209"/>
      <c r="AA772" s="209"/>
      <c r="AD772" s="262"/>
      <c r="AE772" s="262"/>
    </row>
    <row r="773" spans="3:31" s="260" customFormat="1" hidden="1" x14ac:dyDescent="0.25">
      <c r="C773" s="95">
        <v>3</v>
      </c>
      <c r="D773" s="301" t="s">
        <v>819</v>
      </c>
      <c r="E773" s="183">
        <f>IFERROR(MID(VLOOKUP(D773,#REF!,14,FALSE),1,FIND(" Mbps",VLOOKUP(D773,#REF!,14,FALSE))),0)*1</f>
        <v>0</v>
      </c>
      <c r="F773" s="211" t="e">
        <f>VLOOKUP(D773,#REF!,4,FALSE)</f>
        <v>#REF!</v>
      </c>
      <c r="G773" s="260" t="s">
        <v>793</v>
      </c>
      <c r="H773" s="380"/>
      <c r="I773" s="381"/>
      <c r="J773" s="374"/>
      <c r="K773" s="374"/>
      <c r="Q773" s="327"/>
      <c r="R773" s="328"/>
      <c r="S773" s="327"/>
      <c r="T773" s="327"/>
      <c r="U773" s="306"/>
      <c r="V773" s="218"/>
      <c r="W773" s="209"/>
      <c r="Y773" s="262"/>
      <c r="Z773" s="209"/>
      <c r="AA773" s="209"/>
      <c r="AD773" s="262"/>
      <c r="AE773" s="262"/>
    </row>
    <row r="774" spans="3:31" s="260" customFormat="1" hidden="1" x14ac:dyDescent="0.25">
      <c r="C774" s="95">
        <v>4</v>
      </c>
      <c r="D774" s="355" t="s">
        <v>844</v>
      </c>
      <c r="E774" s="183">
        <f>IFERROR(MID(VLOOKUP(D774,#REF!,14,FALSE),1,FIND(" Mbps",VLOOKUP(D774,#REF!,14,FALSE))),0)*1</f>
        <v>0</v>
      </c>
      <c r="F774" s="211" t="e">
        <f>VLOOKUP(D774,#REF!,4,FALSE)</f>
        <v>#REF!</v>
      </c>
      <c r="G774" s="260" t="s">
        <v>794</v>
      </c>
      <c r="H774" s="380"/>
      <c r="I774" s="381"/>
      <c r="J774" s="374"/>
      <c r="K774" s="374"/>
      <c r="Q774" s="327"/>
      <c r="R774" s="329"/>
      <c r="S774" s="327"/>
      <c r="T774" s="327"/>
      <c r="U774" s="306"/>
      <c r="V774" s="218"/>
      <c r="W774" s="209"/>
      <c r="Y774" s="262"/>
      <c r="Z774" s="209"/>
      <c r="AA774" s="209"/>
      <c r="AD774" s="262"/>
      <c r="AE774" s="262"/>
    </row>
    <row r="775" spans="3:31" s="260" customFormat="1" hidden="1" x14ac:dyDescent="0.25">
      <c r="C775" s="95">
        <v>5</v>
      </c>
      <c r="D775" s="355" t="s">
        <v>845</v>
      </c>
      <c r="E775" s="183">
        <f>IFERROR(MID(VLOOKUP(D775,#REF!,14,FALSE),1,FIND(" Mbps",VLOOKUP(D775,#REF!,14,FALSE))),0)*1</f>
        <v>0</v>
      </c>
      <c r="F775" s="211" t="e">
        <f>VLOOKUP(D775,#REF!,4,FALSE)</f>
        <v>#REF!</v>
      </c>
      <c r="G775" s="260" t="s">
        <v>795</v>
      </c>
      <c r="H775" s="380"/>
      <c r="I775" s="381"/>
      <c r="J775" s="374"/>
      <c r="K775" s="374"/>
      <c r="Q775" s="209"/>
      <c r="U775" s="306"/>
      <c r="V775" s="218"/>
      <c r="W775" s="209"/>
      <c r="Y775" s="262"/>
      <c r="Z775" s="209"/>
      <c r="AA775" s="209"/>
      <c r="AD775" s="262"/>
      <c r="AE775" s="262"/>
    </row>
    <row r="776" spans="3:31" s="260" customFormat="1" ht="12" hidden="1" thickBot="1" x14ac:dyDescent="0.3">
      <c r="C776" s="95">
        <v>6</v>
      </c>
      <c r="D776" s="355" t="s">
        <v>846</v>
      </c>
      <c r="E776" s="183">
        <f>IFERROR(MID(VLOOKUP(D776,#REF!,14,FALSE),1,FIND(" Mbps",VLOOKUP(D776,#REF!,14,FALSE))),0)*1</f>
        <v>0</v>
      </c>
      <c r="F776" s="211" t="e">
        <f>VLOOKUP(D776,#REF!,4,FALSE)</f>
        <v>#REF!</v>
      </c>
      <c r="G776" s="260" t="s">
        <v>796</v>
      </c>
      <c r="H776" s="380"/>
      <c r="I776" s="381"/>
      <c r="J776" s="374"/>
      <c r="K776" s="374"/>
      <c r="Q776" s="209"/>
      <c r="U776" s="306"/>
      <c r="V776" s="218"/>
      <c r="W776" s="209"/>
      <c r="Y776" s="262"/>
      <c r="Z776" s="209"/>
      <c r="AA776" s="209"/>
      <c r="AD776" s="262"/>
      <c r="AE776" s="262"/>
    </row>
    <row r="777" spans="3:31" s="260" customFormat="1" hidden="1" x14ac:dyDescent="0.25">
      <c r="D777" s="270"/>
      <c r="E777" s="270"/>
      <c r="F777" s="270"/>
      <c r="G777" s="270"/>
      <c r="H777" s="323"/>
      <c r="I777" s="323"/>
      <c r="J777" s="323"/>
      <c r="R777" s="262"/>
      <c r="U777" s="247"/>
      <c r="V777" s="218"/>
      <c r="X777" s="262"/>
      <c r="Y777" s="262"/>
      <c r="AA777" s="262"/>
      <c r="AD777" s="262"/>
      <c r="AE777" s="262"/>
    </row>
    <row r="778" spans="3:31" hidden="1" x14ac:dyDescent="0.25">
      <c r="C778" s="102" t="s">
        <v>931</v>
      </c>
      <c r="I778" s="305"/>
      <c r="J778" s="374"/>
      <c r="K778" s="374"/>
      <c r="L778" s="375"/>
      <c r="M778" s="305"/>
      <c r="N778" s="305"/>
      <c r="O778" s="305"/>
      <c r="P778" s="305"/>
      <c r="Q778" s="305"/>
      <c r="R778" s="305"/>
      <c r="S778" s="305"/>
      <c r="U778" s="262"/>
      <c r="V778"/>
      <c r="W778" s="262"/>
      <c r="X778"/>
    </row>
    <row r="779" spans="3:31" ht="42" hidden="1" customHeight="1" x14ac:dyDescent="0.25">
      <c r="C779" s="262"/>
      <c r="D779" s="268" t="s">
        <v>180</v>
      </c>
      <c r="E779" s="176" t="s">
        <v>933</v>
      </c>
      <c r="F779" s="176" t="s">
        <v>564</v>
      </c>
      <c r="G779" s="268" t="str">
        <f>"Precio minorista "&amp;Year.selected&amp;" Sin impuestos"</f>
        <v>Precio minorista 2022 Sin impuestos</v>
      </c>
      <c r="H779" s="385" t="s">
        <v>918</v>
      </c>
      <c r="I779" s="382"/>
      <c r="J779" s="376"/>
      <c r="K779" s="376"/>
      <c r="L779" s="376"/>
      <c r="M779" s="305"/>
      <c r="N779" s="386"/>
      <c r="O779" s="305"/>
      <c r="P779" s="305"/>
      <c r="Q779" s="382"/>
      <c r="R779" s="382"/>
      <c r="S779" s="305"/>
      <c r="U779" s="262"/>
      <c r="V779"/>
      <c r="W779" s="262"/>
      <c r="X779"/>
    </row>
    <row r="780" spans="3:31" hidden="1" x14ac:dyDescent="0.25">
      <c r="C780" s="267">
        <v>1</v>
      </c>
      <c r="D780" s="296" t="s">
        <v>206</v>
      </c>
      <c r="E780" s="183">
        <f>IFERROR(MID(VLOOKUP($D780,#REF!,13,FALSE),1,FIND(" Mbps",VLOOKUP($D780,#REF!,13,FALSE))),0)*1</f>
        <v>0</v>
      </c>
      <c r="F780" s="183">
        <f>IFERROR(MID(VLOOKUP($D780,#REF!,14,FALSE),1,FIND(" Mbps",VLOOKUP($D780,#REF!,14,FALSE))),0)*1</f>
        <v>0</v>
      </c>
      <c r="G780" s="211" t="e">
        <f>VLOOKUP(D780,#REF!,13,FALSE)</f>
        <v>#REF!</v>
      </c>
      <c r="H780" s="321">
        <f t="shared" ref="H780:H785" si="111">INDEX(vector.implicit.prices.broadband.after.discount,MATCH($D780,vector.plans.names,0))</f>
        <v>91</v>
      </c>
      <c r="I780" s="387"/>
      <c r="J780" s="388"/>
      <c r="K780" s="387"/>
      <c r="L780" s="389"/>
      <c r="M780" s="305"/>
      <c r="N780" s="390"/>
      <c r="O780" s="391"/>
      <c r="P780" s="305"/>
      <c r="Q780" s="305"/>
      <c r="R780" s="392"/>
      <c r="S780" s="305"/>
      <c r="U780" s="262"/>
      <c r="V780"/>
      <c r="W780" s="262"/>
      <c r="X780"/>
    </row>
    <row r="781" spans="3:31" hidden="1" x14ac:dyDescent="0.25">
      <c r="C781" s="267">
        <v>2</v>
      </c>
      <c r="D781" s="296" t="s">
        <v>207</v>
      </c>
      <c r="E781" s="183">
        <f>IFERROR(MID(VLOOKUP($D781,#REF!,13,FALSE),1,FIND(" Mbps",VLOOKUP($D781,#REF!,13,FALSE))),0)*1</f>
        <v>0</v>
      </c>
      <c r="F781" s="183">
        <f>IFERROR(MID(VLOOKUP($D781,#REF!,14,FALSE),1,FIND(" Mbps",VLOOKUP($D781,#REF!,14,FALSE))),0)*1</f>
        <v>0</v>
      </c>
      <c r="G781" s="211" t="e">
        <f>VLOOKUP(D781,#REF!,13,FALSE)</f>
        <v>#REF!</v>
      </c>
      <c r="H781" s="321">
        <f t="shared" si="111"/>
        <v>183</v>
      </c>
      <c r="I781" s="387"/>
      <c r="J781" s="388"/>
      <c r="K781" s="387"/>
      <c r="L781" s="389"/>
      <c r="M781" s="305"/>
      <c r="N781" s="390"/>
      <c r="O781" s="391"/>
      <c r="P781" s="305"/>
      <c r="Q781" s="305"/>
      <c r="R781" s="392"/>
      <c r="S781" s="305"/>
      <c r="U781" s="262"/>
      <c r="V781"/>
      <c r="W781" s="262"/>
      <c r="X781"/>
    </row>
    <row r="782" spans="3:31" hidden="1" x14ac:dyDescent="0.25">
      <c r="C782" s="267">
        <f>C781+1</f>
        <v>3</v>
      </c>
      <c r="D782" s="296" t="s">
        <v>367</v>
      </c>
      <c r="E782" s="183">
        <f>IFERROR(MID(VLOOKUP($D782,#REF!,13,FALSE),1,FIND(" Mbps",VLOOKUP($D782,#REF!,13,FALSE))),0)*1</f>
        <v>0</v>
      </c>
      <c r="F782" s="183">
        <f>IFERROR(MID(VLOOKUP($D782,#REF!,14,FALSE),1,FIND(" Mbps",VLOOKUP($D782,#REF!,14,FALSE))),0)*1</f>
        <v>0</v>
      </c>
      <c r="G782" s="211" t="e">
        <f>VLOOKUP(D782,#REF!,13,FALSE)</f>
        <v>#REF!</v>
      </c>
      <c r="H782" s="321">
        <f t="shared" si="111"/>
        <v>435</v>
      </c>
      <c r="I782" s="387"/>
      <c r="J782" s="388"/>
      <c r="K782" s="387"/>
      <c r="L782" s="389"/>
      <c r="M782" s="305"/>
      <c r="N782" s="390"/>
      <c r="O782" s="391"/>
      <c r="P782" s="305"/>
      <c r="Q782" s="305"/>
      <c r="R782" s="305"/>
      <c r="S782" s="305"/>
      <c r="U782" s="262"/>
      <c r="V782"/>
      <c r="W782" s="262"/>
      <c r="X782"/>
    </row>
    <row r="783" spans="3:31" hidden="1" x14ac:dyDescent="0.25">
      <c r="C783" s="267">
        <f>C782+1</f>
        <v>4</v>
      </c>
      <c r="D783" s="356" t="s">
        <v>209</v>
      </c>
      <c r="E783" s="183">
        <f>IFERROR(MID(VLOOKUP($D783,#REF!,13,FALSE),1,FIND(" Mbps",VLOOKUP($D783,#REF!,13,FALSE))),0)*1</f>
        <v>0</v>
      </c>
      <c r="F783" s="183">
        <f>IFERROR(MID(VLOOKUP($D783,#REF!,14,FALSE),1,FIND(" Mbps",VLOOKUP($D783,#REF!,14,FALSE))),0)*1</f>
        <v>0</v>
      </c>
      <c r="G783" s="211">
        <v>1301.31</v>
      </c>
      <c r="H783" s="321" t="e">
        <f t="shared" si="111"/>
        <v>#N/A</v>
      </c>
      <c r="I783" s="387"/>
      <c r="J783" s="388"/>
      <c r="K783" s="387"/>
      <c r="L783" s="389"/>
      <c r="M783" s="305"/>
      <c r="N783" s="390"/>
      <c r="O783" s="391"/>
      <c r="P783" s="305"/>
      <c r="Q783" s="393"/>
      <c r="R783" s="305"/>
      <c r="S783" s="305"/>
      <c r="U783" s="262"/>
      <c r="V783"/>
      <c r="W783" s="262"/>
      <c r="X783"/>
    </row>
    <row r="784" spans="3:31" hidden="1" x14ac:dyDescent="0.25">
      <c r="C784" s="267">
        <f>C783+1</f>
        <v>5</v>
      </c>
      <c r="D784" s="356" t="s">
        <v>210</v>
      </c>
      <c r="E784" s="183">
        <f>IFERROR(MID(VLOOKUP($D784,#REF!,13,FALSE),1,FIND(" Mbps",VLOOKUP($D784,#REF!,13,FALSE))),0)*1</f>
        <v>0</v>
      </c>
      <c r="F784" s="183">
        <f>IFERROR(MID(VLOOKUP($D784,#REF!,14,FALSE),1,FIND(" Mbps",VLOOKUP($D784,#REF!,14,FALSE))),0)*1</f>
        <v>0</v>
      </c>
      <c r="G784" s="211">
        <v>1546.17</v>
      </c>
      <c r="H784" s="321" t="e">
        <f t="shared" si="111"/>
        <v>#N/A</v>
      </c>
      <c r="I784" s="387"/>
      <c r="J784" s="388"/>
      <c r="K784" s="387"/>
      <c r="L784" s="389"/>
      <c r="M784" s="305"/>
      <c r="N784" s="390"/>
      <c r="O784" s="391"/>
      <c r="P784" s="305"/>
      <c r="Q784" s="305"/>
      <c r="R784" s="394"/>
      <c r="S784" s="305"/>
      <c r="U784" s="262"/>
      <c r="V784"/>
      <c r="W784" s="262"/>
      <c r="X784"/>
    </row>
    <row r="785" spans="3:19" ht="12" hidden="1" thickBot="1" x14ac:dyDescent="0.3">
      <c r="C785" s="267">
        <f>C784+1</f>
        <v>6</v>
      </c>
      <c r="D785" s="356" t="s">
        <v>211</v>
      </c>
      <c r="E785" s="183">
        <f>IFERROR(MID(VLOOKUP($D785,#REF!,13,FALSE),1,FIND(" Mbps",VLOOKUP($D785,#REF!,13,FALSE))),0)*1</f>
        <v>0</v>
      </c>
      <c r="F785" s="183">
        <f>IFERROR(MID(VLOOKUP($D785,#REF!,14,FALSE),1,FIND(" Mbps",VLOOKUP($D785,#REF!,14,FALSE))),0)*1</f>
        <v>0</v>
      </c>
      <c r="G785" s="211">
        <v>1968.34</v>
      </c>
      <c r="H785" s="321" t="e">
        <f t="shared" si="111"/>
        <v>#N/A</v>
      </c>
      <c r="I785" s="387"/>
      <c r="J785" s="388"/>
      <c r="K785" s="387"/>
      <c r="L785" s="389"/>
      <c r="M785" s="305"/>
      <c r="N785" s="390"/>
      <c r="O785" s="391"/>
      <c r="P785" s="305"/>
      <c r="Q785" s="305"/>
      <c r="R785" s="392"/>
      <c r="S785" s="305"/>
    </row>
    <row r="786" spans="3:19" hidden="1" x14ac:dyDescent="0.25">
      <c r="C786" s="270"/>
      <c r="D786" s="322"/>
      <c r="E786" s="270"/>
      <c r="F786" s="322"/>
      <c r="G786" s="322"/>
      <c r="H786" s="324"/>
      <c r="I786" s="324"/>
      <c r="J786" s="324"/>
      <c r="K786" s="324"/>
      <c r="M786" s="262"/>
    </row>
    <row r="787" spans="3:19" s="262" customFormat="1" hidden="1" x14ac:dyDescent="0.25">
      <c r="C787" s="300" t="s">
        <v>831</v>
      </c>
    </row>
    <row r="788" spans="3:19" s="262" customFormat="1" ht="38" hidden="1" customHeight="1" x14ac:dyDescent="0.25">
      <c r="D788" s="268" t="s">
        <v>180</v>
      </c>
      <c r="E788" s="268" t="s">
        <v>170</v>
      </c>
      <c r="F788" s="180" t="s">
        <v>789</v>
      </c>
      <c r="G788" s="268" t="s">
        <v>932</v>
      </c>
      <c r="H788" s="358"/>
      <c r="I788" s="268" t="s">
        <v>832</v>
      </c>
      <c r="J788" s="268" t="s">
        <v>934</v>
      </c>
      <c r="L788" s="749" t="s">
        <v>768</v>
      </c>
      <c r="M788" s="749"/>
      <c r="N788" s="749"/>
      <c r="O788" s="749"/>
    </row>
    <row r="789" spans="3:19" s="262" customFormat="1" hidden="1" x14ac:dyDescent="0.25">
      <c r="C789" s="267">
        <v>1</v>
      </c>
      <c r="D789" s="301" t="s">
        <v>817</v>
      </c>
      <c r="E789" s="262" t="s">
        <v>802</v>
      </c>
      <c r="F789" s="338">
        <f t="shared" ref="F789:F794" si="112">E771</f>
        <v>0</v>
      </c>
      <c r="G789" s="357" t="e">
        <f t="shared" ref="G789:G794" si="113">F771/H780</f>
        <v>#REF!</v>
      </c>
      <c r="H789" s="359"/>
      <c r="I789" s="406" t="e">
        <f t="shared" ref="I789:I794" si="114">VLOOKUP(F789,$D$503:$G$516,4,FALSE)</f>
        <v>#N/A</v>
      </c>
      <c r="J789" s="186" t="e">
        <f t="shared" ref="J789:J794" si="115">I789*(1+G789)</f>
        <v>#N/A</v>
      </c>
      <c r="K789" s="209"/>
      <c r="L789" s="262" t="s">
        <v>769</v>
      </c>
      <c r="M789" s="411" t="e">
        <f>INDEX(LINEST(LN($J$789:$J$794),LN($F$789:$F$794)),1)</f>
        <v>#VALUE!</v>
      </c>
    </row>
    <row r="790" spans="3:19" s="262" customFormat="1" hidden="1" x14ac:dyDescent="0.25">
      <c r="C790" s="95">
        <v>3</v>
      </c>
      <c r="D790" s="301" t="s">
        <v>818</v>
      </c>
      <c r="E790" s="262" t="s">
        <v>803</v>
      </c>
      <c r="F790" s="338">
        <f t="shared" si="112"/>
        <v>0</v>
      </c>
      <c r="G790" s="357" t="e">
        <f t="shared" si="113"/>
        <v>#REF!</v>
      </c>
      <c r="H790" s="359"/>
      <c r="I790" s="406" t="e">
        <f t="shared" si="114"/>
        <v>#N/A</v>
      </c>
      <c r="J790" s="186" t="e">
        <f t="shared" si="115"/>
        <v>#N/A</v>
      </c>
      <c r="K790" s="209"/>
      <c r="L790" s="262" t="s">
        <v>939</v>
      </c>
      <c r="M790" s="411" t="e">
        <f>INDEX(LINEST(LN($J$789:$J$794),LN($F$789:$F$794)),2)</f>
        <v>#VALUE!</v>
      </c>
    </row>
    <row r="791" spans="3:19" s="262" customFormat="1" hidden="1" x14ac:dyDescent="0.25">
      <c r="C791" s="95">
        <v>4</v>
      </c>
      <c r="D791" s="301" t="s">
        <v>819</v>
      </c>
      <c r="E791" s="262" t="s">
        <v>804</v>
      </c>
      <c r="F791" s="338">
        <f t="shared" si="112"/>
        <v>0</v>
      </c>
      <c r="G791" s="357" t="e">
        <f t="shared" si="113"/>
        <v>#REF!</v>
      </c>
      <c r="H791" s="359"/>
      <c r="I791" s="406" t="e">
        <f t="shared" si="114"/>
        <v>#N/A</v>
      </c>
      <c r="J791" s="186" t="e">
        <f t="shared" si="115"/>
        <v>#N/A</v>
      </c>
      <c r="K791" s="209"/>
      <c r="L791" s="2"/>
    </row>
    <row r="792" spans="3:19" s="262" customFormat="1" hidden="1" x14ac:dyDescent="0.25">
      <c r="C792" s="95">
        <v>7</v>
      </c>
      <c r="D792" s="301" t="s">
        <v>820</v>
      </c>
      <c r="E792" s="262" t="s">
        <v>805</v>
      </c>
      <c r="F792" s="338">
        <f t="shared" si="112"/>
        <v>0</v>
      </c>
      <c r="G792" s="357" t="e">
        <f t="shared" si="113"/>
        <v>#REF!</v>
      </c>
      <c r="H792" s="359"/>
      <c r="I792" s="406" t="e">
        <f t="shared" si="114"/>
        <v>#N/A</v>
      </c>
      <c r="J792" s="186" t="e">
        <f t="shared" si="115"/>
        <v>#N/A</v>
      </c>
      <c r="K792" s="209"/>
      <c r="L792" s="2"/>
      <c r="M792" s="383"/>
      <c r="N792" s="384"/>
    </row>
    <row r="793" spans="3:19" s="262" customFormat="1" hidden="1" x14ac:dyDescent="0.25">
      <c r="C793" s="95">
        <v>8</v>
      </c>
      <c r="D793" s="301" t="s">
        <v>821</v>
      </c>
      <c r="E793" s="262" t="s">
        <v>806</v>
      </c>
      <c r="F793" s="338">
        <f t="shared" si="112"/>
        <v>0</v>
      </c>
      <c r="G793" s="357" t="e">
        <f t="shared" si="113"/>
        <v>#REF!</v>
      </c>
      <c r="H793" s="359"/>
      <c r="I793" s="406" t="e">
        <f t="shared" si="114"/>
        <v>#N/A</v>
      </c>
      <c r="J793" s="186" t="e">
        <f t="shared" si="115"/>
        <v>#N/A</v>
      </c>
      <c r="K793" s="209"/>
      <c r="L793" s="749" t="s">
        <v>770</v>
      </c>
      <c r="M793" s="749"/>
      <c r="N793" s="749"/>
      <c r="O793" s="749"/>
    </row>
    <row r="794" spans="3:19" s="262" customFormat="1" hidden="1" x14ac:dyDescent="0.25">
      <c r="C794" s="95">
        <v>9</v>
      </c>
      <c r="D794" s="301" t="s">
        <v>822</v>
      </c>
      <c r="E794" s="262" t="s">
        <v>807</v>
      </c>
      <c r="F794" s="338">
        <f t="shared" si="112"/>
        <v>0</v>
      </c>
      <c r="G794" s="357" t="e">
        <f t="shared" si="113"/>
        <v>#REF!</v>
      </c>
      <c r="H794" s="359"/>
      <c r="I794" s="406" t="e">
        <f t="shared" si="114"/>
        <v>#N/A</v>
      </c>
      <c r="J794" s="186" t="e">
        <f t="shared" si="115"/>
        <v>#N/A</v>
      </c>
      <c r="K794" s="209"/>
      <c r="L794" s="262" t="s">
        <v>769</v>
      </c>
      <c r="M794" s="409" t="e">
        <f>M789</f>
        <v>#VALUE!</v>
      </c>
      <c r="N794" s="384"/>
    </row>
    <row r="795" spans="3:19" s="262" customFormat="1" hidden="1" x14ac:dyDescent="0.25">
      <c r="C795" s="323"/>
      <c r="D795" s="324"/>
      <c r="E795" s="323"/>
      <c r="F795" s="324"/>
      <c r="G795" s="324"/>
      <c r="H795" s="324"/>
      <c r="I795" s="324"/>
      <c r="J795" s="324"/>
      <c r="K795" s="324"/>
      <c r="L795" s="262" t="s">
        <v>771</v>
      </c>
      <c r="M795" s="410" t="e">
        <f>EXP(M790)</f>
        <v>#VALUE!</v>
      </c>
    </row>
    <row r="796" spans="3:19" s="262" customFormat="1" hidden="1" x14ac:dyDescent="0.25">
      <c r="C796" s="323"/>
      <c r="D796" s="324"/>
      <c r="E796" s="323"/>
      <c r="F796" s="418"/>
      <c r="G796" s="324"/>
      <c r="H796" s="324"/>
      <c r="I796" s="324"/>
      <c r="J796" s="324"/>
      <c r="K796" s="324"/>
    </row>
    <row r="797" spans="3:19" s="262" customFormat="1" hidden="1" x14ac:dyDescent="0.25">
      <c r="C797" s="323"/>
      <c r="D797" s="324"/>
      <c r="E797" s="323"/>
      <c r="F797" s="324"/>
      <c r="G797" s="324"/>
      <c r="H797" s="324"/>
      <c r="J797" s="324"/>
      <c r="K797" s="324"/>
    </row>
    <row r="798" spans="3:19" s="262" customFormat="1" hidden="1" x14ac:dyDescent="0.25">
      <c r="C798" s="323"/>
      <c r="D798" s="324"/>
      <c r="E798" s="323"/>
      <c r="F798" s="324"/>
      <c r="G798" s="324"/>
      <c r="H798" s="324"/>
      <c r="J798" s="324"/>
      <c r="K798" s="324"/>
    </row>
    <row r="799" spans="3:19" s="262" customFormat="1" hidden="1" x14ac:dyDescent="0.25">
      <c r="C799" s="323"/>
      <c r="D799" s="324"/>
      <c r="E799" s="323"/>
      <c r="F799" s="324"/>
      <c r="G799" s="324"/>
      <c r="H799" s="324"/>
      <c r="I799" s="324"/>
      <c r="J799" s="324"/>
      <c r="K799" s="324"/>
    </row>
    <row r="800" spans="3:19" s="262" customFormat="1" hidden="1" x14ac:dyDescent="0.25">
      <c r="C800" s="323"/>
      <c r="D800" s="324"/>
      <c r="E800" s="323"/>
      <c r="F800" s="324"/>
      <c r="G800" s="324"/>
      <c r="H800" s="324"/>
      <c r="I800" s="324"/>
      <c r="J800" s="324"/>
      <c r="K800" s="324"/>
    </row>
    <row r="801" spans="1:59" s="262" customFormat="1" hidden="1" x14ac:dyDescent="0.25">
      <c r="C801" s="323"/>
      <c r="D801" s="324"/>
      <c r="E801" s="323"/>
      <c r="F801" s="324"/>
      <c r="G801" s="324"/>
      <c r="H801" s="324"/>
      <c r="I801" s="324"/>
      <c r="J801" s="324"/>
      <c r="K801" s="324"/>
    </row>
    <row r="802" spans="1:59" s="262" customFormat="1" hidden="1" x14ac:dyDescent="0.25">
      <c r="C802" s="323"/>
      <c r="D802" s="324"/>
      <c r="E802" s="323"/>
      <c r="F802" s="324"/>
      <c r="G802" s="324"/>
      <c r="H802" s="324"/>
      <c r="I802" s="324"/>
      <c r="J802" s="324"/>
      <c r="K802" s="324"/>
    </row>
    <row r="803" spans="1:59" s="262" customFormat="1" hidden="1" x14ac:dyDescent="0.25">
      <c r="C803" s="323"/>
      <c r="D803" s="324"/>
      <c r="E803" s="323"/>
      <c r="F803" s="324"/>
      <c r="G803" s="324"/>
      <c r="H803" s="324"/>
      <c r="I803" s="324"/>
      <c r="J803" s="324"/>
      <c r="K803" s="324"/>
    </row>
    <row r="804" spans="1:59" s="262" customFormat="1" hidden="1" x14ac:dyDescent="0.25">
      <c r="C804" s="323"/>
      <c r="D804" s="324"/>
      <c r="E804" s="323"/>
      <c r="F804" s="324"/>
      <c r="G804" s="324"/>
      <c r="H804" s="324"/>
      <c r="I804" s="324"/>
      <c r="J804" s="324"/>
      <c r="K804" s="324"/>
    </row>
    <row r="805" spans="1:59" s="262" customFormat="1" hidden="1" x14ac:dyDescent="0.25">
      <c r="C805" s="323"/>
      <c r="D805" s="324"/>
      <c r="E805" s="323"/>
      <c r="F805" s="324"/>
      <c r="G805" s="324"/>
      <c r="H805" s="324"/>
      <c r="I805" s="324"/>
      <c r="J805" s="324"/>
      <c r="K805" s="324"/>
    </row>
    <row r="806" spans="1:59" s="262" customFormat="1" hidden="1" x14ac:dyDescent="0.25">
      <c r="C806" s="323"/>
      <c r="D806" s="324"/>
      <c r="E806" s="323"/>
      <c r="F806" s="324"/>
      <c r="G806" s="324"/>
      <c r="H806" s="324"/>
      <c r="I806" s="324"/>
      <c r="J806" s="324"/>
      <c r="K806" s="324"/>
    </row>
    <row r="807" spans="1:59" s="262" customFormat="1" hidden="1" x14ac:dyDescent="0.25">
      <c r="C807" s="323"/>
      <c r="D807" s="324"/>
      <c r="E807" s="323"/>
      <c r="F807" s="324"/>
      <c r="G807" s="324"/>
      <c r="H807" s="324"/>
      <c r="I807" s="324"/>
      <c r="J807" s="324"/>
      <c r="K807" s="324"/>
      <c r="L807" s="209"/>
    </row>
    <row r="808" spans="1:59" x14ac:dyDescent="0.25">
      <c r="L808" s="209"/>
    </row>
    <row r="809" spans="1:59" s="44" customFormat="1" x14ac:dyDescent="0.25">
      <c r="A809" s="100" t="s">
        <v>425</v>
      </c>
      <c r="B809" s="100" t="s">
        <v>400</v>
      </c>
      <c r="C809" s="40"/>
      <c r="D809" s="40"/>
      <c r="E809" s="40"/>
      <c r="F809" s="40"/>
      <c r="G809" s="40"/>
      <c r="H809" s="40"/>
      <c r="I809" s="40"/>
      <c r="J809" s="40"/>
      <c r="K809" s="40"/>
      <c r="L809" s="40"/>
      <c r="M809" s="40"/>
      <c r="N809" s="40"/>
      <c r="O809" s="40"/>
      <c r="P809" s="40"/>
      <c r="Q809" s="40"/>
      <c r="R809" s="40"/>
      <c r="S809" s="40"/>
      <c r="T809" s="40"/>
      <c r="U809" s="40"/>
      <c r="V809" s="265"/>
      <c r="W809" s="40"/>
      <c r="X809" s="265"/>
      <c r="Y809" s="265"/>
      <c r="Z809" s="40"/>
      <c r="AA809" s="265"/>
      <c r="AB809" s="40"/>
      <c r="AC809" s="40"/>
      <c r="AD809" s="265"/>
      <c r="AE809" s="265"/>
      <c r="AF809" s="40"/>
      <c r="AG809" s="40"/>
      <c r="AH809" s="40"/>
      <c r="AI809" s="40"/>
      <c r="AJ809" s="40"/>
      <c r="AK809" s="40"/>
      <c r="AL809" s="40"/>
      <c r="AM809" s="40"/>
      <c r="AN809" s="40"/>
      <c r="AO809" s="40"/>
      <c r="AP809" s="40"/>
      <c r="AQ809" s="40"/>
      <c r="AR809" s="40"/>
      <c r="AS809" s="40"/>
      <c r="AT809" s="40"/>
      <c r="AU809" s="40"/>
      <c r="AV809" s="40"/>
      <c r="AW809" s="40"/>
      <c r="AX809" s="40"/>
      <c r="AY809" s="40"/>
      <c r="AZ809" s="40"/>
      <c r="BA809" s="40"/>
      <c r="BB809" s="40"/>
      <c r="BC809" s="40"/>
      <c r="BD809" s="40"/>
      <c r="BE809" s="40"/>
      <c r="BF809" s="40"/>
      <c r="BG809" s="40"/>
    </row>
  </sheetData>
  <mergeCells count="4">
    <mergeCell ref="L793:O793"/>
    <mergeCell ref="L788:O788"/>
    <mergeCell ref="O568:P568"/>
    <mergeCell ref="J501:N501"/>
  </mergeCells>
  <conditionalFormatting sqref="Q387:U479 W387:AE479">
    <cfRule type="colorScale" priority="388">
      <colorScale>
        <cfvo type="min"/>
        <cfvo type="max"/>
        <color rgb="FFFCFCFF"/>
        <color rgb="FF63BE7B"/>
      </colorScale>
    </cfRule>
  </conditionalFormatting>
  <conditionalFormatting sqref="Q360:AF479">
    <cfRule type="colorScale" priority="390">
      <colorScale>
        <cfvo type="min"/>
        <cfvo type="max"/>
        <color rgb="FFFCFCFF"/>
        <color rgb="FF63BE7B"/>
      </colorScale>
    </cfRule>
  </conditionalFormatting>
  <dataValidations disablePrompts="1" count="1">
    <dataValidation type="list" allowBlank="1" showInputMessage="1" showErrorMessage="1" sqref="E678:E689 F679:F689" xr:uid="{00000000-0002-0000-0600-000000000000}">
      <formula1>Tipo.Modalidad</formula1>
    </dataValidation>
  </dataValidations>
  <hyperlinks>
    <hyperlink ref="H777" r:id="rId1" display="https://telmex.com/web/negocios/velocidades-simetricas" xr:uid="{00000000-0004-0000-0600-000000000000}"/>
  </hyperlinks>
  <pageMargins left="0.7" right="0.7" top="0.75" bottom="0.75" header="0.3" footer="0.3"/>
  <pageSetup orientation="portrait" r:id="rId2"/>
  <ignoredErrors>
    <ignoredError sqref="C68:C186 F301:G301 C195:C313 H302 H194:I266 J301 E67:E175 H268:I293 H295:I301 F67:G174 H67:J173 C320:C332 C361:C479 G360:G467 F360:F467 Q360:Q479 K360:K467 J360:J467 I360:I467 H360:H467" unlockedFormula="1"/>
  </ignoredErrors>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5"/>
  <dimension ref="A1:HW128"/>
  <sheetViews>
    <sheetView showGridLines="0" zoomScale="85" zoomScaleNormal="85" workbookViewId="0">
      <pane xSplit="8" ySplit="3" topLeftCell="I4" activePane="bottomRight" state="frozen"/>
      <selection activeCell="I79" sqref="I79"/>
      <selection pane="topRight" activeCell="I79" sqref="I79"/>
      <selection pane="bottomLeft" activeCell="I79" sqref="I79"/>
      <selection pane="bottomRight" sqref="A1:XFD1048576"/>
    </sheetView>
  </sheetViews>
  <sheetFormatPr baseColWidth="10" defaultRowHeight="11.5" outlineLevelCol="1" x14ac:dyDescent="0.25"/>
  <cols>
    <col min="1" max="1" width="3" bestFit="1" customWidth="1"/>
    <col min="2" max="2" width="4.796875" style="44" customWidth="1"/>
    <col min="3" max="3" width="11.19921875" customWidth="1"/>
    <col min="4" max="4" width="4.19921875" customWidth="1"/>
    <col min="5" max="5" width="7.796875" customWidth="1"/>
    <col min="6" max="6" width="6.3984375" style="44" customWidth="1"/>
    <col min="7" max="7" width="45.8984375" bestFit="1" customWidth="1"/>
    <col min="8" max="8" width="26.796875" customWidth="1"/>
    <col min="9" max="10" width="20.59765625" customWidth="1"/>
    <col min="11" max="11" width="16.3984375" customWidth="1"/>
    <col min="12" max="12" width="16" customWidth="1"/>
    <col min="13" max="13" width="19.796875" customWidth="1"/>
    <col min="14" max="14" width="17" customWidth="1"/>
    <col min="15" max="15" width="17.19921875" customWidth="1"/>
    <col min="16" max="18" width="22.796875" customWidth="1"/>
    <col min="19" max="19" width="26" customWidth="1"/>
    <col min="20" max="20" width="23" customWidth="1"/>
    <col min="21" max="21" width="29.59765625" customWidth="1"/>
    <col min="22" max="34" width="30.796875" customWidth="1"/>
    <col min="35" max="36" width="23.19921875" customWidth="1"/>
    <col min="37" max="38" width="13.59765625" customWidth="1"/>
    <col min="39" max="39" width="17" customWidth="1"/>
    <col min="40" max="40" width="23.19921875" customWidth="1"/>
    <col min="41" max="46" width="23.796875" customWidth="1"/>
    <col min="47" max="50" width="24.796875" customWidth="1"/>
    <col min="51" max="51" width="20.19921875" customWidth="1"/>
    <col min="52" max="58" width="21.19921875" customWidth="1"/>
    <col min="59" max="59" width="21.19921875" style="262" customWidth="1"/>
    <col min="60" max="60" width="25.3984375" style="262" customWidth="1"/>
    <col min="61" max="62" width="25.59765625" style="262" customWidth="1"/>
    <col min="63" max="64" width="23.19921875" style="262" customWidth="1"/>
    <col min="65" max="66" width="25.59765625" style="262" customWidth="1"/>
    <col min="67" max="67" width="22.796875" style="262" customWidth="1"/>
    <col min="68" max="71" width="23.796875" style="262" customWidth="1"/>
    <col min="72" max="75" width="24.796875" style="262" customWidth="1"/>
    <col min="76" max="80" width="23.19921875" style="262" customWidth="1"/>
    <col min="81" max="118" width="23.296875" style="262" customWidth="1"/>
    <col min="119" max="220" width="10.796875" style="262" hidden="1" customWidth="1" outlineLevel="1"/>
    <col min="221" max="221" width="12" bestFit="1" customWidth="1" collapsed="1"/>
    <col min="222" max="222" width="12" bestFit="1" customWidth="1"/>
    <col min="223" max="223" width="11.8984375" bestFit="1" customWidth="1"/>
    <col min="224" max="224" width="14" customWidth="1"/>
    <col min="225" max="225" width="18.19921875" customWidth="1"/>
  </cols>
  <sheetData>
    <row r="1" spans="1:231" s="93" customFormat="1" ht="17" customHeight="1" x14ac:dyDescent="0.25">
      <c r="D1" s="94" t="s">
        <v>709</v>
      </c>
      <c r="E1" s="94"/>
      <c r="F1" s="94"/>
      <c r="G1" s="94"/>
      <c r="H1" s="94"/>
    </row>
    <row r="2" spans="1:231" x14ac:dyDescent="0.25">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HM2" s="44"/>
    </row>
    <row r="3" spans="1:231" ht="36.5" customHeight="1" x14ac:dyDescent="0.25">
      <c r="A3" s="1"/>
      <c r="B3" s="1"/>
      <c r="C3" s="1" t="s">
        <v>166</v>
      </c>
      <c r="D3" s="1"/>
      <c r="E3" s="1"/>
      <c r="F3" s="1"/>
      <c r="G3" s="1" t="s">
        <v>167</v>
      </c>
      <c r="H3" s="153"/>
      <c r="I3" s="153" t="str">
        <f t="array" ref="I3:HL3">TRANSPOSE(vector.plans.names)</f>
        <v>Renta Mensual de la Línea Residencial</v>
      </c>
      <c r="J3" s="153" t="str">
        <v>Renta Mensual de la Línea Comercial</v>
      </c>
      <c r="K3" s="153" t="str">
        <v>Infinitum 50</v>
      </c>
      <c r="L3" s="153" t="str">
        <v>Infinitum 500</v>
      </c>
      <c r="M3" s="153" t="str">
        <v>Infinitum 60</v>
      </c>
      <c r="N3" s="153" t="str">
        <v>Infinitum 100</v>
      </c>
      <c r="O3" s="153" t="str">
        <v>Infinitum 200</v>
      </c>
      <c r="P3" s="153" t="str">
        <v>Infinitum 279</v>
      </c>
      <c r="Q3" s="153" t="str">
        <v>Infinitum 299</v>
      </c>
      <c r="R3" s="153" t="str">
        <v>Infinitum 299</v>
      </c>
      <c r="S3" s="153" t="str">
        <v>Infinitum Negocio 20 Mb</v>
      </c>
      <c r="T3" s="153" t="str">
        <v>Infinitum Negocio 60</v>
      </c>
      <c r="U3" s="153" t="str">
        <v>Infinitum Negocio 200</v>
      </c>
      <c r="V3" s="153" t="str">
        <v>Infinitum Negocio 500</v>
      </c>
      <c r="W3" s="153" t="str">
        <v>Paquete 249</v>
      </c>
      <c r="X3" s="153" t="str">
        <v>Paquete 289</v>
      </c>
      <c r="Y3" s="153" t="str">
        <v>Paquete 435</v>
      </c>
      <c r="Z3" s="153" t="str">
        <v>Paquete 499</v>
      </c>
      <c r="AA3" s="153" t="str">
        <v>Paquete 599</v>
      </c>
      <c r="AB3" s="153" t="str">
        <v>Paquete 389</v>
      </c>
      <c r="AC3" s="153" t="str">
        <v>Paquete Conectes Negocio</v>
      </c>
      <c r="AD3" s="153" t="str">
        <v>Paquete 1499</v>
      </c>
      <c r="AE3" s="153" t="str">
        <v>Paquete 333</v>
      </c>
      <c r="AF3" s="153" t="str">
        <v>Paquete Mi Negocio</v>
      </c>
      <c r="AG3" s="153" t="str">
        <v>Paquete SuperNegocio</v>
      </c>
      <c r="AH3" s="153" t="str">
        <v>Paquete Infinitum 500</v>
      </c>
      <c r="AI3" s="153" t="str">
        <v>Paquete Telmex Negocio Sin Límites 1</v>
      </c>
      <c r="AJ3" s="153" t="str">
        <v>Paquete Telmex Negocio Sin Límites 2</v>
      </c>
      <c r="AK3" s="153" t="str">
        <v>Paquete Telmex Negocio Sin Límites 3</v>
      </c>
      <c r="AL3" s="153" t="str">
        <v>Infinitum Negocio</v>
      </c>
      <c r="AM3" s="153" t="str">
        <v>Infinitum Negocio Red</v>
      </c>
      <c r="AN3" s="153" t="str">
        <v>Infinitum Negocio Premium</v>
      </c>
      <c r="AO3" s="153" t="str">
        <v>Paquete Infinitum Play 20 (Netflix 1 dispositivo)</v>
      </c>
      <c r="AP3" s="153" t="str">
        <v>Paquete Infinitum Play 20 (Netflix 2 dispositivos)</v>
      </c>
      <c r="AQ3" s="153" t="str">
        <v>Paquete Infinitum Play 20 (Netflix 4 dispositivos)</v>
      </c>
      <c r="AR3" s="153" t="str">
        <v>Paquete Infinitum Play 30 (Netflix 2 dispositivos)</v>
      </c>
      <c r="AS3" s="153" t="str">
        <v>Paquete Infinitum Play 30 (Netflix 4 dispositivos)</v>
      </c>
      <c r="AT3" s="153" t="str">
        <v>Paquete Infinitum Play 40 (Netflix 2 dispositivos)</v>
      </c>
      <c r="AU3" s="153" t="str">
        <v>Paquete Infinitum Play 40 (Netflix 4 dispositivos)</v>
      </c>
      <c r="AV3" s="153" t="str">
        <v>Paquete Infinitum Play 150 (Netflix 4 dispositivos)</v>
      </c>
      <c r="AW3" s="153" t="str">
        <v>Paquete Infinitum Play 150 (Netflix 2 dispositivos)</v>
      </c>
      <c r="AX3" s="153" t="str">
        <v>Paquete Infinitum Netflix 500 (Netflix 4 dispositivos)</v>
      </c>
      <c r="AY3" s="153" t="str">
        <v>Paquete Infinitum Netflix 500 (Netflix 2 dispositivos)</v>
      </c>
      <c r="AZ3" s="153" t="str">
        <v>Infinitum Netflix 50 (Netflix 1 dispositivo)</v>
      </c>
      <c r="BA3" s="153" t="str">
        <v>Infinitum Netflix 50 (Netflix 2 dispositivos)</v>
      </c>
      <c r="BB3" s="153" t="str">
        <v>Infinitum Netflix 50 (Netflix 4 dispositivos)</v>
      </c>
      <c r="BC3" s="153" t="str">
        <v>Infinitum Netflix 60 (Netflix 2 dispositivos)</v>
      </c>
      <c r="BD3" s="153" t="str">
        <v>Infinitum Netflix 60 (Netflix 4 dispositivos)</v>
      </c>
      <c r="BE3" s="153" t="str">
        <v>Infinitum Netflix 200 (Netflix 4 dispositivos)</v>
      </c>
      <c r="BF3" s="153" t="str">
        <v>Infinitum Netflix 200 (Netflix 2 dispositivos)</v>
      </c>
      <c r="BG3" s="304" t="str">
        <v>Infinitum Netflix 500 (Netflix 4 dispositivos)</v>
      </c>
      <c r="BH3" s="304" t="str">
        <v>Infinitum Netflix 500 (Netflix 2 dispositivos)</v>
      </c>
      <c r="BI3" s="304" t="str">
        <v>Paquete Conectes Negocio Netflix (Netflix 1 dispositivo)</v>
      </c>
      <c r="BJ3" s="304" t="str">
        <v>Paquete Conectes Negocio Netflix (Netflix 2 dispositivos)</v>
      </c>
      <c r="BK3" s="304" t="str">
        <v>Paquete Conectes Negocio Netflix (Netflix 4 dispositivos)</v>
      </c>
      <c r="BL3" s="304" t="str">
        <v>Paquete Mi Negocio Netflix (Netflix 2 dispositivos)</v>
      </c>
      <c r="BM3" s="304" t="str">
        <v>Paquete Mi Negocio Netflix (Netflix 4 dispositivos)</v>
      </c>
      <c r="BN3" s="304" t="str">
        <v>Paquete Supernegocio Netflix (Netflix 2 dispositivos)</v>
      </c>
      <c r="BO3" s="304" t="str">
        <v>Paquete Supernegocio Netflix (Netflix 4 dispositivos)</v>
      </c>
      <c r="BP3" s="304" t="str">
        <v>Infinitum Netflix Negocio 50 (Netflix 1 dispositivo)</v>
      </c>
      <c r="BQ3" s="304" t="str">
        <v>Infinitum Netflix Negocio 50 (Netflix 2 dispositivos)</v>
      </c>
      <c r="BR3" s="304" t="str">
        <v>Infinitum Netflix Negocio 50 (Netflix 4 dispositivos)</v>
      </c>
      <c r="BS3" s="304" t="str">
        <v>Infinitum Netflix Negocio 60 (Netflix 2 dispositivos)</v>
      </c>
      <c r="BT3" s="304" t="str">
        <v>Infinitum Netflix Negocio 60 (Netflix 4 dispositivos)</v>
      </c>
      <c r="BU3" s="304" t="str">
        <v>Infinitum Netflix Negocio 200 (Netflix 4 dispositivos)</v>
      </c>
      <c r="BV3" s="304" t="str">
        <v>Infinitum Netflix Negocio 200 (Netflix 2 dispositivos)</v>
      </c>
      <c r="BW3" s="304" t="str">
        <v>Infinitum Netflix Negocio 500 (Netflix 4 dispositivos)</v>
      </c>
      <c r="BX3" s="304" t="str">
        <v>Infinitum Netflix Negocio 500 (Netflix 2 dispositivos)</v>
      </c>
      <c r="BY3" s="304" t="str">
        <v>Paquete Infinitum Entretenimiento 30</v>
      </c>
      <c r="BZ3" s="304" t="str">
        <v>Paquete Infinitum  Entretenimiento 40</v>
      </c>
      <c r="CA3" s="304" t="str">
        <v>Paquete Infinitum Entretenimiento 50</v>
      </c>
      <c r="CB3" s="304" t="str">
        <v>Paquete Infinitum Entretenimiento 250</v>
      </c>
      <c r="CC3" s="304" t="str">
        <v>Paquete Infinitum Entretenimiento 500</v>
      </c>
      <c r="CD3" s="304" t="str">
        <v>Infinitum Entretenimiento 30</v>
      </c>
      <c r="CE3" s="304" t="str">
        <v>Infinitum Entretenimiento 40</v>
      </c>
      <c r="CF3" s="304" t="str">
        <v>Infinitum Entretenimiento 200</v>
      </c>
      <c r="CG3" s="304" t="str">
        <v>Infinitum Entretenimiento 500</v>
      </c>
      <c r="CH3" s="304" t="str">
        <v>Paquete infinitum Entretenimiento+ 30  (Netflix 1 dispositivo)</v>
      </c>
      <c r="CI3" s="304" t="str">
        <v>Paquete infinitum Entretenimiento+ 30  (Netflix 2 dispositivos)</v>
      </c>
      <c r="CJ3" s="304" t="str">
        <v>Paquete infinitum Entretenimiento+ 30  (Netflix 4 dispositivos)</v>
      </c>
      <c r="CK3" s="304" t="str">
        <v>Paquete Infinitum Entretenimiento+ 70   (Netflix 2 dispositivos)</v>
      </c>
      <c r="CL3" s="304" t="str">
        <v>Paquete Infinitum Entretenimiento+ 70   (Netflix 4 dispositivos)</v>
      </c>
      <c r="CM3" s="304" t="str">
        <v>Paquete Infinitum Entretenimiento+ 120    (Netflix 2 dispositivos)</v>
      </c>
      <c r="CN3" s="304" t="str">
        <v>Paquete Infinitum Entretenimiento+ 120    (Netflix 4 dispositivos)</v>
      </c>
      <c r="CO3" s="304" t="str">
        <v>Paquete infinitum Entretenimiento+ 200  (Netflix 4 dispositivos)</v>
      </c>
      <c r="CP3" s="304" t="str">
        <v>Paquete infinitum Entretenimiento+ 200  (Netflix 2 dispositivos)</v>
      </c>
      <c r="CQ3" s="304" t="str">
        <v>Paquete infinitum Entretenimiento+ 500 (Netflix 4 dispositivos)</v>
      </c>
      <c r="CR3" s="304" t="str">
        <v>Paquete infinitum Entretenimiento+ 500  (Netflix 2 dispositivos)</v>
      </c>
      <c r="CS3" s="304" t="str">
        <v>Infinitum Entretenimiento +30   (Netflix 1 dispositivo)</v>
      </c>
      <c r="CT3" s="304" t="str">
        <v>Infinitum Entretenimiento +30   (Netflix 2 dispositivos)</v>
      </c>
      <c r="CU3" s="304" t="str">
        <v>Infinitum Entretenimiento +30   (Netflix 4 dispositivos)</v>
      </c>
      <c r="CV3" s="304" t="str">
        <v>Infinitum Entretenimiento+ 70  (Netflix 2 dispositivos)</v>
      </c>
      <c r="CW3" s="304" t="str">
        <v>Infinitum Entretenimiento+ 70  (Netflix 4 dispositivos)</v>
      </c>
      <c r="CX3" s="304" t="str">
        <v>Infinitum Entretenimiento+ 250  (Netflix 4 dispositivos)</v>
      </c>
      <c r="CY3" s="304" t="str">
        <v>Infinitum Entretenimiento+ 250  (Netflix 2 dispositivos)</v>
      </c>
      <c r="CZ3" s="304" t="str">
        <v>Infinitum Entretenimiento+ 500   (Netflix 4 dispositivos)</v>
      </c>
      <c r="DA3" s="304" t="str">
        <v>Infinitum Entretenimiento+ 500   (Netflix 2 dispositivos)</v>
      </c>
      <c r="DB3" s="304" t="str">
        <v>Velocidad Simétrica Conectes Negocio</v>
      </c>
      <c r="DC3" s="304" t="str">
        <v>Velocidad Simétrica Mi Negocio</v>
      </c>
      <c r="DD3" s="304" t="str">
        <v>Velocidad Simétrica Supernegocio</v>
      </c>
      <c r="DE3" s="304" t="str">
        <v>Velocidad Simétrica Telmex Negocio Sin Límites 1</v>
      </c>
      <c r="DF3" s="304" t="str">
        <v>Velocidad Simétrica Telmex Negocio Sin Límites 2</v>
      </c>
      <c r="DG3" s="304" t="str">
        <v>Velocidad Simétrica Telmex Negocio Sin Límites 3</v>
      </c>
      <c r="DH3" s="304" t="str">
        <v>Velocidad Simétrica Conectes Negocio Netflix (1 dispositivo)</v>
      </c>
      <c r="DI3" s="304" t="str">
        <v>Velocidad Simétrica Conectes Negocio Netflix (2 dispositivos)</v>
      </c>
      <c r="DJ3" s="304" t="str">
        <v>Velocidad Simétrica Conectes Negocio Netflix (4 dispositivos)</v>
      </c>
      <c r="DK3" s="304" t="str">
        <v>Velocidad Simétrica Mi Negocio Netflix (2 dispositivos)</v>
      </c>
      <c r="DL3" s="304" t="str">
        <v>Velocidad Simétrica Mi Negocio Netflix (4 dispositivos)</v>
      </c>
      <c r="DM3" s="304" t="str">
        <v>Velocidad Simétrica Supernegocio Netflix (2 dispositivos)</v>
      </c>
      <c r="DN3" s="304" t="str">
        <v>Velocidad Simétrica Supernegocio Netflix (4 dispositivos)</v>
      </c>
      <c r="DO3" s="304">
        <v>0</v>
      </c>
      <c r="DP3" s="304">
        <v>0</v>
      </c>
      <c r="DQ3" s="304">
        <v>0</v>
      </c>
      <c r="DR3" s="304">
        <v>0</v>
      </c>
      <c r="DS3" s="304">
        <v>0</v>
      </c>
      <c r="DT3" s="304">
        <v>0</v>
      </c>
      <c r="DU3" s="304">
        <v>0</v>
      </c>
      <c r="DV3" s="304">
        <v>0</v>
      </c>
      <c r="DW3" s="304">
        <v>0</v>
      </c>
      <c r="DX3" s="304">
        <v>0</v>
      </c>
      <c r="DY3" s="304">
        <v>0</v>
      </c>
      <c r="DZ3" s="304">
        <v>0</v>
      </c>
      <c r="EA3" s="304">
        <v>0</v>
      </c>
      <c r="EB3" s="304">
        <v>0</v>
      </c>
      <c r="EC3" s="304">
        <v>0</v>
      </c>
      <c r="ED3" s="304">
        <v>0</v>
      </c>
      <c r="EE3" s="304">
        <v>0</v>
      </c>
      <c r="EF3" s="304">
        <v>0</v>
      </c>
      <c r="EG3" s="304">
        <v>0</v>
      </c>
      <c r="EH3" s="304">
        <v>0</v>
      </c>
      <c r="EI3" s="304">
        <v>0</v>
      </c>
      <c r="EJ3" s="304">
        <v>0</v>
      </c>
      <c r="EK3" s="304">
        <v>0</v>
      </c>
      <c r="EL3" s="304">
        <v>0</v>
      </c>
      <c r="EM3" s="304">
        <v>0</v>
      </c>
      <c r="EN3" s="304">
        <v>0</v>
      </c>
      <c r="EO3" s="304">
        <v>0</v>
      </c>
      <c r="EP3" s="304">
        <v>0</v>
      </c>
      <c r="EQ3" s="304">
        <v>0</v>
      </c>
      <c r="ER3" s="304">
        <v>0</v>
      </c>
      <c r="ES3" s="304">
        <v>0</v>
      </c>
      <c r="ET3" s="304">
        <v>0</v>
      </c>
      <c r="EU3" s="304">
        <v>0</v>
      </c>
      <c r="EV3" s="304">
        <v>0</v>
      </c>
      <c r="EW3" s="304">
        <v>0</v>
      </c>
      <c r="EX3" s="304">
        <v>0</v>
      </c>
      <c r="EY3" s="304">
        <v>0</v>
      </c>
      <c r="EZ3" s="304">
        <v>0</v>
      </c>
      <c r="FA3" s="304">
        <v>0</v>
      </c>
      <c r="FB3" s="304">
        <v>0</v>
      </c>
      <c r="FC3" s="304">
        <v>0</v>
      </c>
      <c r="FD3" s="304">
        <v>0</v>
      </c>
      <c r="FE3" s="304">
        <v>0</v>
      </c>
      <c r="FF3" s="304" t="e">
        <v>#N/A</v>
      </c>
      <c r="FG3" s="304" t="e">
        <v>#N/A</v>
      </c>
      <c r="FH3" s="304" t="e">
        <v>#N/A</v>
      </c>
      <c r="FI3" s="304" t="e">
        <v>#N/A</v>
      </c>
      <c r="FJ3" s="304" t="e">
        <v>#N/A</v>
      </c>
      <c r="FK3" s="304" t="e">
        <v>#N/A</v>
      </c>
      <c r="FL3" s="304" t="e">
        <v>#N/A</v>
      </c>
      <c r="FM3" s="304" t="e">
        <v>#N/A</v>
      </c>
      <c r="FN3" s="304" t="e">
        <v>#N/A</v>
      </c>
      <c r="FO3" s="304" t="e">
        <v>#N/A</v>
      </c>
      <c r="FP3" s="304" t="e">
        <v>#N/A</v>
      </c>
      <c r="FQ3" s="304" t="e">
        <v>#N/A</v>
      </c>
      <c r="FR3" s="304" t="e">
        <v>#N/A</v>
      </c>
      <c r="FS3" s="304" t="e">
        <v>#N/A</v>
      </c>
      <c r="FT3" s="304" t="e">
        <v>#N/A</v>
      </c>
      <c r="FU3" s="304" t="e">
        <v>#N/A</v>
      </c>
      <c r="FV3" s="304" t="e">
        <v>#N/A</v>
      </c>
      <c r="FW3" s="304" t="e">
        <v>#N/A</v>
      </c>
      <c r="FX3" s="304" t="e">
        <v>#N/A</v>
      </c>
      <c r="FY3" s="304" t="e">
        <v>#N/A</v>
      </c>
      <c r="FZ3" s="304" t="e">
        <v>#N/A</v>
      </c>
      <c r="GA3" s="304" t="e">
        <v>#N/A</v>
      </c>
      <c r="GB3" s="304" t="e">
        <v>#N/A</v>
      </c>
      <c r="GC3" s="304" t="e">
        <v>#N/A</v>
      </c>
      <c r="GD3" s="304" t="e">
        <v>#N/A</v>
      </c>
      <c r="GE3" s="304" t="e">
        <v>#N/A</v>
      </c>
      <c r="GF3" s="304" t="e">
        <v>#N/A</v>
      </c>
      <c r="GG3" s="304" t="e">
        <v>#N/A</v>
      </c>
      <c r="GH3" s="304" t="e">
        <v>#N/A</v>
      </c>
      <c r="GI3" s="304" t="e">
        <v>#N/A</v>
      </c>
      <c r="GJ3" s="304" t="e">
        <v>#N/A</v>
      </c>
      <c r="GK3" s="304" t="e">
        <v>#N/A</v>
      </c>
      <c r="GL3" s="304" t="e">
        <v>#N/A</v>
      </c>
      <c r="GM3" s="304" t="e">
        <v>#N/A</v>
      </c>
      <c r="GN3" s="304" t="e">
        <v>#N/A</v>
      </c>
      <c r="GO3" s="304" t="e">
        <v>#N/A</v>
      </c>
      <c r="GP3" s="304" t="e">
        <v>#N/A</v>
      </c>
      <c r="GQ3" s="304" t="e">
        <v>#N/A</v>
      </c>
      <c r="GR3" s="304" t="e">
        <v>#N/A</v>
      </c>
      <c r="GS3" s="304" t="e">
        <v>#N/A</v>
      </c>
      <c r="GT3" s="304" t="e">
        <v>#N/A</v>
      </c>
      <c r="GU3" s="304" t="e">
        <v>#N/A</v>
      </c>
      <c r="GV3" s="304" t="e">
        <v>#N/A</v>
      </c>
      <c r="GW3" s="304" t="e">
        <v>#N/A</v>
      </c>
      <c r="GX3" s="304" t="e">
        <v>#N/A</v>
      </c>
      <c r="GY3" s="304" t="e">
        <v>#N/A</v>
      </c>
      <c r="GZ3" s="304" t="e">
        <v>#N/A</v>
      </c>
      <c r="HA3" s="304" t="e">
        <v>#N/A</v>
      </c>
      <c r="HB3" s="304" t="e">
        <v>#N/A</v>
      </c>
      <c r="HC3" s="304" t="e">
        <v>#N/A</v>
      </c>
      <c r="HD3" s="304" t="e">
        <v>#N/A</v>
      </c>
      <c r="HE3" s="304" t="e">
        <v>#N/A</v>
      </c>
      <c r="HF3" s="304" t="e">
        <v>#N/A</v>
      </c>
      <c r="HG3" s="304" t="e">
        <v>#N/A</v>
      </c>
      <c r="HH3" s="304" t="e">
        <v>#N/A</v>
      </c>
      <c r="HI3" s="304" t="e">
        <v>#N/A</v>
      </c>
      <c r="HJ3" s="304" t="e">
        <v>#N/A</v>
      </c>
      <c r="HK3" s="304" t="e">
        <v>#N/A</v>
      </c>
      <c r="HL3" s="304" t="e">
        <v>#N/A</v>
      </c>
      <c r="HM3" s="44"/>
      <c r="HN3" s="44"/>
      <c r="HP3" s="1" t="s">
        <v>527</v>
      </c>
      <c r="HQ3" s="1" t="s">
        <v>170</v>
      </c>
      <c r="HR3" s="1"/>
      <c r="HS3" s="1"/>
      <c r="HT3" s="1"/>
      <c r="HU3" s="1"/>
      <c r="HV3" s="1"/>
      <c r="HW3" s="1"/>
    </row>
    <row r="4" spans="1:231" x14ac:dyDescent="0.25">
      <c r="A4" s="100">
        <v>1</v>
      </c>
      <c r="B4" s="100" t="s">
        <v>521</v>
      </c>
      <c r="C4" s="100"/>
      <c r="D4" s="40"/>
      <c r="E4" s="40"/>
      <c r="F4" s="40"/>
      <c r="G4" s="156" t="s">
        <v>167</v>
      </c>
      <c r="H4" s="40"/>
      <c r="I4" s="210"/>
      <c r="J4" s="210"/>
      <c r="K4" s="210"/>
      <c r="L4" s="210"/>
      <c r="M4" s="210"/>
      <c r="N4" s="210"/>
      <c r="O4" s="210"/>
      <c r="P4" s="210"/>
      <c r="Q4" s="210"/>
      <c r="R4" s="210"/>
      <c r="S4" s="210"/>
      <c r="T4" s="210"/>
      <c r="U4" s="210"/>
      <c r="V4" s="210"/>
      <c r="W4" s="210"/>
      <c r="X4" s="210"/>
      <c r="Y4" s="210"/>
      <c r="Z4" s="210"/>
      <c r="AA4" s="210"/>
      <c r="AB4" s="210"/>
      <c r="AC4" s="210"/>
      <c r="AD4" s="210"/>
      <c r="AE4" s="210"/>
      <c r="AF4" s="210"/>
      <c r="AG4" s="210"/>
      <c r="AH4" s="210"/>
      <c r="AI4" s="210"/>
      <c r="AJ4" s="210"/>
      <c r="AK4" s="210"/>
      <c r="AL4" s="210"/>
      <c r="AM4" s="210"/>
      <c r="AN4" s="210"/>
      <c r="AO4" s="210"/>
      <c r="AP4" s="210"/>
      <c r="AQ4" s="210"/>
      <c r="AR4" s="210"/>
      <c r="AS4" s="210"/>
      <c r="AT4" s="210"/>
      <c r="AU4" s="210"/>
      <c r="AV4" s="210"/>
      <c r="AW4" s="210"/>
      <c r="AX4" s="210"/>
      <c r="AY4" s="210"/>
      <c r="AZ4" s="210"/>
      <c r="BA4" s="210"/>
      <c r="BB4" s="210"/>
      <c r="BC4" s="210"/>
      <c r="BD4" s="210"/>
      <c r="BE4" s="210"/>
      <c r="BF4" s="210"/>
      <c r="BG4" s="210"/>
      <c r="BH4" s="210"/>
      <c r="BI4" s="210"/>
      <c r="BJ4" s="210"/>
      <c r="BK4" s="210"/>
      <c r="BL4" s="210"/>
      <c r="BM4" s="210"/>
      <c r="BN4" s="210"/>
      <c r="BO4" s="210"/>
      <c r="BP4" s="210"/>
      <c r="BQ4" s="210"/>
      <c r="BR4" s="210"/>
      <c r="BS4" s="210"/>
      <c r="BT4" s="210"/>
      <c r="BU4" s="210"/>
      <c r="BV4" s="210"/>
      <c r="BW4" s="210"/>
      <c r="BX4" s="210"/>
      <c r="BY4" s="210"/>
      <c r="BZ4" s="210"/>
      <c r="CA4" s="210"/>
      <c r="CB4" s="210"/>
      <c r="CC4" s="210"/>
      <c r="CD4" s="210"/>
      <c r="CE4" s="210"/>
      <c r="CF4" s="210"/>
      <c r="CG4" s="210"/>
      <c r="CH4" s="210"/>
      <c r="CI4" s="210"/>
      <c r="CJ4" s="210"/>
      <c r="CK4" s="210"/>
      <c r="CL4" s="210"/>
      <c r="CM4" s="210"/>
      <c r="CN4" s="210"/>
      <c r="CO4" s="210"/>
      <c r="CP4" s="210"/>
      <c r="CQ4" s="210"/>
      <c r="CR4" s="210"/>
      <c r="CS4" s="210"/>
      <c r="CT4" s="210"/>
      <c r="CU4" s="210"/>
      <c r="CV4" s="210"/>
      <c r="CW4" s="210"/>
      <c r="CX4" s="210"/>
      <c r="CY4" s="210"/>
      <c r="CZ4" s="210"/>
      <c r="DA4" s="210"/>
      <c r="DB4" s="210"/>
      <c r="DC4" s="210"/>
      <c r="DD4" s="210"/>
      <c r="DE4" s="210"/>
      <c r="DF4" s="210"/>
      <c r="DG4" s="210"/>
      <c r="DH4" s="210"/>
      <c r="DI4" s="210"/>
      <c r="DJ4" s="210"/>
      <c r="DK4" s="210"/>
      <c r="DL4" s="210"/>
      <c r="DM4" s="210"/>
      <c r="DN4" s="210"/>
      <c r="DO4" s="210"/>
      <c r="DP4" s="210"/>
      <c r="DQ4" s="210"/>
      <c r="DR4" s="210"/>
      <c r="DS4" s="210"/>
      <c r="DT4" s="210"/>
      <c r="DU4" s="210"/>
      <c r="DV4" s="210"/>
      <c r="DW4" s="210"/>
      <c r="DX4" s="210"/>
      <c r="DY4" s="210"/>
      <c r="DZ4" s="210"/>
      <c r="EA4" s="210"/>
      <c r="EB4" s="210"/>
      <c r="EC4" s="210"/>
      <c r="ED4" s="210"/>
      <c r="EE4" s="210"/>
      <c r="EF4" s="210"/>
      <c r="EG4" s="210"/>
      <c r="EH4" s="210"/>
      <c r="EI4" s="210"/>
      <c r="EJ4" s="210"/>
      <c r="EK4" s="210"/>
      <c r="EL4" s="210"/>
      <c r="EM4" s="210"/>
      <c r="EN4" s="210"/>
      <c r="EO4" s="210"/>
      <c r="EP4" s="210"/>
      <c r="EQ4" s="210"/>
      <c r="ER4" s="210"/>
      <c r="ES4" s="210"/>
      <c r="ET4" s="210"/>
      <c r="EU4" s="210"/>
      <c r="EV4" s="210"/>
      <c r="EW4" s="210"/>
      <c r="EX4" s="210"/>
      <c r="EY4" s="210"/>
      <c r="EZ4" s="210"/>
      <c r="FA4" s="210"/>
      <c r="FB4" s="210"/>
      <c r="FC4" s="210"/>
      <c r="FD4" s="210"/>
      <c r="FE4" s="210"/>
      <c r="FF4" s="210"/>
      <c r="FG4" s="210"/>
      <c r="FH4" s="210"/>
      <c r="FI4" s="210"/>
      <c r="FJ4" s="210"/>
      <c r="FK4" s="210"/>
      <c r="FL4" s="210"/>
      <c r="FM4" s="210"/>
      <c r="FN4" s="210"/>
      <c r="FO4" s="210"/>
      <c r="FP4" s="210"/>
      <c r="FQ4" s="210"/>
      <c r="FR4" s="210"/>
      <c r="FS4" s="210"/>
      <c r="FT4" s="210"/>
      <c r="FU4" s="210"/>
      <c r="FV4" s="210"/>
      <c r="FW4" s="210"/>
      <c r="FX4" s="210"/>
      <c r="FY4" s="210"/>
      <c r="FZ4" s="210"/>
      <c r="GA4" s="210"/>
      <c r="GB4" s="210"/>
      <c r="GC4" s="210"/>
      <c r="GD4" s="210"/>
      <c r="GE4" s="210"/>
      <c r="GF4" s="210"/>
      <c r="GG4" s="210"/>
      <c r="GH4" s="210"/>
      <c r="GI4" s="210"/>
      <c r="GJ4" s="210"/>
      <c r="GK4" s="210"/>
      <c r="GL4" s="210"/>
      <c r="GM4" s="210"/>
      <c r="GN4" s="210"/>
      <c r="GO4" s="210"/>
      <c r="GP4" s="210"/>
      <c r="GQ4" s="210"/>
      <c r="GR4" s="210"/>
      <c r="GS4" s="210"/>
      <c r="GT4" s="210"/>
      <c r="GU4" s="210"/>
      <c r="GV4" s="210"/>
      <c r="GW4" s="210"/>
      <c r="GX4" s="210"/>
      <c r="GY4" s="210"/>
      <c r="GZ4" s="210"/>
      <c r="HA4" s="210"/>
      <c r="HB4" s="210"/>
      <c r="HC4" s="210"/>
      <c r="HD4" s="210"/>
      <c r="HE4" s="210"/>
      <c r="HF4" s="210"/>
      <c r="HG4" s="210"/>
      <c r="HH4" s="210"/>
      <c r="HI4" s="210"/>
      <c r="HJ4" s="210"/>
      <c r="HK4" s="210"/>
      <c r="HL4" s="210"/>
      <c r="HM4" s="210"/>
    </row>
    <row r="5" spans="1:231" x14ac:dyDescent="0.25">
      <c r="C5" s="102" t="s">
        <v>508</v>
      </c>
      <c r="G5" s="77" t="s">
        <v>523</v>
      </c>
      <c r="H5" s="44" t="s">
        <v>463</v>
      </c>
      <c r="I5" s="99" t="str">
        <f>IFERROR(VLOOKUP(I$3,'Info planes y paquetes'!$C$252:$J$253,3,FALSE),"")</f>
        <v>Telefonía fija</v>
      </c>
      <c r="J5" s="99" t="str">
        <f>IFERROR(VLOOKUP(J$3,'Info planes y paquetes'!$C$252:$J$253,3,FALSE),"")</f>
        <v>Telefonía fija</v>
      </c>
      <c r="K5" s="99" t="str">
        <f>IFERROR(VLOOKUP(K$3,'Info planes y paquetes'!$C$472:$BS$579,3,FALSE),"")</f>
        <v>Internet fijo</v>
      </c>
      <c r="L5" s="99" t="str">
        <f>IFERROR(VLOOKUP(L$3,'Info planes y paquetes'!$C$472:$BS$579,3,FALSE),"")</f>
        <v>Internet fijo</v>
      </c>
      <c r="M5" s="99" t="str">
        <f>IFERROR(VLOOKUP(M$3,'Info planes y paquetes'!$C$472:$BS$579,3,FALSE),"")</f>
        <v>Internet fijo</v>
      </c>
      <c r="N5" s="99" t="str">
        <f>IFERROR(VLOOKUP(N$3,'Info planes y paquetes'!$C$472:$BS$579,3,FALSE),"")</f>
        <v>Internet fijo</v>
      </c>
      <c r="O5" s="99" t="str">
        <f>IFERROR(VLOOKUP(O$3,'Info planes y paquetes'!$C$472:$BS$579,3,FALSE),"")</f>
        <v>Internet fijo</v>
      </c>
      <c r="P5" s="99" t="str">
        <f>IFERROR(VLOOKUP(P$3,'Info planes y paquetes'!$C$472:$BS$579,3,FALSE),"")</f>
        <v>Internet fijo</v>
      </c>
      <c r="Q5" s="99" t="str">
        <f>IFERROR(VLOOKUP(Q$3,'Info planes y paquetes'!$C$472:$BS$579,3,FALSE),"")</f>
        <v>Internet fijo</v>
      </c>
      <c r="R5" s="99" t="str">
        <f>IFERROR(VLOOKUP(R$3,'Info planes y paquetes'!$C$472:$BS$579,3,FALSE),"")</f>
        <v>Internet fijo</v>
      </c>
      <c r="S5" s="99" t="str">
        <f>IFERROR(VLOOKUP(S$3,'Info planes y paquetes'!$C$472:$BS$579,3,FALSE),"")</f>
        <v>Internet fijo</v>
      </c>
      <c r="T5" s="99" t="str">
        <f>IFERROR(VLOOKUP(T$3,'Info planes y paquetes'!$C$472:$BS$579,3,FALSE),"")</f>
        <v>Internet fijo</v>
      </c>
      <c r="U5" s="99" t="str">
        <f>IFERROR(VLOOKUP(U$3,'Info planes y paquetes'!$C$472:$BS$579,3,FALSE),"")</f>
        <v>Internet fijo</v>
      </c>
      <c r="V5" s="99" t="str">
        <f>IFERROR(VLOOKUP(V$3,'Info planes y paquetes'!$C$472:$BS$579,3,FALSE),"")</f>
        <v>Internet fijo</v>
      </c>
      <c r="W5" s="99" t="str">
        <f>IFERROR(VLOOKUP(W$3,'Info planes y paquetes'!$C$472:$BS$579,3,FALSE),"")</f>
        <v>Telefonía fija + Internet fijo</v>
      </c>
      <c r="X5" s="99" t="str">
        <f>IFERROR(VLOOKUP(X$3,'Info planes y paquetes'!$C$472:$BS$579,3,FALSE),"")</f>
        <v>Telefonía fija + Internet fijo</v>
      </c>
      <c r="Y5" s="99" t="str">
        <f>IFERROR(VLOOKUP(Y$3,'Info planes y paquetes'!$C$472:$BS$579,3,FALSE),"")</f>
        <v>Telefonía fija + Internet fijo</v>
      </c>
      <c r="Z5" s="99" t="str">
        <f>IFERROR(VLOOKUP(Z$3,'Info planes y paquetes'!$C$472:$BS$579,3,FALSE),"")</f>
        <v>Telefonía fija + Internet fijo</v>
      </c>
      <c r="AA5" s="99" t="str">
        <f>IFERROR(VLOOKUP(AA$3,'Info planes y paquetes'!$C$472:$BS$579,3,FALSE),"")</f>
        <v>Telefonía fija + Internet fijo</v>
      </c>
      <c r="AB5" s="99" t="str">
        <f>IFERROR(VLOOKUP(AB$3,'Info planes y paquetes'!$C$472:$BS$579,3,FALSE),"")</f>
        <v>Telefonía fija + Internet fijo</v>
      </c>
      <c r="AC5" s="99" t="str">
        <f>IFERROR(VLOOKUP(AC$3,'Info planes y paquetes'!$C$472:$BS$579,3,FALSE),"")</f>
        <v>Telefonía fija + Internet fijo</v>
      </c>
      <c r="AD5" s="99" t="str">
        <f>IFERROR(VLOOKUP(AD$3,'Info planes y paquetes'!$C$472:$BS$579,3,FALSE),"")</f>
        <v>Telefonía fija + Internet fijo</v>
      </c>
      <c r="AE5" s="99" t="str">
        <f>IFERROR(VLOOKUP(AE$3,'Info planes y paquetes'!$C$472:$BS$579,3,FALSE),"")</f>
        <v>Telefonía fija + Internet fijo</v>
      </c>
      <c r="AF5" s="99" t="str">
        <f>IFERROR(VLOOKUP(AF$3,'Info planes y paquetes'!$C$472:$BS$579,3,FALSE),"")</f>
        <v>Telefonía fija + Internet fijo</v>
      </c>
      <c r="AG5" s="99" t="str">
        <f>IFERROR(VLOOKUP(AG$3,'Info planes y paquetes'!$C$472:$BS$579,3,FALSE),"")</f>
        <v>Telefonía fija + Internet fijo</v>
      </c>
      <c r="AH5" s="99" t="str">
        <f>IFERROR(VLOOKUP(AH$3,'Info planes y paquetes'!$C$472:$BS$579,3,FALSE),"")</f>
        <v>Telefonía fija + Internet fijo</v>
      </c>
      <c r="AI5" s="99" t="str">
        <f>IFERROR(VLOOKUP(AI$3,'Info planes y paquetes'!$C$472:$BS$579,3,FALSE),"")</f>
        <v>Telefonía fija + Internet fijo</v>
      </c>
      <c r="AJ5" s="99" t="str">
        <f>IFERROR(VLOOKUP(AJ$3,'Info planes y paquetes'!$C$472:$BS$579,3,FALSE),"")</f>
        <v>Telefonía fija + Internet fijo</v>
      </c>
      <c r="AK5" s="99" t="str">
        <f>IFERROR(VLOOKUP(AK$3,'Info planes y paquetes'!$C$472:$BS$579,3,FALSE),"")</f>
        <v>Telefonía fija + Internet fijo</v>
      </c>
      <c r="AL5" s="99" t="str">
        <f>IFERROR(VLOOKUP(AL$3,'Info planes y paquetes'!$C$472:$BS$579,3,FALSE),"")</f>
        <v>Otro</v>
      </c>
      <c r="AM5" s="99" t="str">
        <f>IFERROR(VLOOKUP(AM$3,'Info planes y paquetes'!$C$472:$BS$579,3,FALSE),"")</f>
        <v>Otro</v>
      </c>
      <c r="AN5" s="99" t="str">
        <f>IFERROR(VLOOKUP(AN$3,'Info planes y paquetes'!$C$472:$BS$579,3,FALSE),"")</f>
        <v>Otro</v>
      </c>
      <c r="AO5" s="99" t="str">
        <f>IFERROR(VLOOKUP(AO$3,'Info planes y paquetes'!$C$472:$BS$579,3,FALSE),"")</f>
        <v>Telefonía fija + Internet fijo</v>
      </c>
      <c r="AP5" s="99" t="str">
        <f>IFERROR(VLOOKUP(AP$3,'Info planes y paquetes'!$C$472:$BS$579,3,FALSE),"")</f>
        <v>Telefonía fija + Internet fijo</v>
      </c>
      <c r="AQ5" s="99" t="str">
        <f>IFERROR(VLOOKUP(AQ$3,'Info planes y paquetes'!$C$472:$BS$579,3,FALSE),"")</f>
        <v>Telefonía fija + Internet fijo</v>
      </c>
      <c r="AR5" s="99" t="str">
        <f>IFERROR(VLOOKUP(AR$3,'Info planes y paquetes'!$C$472:$BS$579,3,FALSE),"")</f>
        <v>Telefonía fija + Internet fijo</v>
      </c>
      <c r="AS5" s="99" t="str">
        <f>IFERROR(VLOOKUP(AS$3,'Info planes y paquetes'!$C$472:$BS$579,3,FALSE),"")</f>
        <v>Telefonía fija + Internet fijo</v>
      </c>
      <c r="AT5" s="99" t="str">
        <f>IFERROR(VLOOKUP(AT$3,'Info planes y paquetes'!$C$472:$BS$579,3,FALSE),"")</f>
        <v>Telefonía fija + Internet fijo</v>
      </c>
      <c r="AU5" s="99" t="str">
        <f>IFERROR(VLOOKUP(AU$3,'Info planes y paquetes'!$C$472:$BS$579,3,FALSE),"")</f>
        <v>Telefonía fija + Internet fijo</v>
      </c>
      <c r="AV5" s="99" t="str">
        <f>IFERROR(VLOOKUP(AV$3,'Info planes y paquetes'!$C$472:$BS$579,3,FALSE),"")</f>
        <v>Telefonía fija + Internet fijo</v>
      </c>
      <c r="AW5" s="99" t="str">
        <f>IFERROR(VLOOKUP(AW$3,'Info planes y paquetes'!$C$472:$BS$579,3,FALSE),"")</f>
        <v>Telefonía fija + Internet fijo</v>
      </c>
      <c r="AX5" s="99" t="str">
        <f>IFERROR(VLOOKUP(AX$3,'Info planes y paquetes'!$C$472:$BS$579,3,FALSE),"")</f>
        <v>Telefonía fija + Internet fijo</v>
      </c>
      <c r="AY5" s="99" t="str">
        <f>IFERROR(VLOOKUP(AY$3,'Info planes y paquetes'!$C$472:$BS$579,3,FALSE),"")</f>
        <v>Telefonía fija + Internet fijo</v>
      </c>
      <c r="AZ5" s="99" t="str">
        <f>IFERROR(VLOOKUP(AZ$3,'Info planes y paquetes'!$C$472:$BS$579,3,FALSE),"")</f>
        <v>Internet fijo</v>
      </c>
      <c r="BA5" s="99" t="str">
        <f>IFERROR(VLOOKUP(BA$3,'Info planes y paquetes'!$C$472:$BS$579,3,FALSE),"")</f>
        <v>Internet fijo</v>
      </c>
      <c r="BB5" s="99" t="str">
        <f>IFERROR(VLOOKUP(BB$3,'Info planes y paquetes'!$C$472:$BS$579,3,FALSE),"")</f>
        <v>Internet fijo</v>
      </c>
      <c r="BC5" s="99" t="str">
        <f>IFERROR(VLOOKUP(BC$3,'Info planes y paquetes'!$C$472:$BS$579,3,FALSE),"")</f>
        <v>Internet fijo</v>
      </c>
      <c r="BD5" s="99" t="str">
        <f>IFERROR(VLOOKUP(BD$3,'Info planes y paquetes'!$C$472:$BS$579,3,FALSE),"")</f>
        <v>Internet fijo</v>
      </c>
      <c r="BE5" s="99" t="str">
        <f>IFERROR(VLOOKUP(BE$3,'Info planes y paquetes'!$C$472:$BS$579,3,FALSE),"")</f>
        <v>Internet fijo</v>
      </c>
      <c r="BF5" s="99" t="str">
        <f>IFERROR(VLOOKUP(BF$3,'Info planes y paquetes'!$C$472:$BS$579,3,FALSE),"")</f>
        <v>Internet fijo</v>
      </c>
      <c r="BG5" s="99" t="str">
        <f>IFERROR(VLOOKUP(BG$3,'Info planes y paquetes'!$C$472:$BS$579,3,FALSE),"")</f>
        <v>Internet fijo</v>
      </c>
      <c r="BH5" s="99" t="str">
        <f>IFERROR(VLOOKUP(BH$3,'Info planes y paquetes'!$C$472:$BS$579,3,FALSE),"")</f>
        <v>Internet fijo</v>
      </c>
      <c r="BI5" s="99" t="str">
        <f>IFERROR(VLOOKUP(BI$3,'Info planes y paquetes'!$C$472:$BS$579,3,FALSE),"")</f>
        <v>Telefonía fija + Internet fijo</v>
      </c>
      <c r="BJ5" s="99" t="str">
        <f>IFERROR(VLOOKUP(BJ$3,'Info planes y paquetes'!$C$472:$BS$579,3,FALSE),"")</f>
        <v>Telefonía fija + Internet fijo</v>
      </c>
      <c r="BK5" s="99" t="str">
        <f>IFERROR(VLOOKUP(BK$3,'Info planes y paquetes'!$C$472:$BS$579,3,FALSE),"")</f>
        <v>Telefonía fija + Internet fijo</v>
      </c>
      <c r="BL5" s="99" t="str">
        <f>IFERROR(VLOOKUP(BL$3,'Info planes y paquetes'!$C$472:$BS$579,3,FALSE),"")</f>
        <v>Telefonía fija + Internet fijo</v>
      </c>
      <c r="BM5" s="99" t="str">
        <f>IFERROR(VLOOKUP(BM$3,'Info planes y paquetes'!$C$472:$BS$579,3,FALSE),"")</f>
        <v>Telefonía fija + Internet fijo</v>
      </c>
      <c r="BN5" s="99" t="str">
        <f>IFERROR(VLOOKUP(BN$3,'Info planes y paquetes'!$C$472:$BS$579,3,FALSE),"")</f>
        <v>Telefonía fija + Internet fijo</v>
      </c>
      <c r="BO5" s="99" t="str">
        <f>IFERROR(VLOOKUP(BO$3,'Info planes y paquetes'!$C$472:$BS$579,3,FALSE),"")</f>
        <v>Telefonía fija + Internet fijo</v>
      </c>
      <c r="BP5" s="99" t="str">
        <f>IFERROR(VLOOKUP(BP$3,'Info planes y paquetes'!$C$472:$BS$579,3,FALSE),"")</f>
        <v>Internet fijo</v>
      </c>
      <c r="BQ5" s="99" t="str">
        <f>IFERROR(VLOOKUP(BQ$3,'Info planes y paquetes'!$C$472:$BS$579,3,FALSE),"")</f>
        <v>Internet fijo</v>
      </c>
      <c r="BR5" s="99" t="str">
        <f>IFERROR(VLOOKUP(BR$3,'Info planes y paquetes'!$C$472:$BS$579,3,FALSE),"")</f>
        <v>Internet fijo</v>
      </c>
      <c r="BS5" s="99" t="str">
        <f>IFERROR(VLOOKUP(BS$3,'Info planes y paquetes'!$C$472:$BS$579,3,FALSE),"")</f>
        <v>Internet fijo</v>
      </c>
      <c r="BT5" s="99" t="str">
        <f>IFERROR(VLOOKUP(BT$3,'Info planes y paquetes'!$C$472:$BS$579,3,FALSE),"")</f>
        <v>Internet fijo</v>
      </c>
      <c r="BU5" s="99" t="str">
        <f>IFERROR(VLOOKUP(BU$3,'Info planes y paquetes'!$C$472:$BS$579,3,FALSE),"")</f>
        <v>Internet fijo</v>
      </c>
      <c r="BV5" s="99" t="str">
        <f>IFERROR(VLOOKUP(BV$3,'Info planes y paquetes'!$C$472:$BS$579,3,FALSE),"")</f>
        <v>Internet fijo</v>
      </c>
      <c r="BW5" s="99" t="str">
        <f>IFERROR(VLOOKUP(BW$3,'Info planes y paquetes'!$C$472:$BS$579,3,FALSE),"")</f>
        <v>Internet fijo</v>
      </c>
      <c r="BX5" s="99" t="str">
        <f>IFERROR(VLOOKUP(BX$3,'Info planes y paquetes'!$C$472:$BS$579,3,FALSE),"")</f>
        <v>Internet fijo</v>
      </c>
      <c r="BY5" s="99" t="str">
        <f>IFERROR(VLOOKUP(BY$3,'Info planes y paquetes'!$C$472:$BS$579,3,FALSE),"")</f>
        <v>Telefonía fija + Internet fijo</v>
      </c>
      <c r="BZ5" s="99" t="str">
        <f>IFERROR(VLOOKUP(BZ$3,'Info planes y paquetes'!$C$472:$BS$579,3,FALSE),"")</f>
        <v>Telefonía fija + Internet fijo</v>
      </c>
      <c r="CA5" s="99" t="str">
        <f>IFERROR(VLOOKUP(CA$3,'Info planes y paquetes'!$C$472:$BS$579,3,FALSE),"")</f>
        <v>Telefonía fija + Internet fijo</v>
      </c>
      <c r="CB5" s="99" t="str">
        <f>IFERROR(VLOOKUP(CB$3,'Info planes y paquetes'!$C$472:$BS$579,3,FALSE),"")</f>
        <v>Telefonía fija + Internet fijo</v>
      </c>
      <c r="CC5" s="99" t="str">
        <f>IFERROR(VLOOKUP(CC$3,'Info planes y paquetes'!$C$472:$BS$579,3,FALSE),"")</f>
        <v>Telefonía fija + Internet fijo</v>
      </c>
      <c r="CD5" s="99" t="str">
        <f>IFERROR(VLOOKUP(CD$3,'Info planes y paquetes'!$C$472:$BS$579,3,FALSE),"")</f>
        <v>Internet fijo</v>
      </c>
      <c r="CE5" s="99" t="str">
        <f>IFERROR(VLOOKUP(CE$3,'Info planes y paquetes'!$C$472:$BS$579,3,FALSE),"")</f>
        <v>Internet fijo</v>
      </c>
      <c r="CF5" s="99" t="str">
        <f>IFERROR(VLOOKUP(CF$3,'Info planes y paquetes'!$C$472:$BS$579,3,FALSE),"")</f>
        <v>Internet fijo</v>
      </c>
      <c r="CG5" s="99" t="str">
        <f>IFERROR(VLOOKUP(CG$3,'Info planes y paquetes'!$C$472:$BS$579,3,FALSE),"")</f>
        <v>Internet fijo</v>
      </c>
      <c r="CH5" s="99" t="str">
        <f>IFERROR(VLOOKUP(CH$3,'Info planes y paquetes'!$C$472:$BS$579,3,FALSE),"")</f>
        <v>Telefonía fija + Internet fijo</v>
      </c>
      <c r="CI5" s="99" t="str">
        <f>IFERROR(VLOOKUP(CI$3,'Info planes y paquetes'!$C$472:$BS$579,3,FALSE),"")</f>
        <v>Telefonía fija + Internet fijo</v>
      </c>
      <c r="CJ5" s="99" t="str">
        <f>IFERROR(VLOOKUP(CJ$3,'Info planes y paquetes'!$C$472:$BS$579,3,FALSE),"")</f>
        <v>Telefonía fija + Internet fijo</v>
      </c>
      <c r="CK5" s="99" t="str">
        <f>IFERROR(VLOOKUP(CK$3,'Info planes y paquetes'!$C$472:$BS$579,3,FALSE),"")</f>
        <v>Telefonía fija + Internet fijo</v>
      </c>
      <c r="CL5" s="99" t="str">
        <f>IFERROR(VLOOKUP(CL$3,'Info planes y paquetes'!$C$472:$BS$579,3,FALSE),"")</f>
        <v>Telefonía fija + Internet fijo</v>
      </c>
      <c r="CM5" s="99" t="str">
        <f>IFERROR(VLOOKUP(CM$3,'Info planes y paquetes'!$C$472:$BS$579,3,FALSE),"")</f>
        <v>Telefonía fija + Internet fijo</v>
      </c>
      <c r="CN5" s="99" t="str">
        <f>IFERROR(VLOOKUP(CN$3,'Info planes y paquetes'!$C$472:$BS$579,3,FALSE),"")</f>
        <v>Telefonía fija + Internet fijo</v>
      </c>
      <c r="CO5" s="99" t="str">
        <f>IFERROR(VLOOKUP(CO$3,'Info planes y paquetes'!$C$472:$BS$579,3,FALSE),"")</f>
        <v>Telefonía fija + Internet fijo</v>
      </c>
      <c r="CP5" s="99" t="str">
        <f>IFERROR(VLOOKUP(CP$3,'Info planes y paquetes'!$C$472:$BS$579,3,FALSE),"")</f>
        <v>Telefonía fija + Internet fijo</v>
      </c>
      <c r="CQ5" s="99" t="str">
        <f>IFERROR(VLOOKUP(CQ$3,'Info planes y paquetes'!$C$472:$BS$579,3,FALSE),"")</f>
        <v>Telefonía fija + Internet fijo</v>
      </c>
      <c r="CR5" s="99" t="str">
        <f>IFERROR(VLOOKUP(CR$3,'Info planes y paquetes'!$C$472:$BS$579,3,FALSE),"")</f>
        <v>Telefonía fija + Internet fijo</v>
      </c>
      <c r="CS5" s="99" t="str">
        <f>IFERROR(VLOOKUP(CS$3,'Info planes y paquetes'!$C$472:$BS$579,3,FALSE),"")</f>
        <v>Internet fijo</v>
      </c>
      <c r="CT5" s="99" t="str">
        <f>IFERROR(VLOOKUP(CT$3,'Info planes y paquetes'!$C$472:$BS$579,3,FALSE),"")</f>
        <v>Internet fijo</v>
      </c>
      <c r="CU5" s="99" t="str">
        <f>IFERROR(VLOOKUP(CU$3,'Info planes y paquetes'!$C$472:$BS$579,3,FALSE),"")</f>
        <v>Internet fijo</v>
      </c>
      <c r="CV5" s="99" t="str">
        <f>IFERROR(VLOOKUP(CV$3,'Info planes y paquetes'!$C$472:$BS$579,3,FALSE),"")</f>
        <v>Internet fijo</v>
      </c>
      <c r="CW5" s="99" t="str">
        <f>IFERROR(VLOOKUP(CW$3,'Info planes y paquetes'!$C$472:$BS$579,3,FALSE),"")</f>
        <v>Internet fijo</v>
      </c>
      <c r="CX5" s="99" t="str">
        <f>IFERROR(VLOOKUP(CX$3,'Info planes y paquetes'!$C$472:$BS$579,3,FALSE),"")</f>
        <v>Internet fijo</v>
      </c>
      <c r="CY5" s="99" t="str">
        <f>IFERROR(VLOOKUP(CY$3,'Info planes y paquetes'!$C$472:$BS$579,3,FALSE),"")</f>
        <v>Internet fijo</v>
      </c>
      <c r="CZ5" s="99" t="str">
        <f>IFERROR(VLOOKUP(CZ$3,'Info planes y paquetes'!$C$472:$BS$579,3,FALSE),"")</f>
        <v>Internet fijo</v>
      </c>
      <c r="DA5" s="99" t="str">
        <f>IFERROR(VLOOKUP(DA$3,'Info planes y paquetes'!$C$472:$BS$579,3,FALSE),"")</f>
        <v>Internet fijo</v>
      </c>
      <c r="DB5" s="99" t="str">
        <f>IFERROR(VLOOKUP(DB$3,'Info planes y paquetes'!$C$472:$BS$579,3,FALSE),"")</f>
        <v>Telefonía fija + Internet fijo</v>
      </c>
      <c r="DC5" s="99" t="str">
        <f>IFERROR(VLOOKUP(DC$3,'Info planes y paquetes'!$C$472:$BS$579,3,FALSE),"")</f>
        <v>Telefonía fija + Internet fijo</v>
      </c>
      <c r="DD5" s="99" t="str">
        <f>IFERROR(VLOOKUP(DD$3,'Info planes y paquetes'!$C$472:$BS$579,3,FALSE),"")</f>
        <v>Telefonía fija + Internet fijo</v>
      </c>
      <c r="DE5" s="99" t="str">
        <f>IFERROR(VLOOKUP(DE$3,'Info planes y paquetes'!$C$472:$BS$579,3,FALSE),"")</f>
        <v>Telefonía fija + Internet fijo</v>
      </c>
      <c r="DF5" s="99" t="str">
        <f>IFERROR(VLOOKUP(DF$3,'Info planes y paquetes'!$C$472:$BS$579,3,FALSE),"")</f>
        <v>Telefonía fija + Internet fijo</v>
      </c>
      <c r="DG5" s="99" t="str">
        <f>IFERROR(VLOOKUP(DG$3,'Info planes y paquetes'!$C$472:$BS$579,3,FALSE),"")</f>
        <v>Telefonía fija + Internet fijo</v>
      </c>
      <c r="DH5" s="99" t="str">
        <f>IFERROR(VLOOKUP(DH$3,'Info planes y paquetes'!$C$472:$BS$579,3,FALSE),"")</f>
        <v>Telefonía fija + Internet fijo</v>
      </c>
      <c r="DI5" s="99" t="str">
        <f>IFERROR(VLOOKUP(DI$3,'Info planes y paquetes'!$C$472:$BS$579,3,FALSE),"")</f>
        <v>Telefonía fija + Internet fijo</v>
      </c>
      <c r="DJ5" s="99" t="str">
        <f>IFERROR(VLOOKUP(DJ$3,'Info planes y paquetes'!$C$472:$BS$579,3,FALSE),"")</f>
        <v>Telefonía fija + Internet fijo</v>
      </c>
      <c r="DK5" s="99" t="str">
        <f>IFERROR(VLOOKUP(DK$3,'Info planes y paquetes'!$C$472:$BS$579,3,FALSE),"")</f>
        <v>Telefonía fija + Internet fijo</v>
      </c>
      <c r="DL5" s="99" t="str">
        <f>IFERROR(VLOOKUP(DL$3,'Info planes y paquetes'!$C$472:$BS$579,3,FALSE),"")</f>
        <v>Telefonía fija + Internet fijo</v>
      </c>
      <c r="DM5" s="99" t="str">
        <f>IFERROR(VLOOKUP(DM$3,'Info planes y paquetes'!$C$472:$BS$579,3,FALSE),"")</f>
        <v>Telefonía fija + Internet fijo</v>
      </c>
      <c r="DN5" s="99" t="str">
        <f>IFERROR(VLOOKUP(DN$3,'Info planes y paquetes'!$C$472:$BS$579,3,FALSE),"")</f>
        <v>Telefonía fija + Internet fijo</v>
      </c>
      <c r="DO5" s="99"/>
      <c r="DP5" s="99"/>
      <c r="DQ5" s="99"/>
      <c r="DR5" s="99"/>
      <c r="DS5" s="99"/>
      <c r="DT5" s="99"/>
      <c r="DU5" s="99"/>
      <c r="DV5" s="99"/>
      <c r="DW5" s="99"/>
      <c r="DX5" s="99"/>
      <c r="DY5" s="99"/>
      <c r="DZ5" s="99"/>
      <c r="EA5" s="99"/>
      <c r="EB5" s="99"/>
      <c r="EC5" s="99"/>
      <c r="ED5" s="99"/>
      <c r="EE5" s="99"/>
      <c r="EF5" s="99"/>
      <c r="EG5" s="99"/>
      <c r="EH5" s="99"/>
      <c r="EI5" s="99"/>
      <c r="EJ5" s="99"/>
      <c r="EK5" s="99"/>
      <c r="EL5" s="99"/>
      <c r="EM5" s="99"/>
      <c r="EN5" s="99"/>
      <c r="EO5" s="99"/>
      <c r="EP5" s="99"/>
      <c r="EQ5" s="99"/>
      <c r="ER5" s="99"/>
      <c r="ES5" s="99"/>
      <c r="ET5" s="99"/>
      <c r="EU5" s="99"/>
      <c r="EV5" s="99"/>
      <c r="EW5" s="99"/>
      <c r="EX5" s="99"/>
      <c r="EY5" s="99"/>
      <c r="EZ5" s="99"/>
      <c r="FA5" s="99"/>
      <c r="FB5" s="99"/>
      <c r="FC5" s="99"/>
      <c r="FD5" s="99"/>
      <c r="FE5" s="99"/>
      <c r="FF5" s="99"/>
      <c r="FG5" s="99"/>
      <c r="FH5" s="99"/>
      <c r="FI5" s="99"/>
      <c r="FJ5" s="99"/>
      <c r="FK5" s="99"/>
      <c r="FL5" s="99"/>
      <c r="FM5" s="99"/>
      <c r="FN5" s="99"/>
      <c r="FO5" s="99"/>
      <c r="FP5" s="99"/>
      <c r="FQ5" s="99"/>
      <c r="FR5" s="99"/>
      <c r="FS5" s="99"/>
      <c r="FT5" s="99"/>
      <c r="FU5" s="99"/>
      <c r="FV5" s="99"/>
      <c r="FW5" s="99"/>
      <c r="FX5" s="99"/>
      <c r="FY5" s="99"/>
      <c r="FZ5" s="99"/>
      <c r="GA5" s="99"/>
      <c r="GB5" s="99"/>
      <c r="GC5" s="99"/>
      <c r="GD5" s="99"/>
      <c r="GE5" s="99"/>
      <c r="GF5" s="99"/>
      <c r="GG5" s="99"/>
      <c r="GH5" s="99"/>
      <c r="GI5" s="99"/>
      <c r="GJ5" s="99"/>
      <c r="GK5" s="99"/>
      <c r="GL5" s="99"/>
      <c r="GM5" s="99"/>
      <c r="GN5" s="99"/>
      <c r="GO5" s="99"/>
      <c r="GP5" s="99"/>
      <c r="GQ5" s="99"/>
      <c r="GR5" s="99"/>
      <c r="GS5" s="99"/>
      <c r="GT5" s="99"/>
      <c r="GU5" s="99"/>
      <c r="GV5" s="99"/>
      <c r="GW5" s="99"/>
      <c r="GX5" s="99"/>
      <c r="GY5" s="99"/>
      <c r="GZ5" s="99"/>
      <c r="HA5" s="99"/>
      <c r="HB5" s="99"/>
      <c r="HC5" s="99"/>
      <c r="HD5" s="99"/>
      <c r="HE5" s="99"/>
      <c r="HF5" s="99"/>
      <c r="HG5" s="99"/>
      <c r="HH5" s="99"/>
      <c r="HI5" s="99"/>
      <c r="HJ5" s="99"/>
      <c r="HK5" s="99"/>
      <c r="HL5" s="99"/>
    </row>
    <row r="6" spans="1:231" s="44" customFormat="1" x14ac:dyDescent="0.25">
      <c r="BG6" s="262"/>
      <c r="BH6" s="262"/>
      <c r="BI6" s="262"/>
      <c r="BJ6" s="262"/>
      <c r="BK6" s="262"/>
      <c r="BL6" s="262"/>
      <c r="BM6" s="262"/>
      <c r="BN6" s="262"/>
      <c r="BO6" s="262"/>
      <c r="BP6" s="262"/>
      <c r="BQ6" s="262"/>
      <c r="BR6" s="262"/>
      <c r="BS6" s="262"/>
      <c r="BT6" s="262"/>
      <c r="BU6" s="262"/>
      <c r="BV6" s="262"/>
      <c r="BW6" s="262"/>
      <c r="BX6" s="262"/>
      <c r="BY6" s="262"/>
      <c r="BZ6" s="262"/>
      <c r="CA6" s="262"/>
      <c r="CB6" s="262"/>
      <c r="CC6" s="262"/>
      <c r="CD6" s="262"/>
      <c r="CE6" s="262"/>
      <c r="CF6" s="262"/>
      <c r="CG6" s="262"/>
      <c r="CH6" s="262"/>
      <c r="CI6" s="262"/>
      <c r="CJ6" s="262"/>
      <c r="CK6" s="262"/>
      <c r="CL6" s="262"/>
      <c r="CM6" s="262"/>
      <c r="CN6" s="262"/>
      <c r="CO6" s="262"/>
      <c r="CP6" s="262"/>
      <c r="CQ6" s="262"/>
      <c r="CR6" s="262"/>
      <c r="CS6" s="262"/>
      <c r="CT6" s="262"/>
      <c r="CU6" s="262"/>
      <c r="CV6" s="262"/>
      <c r="CW6" s="262"/>
      <c r="CX6" s="262"/>
      <c r="CY6" s="262"/>
      <c r="CZ6" s="262"/>
      <c r="DA6" s="262"/>
      <c r="DB6" s="262"/>
      <c r="DC6" s="262"/>
      <c r="DD6" s="262"/>
      <c r="DE6" s="262"/>
      <c r="DF6" s="262"/>
      <c r="DG6" s="262"/>
      <c r="DH6" s="262"/>
      <c r="DI6" s="262"/>
      <c r="DJ6" s="262"/>
      <c r="DK6" s="262"/>
      <c r="DL6" s="262"/>
      <c r="DM6" s="262"/>
      <c r="DN6" s="262"/>
      <c r="DO6" s="262"/>
      <c r="DP6" s="262"/>
      <c r="DQ6" s="262"/>
      <c r="DR6" s="262"/>
      <c r="DS6" s="262"/>
      <c r="DT6" s="262"/>
      <c r="DU6" s="262"/>
      <c r="DV6" s="262"/>
      <c r="DW6" s="262"/>
      <c r="DX6" s="262"/>
      <c r="DY6" s="262"/>
      <c r="DZ6" s="262"/>
      <c r="EA6" s="262"/>
      <c r="EB6" s="262"/>
      <c r="EC6" s="262"/>
      <c r="ED6" s="262"/>
      <c r="EE6" s="262"/>
      <c r="EF6" s="262"/>
      <c r="EG6" s="262"/>
      <c r="EH6" s="262"/>
      <c r="EI6" s="262"/>
      <c r="EJ6" s="262"/>
      <c r="EK6" s="262"/>
      <c r="EL6" s="262"/>
      <c r="EM6" s="262"/>
      <c r="EN6" s="262"/>
      <c r="EO6" s="262"/>
      <c r="EP6" s="262"/>
      <c r="EQ6" s="262"/>
      <c r="ER6" s="262"/>
      <c r="ES6" s="262"/>
      <c r="ET6" s="262"/>
      <c r="EU6" s="262"/>
      <c r="EV6" s="262"/>
      <c r="EW6" s="262"/>
      <c r="EX6" s="262"/>
      <c r="EY6" s="262"/>
      <c r="EZ6" s="262"/>
      <c r="FA6" s="262"/>
      <c r="FB6" s="262"/>
      <c r="FC6" s="262"/>
      <c r="FD6" s="262"/>
      <c r="FE6" s="262"/>
      <c r="FF6" s="262"/>
      <c r="FG6" s="262"/>
      <c r="FH6" s="262"/>
      <c r="FI6" s="262"/>
      <c r="FJ6" s="262"/>
      <c r="FK6" s="262"/>
      <c r="FL6" s="262"/>
      <c r="FM6" s="262"/>
      <c r="FN6" s="262"/>
      <c r="FO6" s="262"/>
      <c r="FP6" s="262"/>
      <c r="FQ6" s="262"/>
      <c r="FR6" s="262"/>
      <c r="FS6" s="262"/>
      <c r="FT6" s="262"/>
      <c r="FU6" s="262"/>
      <c r="FV6" s="262"/>
      <c r="FW6" s="262"/>
      <c r="FX6" s="262"/>
      <c r="FY6" s="262"/>
      <c r="FZ6" s="262"/>
      <c r="GA6" s="262"/>
      <c r="GB6" s="262"/>
      <c r="GC6" s="262"/>
      <c r="GD6" s="262"/>
      <c r="GE6" s="262"/>
      <c r="GF6" s="262"/>
      <c r="GG6" s="262"/>
      <c r="GH6" s="262"/>
      <c r="GI6" s="262"/>
      <c r="GJ6" s="262"/>
      <c r="GK6" s="262"/>
      <c r="GL6" s="262"/>
      <c r="GM6" s="262"/>
      <c r="GN6" s="262"/>
      <c r="GO6" s="262"/>
      <c r="GP6" s="262"/>
      <c r="GQ6" s="262"/>
      <c r="GR6" s="262"/>
      <c r="GS6" s="262"/>
      <c r="GT6" s="262"/>
      <c r="GU6" s="262"/>
      <c r="GV6" s="262"/>
      <c r="GW6" s="262"/>
      <c r="GX6" s="262"/>
      <c r="GY6" s="262"/>
      <c r="GZ6" s="262"/>
      <c r="HA6" s="262"/>
      <c r="HB6" s="262"/>
      <c r="HC6" s="262"/>
      <c r="HD6" s="262"/>
      <c r="HE6" s="262"/>
      <c r="HF6" s="262"/>
      <c r="HG6" s="262"/>
      <c r="HH6" s="262"/>
      <c r="HI6" s="262"/>
      <c r="HJ6" s="262"/>
      <c r="HK6" s="262"/>
      <c r="HL6" s="262"/>
    </row>
    <row r="7" spans="1:231" s="44" customFormat="1" x14ac:dyDescent="0.25">
      <c r="C7" s="102" t="s">
        <v>517</v>
      </c>
      <c r="G7" s="77" t="s">
        <v>522</v>
      </c>
      <c r="H7" s="44" t="s">
        <v>463</v>
      </c>
      <c r="I7" s="99" t="str">
        <f>IFERROR(VLOOKUP(I$3,'Info planes y paquetes'!$C$252:$J$253,2,FALSE),"")</f>
        <v>Residencial</v>
      </c>
      <c r="J7" s="99" t="str">
        <f>IFERROR(VLOOKUP(J$3,'Info planes y paquetes'!$C$252:$J$253,2,FALSE),"")</f>
        <v>No Residencial</v>
      </c>
      <c r="K7" s="99" t="str">
        <f>IFERROR(VLOOKUP(K$3,'Info planes y paquetes'!$C$472:$BS$579,2,FALSE),"")</f>
        <v>Residencial</v>
      </c>
      <c r="L7" s="99" t="str">
        <f>IFERROR(VLOOKUP(L$3,'Info planes y paquetes'!$C$472:$BS$579,2,FALSE),"")</f>
        <v>Residencial</v>
      </c>
      <c r="M7" s="99" t="str">
        <f>IFERROR(VLOOKUP(M$3,'Info planes y paquetes'!$C$472:$BS$579,2,FALSE),"")</f>
        <v>Residencial</v>
      </c>
      <c r="N7" s="99" t="str">
        <f>IFERROR(VLOOKUP(N$3,'Info planes y paquetes'!$C$472:$BS$579,2,FALSE),"")</f>
        <v>Residencial</v>
      </c>
      <c r="O7" s="99" t="str">
        <f>IFERROR(VLOOKUP(O$3,'Info planes y paquetes'!$C$472:$BS$579,2,FALSE),"")</f>
        <v>Residencial</v>
      </c>
      <c r="P7" s="99" t="str">
        <f>IFERROR(VLOOKUP(P$3,'Info planes y paquetes'!$C$472:$BS$579,2,FALSE),"")</f>
        <v>Residencial</v>
      </c>
      <c r="Q7" s="99" t="str">
        <f>IFERROR(VLOOKUP(Q$3,'Info planes y paquetes'!$C$472:$BS$579,2,FALSE),"")</f>
        <v>Residencial</v>
      </c>
      <c r="R7" s="113" t="s">
        <v>242</v>
      </c>
      <c r="S7" s="99" t="str">
        <f>IFERROR(VLOOKUP(S$3,'Info planes y paquetes'!$C$472:$BS$579,2,FALSE),"")</f>
        <v>No Residencial</v>
      </c>
      <c r="T7" s="99" t="str">
        <f>IFERROR(VLOOKUP(T$3,'Info planes y paquetes'!$C$472:$BS$579,2,FALSE),"")</f>
        <v>No Residencial</v>
      </c>
      <c r="U7" s="99" t="str">
        <f>IFERROR(VLOOKUP(U$3,'Info planes y paquetes'!$C$472:$BS$579,2,FALSE),"")</f>
        <v>No Residencial</v>
      </c>
      <c r="V7" s="99" t="str">
        <f>IFERROR(VLOOKUP(V$3,'Info planes y paquetes'!$C$472:$BS$579,2,FALSE),"")</f>
        <v>No Residencial</v>
      </c>
      <c r="W7" s="99" t="str">
        <f>IFERROR(VLOOKUP(W$3,'Info planes y paquetes'!$C$472:$BS$579,2,FALSE),"")</f>
        <v>Residencial</v>
      </c>
      <c r="X7" s="99" t="str">
        <f>IFERROR(VLOOKUP(X$3,'Info planes y paquetes'!$C$472:$BS$579,2,FALSE),"")</f>
        <v>Residencial</v>
      </c>
      <c r="Y7" s="99" t="str">
        <f>IFERROR(VLOOKUP(Y$3,'Info planes y paquetes'!$C$472:$BS$579,2,FALSE),"")</f>
        <v>Residencial</v>
      </c>
      <c r="Z7" s="99" t="str">
        <f>IFERROR(VLOOKUP(Z$3,'Info planes y paquetes'!$C$472:$BS$579,2,FALSE),"")</f>
        <v>Residencial</v>
      </c>
      <c r="AA7" s="99" t="str">
        <f>IFERROR(VLOOKUP(AA$3,'Info planes y paquetes'!$C$472:$BS$579,2,FALSE),"")</f>
        <v>Residencial</v>
      </c>
      <c r="AB7" s="99" t="str">
        <f>IFERROR(VLOOKUP(AB$3,'Info planes y paquetes'!$C$472:$BS$579,2,FALSE),"")</f>
        <v>Residencial</v>
      </c>
      <c r="AC7" s="99" t="str">
        <f>IFERROR(VLOOKUP(AC$3,'Info planes y paquetes'!$C$472:$BS$579,2,FALSE),"")</f>
        <v>No Residencial</v>
      </c>
      <c r="AD7" s="99" t="str">
        <f>IFERROR(VLOOKUP(AD$3,'Info planes y paquetes'!$C$472:$BS$579,2,FALSE),"")</f>
        <v>Residencial</v>
      </c>
      <c r="AE7" s="99" t="str">
        <f>IFERROR(VLOOKUP(AE$3,'Info planes y paquetes'!$C$472:$BS$579,2,FALSE),"")</f>
        <v>Residencial</v>
      </c>
      <c r="AF7" s="99" t="str">
        <f>IFERROR(VLOOKUP(AF$3,'Info planes y paquetes'!$C$472:$BS$579,2,FALSE),"")</f>
        <v>No Residencial</v>
      </c>
      <c r="AG7" s="99" t="str">
        <f>IFERROR(VLOOKUP(AG$3,'Info planes y paquetes'!$C$472:$BS$579,2,FALSE),"")</f>
        <v>No Residencial</v>
      </c>
      <c r="AH7" s="99" t="str">
        <f>IFERROR(VLOOKUP(AH$3,'Info planes y paquetes'!$C$472:$BS$579,2,FALSE),"")</f>
        <v>Residencial</v>
      </c>
      <c r="AI7" s="99" t="str">
        <f>IFERROR(VLOOKUP(AI$3,'Info planes y paquetes'!$C$472:$BS$579,2,FALSE),"")</f>
        <v>No Residencial</v>
      </c>
      <c r="AJ7" s="99" t="str">
        <f>IFERROR(VLOOKUP(AJ$3,'Info planes y paquetes'!$C$472:$BS$579,2,FALSE),"")</f>
        <v>No Residencial</v>
      </c>
      <c r="AK7" s="99" t="str">
        <f>IFERROR(VLOOKUP(AK$3,'Info planes y paquetes'!$C$472:$BS$579,2,FALSE),"")</f>
        <v>No Residencial</v>
      </c>
      <c r="AL7" s="99" t="str">
        <f>IFERROR(VLOOKUP(AL$3,'Info planes y paquetes'!$C$472:$BS$579,2,FALSE),"")</f>
        <v>No Residencial</v>
      </c>
      <c r="AM7" s="99" t="str">
        <f>IFERROR(VLOOKUP(AM$3,'Info planes y paquetes'!$C$472:$BS$579,2,FALSE),"")</f>
        <v>No Residencial</v>
      </c>
      <c r="AN7" s="99" t="str">
        <f>IFERROR(VLOOKUP(AN$3,'Info planes y paquetes'!$C$472:$BS$579,2,FALSE),"")</f>
        <v>No Residencial</v>
      </c>
      <c r="AO7" s="99" t="str">
        <f>IFERROR(VLOOKUP(AO$3,'Info planes y paquetes'!$C$472:$BS$579,2,FALSE),"")</f>
        <v>Residencial</v>
      </c>
      <c r="AP7" s="99" t="str">
        <f>IFERROR(VLOOKUP(AP$3,'Info planes y paquetes'!$C$472:$BS$579,2,FALSE),"")</f>
        <v>Residencial</v>
      </c>
      <c r="AQ7" s="99" t="str">
        <f>IFERROR(VLOOKUP(AQ$3,'Info planes y paquetes'!$C$472:$BS$579,2,FALSE),"")</f>
        <v>Residencial</v>
      </c>
      <c r="AR7" s="99" t="str">
        <f>IFERROR(VLOOKUP(AR$3,'Info planes y paquetes'!$C$472:$BS$579,2,FALSE),"")</f>
        <v>Residencial</v>
      </c>
      <c r="AS7" s="99" t="str">
        <f>IFERROR(VLOOKUP(AS$3,'Info planes y paquetes'!$C$472:$BS$579,2,FALSE),"")</f>
        <v>Residencial</v>
      </c>
      <c r="AT7" s="99" t="str">
        <f>IFERROR(VLOOKUP(AT$3,'Info planes y paquetes'!$C$472:$BS$579,2,FALSE),"")</f>
        <v>Residencial</v>
      </c>
      <c r="AU7" s="99" t="str">
        <f>IFERROR(VLOOKUP(AU$3,'Info planes y paquetes'!$C$472:$BS$579,2,FALSE),"")</f>
        <v>Residencial</v>
      </c>
      <c r="AV7" s="99" t="str">
        <f>IFERROR(VLOOKUP(AV$3,'Info planes y paquetes'!$C$472:$BS$579,2,FALSE),"")</f>
        <v>Residencial</v>
      </c>
      <c r="AW7" s="99" t="str">
        <f>IFERROR(VLOOKUP(AW$3,'Info planes y paquetes'!$C$472:$BS$579,2,FALSE),"")</f>
        <v>Residencial</v>
      </c>
      <c r="AX7" s="99" t="str">
        <f>IFERROR(VLOOKUP(AX$3,'Info planes y paquetes'!$C$472:$BS$579,2,FALSE),"")</f>
        <v>Residencial</v>
      </c>
      <c r="AY7" s="99" t="str">
        <f>IFERROR(VLOOKUP(AY$3,'Info planes y paquetes'!$C$472:$BS$579,2,FALSE),"")</f>
        <v>Residencial</v>
      </c>
      <c r="AZ7" s="99" t="str">
        <f>IFERROR(VLOOKUP(AZ$3,'Info planes y paquetes'!$C$472:$BS$579,2,FALSE),"")</f>
        <v>Residencial</v>
      </c>
      <c r="BA7" s="99" t="str">
        <f>IFERROR(VLOOKUP(BA$3,'Info planes y paquetes'!$C$472:$BS$579,2,FALSE),"")</f>
        <v>Residencial</v>
      </c>
      <c r="BB7" s="99" t="str">
        <f>IFERROR(VLOOKUP(BB$3,'Info planes y paquetes'!$C$472:$BS$579,2,FALSE),"")</f>
        <v>Residencial</v>
      </c>
      <c r="BC7" s="99" t="str">
        <f>IFERROR(VLOOKUP(BC$3,'Info planes y paquetes'!$C$472:$BS$579,2,FALSE),"")</f>
        <v>Residencial</v>
      </c>
      <c r="BD7" s="99" t="str">
        <f>IFERROR(VLOOKUP(BD$3,'Info planes y paquetes'!$C$472:$BS$579,2,FALSE),"")</f>
        <v>Residencial</v>
      </c>
      <c r="BE7" s="99" t="str">
        <f>IFERROR(VLOOKUP(BE$3,'Info planes y paquetes'!$C$472:$BS$579,2,FALSE),"")</f>
        <v>Residencial</v>
      </c>
      <c r="BF7" s="99" t="str">
        <f>IFERROR(VLOOKUP(BF$3,'Info planes y paquetes'!$C$472:$BS$579,2,FALSE),"")</f>
        <v>Residencial</v>
      </c>
      <c r="BG7" s="99" t="str">
        <f>IFERROR(VLOOKUP(BG$3,'Info planes y paquetes'!$C$472:$BS$579,2,FALSE),"")</f>
        <v>Residencial</v>
      </c>
      <c r="BH7" s="99" t="str">
        <f>IFERROR(VLOOKUP(BH$3,'Info planes y paquetes'!$C$472:$BS$579,2,FALSE),"")</f>
        <v>Residencial</v>
      </c>
      <c r="BI7" s="99" t="str">
        <f>IFERROR(VLOOKUP(BI$3,'Info planes y paquetes'!$C$472:$BS$579,2,FALSE),"")</f>
        <v>No Residencial</v>
      </c>
      <c r="BJ7" s="99" t="str">
        <f>IFERROR(VLOOKUP(BJ$3,'Info planes y paquetes'!$C$472:$BS$579,2,FALSE),"")</f>
        <v>No Residencial</v>
      </c>
      <c r="BK7" s="99" t="str">
        <f>IFERROR(VLOOKUP(BK$3,'Info planes y paquetes'!$C$472:$BS$579,2,FALSE),"")</f>
        <v>No Residencial</v>
      </c>
      <c r="BL7" s="99" t="str">
        <f>IFERROR(VLOOKUP(BL$3,'Info planes y paquetes'!$C$472:$BS$579,2,FALSE),"")</f>
        <v>No Residencial</v>
      </c>
      <c r="BM7" s="99" t="str">
        <f>IFERROR(VLOOKUP(BM$3,'Info planes y paquetes'!$C$472:$BS$579,2,FALSE),"")</f>
        <v>No Residencial</v>
      </c>
      <c r="BN7" s="99" t="str">
        <f>IFERROR(VLOOKUP(BN$3,'Info planes y paquetes'!$C$472:$BS$579,2,FALSE),"")</f>
        <v>No Residencial</v>
      </c>
      <c r="BO7" s="99" t="str">
        <f>IFERROR(VLOOKUP(BO$3,'Info planes y paquetes'!$C$472:$BS$579,2,FALSE),"")</f>
        <v>No Residencial</v>
      </c>
      <c r="BP7" s="99" t="str">
        <f>IFERROR(VLOOKUP(BP$3,'Info planes y paquetes'!$C$472:$BS$579,2,FALSE),"")</f>
        <v>No Residencial</v>
      </c>
      <c r="BQ7" s="99" t="str">
        <f>IFERROR(VLOOKUP(BQ$3,'Info planes y paquetes'!$C$472:$BS$579,2,FALSE),"")</f>
        <v>No Residencial</v>
      </c>
      <c r="BR7" s="99" t="str">
        <f>IFERROR(VLOOKUP(BR$3,'Info planes y paquetes'!$C$472:$BS$579,2,FALSE),"")</f>
        <v>No Residencial</v>
      </c>
      <c r="BS7" s="99" t="str">
        <f>IFERROR(VLOOKUP(BS$3,'Info planes y paquetes'!$C$472:$BS$579,2,FALSE),"")</f>
        <v>No Residencial</v>
      </c>
      <c r="BT7" s="99" t="str">
        <f>IFERROR(VLOOKUP(BT$3,'Info planes y paquetes'!$C$472:$BS$579,2,FALSE),"")</f>
        <v>No Residencial</v>
      </c>
      <c r="BU7" s="99" t="str">
        <f>IFERROR(VLOOKUP(BU$3,'Info planes y paquetes'!$C$472:$BS$579,2,FALSE),"")</f>
        <v>No Residencial</v>
      </c>
      <c r="BV7" s="99" t="str">
        <f>IFERROR(VLOOKUP(BV$3,'Info planes y paquetes'!$C$472:$BS$579,2,FALSE),"")</f>
        <v>No Residencial</v>
      </c>
      <c r="BW7" s="99" t="str">
        <f>IFERROR(VLOOKUP(BW$3,'Info planes y paquetes'!$C$472:$BS$579,2,FALSE),"")</f>
        <v>No Residencial</v>
      </c>
      <c r="BX7" s="99" t="str">
        <f>IFERROR(VLOOKUP(BX$3,'Info planes y paquetes'!$C$472:$BS$579,2,FALSE),"")</f>
        <v>No Residencial</v>
      </c>
      <c r="BY7" s="99" t="str">
        <f>IFERROR(VLOOKUP(BY$3,'Info planes y paquetes'!$C$472:$BS$579,2,FALSE),"")</f>
        <v>Residencial</v>
      </c>
      <c r="BZ7" s="99" t="str">
        <f>IFERROR(VLOOKUP(BZ$3,'Info planes y paquetes'!$C$472:$BS$579,2,FALSE),"")</f>
        <v>Residencial</v>
      </c>
      <c r="CA7" s="99" t="str">
        <f>IFERROR(VLOOKUP(CA$3,'Info planes y paquetes'!$C$472:$BS$579,2,FALSE),"")</f>
        <v>Residencial</v>
      </c>
      <c r="CB7" s="99" t="str">
        <f>IFERROR(VLOOKUP(CB$3,'Info planes y paquetes'!$C$472:$BS$579,2,FALSE),"")</f>
        <v>Residencial</v>
      </c>
      <c r="CC7" s="99" t="str">
        <f>IFERROR(VLOOKUP(CC$3,'Info planes y paquetes'!$C$472:$BS$579,2,FALSE),"")</f>
        <v>Residencial</v>
      </c>
      <c r="CD7" s="99" t="str">
        <f>IFERROR(VLOOKUP(CD$3,'Info planes y paquetes'!$C$472:$BS$579,2,FALSE),"")</f>
        <v>Residencial</v>
      </c>
      <c r="CE7" s="99" t="str">
        <f>IFERROR(VLOOKUP(CE$3,'Info planes y paquetes'!$C$472:$BS$579,2,FALSE),"")</f>
        <v>Residencial</v>
      </c>
      <c r="CF7" s="99" t="str">
        <f>IFERROR(VLOOKUP(CF$3,'Info planes y paquetes'!$C$472:$BS$579,2,FALSE),"")</f>
        <v>Residencial</v>
      </c>
      <c r="CG7" s="99" t="str">
        <f>IFERROR(VLOOKUP(CG$3,'Info planes y paquetes'!$C$472:$BS$579,2,FALSE),"")</f>
        <v>Residencial</v>
      </c>
      <c r="CH7" s="99" t="str">
        <f>IFERROR(VLOOKUP(CH$3,'Info planes y paquetes'!$C$472:$BS$579,2,FALSE),"")</f>
        <v>Residencial</v>
      </c>
      <c r="CI7" s="99" t="str">
        <f>IFERROR(VLOOKUP(CI$3,'Info planes y paquetes'!$C$472:$BS$579,2,FALSE),"")</f>
        <v>Residencial</v>
      </c>
      <c r="CJ7" s="99" t="str">
        <f>IFERROR(VLOOKUP(CJ$3,'Info planes y paquetes'!$C$472:$BS$579,2,FALSE),"")</f>
        <v>Residencial</v>
      </c>
      <c r="CK7" s="99" t="str">
        <f>IFERROR(VLOOKUP(CK$3,'Info planes y paquetes'!$C$472:$BS$579,2,FALSE),"")</f>
        <v>Residencial</v>
      </c>
      <c r="CL7" s="99" t="str">
        <f>IFERROR(VLOOKUP(CL$3,'Info planes y paquetes'!$C$472:$BS$579,2,FALSE),"")</f>
        <v>Residencial</v>
      </c>
      <c r="CM7" s="99" t="str">
        <f>IFERROR(VLOOKUP(CM$3,'Info planes y paquetes'!$C$472:$BS$579,2,FALSE),"")</f>
        <v>Residencial</v>
      </c>
      <c r="CN7" s="99" t="str">
        <f>IFERROR(VLOOKUP(CN$3,'Info planes y paquetes'!$C$472:$BS$579,2,FALSE),"")</f>
        <v>Residencial</v>
      </c>
      <c r="CO7" s="99" t="str">
        <f>IFERROR(VLOOKUP(CO$3,'Info planes y paquetes'!$C$472:$BS$579,2,FALSE),"")</f>
        <v>Residencial</v>
      </c>
      <c r="CP7" s="99" t="str">
        <f>IFERROR(VLOOKUP(CP$3,'Info planes y paquetes'!$C$472:$BS$579,2,FALSE),"")</f>
        <v>Residencial</v>
      </c>
      <c r="CQ7" s="99" t="str">
        <f>IFERROR(VLOOKUP(CQ$3,'Info planes y paquetes'!$C$472:$BS$579,2,FALSE),"")</f>
        <v>Residencial</v>
      </c>
      <c r="CR7" s="99" t="str">
        <f>IFERROR(VLOOKUP(CR$3,'Info planes y paquetes'!$C$472:$BS$579,2,FALSE),"")</f>
        <v>Residencial</v>
      </c>
      <c r="CS7" s="99" t="str">
        <f>IFERROR(VLOOKUP(CS$3,'Info planes y paquetes'!$C$472:$BS$579,2,FALSE),"")</f>
        <v>Residencial</v>
      </c>
      <c r="CT7" s="99" t="str">
        <f>IFERROR(VLOOKUP(CT$3,'Info planes y paquetes'!$C$472:$BS$579,2,FALSE),"")</f>
        <v>Residencial</v>
      </c>
      <c r="CU7" s="99" t="str">
        <f>IFERROR(VLOOKUP(CU$3,'Info planes y paquetes'!$C$472:$BS$579,2,FALSE),"")</f>
        <v>Residencial</v>
      </c>
      <c r="CV7" s="99" t="str">
        <f>IFERROR(VLOOKUP(CV$3,'Info planes y paquetes'!$C$472:$BS$579,2,FALSE),"")</f>
        <v>Residencial</v>
      </c>
      <c r="CW7" s="99" t="str">
        <f>IFERROR(VLOOKUP(CW$3,'Info planes y paquetes'!$C$472:$BS$579,2,FALSE),"")</f>
        <v>Residencial</v>
      </c>
      <c r="CX7" s="99" t="str">
        <f>IFERROR(VLOOKUP(CX$3,'Info planes y paquetes'!$C$472:$BS$579,2,FALSE),"")</f>
        <v>Residencial</v>
      </c>
      <c r="CY7" s="99" t="str">
        <f>IFERROR(VLOOKUP(CY$3,'Info planes y paquetes'!$C$472:$BS$579,2,FALSE),"")</f>
        <v>Residencial</v>
      </c>
      <c r="CZ7" s="99" t="str">
        <f>IFERROR(VLOOKUP(CZ$3,'Info planes y paquetes'!$C$472:$BS$579,2,FALSE),"")</f>
        <v>Residencial</v>
      </c>
      <c r="DA7" s="99" t="str">
        <f>IFERROR(VLOOKUP(DA$3,'Info planes y paquetes'!$C$472:$BS$579,2,FALSE),"")</f>
        <v>Residencial</v>
      </c>
      <c r="DB7" s="99" t="str">
        <f>IFERROR(VLOOKUP(DB$3,'Info planes y paquetes'!$C$472:$BS$579,2,FALSE),"")</f>
        <v>No Residencial</v>
      </c>
      <c r="DC7" s="99" t="str">
        <f>IFERROR(VLOOKUP(DC$3,'Info planes y paquetes'!$C$472:$BS$579,2,FALSE),"")</f>
        <v>No Residencial</v>
      </c>
      <c r="DD7" s="99" t="str">
        <f>IFERROR(VLOOKUP(DD$3,'Info planes y paquetes'!$C$472:$BS$579,2,FALSE),"")</f>
        <v>No Residencial</v>
      </c>
      <c r="DE7" s="99" t="str">
        <f>IFERROR(VLOOKUP(DE$3,'Info planes y paquetes'!$C$472:$BS$579,2,FALSE),"")</f>
        <v>No Residencial</v>
      </c>
      <c r="DF7" s="99" t="str">
        <f>IFERROR(VLOOKUP(DF$3,'Info planes y paquetes'!$C$472:$BS$579,2,FALSE),"")</f>
        <v>No Residencial</v>
      </c>
      <c r="DG7" s="99" t="str">
        <f>IFERROR(VLOOKUP(DG$3,'Info planes y paquetes'!$C$472:$BS$579,2,FALSE),"")</f>
        <v>No Residencial</v>
      </c>
      <c r="DH7" s="99" t="str">
        <f>IFERROR(VLOOKUP(DH$3,'Info planes y paquetes'!$C$472:$BS$579,2,FALSE),"")</f>
        <v>No Residencial</v>
      </c>
      <c r="DI7" s="99" t="str">
        <f>IFERROR(VLOOKUP(DI$3,'Info planes y paquetes'!$C$472:$BS$579,2,FALSE),"")</f>
        <v>No Residencial</v>
      </c>
      <c r="DJ7" s="99" t="str">
        <f>IFERROR(VLOOKUP(DJ$3,'Info planes y paquetes'!$C$472:$BS$579,2,FALSE),"")</f>
        <v>No Residencial</v>
      </c>
      <c r="DK7" s="99" t="str">
        <f>IFERROR(VLOOKUP(DK$3,'Info planes y paquetes'!$C$472:$BS$579,2,FALSE),"")</f>
        <v>No Residencial</v>
      </c>
      <c r="DL7" s="99" t="str">
        <f>IFERROR(VLOOKUP(DL$3,'Info planes y paquetes'!$C$472:$BS$579,2,FALSE),"")</f>
        <v>No Residencial</v>
      </c>
      <c r="DM7" s="99" t="str">
        <f>IFERROR(VLOOKUP(DM$3,'Info planes y paquetes'!$C$472:$BS$579,2,FALSE),"")</f>
        <v>No Residencial</v>
      </c>
      <c r="DN7" s="99" t="str">
        <f>IFERROR(VLOOKUP(DN$3,'Info planes y paquetes'!$C$472:$BS$579,2,FALSE),"")</f>
        <v>No Residencial</v>
      </c>
      <c r="DO7" s="99" t="str">
        <f>IFERROR(VLOOKUP(DO$3,'Info planes y paquetes'!$C$472:$BS$579,2,FALSE),"")</f>
        <v/>
      </c>
      <c r="DP7" s="99" t="str">
        <f>IFERROR(VLOOKUP(DP$3,'Info planes y paquetes'!$C$472:$BS$579,2,FALSE),"")</f>
        <v/>
      </c>
      <c r="DQ7" s="99" t="str">
        <f>IFERROR(VLOOKUP(DQ$3,'Info planes y paquetes'!$C$472:$BS$579,2,FALSE),"")</f>
        <v/>
      </c>
      <c r="DR7" s="99" t="str">
        <f>IFERROR(VLOOKUP(DR$3,'Info planes y paquetes'!$C$472:$BS$579,2,FALSE),"")</f>
        <v/>
      </c>
      <c r="DS7" s="99" t="str">
        <f>IFERROR(VLOOKUP(DS$3,'Info planes y paquetes'!$C$472:$BS$579,2,FALSE),"")</f>
        <v/>
      </c>
      <c r="DT7" s="99" t="str">
        <f>IFERROR(VLOOKUP(DT$3,'Info planes y paquetes'!$C$472:$BS$579,2,FALSE),"")</f>
        <v/>
      </c>
      <c r="DU7" s="99" t="str">
        <f>IFERROR(VLOOKUP(DU$3,'Info planes y paquetes'!$C$472:$BS$579,2,FALSE),"")</f>
        <v/>
      </c>
      <c r="DV7" s="99" t="str">
        <f>IFERROR(VLOOKUP(DV$3,'Info planes y paquetes'!$C$472:$BS$579,2,FALSE),"")</f>
        <v/>
      </c>
      <c r="DW7" s="99" t="str">
        <f>IFERROR(VLOOKUP(DW$3,'Info planes y paquetes'!$C$472:$BS$579,2,FALSE),"")</f>
        <v/>
      </c>
      <c r="DX7" s="99" t="str">
        <f>IFERROR(VLOOKUP(DX$3,'Info planes y paquetes'!$C$472:$BS$579,2,FALSE),"")</f>
        <v/>
      </c>
      <c r="DY7" s="99" t="str">
        <f>IFERROR(VLOOKUP(DY$3,'Info planes y paquetes'!$C$472:$BS$579,2,FALSE),"")</f>
        <v/>
      </c>
      <c r="DZ7" s="99" t="str">
        <f>IFERROR(VLOOKUP(DZ$3,'Info planes y paquetes'!$C$472:$BS$579,2,FALSE),"")</f>
        <v/>
      </c>
      <c r="EA7" s="99" t="str">
        <f>IFERROR(VLOOKUP(EA$3,'Info planes y paquetes'!$C$472:$BS$579,2,FALSE),"")</f>
        <v/>
      </c>
      <c r="EB7" s="99" t="str">
        <f>IFERROR(VLOOKUP(EB$3,'Info planes y paquetes'!$C$472:$BS$579,2,FALSE),"")</f>
        <v/>
      </c>
      <c r="EC7" s="99" t="str">
        <f>IFERROR(VLOOKUP(EC$3,'Info planes y paquetes'!$C$472:$BS$579,2,FALSE),"")</f>
        <v/>
      </c>
      <c r="ED7" s="99" t="str">
        <f>IFERROR(VLOOKUP(ED$3,'Info planes y paquetes'!$C$472:$BS$579,2,FALSE),"")</f>
        <v/>
      </c>
      <c r="EE7" s="99" t="str">
        <f>IFERROR(VLOOKUP(EE$3,'Info planes y paquetes'!$C$472:$BS$579,2,FALSE),"")</f>
        <v/>
      </c>
      <c r="EF7" s="99" t="str">
        <f>IFERROR(VLOOKUP(EF$3,'Info planes y paquetes'!$C$472:$BS$579,2,FALSE),"")</f>
        <v/>
      </c>
      <c r="EG7" s="99" t="str">
        <f>IFERROR(VLOOKUP(EG$3,'Info planes y paquetes'!$C$472:$BS$579,2,FALSE),"")</f>
        <v/>
      </c>
      <c r="EH7" s="99" t="str">
        <f>IFERROR(VLOOKUP(EH$3,'Info planes y paquetes'!$C$472:$BS$579,2,FALSE),"")</f>
        <v/>
      </c>
      <c r="EI7" s="99" t="str">
        <f>IFERROR(VLOOKUP(EI$3,'Info planes y paquetes'!$C$472:$BS$579,2,FALSE),"")</f>
        <v/>
      </c>
      <c r="EJ7" s="99" t="str">
        <f>IFERROR(VLOOKUP(EJ$3,'Info planes y paquetes'!$C$472:$BS$579,2,FALSE),"")</f>
        <v/>
      </c>
      <c r="EK7" s="99" t="str">
        <f>IFERROR(VLOOKUP(EK$3,'Info planes y paquetes'!$C$472:$BS$579,2,FALSE),"")</f>
        <v/>
      </c>
      <c r="EL7" s="99" t="str">
        <f>IFERROR(VLOOKUP(EL$3,'Info planes y paquetes'!$C$472:$BS$579,2,FALSE),"")</f>
        <v/>
      </c>
      <c r="EM7" s="99" t="str">
        <f>IFERROR(VLOOKUP(EM$3,'Info planes y paquetes'!$C$472:$BS$579,2,FALSE),"")</f>
        <v/>
      </c>
      <c r="EN7" s="99" t="str">
        <f>IFERROR(VLOOKUP(EN$3,'Info planes y paquetes'!$C$472:$BS$579,2,FALSE),"")</f>
        <v/>
      </c>
      <c r="EO7" s="99" t="str">
        <f>IFERROR(VLOOKUP(EO$3,'Info planes y paquetes'!$C$472:$BS$579,2,FALSE),"")</f>
        <v/>
      </c>
      <c r="EP7" s="99" t="str">
        <f>IFERROR(VLOOKUP(EP$3,'Info planes y paquetes'!$C$472:$BS$579,2,FALSE),"")</f>
        <v/>
      </c>
      <c r="EQ7" s="99" t="str">
        <f>IFERROR(VLOOKUP(EQ$3,'Info planes y paquetes'!$C$472:$BS$579,2,FALSE),"")</f>
        <v/>
      </c>
      <c r="ER7" s="99" t="str">
        <f>IFERROR(VLOOKUP(ER$3,'Info planes y paquetes'!$C$472:$BS$579,2,FALSE),"")</f>
        <v/>
      </c>
      <c r="ES7" s="99" t="str">
        <f>IFERROR(VLOOKUP(ES$3,'Info planes y paquetes'!$C$472:$BS$579,2,FALSE),"")</f>
        <v/>
      </c>
      <c r="ET7" s="99" t="str">
        <f>IFERROR(VLOOKUP(ET$3,'Info planes y paquetes'!$C$472:$BS$579,2,FALSE),"")</f>
        <v/>
      </c>
      <c r="EU7" s="99" t="str">
        <f>IFERROR(VLOOKUP(EU$3,'Info planes y paquetes'!$C$472:$BS$579,2,FALSE),"")</f>
        <v/>
      </c>
      <c r="EV7" s="99" t="str">
        <f>IFERROR(VLOOKUP(EV$3,'Info planes y paquetes'!$C$472:$BS$579,2,FALSE),"")</f>
        <v/>
      </c>
      <c r="EW7" s="99" t="str">
        <f>IFERROR(VLOOKUP(EW$3,'Info planes y paquetes'!$C$472:$BS$579,2,FALSE),"")</f>
        <v/>
      </c>
      <c r="EX7" s="99" t="str">
        <f>IFERROR(VLOOKUP(EX$3,'Info planes y paquetes'!$C$472:$BS$579,2,FALSE),"")</f>
        <v/>
      </c>
      <c r="EY7" s="99" t="str">
        <f>IFERROR(VLOOKUP(EY$3,'Info planes y paquetes'!$C$472:$BS$579,2,FALSE),"")</f>
        <v/>
      </c>
      <c r="EZ7" s="99" t="str">
        <f>IFERROR(VLOOKUP(EZ$3,'Info planes y paquetes'!$C$472:$BS$579,2,FALSE),"")</f>
        <v/>
      </c>
      <c r="FA7" s="99" t="str">
        <f>IFERROR(VLOOKUP(FA$3,'Info planes y paquetes'!$C$472:$BS$579,2,FALSE),"")</f>
        <v/>
      </c>
      <c r="FB7" s="99" t="str">
        <f>IFERROR(VLOOKUP(FB$3,'Info planes y paquetes'!$C$472:$BS$579,2,FALSE),"")</f>
        <v/>
      </c>
      <c r="FC7" s="99" t="str">
        <f>IFERROR(VLOOKUP(FC$3,'Info planes y paquetes'!$C$472:$BS$579,2,FALSE),"")</f>
        <v/>
      </c>
      <c r="FD7" s="99" t="str">
        <f>IFERROR(VLOOKUP(FD$3,'Info planes y paquetes'!$C$472:$BS$579,2,FALSE),"")</f>
        <v/>
      </c>
      <c r="FE7" s="99" t="str">
        <f>IFERROR(VLOOKUP(FE$3,'Info planes y paquetes'!$C$472:$BS$579,2,FALSE),"")</f>
        <v/>
      </c>
      <c r="FF7" s="99" t="str">
        <f>IFERROR(VLOOKUP(FF$3,'Info planes y paquetes'!$C$472:$BS$579,2,FALSE),"")</f>
        <v/>
      </c>
      <c r="FG7" s="99" t="str">
        <f>IFERROR(VLOOKUP(FG$3,'Info planes y paquetes'!$C$472:$BS$579,2,FALSE),"")</f>
        <v/>
      </c>
      <c r="FH7" s="99" t="str">
        <f>IFERROR(VLOOKUP(FH$3,'Info planes y paquetes'!$C$472:$BS$579,2,FALSE),"")</f>
        <v/>
      </c>
      <c r="FI7" s="99" t="str">
        <f>IFERROR(VLOOKUP(FI$3,'Info planes y paquetes'!$C$472:$BS$579,2,FALSE),"")</f>
        <v/>
      </c>
      <c r="FJ7" s="99" t="str">
        <f>IFERROR(VLOOKUP(FJ$3,'Info planes y paquetes'!$C$472:$BS$579,2,FALSE),"")</f>
        <v/>
      </c>
      <c r="FK7" s="99" t="str">
        <f>IFERROR(VLOOKUP(FK$3,'Info planes y paquetes'!$C$472:$BS$579,2,FALSE),"")</f>
        <v/>
      </c>
      <c r="FL7" s="99" t="str">
        <f>IFERROR(VLOOKUP(FL$3,'Info planes y paquetes'!$C$472:$BS$579,2,FALSE),"")</f>
        <v/>
      </c>
      <c r="FM7" s="99" t="str">
        <f>IFERROR(VLOOKUP(FM$3,'Info planes y paquetes'!$C$472:$BS$579,2,FALSE),"")</f>
        <v/>
      </c>
      <c r="FN7" s="99" t="str">
        <f>IFERROR(VLOOKUP(FN$3,'Info planes y paquetes'!$C$472:$BS$579,2,FALSE),"")</f>
        <v/>
      </c>
      <c r="FO7" s="99" t="str">
        <f>IFERROR(VLOOKUP(FO$3,'Info planes y paquetes'!$C$472:$BS$579,2,FALSE),"")</f>
        <v/>
      </c>
      <c r="FP7" s="99" t="str">
        <f>IFERROR(VLOOKUP(FP$3,'Info planes y paquetes'!$C$472:$BS$579,2,FALSE),"")</f>
        <v/>
      </c>
      <c r="FQ7" s="99" t="str">
        <f>IFERROR(VLOOKUP(FQ$3,'Info planes y paquetes'!$C$472:$BS$579,2,FALSE),"")</f>
        <v/>
      </c>
      <c r="FR7" s="99" t="str">
        <f>IFERROR(VLOOKUP(FR$3,'Info planes y paquetes'!$C$472:$BS$579,2,FALSE),"")</f>
        <v/>
      </c>
      <c r="FS7" s="99" t="str">
        <f>IFERROR(VLOOKUP(FS$3,'Info planes y paquetes'!$C$472:$BS$579,2,FALSE),"")</f>
        <v/>
      </c>
      <c r="FT7" s="99" t="str">
        <f>IFERROR(VLOOKUP(FT$3,'Info planes y paquetes'!$C$472:$BS$579,2,FALSE),"")</f>
        <v/>
      </c>
      <c r="FU7" s="99" t="str">
        <f>IFERROR(VLOOKUP(FU$3,'Info planes y paquetes'!$C$472:$BS$579,2,FALSE),"")</f>
        <v/>
      </c>
      <c r="FV7" s="99" t="str">
        <f>IFERROR(VLOOKUP(FV$3,'Info planes y paquetes'!$C$472:$BS$579,2,FALSE),"")</f>
        <v/>
      </c>
      <c r="FW7" s="99" t="str">
        <f>IFERROR(VLOOKUP(FW$3,'Info planes y paquetes'!$C$472:$BS$579,2,FALSE),"")</f>
        <v/>
      </c>
      <c r="FX7" s="99" t="str">
        <f>IFERROR(VLOOKUP(FX$3,'Info planes y paquetes'!$C$472:$BS$579,2,FALSE),"")</f>
        <v/>
      </c>
      <c r="FY7" s="99" t="str">
        <f>IFERROR(VLOOKUP(FY$3,'Info planes y paquetes'!$C$472:$BS$579,2,FALSE),"")</f>
        <v/>
      </c>
      <c r="FZ7" s="99" t="str">
        <f>IFERROR(VLOOKUP(FZ$3,'Info planes y paquetes'!$C$472:$BS$579,2,FALSE),"")</f>
        <v/>
      </c>
      <c r="GA7" s="99" t="str">
        <f>IFERROR(VLOOKUP(GA$3,'Info planes y paquetes'!$C$472:$BS$579,2,FALSE),"")</f>
        <v/>
      </c>
      <c r="GB7" s="99" t="str">
        <f>IFERROR(VLOOKUP(GB$3,'Info planes y paquetes'!$C$472:$BS$579,2,FALSE),"")</f>
        <v/>
      </c>
      <c r="GC7" s="99" t="str">
        <f>IFERROR(VLOOKUP(GC$3,'Info planes y paquetes'!$C$472:$BS$579,2,FALSE),"")</f>
        <v/>
      </c>
      <c r="GD7" s="99" t="str">
        <f>IFERROR(VLOOKUP(GD$3,'Info planes y paquetes'!$C$472:$BS$579,2,FALSE),"")</f>
        <v/>
      </c>
      <c r="GE7" s="99" t="str">
        <f>IFERROR(VLOOKUP(GE$3,'Info planes y paquetes'!$C$472:$BS$579,2,FALSE),"")</f>
        <v/>
      </c>
      <c r="GF7" s="99" t="str">
        <f>IFERROR(VLOOKUP(GF$3,'Info planes y paquetes'!$C$472:$BS$579,2,FALSE),"")</f>
        <v/>
      </c>
      <c r="GG7" s="99" t="str">
        <f>IFERROR(VLOOKUP(GG$3,'Info planes y paquetes'!$C$472:$BS$579,2,FALSE),"")</f>
        <v/>
      </c>
      <c r="GH7" s="99" t="str">
        <f>IFERROR(VLOOKUP(GH$3,'Info planes y paquetes'!$C$472:$BS$579,2,FALSE),"")</f>
        <v/>
      </c>
      <c r="GI7" s="99" t="str">
        <f>IFERROR(VLOOKUP(GI$3,'Info planes y paquetes'!$C$472:$BS$579,2,FALSE),"")</f>
        <v/>
      </c>
      <c r="GJ7" s="99" t="str">
        <f>IFERROR(VLOOKUP(GJ$3,'Info planes y paquetes'!$C$472:$BS$579,2,FALSE),"")</f>
        <v/>
      </c>
      <c r="GK7" s="99" t="str">
        <f>IFERROR(VLOOKUP(GK$3,'Info planes y paquetes'!$C$472:$BS$579,2,FALSE),"")</f>
        <v/>
      </c>
      <c r="GL7" s="99" t="str">
        <f>IFERROR(VLOOKUP(GL$3,'Info planes y paquetes'!$C$472:$BS$579,2,FALSE),"")</f>
        <v/>
      </c>
      <c r="GM7" s="99" t="str">
        <f>IFERROR(VLOOKUP(GM$3,'Info planes y paquetes'!$C$472:$BS$579,2,FALSE),"")</f>
        <v/>
      </c>
      <c r="GN7" s="99" t="str">
        <f>IFERROR(VLOOKUP(GN$3,'Info planes y paquetes'!$C$472:$BS$579,2,FALSE),"")</f>
        <v/>
      </c>
      <c r="GO7" s="99" t="str">
        <f>IFERROR(VLOOKUP(GO$3,'Info planes y paquetes'!$C$472:$BS$579,2,FALSE),"")</f>
        <v/>
      </c>
      <c r="GP7" s="99" t="str">
        <f>IFERROR(VLOOKUP(GP$3,'Info planes y paquetes'!$C$472:$BS$579,2,FALSE),"")</f>
        <v/>
      </c>
      <c r="GQ7" s="99" t="str">
        <f>IFERROR(VLOOKUP(GQ$3,'Info planes y paquetes'!$C$472:$BS$579,2,FALSE),"")</f>
        <v/>
      </c>
      <c r="GR7" s="99" t="str">
        <f>IFERROR(VLOOKUP(GR$3,'Info planes y paquetes'!$C$472:$BS$579,2,FALSE),"")</f>
        <v/>
      </c>
      <c r="GS7" s="99" t="str">
        <f>IFERROR(VLOOKUP(GS$3,'Info planes y paquetes'!$C$472:$BS$579,2,FALSE),"")</f>
        <v/>
      </c>
      <c r="GT7" s="99" t="str">
        <f>IFERROR(VLOOKUP(GT$3,'Info planes y paquetes'!$C$472:$BS$579,2,FALSE),"")</f>
        <v/>
      </c>
      <c r="GU7" s="99" t="str">
        <f>IFERROR(VLOOKUP(GU$3,'Info planes y paquetes'!$C$472:$BS$579,2,FALSE),"")</f>
        <v/>
      </c>
      <c r="GV7" s="99" t="str">
        <f>IFERROR(VLOOKUP(GV$3,'Info planes y paquetes'!$C$472:$BS$579,2,FALSE),"")</f>
        <v/>
      </c>
      <c r="GW7" s="99" t="str">
        <f>IFERROR(VLOOKUP(GW$3,'Info planes y paquetes'!$C$472:$BS$579,2,FALSE),"")</f>
        <v/>
      </c>
      <c r="GX7" s="99" t="str">
        <f>IFERROR(VLOOKUP(GX$3,'Info planes y paquetes'!$C$472:$BS$579,2,FALSE),"")</f>
        <v/>
      </c>
      <c r="GY7" s="99" t="str">
        <f>IFERROR(VLOOKUP(GY$3,'Info planes y paquetes'!$C$472:$BS$579,2,FALSE),"")</f>
        <v/>
      </c>
      <c r="GZ7" s="99" t="str">
        <f>IFERROR(VLOOKUP(GZ$3,'Info planes y paquetes'!$C$472:$BS$579,2,FALSE),"")</f>
        <v/>
      </c>
      <c r="HA7" s="99" t="str">
        <f>IFERROR(VLOOKUP(HA$3,'Info planes y paquetes'!$C$472:$BS$579,2,FALSE),"")</f>
        <v/>
      </c>
      <c r="HB7" s="99" t="str">
        <f>IFERROR(VLOOKUP(HB$3,'Info planes y paquetes'!$C$472:$BS$579,2,FALSE),"")</f>
        <v/>
      </c>
      <c r="HC7" s="99" t="str">
        <f>IFERROR(VLOOKUP(HC$3,'Info planes y paquetes'!$C$472:$BS$579,2,FALSE),"")</f>
        <v/>
      </c>
      <c r="HD7" s="99" t="str">
        <f>IFERROR(VLOOKUP(HD$3,'Info planes y paquetes'!$C$472:$BS$579,2,FALSE),"")</f>
        <v/>
      </c>
      <c r="HE7" s="99" t="str">
        <f>IFERROR(VLOOKUP(HE$3,'Info planes y paquetes'!$C$472:$BS$579,2,FALSE),"")</f>
        <v/>
      </c>
      <c r="HF7" s="99" t="str">
        <f>IFERROR(VLOOKUP(HF$3,'Info planes y paquetes'!$C$472:$BS$579,2,FALSE),"")</f>
        <v/>
      </c>
      <c r="HG7" s="99" t="str">
        <f>IFERROR(VLOOKUP(HG$3,'Info planes y paquetes'!$C$472:$BS$579,2,FALSE),"")</f>
        <v/>
      </c>
      <c r="HH7" s="99" t="str">
        <f>IFERROR(VLOOKUP(HH$3,'Info planes y paquetes'!$C$472:$BS$579,2,FALSE),"")</f>
        <v/>
      </c>
      <c r="HI7" s="99" t="str">
        <f>IFERROR(VLOOKUP(HI$3,'Info planes y paquetes'!$C$472:$BS$579,2,FALSE),"")</f>
        <v/>
      </c>
      <c r="HJ7" s="99" t="str">
        <f>IFERROR(VLOOKUP(HJ$3,'Info planes y paquetes'!$C$472:$BS$579,2,FALSE),"")</f>
        <v/>
      </c>
      <c r="HK7" s="99" t="str">
        <f>IFERROR(VLOOKUP(HK$3,'Info planes y paquetes'!$C$472:$BS$579,2,FALSE),"")</f>
        <v/>
      </c>
      <c r="HL7" s="99" t="str">
        <f>IFERROR(VLOOKUP(HL$3,'Info planes y paquetes'!$C$472:$BS$579,2,FALSE),"")</f>
        <v/>
      </c>
    </row>
    <row r="8" spans="1:231" s="44" customFormat="1" ht="12" x14ac:dyDescent="0.25">
      <c r="I8" s="579" t="str">
        <f t="shared" ref="I8:P8" si="0">I3&amp;I7</f>
        <v>Renta Mensual de la Línea ResidencialResidencial</v>
      </c>
      <c r="J8" s="579" t="str">
        <f t="shared" si="0"/>
        <v>Renta Mensual de la Línea ComercialNo Residencial</v>
      </c>
      <c r="K8" s="579" t="str">
        <f t="shared" si="0"/>
        <v>Infinitum 50Residencial</v>
      </c>
      <c r="L8" s="579" t="str">
        <f t="shared" si="0"/>
        <v>Infinitum 500Residencial</v>
      </c>
      <c r="M8" s="579" t="str">
        <f t="shared" si="0"/>
        <v>Infinitum 60Residencial</v>
      </c>
      <c r="N8" s="579" t="str">
        <f t="shared" si="0"/>
        <v>Infinitum 100Residencial</v>
      </c>
      <c r="O8" s="579" t="str">
        <f t="shared" si="0"/>
        <v>Infinitum 200Residencial</v>
      </c>
      <c r="P8" s="579" t="str">
        <f t="shared" si="0"/>
        <v>Infinitum 279Residencial</v>
      </c>
      <c r="Q8" s="579" t="str">
        <f>Q3&amp;Q7</f>
        <v>Infinitum 299Residencial</v>
      </c>
      <c r="R8" s="579" t="str">
        <f t="shared" ref="R8:CC8" si="1">R3&amp;R7</f>
        <v>Infinitum 299No Residencial</v>
      </c>
      <c r="S8" s="579" t="str">
        <f t="shared" si="1"/>
        <v>Infinitum Negocio 20 MbNo Residencial</v>
      </c>
      <c r="T8" s="579" t="str">
        <f t="shared" si="1"/>
        <v>Infinitum Negocio 60No Residencial</v>
      </c>
      <c r="U8" s="579" t="str">
        <f t="shared" si="1"/>
        <v>Infinitum Negocio 200No Residencial</v>
      </c>
      <c r="V8" s="579" t="str">
        <f t="shared" si="1"/>
        <v>Infinitum Negocio 500No Residencial</v>
      </c>
      <c r="W8" s="579" t="str">
        <f t="shared" si="1"/>
        <v>Paquete 249Residencial</v>
      </c>
      <c r="X8" s="579" t="str">
        <f t="shared" si="1"/>
        <v>Paquete 289Residencial</v>
      </c>
      <c r="Y8" s="579" t="str">
        <f t="shared" si="1"/>
        <v>Paquete 435Residencial</v>
      </c>
      <c r="Z8" s="579" t="str">
        <f t="shared" si="1"/>
        <v>Paquete 499Residencial</v>
      </c>
      <c r="AA8" s="579" t="str">
        <f t="shared" si="1"/>
        <v>Paquete 599Residencial</v>
      </c>
      <c r="AB8" s="579" t="str">
        <f t="shared" si="1"/>
        <v>Paquete 389Residencial</v>
      </c>
      <c r="AC8" s="579" t="str">
        <f t="shared" si="1"/>
        <v>Paquete Conectes NegocioNo Residencial</v>
      </c>
      <c r="AD8" s="579" t="str">
        <f t="shared" si="1"/>
        <v>Paquete 1499Residencial</v>
      </c>
      <c r="AE8" s="579" t="str">
        <f t="shared" si="1"/>
        <v>Paquete 333Residencial</v>
      </c>
      <c r="AF8" s="579" t="str">
        <f t="shared" si="1"/>
        <v>Paquete Mi NegocioNo Residencial</v>
      </c>
      <c r="AG8" s="579" t="str">
        <f t="shared" si="1"/>
        <v>Paquete SuperNegocioNo Residencial</v>
      </c>
      <c r="AH8" s="579" t="str">
        <f t="shared" si="1"/>
        <v>Paquete Infinitum 500Residencial</v>
      </c>
      <c r="AI8" s="579" t="str">
        <f t="shared" si="1"/>
        <v>Paquete Telmex Negocio Sin Límites 1No Residencial</v>
      </c>
      <c r="AJ8" s="579" t="str">
        <f t="shared" si="1"/>
        <v>Paquete Telmex Negocio Sin Límites 2No Residencial</v>
      </c>
      <c r="AK8" s="579" t="str">
        <f t="shared" si="1"/>
        <v>Paquete Telmex Negocio Sin Límites 3No Residencial</v>
      </c>
      <c r="AL8" s="579" t="str">
        <f t="shared" si="1"/>
        <v>Infinitum NegocioNo Residencial</v>
      </c>
      <c r="AM8" s="579" t="str">
        <f t="shared" si="1"/>
        <v>Infinitum Negocio RedNo Residencial</v>
      </c>
      <c r="AN8" s="579" t="str">
        <f t="shared" si="1"/>
        <v>Infinitum Negocio PremiumNo Residencial</v>
      </c>
      <c r="AO8" s="579" t="str">
        <f t="shared" si="1"/>
        <v>Paquete Infinitum Play 20 (Netflix 1 dispositivo)Residencial</v>
      </c>
      <c r="AP8" s="579" t="str">
        <f t="shared" si="1"/>
        <v>Paquete Infinitum Play 20 (Netflix 2 dispositivos)Residencial</v>
      </c>
      <c r="AQ8" s="579" t="str">
        <f t="shared" si="1"/>
        <v>Paquete Infinitum Play 20 (Netflix 4 dispositivos)Residencial</v>
      </c>
      <c r="AR8" s="579" t="str">
        <f t="shared" si="1"/>
        <v>Paquete Infinitum Play 30 (Netflix 2 dispositivos)Residencial</v>
      </c>
      <c r="AS8" s="579" t="str">
        <f t="shared" si="1"/>
        <v>Paquete Infinitum Play 30 (Netflix 4 dispositivos)Residencial</v>
      </c>
      <c r="AT8" s="579" t="str">
        <f t="shared" si="1"/>
        <v>Paquete Infinitum Play 40 (Netflix 2 dispositivos)Residencial</v>
      </c>
      <c r="AU8" s="579" t="str">
        <f t="shared" si="1"/>
        <v>Paquete Infinitum Play 40 (Netflix 4 dispositivos)Residencial</v>
      </c>
      <c r="AV8" s="579" t="str">
        <f t="shared" si="1"/>
        <v>Paquete Infinitum Play 150 (Netflix 4 dispositivos)Residencial</v>
      </c>
      <c r="AW8" s="579" t="str">
        <f t="shared" si="1"/>
        <v>Paquete Infinitum Play 150 (Netflix 2 dispositivos)Residencial</v>
      </c>
      <c r="AX8" s="579" t="str">
        <f t="shared" si="1"/>
        <v>Paquete Infinitum Netflix 500 (Netflix 4 dispositivos)Residencial</v>
      </c>
      <c r="AY8" s="579" t="str">
        <f t="shared" si="1"/>
        <v>Paquete Infinitum Netflix 500 (Netflix 2 dispositivos)Residencial</v>
      </c>
      <c r="AZ8" s="579" t="str">
        <f t="shared" si="1"/>
        <v>Infinitum Netflix 50 (Netflix 1 dispositivo)Residencial</v>
      </c>
      <c r="BA8" s="579" t="str">
        <f t="shared" si="1"/>
        <v>Infinitum Netflix 50 (Netflix 2 dispositivos)Residencial</v>
      </c>
      <c r="BB8" s="579" t="str">
        <f t="shared" si="1"/>
        <v>Infinitum Netflix 50 (Netflix 4 dispositivos)Residencial</v>
      </c>
      <c r="BC8" s="579" t="str">
        <f t="shared" si="1"/>
        <v>Infinitum Netflix 60 (Netflix 2 dispositivos)Residencial</v>
      </c>
      <c r="BD8" s="579" t="str">
        <f t="shared" si="1"/>
        <v>Infinitum Netflix 60 (Netflix 4 dispositivos)Residencial</v>
      </c>
      <c r="BE8" s="579" t="str">
        <f t="shared" si="1"/>
        <v>Infinitum Netflix 200 (Netflix 4 dispositivos)Residencial</v>
      </c>
      <c r="BF8" s="579" t="str">
        <f t="shared" si="1"/>
        <v>Infinitum Netflix 200 (Netflix 2 dispositivos)Residencial</v>
      </c>
      <c r="BG8" s="579" t="str">
        <f t="shared" si="1"/>
        <v>Infinitum Netflix 500 (Netflix 4 dispositivos)Residencial</v>
      </c>
      <c r="BH8" s="579" t="str">
        <f t="shared" si="1"/>
        <v>Infinitum Netflix 500 (Netflix 2 dispositivos)Residencial</v>
      </c>
      <c r="BI8" s="579" t="str">
        <f t="shared" si="1"/>
        <v>Paquete Conectes Negocio Netflix (Netflix 1 dispositivo)No Residencial</v>
      </c>
      <c r="BJ8" s="579" t="str">
        <f t="shared" si="1"/>
        <v>Paquete Conectes Negocio Netflix (Netflix 2 dispositivos)No Residencial</v>
      </c>
      <c r="BK8" s="579" t="str">
        <f t="shared" si="1"/>
        <v>Paquete Conectes Negocio Netflix (Netflix 4 dispositivos)No Residencial</v>
      </c>
      <c r="BL8" s="579" t="str">
        <f t="shared" si="1"/>
        <v>Paquete Mi Negocio Netflix (Netflix 2 dispositivos)No Residencial</v>
      </c>
      <c r="BM8" s="579" t="str">
        <f t="shared" si="1"/>
        <v>Paquete Mi Negocio Netflix (Netflix 4 dispositivos)No Residencial</v>
      </c>
      <c r="BN8" s="579" t="str">
        <f t="shared" si="1"/>
        <v>Paquete Supernegocio Netflix (Netflix 2 dispositivos)No Residencial</v>
      </c>
      <c r="BO8" s="579" t="str">
        <f t="shared" si="1"/>
        <v>Paquete Supernegocio Netflix (Netflix 4 dispositivos)No Residencial</v>
      </c>
      <c r="BP8" s="579" t="str">
        <f t="shared" si="1"/>
        <v>Infinitum Netflix Negocio 50 (Netflix 1 dispositivo)No Residencial</v>
      </c>
      <c r="BQ8" s="579" t="str">
        <f t="shared" si="1"/>
        <v>Infinitum Netflix Negocio 50 (Netflix 2 dispositivos)No Residencial</v>
      </c>
      <c r="BR8" s="579" t="str">
        <f t="shared" si="1"/>
        <v>Infinitum Netflix Negocio 50 (Netflix 4 dispositivos)No Residencial</v>
      </c>
      <c r="BS8" s="579" t="str">
        <f t="shared" si="1"/>
        <v>Infinitum Netflix Negocio 60 (Netflix 2 dispositivos)No Residencial</v>
      </c>
      <c r="BT8" s="579" t="str">
        <f t="shared" si="1"/>
        <v>Infinitum Netflix Negocio 60 (Netflix 4 dispositivos)No Residencial</v>
      </c>
      <c r="BU8" s="579" t="str">
        <f t="shared" si="1"/>
        <v>Infinitum Netflix Negocio 200 (Netflix 4 dispositivos)No Residencial</v>
      </c>
      <c r="BV8" s="579" t="str">
        <f t="shared" si="1"/>
        <v>Infinitum Netflix Negocio 200 (Netflix 2 dispositivos)No Residencial</v>
      </c>
      <c r="BW8" s="579" t="str">
        <f t="shared" si="1"/>
        <v>Infinitum Netflix Negocio 500 (Netflix 4 dispositivos)No Residencial</v>
      </c>
      <c r="BX8" s="579" t="str">
        <f t="shared" si="1"/>
        <v>Infinitum Netflix Negocio 500 (Netflix 2 dispositivos)No Residencial</v>
      </c>
      <c r="BY8" s="579" t="str">
        <f t="shared" si="1"/>
        <v>Paquete Infinitum Entretenimiento 30Residencial</v>
      </c>
      <c r="BZ8" s="579" t="str">
        <f t="shared" si="1"/>
        <v>Paquete Infinitum  Entretenimiento 40Residencial</v>
      </c>
      <c r="CA8" s="579" t="str">
        <f t="shared" si="1"/>
        <v>Paquete Infinitum Entretenimiento 50Residencial</v>
      </c>
      <c r="CB8" s="579" t="str">
        <f t="shared" si="1"/>
        <v>Paquete Infinitum Entretenimiento 250Residencial</v>
      </c>
      <c r="CC8" s="579" t="str">
        <f t="shared" si="1"/>
        <v>Paquete Infinitum Entretenimiento 500Residencial</v>
      </c>
      <c r="CD8" s="579" t="str">
        <f t="shared" ref="CD8:DN8" si="2">CD3&amp;CD7</f>
        <v>Infinitum Entretenimiento 30Residencial</v>
      </c>
      <c r="CE8" s="579" t="str">
        <f t="shared" si="2"/>
        <v>Infinitum Entretenimiento 40Residencial</v>
      </c>
      <c r="CF8" s="579" t="str">
        <f t="shared" si="2"/>
        <v>Infinitum Entretenimiento 200Residencial</v>
      </c>
      <c r="CG8" s="579" t="str">
        <f t="shared" si="2"/>
        <v>Infinitum Entretenimiento 500Residencial</v>
      </c>
      <c r="CH8" s="579" t="str">
        <f t="shared" si="2"/>
        <v>Paquete infinitum Entretenimiento+ 30  (Netflix 1 dispositivo)Residencial</v>
      </c>
      <c r="CI8" s="579" t="str">
        <f t="shared" si="2"/>
        <v>Paquete infinitum Entretenimiento+ 30  (Netflix 2 dispositivos)Residencial</v>
      </c>
      <c r="CJ8" s="579" t="str">
        <f t="shared" si="2"/>
        <v>Paquete infinitum Entretenimiento+ 30  (Netflix 4 dispositivos)Residencial</v>
      </c>
      <c r="CK8" s="579" t="str">
        <f t="shared" si="2"/>
        <v>Paquete Infinitum Entretenimiento+ 70   (Netflix 2 dispositivos)Residencial</v>
      </c>
      <c r="CL8" s="579" t="str">
        <f t="shared" si="2"/>
        <v>Paquete Infinitum Entretenimiento+ 70   (Netflix 4 dispositivos)Residencial</v>
      </c>
      <c r="CM8" s="579" t="str">
        <f t="shared" si="2"/>
        <v>Paquete Infinitum Entretenimiento+ 120    (Netflix 2 dispositivos)Residencial</v>
      </c>
      <c r="CN8" s="579" t="str">
        <f t="shared" si="2"/>
        <v>Paquete Infinitum Entretenimiento+ 120    (Netflix 4 dispositivos)Residencial</v>
      </c>
      <c r="CO8" s="579" t="str">
        <f t="shared" si="2"/>
        <v>Paquete infinitum Entretenimiento+ 200  (Netflix 4 dispositivos)Residencial</v>
      </c>
      <c r="CP8" s="579" t="str">
        <f t="shared" si="2"/>
        <v>Paquete infinitum Entretenimiento+ 200  (Netflix 2 dispositivos)Residencial</v>
      </c>
      <c r="CQ8" s="579" t="str">
        <f t="shared" si="2"/>
        <v>Paquete infinitum Entretenimiento+ 500 (Netflix 4 dispositivos)Residencial</v>
      </c>
      <c r="CR8" s="579" t="str">
        <f t="shared" si="2"/>
        <v>Paquete infinitum Entretenimiento+ 500  (Netflix 2 dispositivos)Residencial</v>
      </c>
      <c r="CS8" s="579" t="str">
        <f t="shared" si="2"/>
        <v>Infinitum Entretenimiento +30   (Netflix 1 dispositivo)Residencial</v>
      </c>
      <c r="CT8" s="579" t="str">
        <f t="shared" si="2"/>
        <v>Infinitum Entretenimiento +30   (Netflix 2 dispositivos)Residencial</v>
      </c>
      <c r="CU8" s="579" t="str">
        <f t="shared" si="2"/>
        <v>Infinitum Entretenimiento +30   (Netflix 4 dispositivos)Residencial</v>
      </c>
      <c r="CV8" s="579" t="str">
        <f t="shared" si="2"/>
        <v>Infinitum Entretenimiento+ 70  (Netflix 2 dispositivos)Residencial</v>
      </c>
      <c r="CW8" s="579" t="str">
        <f t="shared" si="2"/>
        <v>Infinitum Entretenimiento+ 70  (Netflix 4 dispositivos)Residencial</v>
      </c>
      <c r="CX8" s="579" t="str">
        <f t="shared" si="2"/>
        <v>Infinitum Entretenimiento+ 250  (Netflix 4 dispositivos)Residencial</v>
      </c>
      <c r="CY8" s="579" t="str">
        <f t="shared" si="2"/>
        <v>Infinitum Entretenimiento+ 250  (Netflix 2 dispositivos)Residencial</v>
      </c>
      <c r="CZ8" s="579" t="str">
        <f t="shared" si="2"/>
        <v>Infinitum Entretenimiento+ 500   (Netflix 4 dispositivos)Residencial</v>
      </c>
      <c r="DA8" s="579" t="str">
        <f t="shared" si="2"/>
        <v>Infinitum Entretenimiento+ 500   (Netflix 2 dispositivos)Residencial</v>
      </c>
      <c r="DB8" s="579" t="str">
        <f t="shared" si="2"/>
        <v>Velocidad Simétrica Conectes NegocioNo Residencial</v>
      </c>
      <c r="DC8" s="579" t="str">
        <f t="shared" si="2"/>
        <v>Velocidad Simétrica Mi NegocioNo Residencial</v>
      </c>
      <c r="DD8" s="579" t="str">
        <f t="shared" si="2"/>
        <v>Velocidad Simétrica SupernegocioNo Residencial</v>
      </c>
      <c r="DE8" s="579" t="str">
        <f t="shared" si="2"/>
        <v>Velocidad Simétrica Telmex Negocio Sin Límites 1No Residencial</v>
      </c>
      <c r="DF8" s="579" t="str">
        <f t="shared" si="2"/>
        <v>Velocidad Simétrica Telmex Negocio Sin Límites 2No Residencial</v>
      </c>
      <c r="DG8" s="579" t="str">
        <f t="shared" si="2"/>
        <v>Velocidad Simétrica Telmex Negocio Sin Límites 3No Residencial</v>
      </c>
      <c r="DH8" s="579" t="str">
        <f t="shared" si="2"/>
        <v>Velocidad Simétrica Conectes Negocio Netflix (1 dispositivo)No Residencial</v>
      </c>
      <c r="DI8" s="579" t="str">
        <f t="shared" si="2"/>
        <v>Velocidad Simétrica Conectes Negocio Netflix (2 dispositivos)No Residencial</v>
      </c>
      <c r="DJ8" s="579" t="str">
        <f t="shared" si="2"/>
        <v>Velocidad Simétrica Conectes Negocio Netflix (4 dispositivos)No Residencial</v>
      </c>
      <c r="DK8" s="579" t="str">
        <f t="shared" si="2"/>
        <v>Velocidad Simétrica Mi Negocio Netflix (2 dispositivos)No Residencial</v>
      </c>
      <c r="DL8" s="579" t="str">
        <f t="shared" si="2"/>
        <v>Velocidad Simétrica Mi Negocio Netflix (4 dispositivos)No Residencial</v>
      </c>
      <c r="DM8" s="579" t="str">
        <f t="shared" si="2"/>
        <v>Velocidad Simétrica Supernegocio Netflix (2 dispositivos)No Residencial</v>
      </c>
      <c r="DN8" s="579" t="str">
        <f t="shared" si="2"/>
        <v>Velocidad Simétrica Supernegocio Netflix (4 dispositivos)No Residencial</v>
      </c>
      <c r="DO8" s="262"/>
      <c r="DP8" s="262"/>
      <c r="DQ8" s="262"/>
      <c r="DR8" s="262"/>
      <c r="DS8" s="262"/>
      <c r="DT8" s="262"/>
      <c r="DU8" s="262"/>
      <c r="DV8" s="262"/>
      <c r="DW8" s="262"/>
      <c r="DX8" s="262"/>
      <c r="DY8" s="262"/>
      <c r="DZ8" s="262"/>
      <c r="EA8" s="262"/>
      <c r="EB8" s="262"/>
      <c r="EC8" s="262"/>
      <c r="ED8" s="262"/>
      <c r="EE8" s="262"/>
      <c r="EF8" s="262"/>
      <c r="EG8" s="262"/>
      <c r="EH8" s="262"/>
      <c r="EI8" s="262"/>
      <c r="EJ8" s="262"/>
      <c r="EK8" s="262"/>
      <c r="EL8" s="262"/>
      <c r="EM8" s="262"/>
      <c r="EN8" s="262"/>
      <c r="EO8" s="262"/>
      <c r="EP8" s="262"/>
      <c r="EQ8" s="262"/>
      <c r="ER8" s="262"/>
      <c r="ES8" s="262"/>
      <c r="ET8" s="262"/>
      <c r="EU8" s="262"/>
      <c r="EV8" s="262"/>
      <c r="EW8" s="262"/>
      <c r="EX8" s="262"/>
      <c r="EY8" s="262"/>
      <c r="EZ8" s="262"/>
      <c r="FA8" s="262"/>
      <c r="FB8" s="262"/>
      <c r="FC8" s="262"/>
      <c r="FD8" s="262"/>
      <c r="FE8" s="262"/>
      <c r="FF8" s="262"/>
      <c r="FG8" s="262"/>
      <c r="FH8" s="262"/>
      <c r="FI8" s="262"/>
      <c r="FJ8" s="262"/>
      <c r="FK8" s="262"/>
      <c r="FL8" s="262"/>
      <c r="FM8" s="262"/>
      <c r="FN8" s="262"/>
      <c r="FO8" s="262"/>
      <c r="FP8" s="262"/>
      <c r="FQ8" s="262"/>
      <c r="FR8" s="262"/>
      <c r="FS8" s="262"/>
      <c r="FT8" s="262"/>
      <c r="FU8" s="262"/>
      <c r="FV8" s="262"/>
      <c r="FW8" s="262"/>
      <c r="FX8" s="262"/>
      <c r="FY8" s="262"/>
      <c r="FZ8" s="262"/>
      <c r="GA8" s="262"/>
      <c r="GB8" s="262"/>
      <c r="GC8" s="262"/>
      <c r="GD8" s="262"/>
      <c r="GE8" s="262"/>
      <c r="GF8" s="262"/>
      <c r="GG8" s="262"/>
      <c r="GH8" s="262"/>
      <c r="GI8" s="262"/>
      <c r="GJ8" s="262"/>
      <c r="GK8" s="262"/>
      <c r="GL8" s="262"/>
      <c r="GM8" s="262"/>
      <c r="GN8" s="262"/>
      <c r="GO8" s="262"/>
      <c r="GP8" s="262"/>
      <c r="GQ8" s="262"/>
      <c r="GR8" s="262"/>
      <c r="GS8" s="262"/>
      <c r="GT8" s="262"/>
      <c r="GU8" s="262"/>
      <c r="GV8" s="262"/>
      <c r="GW8" s="262"/>
      <c r="GX8" s="262"/>
      <c r="GY8" s="262"/>
      <c r="GZ8" s="262"/>
      <c r="HA8" s="262"/>
      <c r="HB8" s="262"/>
      <c r="HC8" s="262"/>
      <c r="HD8" s="262"/>
      <c r="HE8" s="262"/>
      <c r="HF8" s="262"/>
      <c r="HG8" s="262"/>
      <c r="HH8" s="262"/>
      <c r="HI8" s="262"/>
      <c r="HJ8" s="262"/>
      <c r="HK8" s="262"/>
      <c r="HL8" s="262"/>
    </row>
    <row r="9" spans="1:231" ht="12" x14ac:dyDescent="0.25">
      <c r="C9" s="102" t="s">
        <v>516</v>
      </c>
      <c r="G9" s="77" t="s">
        <v>524</v>
      </c>
      <c r="H9" s="150">
        <f>SUM(vector.users.broadband)</f>
        <v>10036608.999999998</v>
      </c>
      <c r="I9" s="117">
        <f t="shared" ref="I9:AN9" si="3">IFERROR(VLOOKUP(I$8,AEP.broadband.subs.by.plan,6+MATCH(Year.selected,Years),FALSE),0)</f>
        <v>0</v>
      </c>
      <c r="J9" s="117">
        <f t="shared" si="3"/>
        <v>0</v>
      </c>
      <c r="K9" s="117">
        <f t="shared" si="3"/>
        <v>984549.11669422593</v>
      </c>
      <c r="L9" s="117">
        <f t="shared" si="3"/>
        <v>6048.0835195387435</v>
      </c>
      <c r="M9" s="117">
        <f t="shared" si="3"/>
        <v>169954.89460496698</v>
      </c>
      <c r="N9" s="117">
        <f t="shared" si="3"/>
        <v>4963.9257331357376</v>
      </c>
      <c r="O9" s="117">
        <f t="shared" si="3"/>
        <v>67009.874309058869</v>
      </c>
      <c r="P9" s="117">
        <f t="shared" si="3"/>
        <v>16131.197088554352</v>
      </c>
      <c r="Q9" s="117">
        <f t="shared" si="3"/>
        <v>257.87786030491247</v>
      </c>
      <c r="R9" s="117">
        <f t="shared" si="3"/>
        <v>1070.773122373339</v>
      </c>
      <c r="S9" s="117">
        <f t="shared" si="3"/>
        <v>37217.396800891336</v>
      </c>
      <c r="T9" s="117">
        <f t="shared" si="3"/>
        <v>10572.992272501413</v>
      </c>
      <c r="U9" s="117">
        <f t="shared" si="3"/>
        <v>8325.261026452712</v>
      </c>
      <c r="V9" s="117">
        <f t="shared" si="3"/>
        <v>2068.3767480511665</v>
      </c>
      <c r="W9" s="117">
        <f t="shared" si="3"/>
        <v>139818.8773867047</v>
      </c>
      <c r="X9" s="117">
        <f t="shared" si="3"/>
        <v>49971.196999293112</v>
      </c>
      <c r="Y9" s="117">
        <f t="shared" si="3"/>
        <v>242090.20292645291</v>
      </c>
      <c r="Z9" s="117">
        <f t="shared" si="3"/>
        <v>189313.58034654165</v>
      </c>
      <c r="AA9" s="117">
        <f t="shared" si="3"/>
        <v>346263.9353802845</v>
      </c>
      <c r="AB9" s="117">
        <f t="shared" si="3"/>
        <v>4912368.0072934618</v>
      </c>
      <c r="AC9" s="117">
        <f t="shared" si="3"/>
        <v>412137.00555775693</v>
      </c>
      <c r="AD9" s="117">
        <f t="shared" si="3"/>
        <v>12590.507297239845</v>
      </c>
      <c r="AE9" s="117">
        <f t="shared" si="3"/>
        <v>104188.0094287965</v>
      </c>
      <c r="AF9" s="117">
        <f t="shared" si="3"/>
        <v>437975.65331156098</v>
      </c>
      <c r="AG9" s="117">
        <f t="shared" si="3"/>
        <v>219396.05890868531</v>
      </c>
      <c r="AH9" s="117">
        <f t="shared" si="3"/>
        <v>36280.47031881466</v>
      </c>
      <c r="AI9" s="117">
        <f t="shared" si="3"/>
        <v>49561.626279985314</v>
      </c>
      <c r="AJ9" s="117">
        <f t="shared" si="3"/>
        <v>26222.341455987764</v>
      </c>
      <c r="AK9" s="117">
        <f t="shared" si="3"/>
        <v>19040.130737668591</v>
      </c>
      <c r="AL9" s="117">
        <f t="shared" si="3"/>
        <v>62887.397787921516</v>
      </c>
      <c r="AM9" s="117">
        <f t="shared" si="3"/>
        <v>15760.888050400239</v>
      </c>
      <c r="AN9" s="117">
        <f t="shared" si="3"/>
        <v>11509.918754578082</v>
      </c>
      <c r="AO9" s="117">
        <f t="shared" ref="AO9:BT9" si="4">IFERROR(VLOOKUP(AO$8,AEP.broadband.subs.by.plan,6+MATCH(Year.selected,Years),FALSE),0)</f>
        <v>137929.85513665105</v>
      </c>
      <c r="AP9" s="117">
        <f t="shared" si="4"/>
        <v>105712.0765063079</v>
      </c>
      <c r="AQ9" s="117">
        <f t="shared" si="4"/>
        <v>60340.742378543589</v>
      </c>
      <c r="AR9" s="117">
        <f t="shared" si="4"/>
        <v>33653.506925258735</v>
      </c>
      <c r="AS9" s="117">
        <f t="shared" si="4"/>
        <v>16348.028645834953</v>
      </c>
      <c r="AT9" s="117">
        <f t="shared" si="4"/>
        <v>8234.2453110509778</v>
      </c>
      <c r="AU9" s="117">
        <f t="shared" si="4"/>
        <v>4417.8314407253347</v>
      </c>
      <c r="AV9" s="117">
        <f t="shared" si="4"/>
        <v>35718.314429568658</v>
      </c>
      <c r="AW9" s="117">
        <f t="shared" si="4"/>
        <v>5883.8983074414982</v>
      </c>
      <c r="AX9" s="117">
        <f t="shared" si="4"/>
        <v>2773.302386946948</v>
      </c>
      <c r="AY9" s="117">
        <f t="shared" si="4"/>
        <v>562.15588924600297</v>
      </c>
      <c r="AZ9" s="117">
        <f t="shared" si="4"/>
        <v>24891.013540503576</v>
      </c>
      <c r="BA9" s="117">
        <f t="shared" si="4"/>
        <v>26838.928312287742</v>
      </c>
      <c r="BB9" s="117">
        <f t="shared" si="4"/>
        <v>16579.137178080535</v>
      </c>
      <c r="BC9" s="117">
        <f t="shared" si="4"/>
        <v>11418.90303917635</v>
      </c>
      <c r="BD9" s="117">
        <f t="shared" si="4"/>
        <v>4864.8792193162035</v>
      </c>
      <c r="BE9" s="117">
        <f t="shared" si="4"/>
        <v>4774.755814849781</v>
      </c>
      <c r="BF9" s="117">
        <f t="shared" si="4"/>
        <v>1368.8049747672519</v>
      </c>
      <c r="BG9" s="117">
        <f t="shared" si="4"/>
        <v>531.81731744542503</v>
      </c>
      <c r="BH9" s="117">
        <f t="shared" si="4"/>
        <v>88.338782595800481</v>
      </c>
      <c r="BI9" s="117">
        <f t="shared" si="4"/>
        <v>2278.0698178492789</v>
      </c>
      <c r="BJ9" s="117">
        <f t="shared" si="4"/>
        <v>1263.51228440054</v>
      </c>
      <c r="BK9" s="117">
        <f t="shared" si="4"/>
        <v>707.60257170171496</v>
      </c>
      <c r="BL9" s="117">
        <f t="shared" si="4"/>
        <v>1239.4198891471399</v>
      </c>
      <c r="BM9" s="117">
        <f t="shared" si="4"/>
        <v>745.07963098478172</v>
      </c>
      <c r="BN9" s="117">
        <f t="shared" si="4"/>
        <v>1161.7888377750728</v>
      </c>
      <c r="BO9" s="117">
        <f t="shared" si="4"/>
        <v>977.08047416567183</v>
      </c>
      <c r="BP9" s="117">
        <f t="shared" si="4"/>
        <v>439.90929110838016</v>
      </c>
      <c r="BQ9" s="117">
        <f t="shared" si="4"/>
        <v>207.01613699217887</v>
      </c>
      <c r="BR9" s="117">
        <f t="shared" si="4"/>
        <v>106.1850013020228</v>
      </c>
      <c r="BS9" s="117">
        <f t="shared" si="4"/>
        <v>134.73895123197849</v>
      </c>
      <c r="BT9" s="117">
        <f t="shared" si="4"/>
        <v>31.230882735889054</v>
      </c>
      <c r="BU9" s="117">
        <f t="shared" ref="BU9:CZ9" si="5">IFERROR(VLOOKUP(BU$8,AEP.broadband.subs.by.plan,6+MATCH(Year.selected,Years),FALSE),0)</f>
        <v>151.69285900288969</v>
      </c>
      <c r="BV9" s="117">
        <f t="shared" si="5"/>
        <v>89.231093531111597</v>
      </c>
      <c r="BW9" s="117">
        <f t="shared" si="5"/>
        <v>165.07752303255646</v>
      </c>
      <c r="BX9" s="117">
        <f t="shared" si="5"/>
        <v>47.292479571489139</v>
      </c>
      <c r="BY9" s="117">
        <f t="shared" si="5"/>
        <v>458913.72940863628</v>
      </c>
      <c r="BZ9" s="117">
        <f t="shared" si="5"/>
        <v>36028.838635056927</v>
      </c>
      <c r="CA9" s="117">
        <f t="shared" si="5"/>
        <v>21279.831185299492</v>
      </c>
      <c r="CB9" s="117">
        <f t="shared" si="5"/>
        <v>69853.669259895396</v>
      </c>
      <c r="CC9" s="117">
        <f t="shared" si="5"/>
        <v>8124.4910660077103</v>
      </c>
      <c r="CD9" s="117">
        <f t="shared" si="5"/>
        <v>83979.843676805685</v>
      </c>
      <c r="CE9" s="117">
        <f t="shared" si="5"/>
        <v>26875.513060635498</v>
      </c>
      <c r="CF9" s="117">
        <f t="shared" si="5"/>
        <v>18382.497578344297</v>
      </c>
      <c r="CG9" s="117">
        <f t="shared" si="5"/>
        <v>2108.5307401401669</v>
      </c>
      <c r="CH9" s="117">
        <f t="shared" si="5"/>
        <v>27186.92957705908</v>
      </c>
      <c r="CI9" s="117">
        <f t="shared" si="5"/>
        <v>35081.20442175652</v>
      </c>
      <c r="CJ9" s="117">
        <f t="shared" si="5"/>
        <v>28098.871352947041</v>
      </c>
      <c r="CK9" s="117">
        <f t="shared" si="5"/>
        <v>10733.608240857413</v>
      </c>
      <c r="CL9" s="117">
        <f t="shared" si="5"/>
        <v>4458.8777437496456</v>
      </c>
      <c r="CM9" s="117">
        <f t="shared" si="5"/>
        <v>4271.4924473343117</v>
      </c>
      <c r="CN9" s="117">
        <f t="shared" si="5"/>
        <v>3227.4886530203062</v>
      </c>
      <c r="CO9" s="117">
        <f t="shared" si="5"/>
        <v>20226.011970697065</v>
      </c>
      <c r="CP9" s="117">
        <f t="shared" si="5"/>
        <v>3025.826381639994</v>
      </c>
      <c r="CQ9" s="117">
        <f t="shared" si="5"/>
        <v>2087.1152776927001</v>
      </c>
      <c r="CR9" s="117">
        <f t="shared" si="5"/>
        <v>255.20092749897915</v>
      </c>
      <c r="CS9" s="117">
        <f t="shared" si="5"/>
        <v>4705.1555618955144</v>
      </c>
      <c r="CT9" s="117">
        <f t="shared" si="5"/>
        <v>7804.1514402310195</v>
      </c>
      <c r="CU9" s="117">
        <f t="shared" si="5"/>
        <v>5875.8675090236975</v>
      </c>
      <c r="CV9" s="117">
        <f t="shared" si="5"/>
        <v>3919.9219388217321</v>
      </c>
      <c r="CW9" s="117">
        <f t="shared" si="5"/>
        <v>1919.3608218542104</v>
      </c>
      <c r="CX9" s="117">
        <f t="shared" si="5"/>
        <v>2472.5936017471022</v>
      </c>
      <c r="CY9" s="117">
        <f t="shared" si="5"/>
        <v>593.38677198189202</v>
      </c>
      <c r="CZ9" s="117">
        <f t="shared" si="5"/>
        <v>551.44815802226958</v>
      </c>
      <c r="DA9" s="117">
        <f t="shared" ref="DA9:DN9" si="6">IFERROR(VLOOKUP(DA$8,AEP.broadband.subs.by.plan,6+MATCH(Year.selected,Years),FALSE),0)</f>
        <v>73.169496695511512</v>
      </c>
      <c r="DB9" s="117">
        <f t="shared" si="6"/>
        <v>10304.406680972766</v>
      </c>
      <c r="DC9" s="117">
        <f t="shared" si="6"/>
        <v>10873.701057701259</v>
      </c>
      <c r="DD9" s="117">
        <f t="shared" si="6"/>
        <v>7362.4575272520169</v>
      </c>
      <c r="DE9" s="117">
        <f t="shared" si="6"/>
        <v>2280.7467506552121</v>
      </c>
      <c r="DF9" s="117">
        <f t="shared" si="6"/>
        <v>3325.6428559045289</v>
      </c>
      <c r="DG9" s="117">
        <f t="shared" si="6"/>
        <v>2020.1919575443665</v>
      </c>
      <c r="DH9" s="117">
        <f t="shared" si="6"/>
        <v>4.4615546765555791</v>
      </c>
      <c r="DI9" s="117">
        <f t="shared" si="6"/>
        <v>4.4615546765555791</v>
      </c>
      <c r="DJ9" s="117">
        <f t="shared" si="6"/>
        <v>3.5692437412444638</v>
      </c>
      <c r="DK9" s="117">
        <f t="shared" si="6"/>
        <v>16.061596835600085</v>
      </c>
      <c r="DL9" s="117">
        <f t="shared" si="6"/>
        <v>3.5692437412444638</v>
      </c>
      <c r="DM9" s="117">
        <f t="shared" si="6"/>
        <v>33.907815541822401</v>
      </c>
      <c r="DN9" s="117">
        <f t="shared" si="6"/>
        <v>40.153992089000219</v>
      </c>
      <c r="DO9" s="117"/>
      <c r="DP9" s="117"/>
      <c r="DQ9" s="117"/>
      <c r="DR9" s="117"/>
      <c r="DS9" s="117"/>
      <c r="DT9" s="117"/>
      <c r="DU9" s="117"/>
      <c r="DV9" s="117"/>
      <c r="DW9" s="117"/>
      <c r="DX9" s="117"/>
      <c r="DY9" s="117"/>
      <c r="DZ9" s="117"/>
      <c r="EA9" s="117"/>
      <c r="EB9" s="117"/>
      <c r="EC9" s="117"/>
      <c r="ED9" s="117"/>
      <c r="EE9" s="117"/>
      <c r="EF9" s="117"/>
      <c r="EG9" s="117"/>
      <c r="EH9" s="117"/>
      <c r="EI9" s="117"/>
      <c r="EJ9" s="117"/>
      <c r="EK9" s="117"/>
      <c r="EL9" s="117"/>
      <c r="EM9" s="117"/>
      <c r="EN9" s="117"/>
      <c r="EO9" s="117"/>
      <c r="EP9" s="117"/>
      <c r="EQ9" s="117"/>
      <c r="ER9" s="117"/>
      <c r="ES9" s="117"/>
      <c r="ET9" s="117"/>
      <c r="EU9" s="117"/>
      <c r="EV9" s="117"/>
      <c r="EW9" s="117"/>
      <c r="EX9" s="117"/>
      <c r="EY9" s="117"/>
      <c r="EZ9" s="117"/>
      <c r="FA9" s="117"/>
      <c r="FB9" s="117"/>
      <c r="FC9" s="117"/>
      <c r="FD9" s="117"/>
      <c r="FE9" s="117"/>
      <c r="FF9" s="117"/>
      <c r="FG9" s="117"/>
      <c r="FH9" s="117"/>
      <c r="FI9" s="117"/>
      <c r="FJ9" s="117"/>
      <c r="FK9" s="117"/>
      <c r="FL9" s="117"/>
      <c r="FM9" s="117"/>
      <c r="FN9" s="117"/>
      <c r="FO9" s="117"/>
      <c r="FP9" s="117"/>
      <c r="FQ9" s="117"/>
      <c r="FR9" s="117"/>
      <c r="FS9" s="117"/>
      <c r="FT9" s="117"/>
      <c r="FU9" s="117"/>
      <c r="FV9" s="117"/>
      <c r="FW9" s="117"/>
      <c r="FX9" s="117"/>
      <c r="FY9" s="117"/>
      <c r="FZ9" s="117"/>
      <c r="GA9" s="117"/>
      <c r="GB9" s="117"/>
      <c r="GC9" s="117"/>
      <c r="GD9" s="117"/>
      <c r="GE9" s="117"/>
      <c r="GF9" s="117"/>
      <c r="GG9" s="117"/>
      <c r="GH9" s="117"/>
      <c r="GI9" s="117"/>
      <c r="GJ9" s="117"/>
      <c r="GK9" s="117"/>
      <c r="GL9" s="117"/>
      <c r="GM9" s="117"/>
      <c r="GN9" s="117"/>
      <c r="GO9" s="117"/>
      <c r="GP9" s="117"/>
      <c r="GQ9" s="117"/>
      <c r="GR9" s="117"/>
      <c r="GS9" s="117"/>
      <c r="GT9" s="117"/>
      <c r="GU9" s="117"/>
      <c r="GV9" s="117"/>
      <c r="GW9" s="117"/>
      <c r="GX9" s="117"/>
      <c r="GY9" s="117"/>
      <c r="GZ9" s="117"/>
      <c r="HA9" s="117"/>
      <c r="HB9" s="117"/>
      <c r="HC9" s="117"/>
      <c r="HD9" s="117"/>
      <c r="HE9" s="117"/>
      <c r="HF9" s="117"/>
      <c r="HG9" s="117"/>
      <c r="HH9" s="117"/>
      <c r="HI9" s="117"/>
      <c r="HJ9" s="117"/>
      <c r="HK9" s="117"/>
      <c r="HL9" s="117"/>
      <c r="HM9" s="45" t="s">
        <v>510</v>
      </c>
      <c r="HP9" s="151" t="b">
        <f>INDEX(Broadbad.suscriptions.AEP,MATCH(Year.selected,Years))=H9</f>
        <v>1</v>
      </c>
      <c r="HQ9" t="s">
        <v>528</v>
      </c>
    </row>
    <row r="10" spans="1:231" ht="12" x14ac:dyDescent="0.25">
      <c r="C10" s="103" t="s">
        <v>509</v>
      </c>
      <c r="G10" s="77" t="s">
        <v>172</v>
      </c>
      <c r="H10" s="152">
        <f>SUM(vector.distribution.users.broadband)</f>
        <v>0.99999999999999989</v>
      </c>
      <c r="I10" s="106">
        <f t="shared" ref="I10:AN10" si="7">IFERROR(VLOOKUP(I$8,AEP.broadband.distribution.by.plan,6+MATCH(Year.selected,Years),FALSE),0)</f>
        <v>0</v>
      </c>
      <c r="J10" s="106">
        <f t="shared" si="7"/>
        <v>0</v>
      </c>
      <c r="K10" s="106">
        <f t="shared" si="7"/>
        <v>9.8095792781628333E-2</v>
      </c>
      <c r="L10" s="106">
        <f t="shared" si="7"/>
        <v>6.0260228524781066E-4</v>
      </c>
      <c r="M10" s="106">
        <f t="shared" si="7"/>
        <v>1.693349761906307E-2</v>
      </c>
      <c r="N10" s="106">
        <f t="shared" si="7"/>
        <v>4.9458195822271625E-4</v>
      </c>
      <c r="O10" s="106">
        <f t="shared" si="7"/>
        <v>6.6765452663403412E-3</v>
      </c>
      <c r="P10" s="106">
        <f t="shared" si="7"/>
        <v>1.607235779390664E-3</v>
      </c>
      <c r="Q10" s="106">
        <f t="shared" si="7"/>
        <v>2.5693723876750851E-5</v>
      </c>
      <c r="R10" s="106">
        <f t="shared" si="7"/>
        <v>1.0668674274083398E-4</v>
      </c>
      <c r="S10" s="106">
        <f t="shared" si="7"/>
        <v>3.7081644608145375E-3</v>
      </c>
      <c r="T10" s="106">
        <f t="shared" si="7"/>
        <v>1.053442678946785E-3</v>
      </c>
      <c r="U10" s="106">
        <f t="shared" si="7"/>
        <v>8.2948942480998427E-4</v>
      </c>
      <c r="V10" s="106">
        <f t="shared" si="7"/>
        <v>2.0608322472771099E-4</v>
      </c>
      <c r="W10" s="106">
        <f t="shared" si="7"/>
        <v>1.3930888150241251E-2</v>
      </c>
      <c r="X10" s="106">
        <f t="shared" si="7"/>
        <v>4.9788924724768211E-3</v>
      </c>
      <c r="Y10" s="106">
        <f t="shared" si="7"/>
        <v>2.4120716760656205E-2</v>
      </c>
      <c r="Z10" s="106">
        <f t="shared" si="7"/>
        <v>1.8862305022198399E-2</v>
      </c>
      <c r="AA10" s="106">
        <f t="shared" si="7"/>
        <v>3.4500092150674046E-2</v>
      </c>
      <c r="AB10" s="106">
        <f t="shared" si="7"/>
        <v>0.48944499155974508</v>
      </c>
      <c r="AC10" s="106">
        <f t="shared" si="7"/>
        <v>4.1063371658471196E-2</v>
      </c>
      <c r="AD10" s="106">
        <f t="shared" si="7"/>
        <v>1.2544582833943062E-3</v>
      </c>
      <c r="AE10" s="106">
        <f t="shared" si="7"/>
        <v>1.0380797879921048E-2</v>
      </c>
      <c r="AF10" s="106">
        <f t="shared" si="7"/>
        <v>4.3637811666426475E-2</v>
      </c>
      <c r="AG10" s="106">
        <f t="shared" si="7"/>
        <v>2.185958015388318E-2</v>
      </c>
      <c r="AH10" s="106">
        <f t="shared" si="7"/>
        <v>3.6148135609163075E-3</v>
      </c>
      <c r="AI10" s="106">
        <f t="shared" si="7"/>
        <v>4.938084793378452E-3</v>
      </c>
      <c r="AJ10" s="106">
        <f t="shared" si="7"/>
        <v>2.6126694241040737E-3</v>
      </c>
      <c r="AK10" s="106">
        <f t="shared" si="7"/>
        <v>1.8970680971699297E-3</v>
      </c>
      <c r="AL10" s="106">
        <f t="shared" si="7"/>
        <v>6.265801306788131E-3</v>
      </c>
      <c r="AM10" s="106">
        <f t="shared" si="7"/>
        <v>1.5703399475261255E-3</v>
      </c>
      <c r="AN10" s="106">
        <f t="shared" si="7"/>
        <v>1.1467935788450146E-3</v>
      </c>
      <c r="AO10" s="106">
        <f t="shared" ref="AO10:BT10" si="8">IFERROR(VLOOKUP(AO$8,AEP.broadband.distribution.by.plan,6+MATCH(Year.selected,Years),FALSE),0)</f>
        <v>1.3742674954922629E-2</v>
      </c>
      <c r="AP10" s="106">
        <f t="shared" si="8"/>
        <v>1.0532648677088835E-2</v>
      </c>
      <c r="AQ10" s="106">
        <f t="shared" si="8"/>
        <v>6.0120646703028472E-3</v>
      </c>
      <c r="AR10" s="106">
        <f t="shared" si="8"/>
        <v>3.3530754187254615E-3</v>
      </c>
      <c r="AS10" s="106">
        <f t="shared" si="8"/>
        <v>1.6288398447956828E-3</v>
      </c>
      <c r="AT10" s="106">
        <f t="shared" si="8"/>
        <v>8.2042105167701336E-4</v>
      </c>
      <c r="AU10" s="106">
        <f t="shared" si="8"/>
        <v>4.4017171942489091E-4</v>
      </c>
      <c r="AV10" s="106">
        <f t="shared" si="8"/>
        <v>3.5588030209773697E-3</v>
      </c>
      <c r="AW10" s="106">
        <f t="shared" si="8"/>
        <v>5.8624365136088273E-4</v>
      </c>
      <c r="AX10" s="106">
        <f t="shared" si="8"/>
        <v>2.7631866369876002E-4</v>
      </c>
      <c r="AY10" s="106">
        <f t="shared" si="8"/>
        <v>5.601053993893784E-5</v>
      </c>
      <c r="AZ10" s="106">
        <f t="shared" si="8"/>
        <v>2.4800222406296366E-3</v>
      </c>
      <c r="BA10" s="106">
        <f t="shared" si="8"/>
        <v>2.6741032067990039E-3</v>
      </c>
      <c r="BB10" s="106">
        <f t="shared" si="8"/>
        <v>1.651866400103913E-3</v>
      </c>
      <c r="BC10" s="106">
        <f t="shared" si="8"/>
        <v>1.1377252057120438E-3</v>
      </c>
      <c r="BD10" s="106">
        <f t="shared" si="8"/>
        <v>4.8471343451918908E-4</v>
      </c>
      <c r="BE10" s="106">
        <f t="shared" si="8"/>
        <v>4.7573396700516886E-4</v>
      </c>
      <c r="BF10" s="106">
        <f t="shared" si="8"/>
        <v>1.3638121947036612E-4</v>
      </c>
      <c r="BG10" s="106">
        <f t="shared" si="8"/>
        <v>5.2987748894614216E-5</v>
      </c>
      <c r="BH10" s="106">
        <f t="shared" si="8"/>
        <v>8.8016562761188041E-6</v>
      </c>
      <c r="BI10" s="106">
        <f t="shared" si="8"/>
        <v>2.2697604518112429E-4</v>
      </c>
      <c r="BJ10" s="106">
        <f t="shared" si="8"/>
        <v>1.2589035643418409E-4</v>
      </c>
      <c r="BK10" s="106">
        <f t="shared" si="8"/>
        <v>7.050215582790113E-5</v>
      </c>
      <c r="BL10" s="106">
        <f t="shared" si="8"/>
        <v>1.2348990472251534E-4</v>
      </c>
      <c r="BM10" s="106">
        <f t="shared" si="8"/>
        <v>7.423619182383031E-5</v>
      </c>
      <c r="BN10" s="106">
        <f t="shared" si="8"/>
        <v>1.1575511587380487E-4</v>
      </c>
      <c r="BO10" s="106">
        <f t="shared" si="8"/>
        <v>9.7351652751011009E-5</v>
      </c>
      <c r="BP10" s="106">
        <f t="shared" si="8"/>
        <v>4.3830470142692632E-5</v>
      </c>
      <c r="BQ10" s="106">
        <f t="shared" si="8"/>
        <v>2.0626103596561236E-5</v>
      </c>
      <c r="BR10" s="106">
        <f t="shared" si="8"/>
        <v>1.0579768655132704E-5</v>
      </c>
      <c r="BS10" s="106">
        <f t="shared" si="8"/>
        <v>1.3424748461554943E-5</v>
      </c>
      <c r="BT10" s="106">
        <f t="shared" si="8"/>
        <v>3.1116966632743244E-6</v>
      </c>
      <c r="BU10" s="106">
        <f t="shared" ref="BU10:CZ10" si="9">IFERROR(VLOOKUP(BU$8,AEP.broadband.distribution.by.plan,6+MATCH(Year.selected,Years),FALSE),0)</f>
        <v>1.5113955221618147E-5</v>
      </c>
      <c r="BV10" s="106">
        <f t="shared" si="9"/>
        <v>8.8905618950694995E-6</v>
      </c>
      <c r="BW10" s="106">
        <f t="shared" si="9"/>
        <v>1.6447539505878574E-5</v>
      </c>
      <c r="BX10" s="106">
        <f t="shared" si="9"/>
        <v>4.711997804386834E-6</v>
      </c>
      <c r="BY10" s="106">
        <f t="shared" si="9"/>
        <v>4.5723982015104532E-2</v>
      </c>
      <c r="BZ10" s="106">
        <f t="shared" si="9"/>
        <v>3.5897421763722115E-3</v>
      </c>
      <c r="CA10" s="106">
        <f t="shared" si="9"/>
        <v>2.120221200736174E-3</v>
      </c>
      <c r="CB10" s="106">
        <f t="shared" si="9"/>
        <v>6.9598874739362068E-3</v>
      </c>
      <c r="CC10" s="106">
        <f t="shared" si="9"/>
        <v>8.0948566054607788E-4</v>
      </c>
      <c r="CD10" s="106">
        <f t="shared" si="9"/>
        <v>8.3673523275446596E-3</v>
      </c>
      <c r="CE10" s="106">
        <f t="shared" si="9"/>
        <v>2.6777483371759822E-3</v>
      </c>
      <c r="CF10" s="106">
        <f t="shared" si="9"/>
        <v>1.8315446560032674E-3</v>
      </c>
      <c r="CG10" s="106">
        <f t="shared" si="9"/>
        <v>2.1008397758049227E-4</v>
      </c>
      <c r="CH10" s="106">
        <f t="shared" si="9"/>
        <v>2.708776398189775E-3</v>
      </c>
      <c r="CI10" s="106">
        <f t="shared" si="9"/>
        <v>3.4953244090465733E-3</v>
      </c>
      <c r="CJ10" s="106">
        <f t="shared" si="9"/>
        <v>2.7996379407573854E-3</v>
      </c>
      <c r="CK10" s="106">
        <f t="shared" si="9"/>
        <v>1.06944569035791E-3</v>
      </c>
      <c r="CL10" s="106">
        <f t="shared" si="9"/>
        <v>4.4426137789662284E-4</v>
      </c>
      <c r="CM10" s="106">
        <f t="shared" si="9"/>
        <v>4.2559119791697693E-4</v>
      </c>
      <c r="CN10" s="106">
        <f t="shared" si="9"/>
        <v>3.2157162374466376E-4</v>
      </c>
      <c r="CO10" s="106">
        <f t="shared" si="9"/>
        <v>2.0152236647554035E-3</v>
      </c>
      <c r="CP10" s="106">
        <f t="shared" si="9"/>
        <v>3.014789538618067E-4</v>
      </c>
      <c r="CQ10" s="106">
        <f t="shared" si="9"/>
        <v>2.0795024272567559E-4</v>
      </c>
      <c r="CR10" s="106">
        <f t="shared" si="9"/>
        <v>2.5427007019898767E-5</v>
      </c>
      <c r="CS10" s="106">
        <f t="shared" si="9"/>
        <v>4.6879932872701468E-4</v>
      </c>
      <c r="CT10" s="106">
        <f t="shared" si="9"/>
        <v>7.775685433427784E-4</v>
      </c>
      <c r="CU10" s="106">
        <f t="shared" si="9"/>
        <v>5.8544350079032647E-4</v>
      </c>
      <c r="CV10" s="106">
        <f t="shared" si="9"/>
        <v>3.9056238405040308E-4</v>
      </c>
      <c r="CW10" s="106">
        <f t="shared" si="9"/>
        <v>1.9123598636294493E-4</v>
      </c>
      <c r="CX10" s="106">
        <f t="shared" si="9"/>
        <v>2.4635747011237584E-4</v>
      </c>
      <c r="CY10" s="106">
        <f t="shared" si="9"/>
        <v>5.9122236602212168E-5</v>
      </c>
      <c r="CZ10" s="106">
        <f t="shared" si="9"/>
        <v>5.4943672511529503E-5</v>
      </c>
      <c r="DA10" s="106">
        <f t="shared" ref="DA10:DN10" si="10">IFERROR(VLOOKUP(DA$8,AEP.broadband.distribution.by.plan,6+MATCH(Year.selected,Years),FALSE),0)</f>
        <v>7.2902607539569894E-6</v>
      </c>
      <c r="DB10" s="106">
        <f t="shared" si="10"/>
        <v>1.0266820876426257E-3</v>
      </c>
      <c r="DC10" s="106">
        <f t="shared" si="10"/>
        <v>1.0834038725331691E-3</v>
      </c>
      <c r="DD10" s="106">
        <f t="shared" si="10"/>
        <v>7.3356026196218433E-4</v>
      </c>
      <c r="DE10" s="106">
        <f t="shared" si="10"/>
        <v>2.272427620379764E-4</v>
      </c>
      <c r="DF10" s="106">
        <f t="shared" si="10"/>
        <v>3.3135124182924025E-4</v>
      </c>
      <c r="DG10" s="106">
        <f t="shared" si="10"/>
        <v>2.0128232130437346E-4</v>
      </c>
      <c r="DH10" s="106">
        <f t="shared" si="10"/>
        <v>4.4452809475347492E-7</v>
      </c>
      <c r="DI10" s="106">
        <f t="shared" si="10"/>
        <v>4.4452809475347492E-7</v>
      </c>
      <c r="DJ10" s="106">
        <f t="shared" si="10"/>
        <v>3.5562247580277996E-7</v>
      </c>
      <c r="DK10" s="106">
        <f t="shared" si="10"/>
        <v>1.6003011411125099E-6</v>
      </c>
      <c r="DL10" s="106">
        <f t="shared" si="10"/>
        <v>3.5562247580277996E-7</v>
      </c>
      <c r="DM10" s="106">
        <f t="shared" si="10"/>
        <v>3.3784135201264095E-6</v>
      </c>
      <c r="DN10" s="106">
        <f t="shared" si="10"/>
        <v>4.0007528527812748E-6</v>
      </c>
      <c r="DO10" s="106"/>
      <c r="DP10" s="106"/>
      <c r="DQ10" s="106"/>
      <c r="DR10" s="106"/>
      <c r="DS10" s="106"/>
      <c r="DT10" s="106"/>
      <c r="DU10" s="106"/>
      <c r="DV10" s="106"/>
      <c r="DW10" s="106"/>
      <c r="DX10" s="106"/>
      <c r="DY10" s="106"/>
      <c r="DZ10" s="106"/>
      <c r="EA10" s="106"/>
      <c r="EB10" s="106"/>
      <c r="EC10" s="106"/>
      <c r="ED10" s="106"/>
      <c r="EE10" s="106"/>
      <c r="EF10" s="106"/>
      <c r="EG10" s="106"/>
      <c r="EH10" s="106"/>
      <c r="EI10" s="106"/>
      <c r="EJ10" s="106"/>
      <c r="EK10" s="106"/>
      <c r="EL10" s="106"/>
      <c r="EM10" s="106"/>
      <c r="EN10" s="106"/>
      <c r="EO10" s="106"/>
      <c r="EP10" s="106"/>
      <c r="EQ10" s="106"/>
      <c r="ER10" s="106"/>
      <c r="ES10" s="106"/>
      <c r="ET10" s="106"/>
      <c r="EU10" s="106"/>
      <c r="EV10" s="106"/>
      <c r="EW10" s="106"/>
      <c r="EX10" s="106"/>
      <c r="EY10" s="106"/>
      <c r="EZ10" s="106"/>
      <c r="FA10" s="106"/>
      <c r="FB10" s="106"/>
      <c r="FC10" s="106"/>
      <c r="FD10" s="106"/>
      <c r="FE10" s="106"/>
      <c r="FF10" s="106"/>
      <c r="FG10" s="106"/>
      <c r="FH10" s="106"/>
      <c r="FI10" s="106"/>
      <c r="FJ10" s="106"/>
      <c r="FK10" s="106"/>
      <c r="FL10" s="106"/>
      <c r="FM10" s="106"/>
      <c r="FN10" s="106"/>
      <c r="FO10" s="106"/>
      <c r="FP10" s="106"/>
      <c r="FQ10" s="106"/>
      <c r="FR10" s="106"/>
      <c r="FS10" s="106"/>
      <c r="FT10" s="106"/>
      <c r="FU10" s="106"/>
      <c r="FV10" s="106"/>
      <c r="FW10" s="106"/>
      <c r="FX10" s="106"/>
      <c r="FY10" s="106"/>
      <c r="FZ10" s="106"/>
      <c r="GA10" s="106"/>
      <c r="GB10" s="106"/>
      <c r="GC10" s="106"/>
      <c r="GD10" s="106"/>
      <c r="GE10" s="106"/>
      <c r="GF10" s="106"/>
      <c r="GG10" s="106"/>
      <c r="GH10" s="106"/>
      <c r="GI10" s="106"/>
      <c r="GJ10" s="106"/>
      <c r="GK10" s="106"/>
      <c r="GL10" s="106"/>
      <c r="GM10" s="106"/>
      <c r="GN10" s="106"/>
      <c r="GO10" s="106"/>
      <c r="GP10" s="106"/>
      <c r="GQ10" s="106"/>
      <c r="GR10" s="106"/>
      <c r="GS10" s="106"/>
      <c r="GT10" s="106"/>
      <c r="GU10" s="106"/>
      <c r="GV10" s="106"/>
      <c r="GW10" s="106"/>
      <c r="GX10" s="106"/>
      <c r="GY10" s="106"/>
      <c r="GZ10" s="106"/>
      <c r="HA10" s="106"/>
      <c r="HB10" s="106"/>
      <c r="HC10" s="106"/>
      <c r="HD10" s="106"/>
      <c r="HE10" s="106"/>
      <c r="HF10" s="106"/>
      <c r="HG10" s="106"/>
      <c r="HH10" s="106"/>
      <c r="HI10" s="106"/>
      <c r="HJ10" s="106"/>
      <c r="HK10" s="106"/>
      <c r="HL10" s="106"/>
      <c r="HM10" s="45" t="s">
        <v>511</v>
      </c>
    </row>
    <row r="11" spans="1:231" x14ac:dyDescent="0.25">
      <c r="C11" s="102"/>
      <c r="K11" s="44"/>
      <c r="L11" s="44"/>
      <c r="M11" s="44"/>
      <c r="N11" s="44"/>
      <c r="O11" s="44"/>
      <c r="P11" s="44"/>
      <c r="Q11" s="44"/>
      <c r="R11" s="44"/>
      <c r="S11" s="44"/>
      <c r="T11" s="44"/>
      <c r="U11" s="44"/>
      <c r="V11" s="44"/>
      <c r="W11" s="44"/>
    </row>
    <row r="12" spans="1:231" ht="12" x14ac:dyDescent="0.25">
      <c r="C12" s="102" t="s">
        <v>515</v>
      </c>
      <c r="G12" s="77" t="s">
        <v>525</v>
      </c>
      <c r="H12" s="150">
        <f>SUM(vector.users.telephone)</f>
        <v>10804136.000000002</v>
      </c>
      <c r="I12" s="117">
        <f t="shared" ref="I12:AN12" si="11">IFERROR(VLOOKUP(I$8,AEP.telephony.subs.by.plan,6+MATCH(Year.selected,Years),FALSE),0)</f>
        <v>941578.72974916431</v>
      </c>
      <c r="J12" s="117">
        <f t="shared" si="11"/>
        <v>1476266.6373775213</v>
      </c>
      <c r="K12" s="117">
        <f t="shared" si="11"/>
        <v>0</v>
      </c>
      <c r="L12" s="117">
        <f t="shared" si="11"/>
        <v>0</v>
      </c>
      <c r="M12" s="117">
        <f t="shared" si="11"/>
        <v>0</v>
      </c>
      <c r="N12" s="117">
        <f t="shared" si="11"/>
        <v>0</v>
      </c>
      <c r="O12" s="117">
        <f t="shared" si="11"/>
        <v>0</v>
      </c>
      <c r="P12" s="117">
        <f t="shared" si="11"/>
        <v>0</v>
      </c>
      <c r="Q12" s="117">
        <f t="shared" si="11"/>
        <v>0</v>
      </c>
      <c r="R12" s="117">
        <f t="shared" si="11"/>
        <v>0</v>
      </c>
      <c r="S12" s="117">
        <f t="shared" si="11"/>
        <v>0</v>
      </c>
      <c r="T12" s="117">
        <f t="shared" si="11"/>
        <v>0</v>
      </c>
      <c r="U12" s="117">
        <f t="shared" si="11"/>
        <v>0</v>
      </c>
      <c r="V12" s="117">
        <f t="shared" si="11"/>
        <v>0</v>
      </c>
      <c r="W12" s="117">
        <f t="shared" si="11"/>
        <v>139818.8773867047</v>
      </c>
      <c r="X12" s="117">
        <f t="shared" si="11"/>
        <v>49971.196999293112</v>
      </c>
      <c r="Y12" s="117">
        <f t="shared" si="11"/>
        <v>242090.20292645291</v>
      </c>
      <c r="Z12" s="117">
        <f t="shared" si="11"/>
        <v>189313.58034654165</v>
      </c>
      <c r="AA12" s="117">
        <f t="shared" si="11"/>
        <v>346263.9353802845</v>
      </c>
      <c r="AB12" s="117">
        <f t="shared" si="11"/>
        <v>4912368.0072934618</v>
      </c>
      <c r="AC12" s="117">
        <f t="shared" si="11"/>
        <v>412137.00555775693</v>
      </c>
      <c r="AD12" s="117">
        <f t="shared" si="11"/>
        <v>12590.507297239845</v>
      </c>
      <c r="AE12" s="117">
        <f t="shared" si="11"/>
        <v>104188.0094287965</v>
      </c>
      <c r="AF12" s="117">
        <f t="shared" si="11"/>
        <v>437975.65331156098</v>
      </c>
      <c r="AG12" s="117">
        <f t="shared" si="11"/>
        <v>219396.05890868531</v>
      </c>
      <c r="AH12" s="117">
        <f t="shared" si="11"/>
        <v>36280.47031881466</v>
      </c>
      <c r="AI12" s="117">
        <f t="shared" si="11"/>
        <v>49561.626279985314</v>
      </c>
      <c r="AJ12" s="117">
        <f t="shared" si="11"/>
        <v>26222.341455987764</v>
      </c>
      <c r="AK12" s="117">
        <f t="shared" si="11"/>
        <v>19040.130737668591</v>
      </c>
      <c r="AL12" s="117">
        <f t="shared" si="11"/>
        <v>0</v>
      </c>
      <c r="AM12" s="117">
        <f t="shared" si="11"/>
        <v>0</v>
      </c>
      <c r="AN12" s="117">
        <f t="shared" si="11"/>
        <v>0</v>
      </c>
      <c r="AO12" s="117">
        <f t="shared" ref="AO12:BT12" si="12">IFERROR(VLOOKUP(AO$8,AEP.telephony.subs.by.plan,6+MATCH(Year.selected,Years),FALSE),0)</f>
        <v>137929.85513665105</v>
      </c>
      <c r="AP12" s="117">
        <f t="shared" si="12"/>
        <v>105712.0765063079</v>
      </c>
      <c r="AQ12" s="117">
        <f t="shared" si="12"/>
        <v>60340.742378543589</v>
      </c>
      <c r="AR12" s="117">
        <f t="shared" si="12"/>
        <v>33653.506925258735</v>
      </c>
      <c r="AS12" s="117">
        <f t="shared" si="12"/>
        <v>16348.028645834953</v>
      </c>
      <c r="AT12" s="117">
        <f t="shared" si="12"/>
        <v>8234.2453110509778</v>
      </c>
      <c r="AU12" s="117">
        <f t="shared" si="12"/>
        <v>4417.8314407253347</v>
      </c>
      <c r="AV12" s="117">
        <f t="shared" si="12"/>
        <v>35718.314429568658</v>
      </c>
      <c r="AW12" s="117">
        <f t="shared" si="12"/>
        <v>5883.8983074414982</v>
      </c>
      <c r="AX12" s="117">
        <f t="shared" si="12"/>
        <v>2773.302386946948</v>
      </c>
      <c r="AY12" s="117">
        <f t="shared" si="12"/>
        <v>562.15588924600297</v>
      </c>
      <c r="AZ12" s="117">
        <f t="shared" si="12"/>
        <v>0</v>
      </c>
      <c r="BA12" s="117">
        <f t="shared" si="12"/>
        <v>0</v>
      </c>
      <c r="BB12" s="117">
        <f t="shared" si="12"/>
        <v>0</v>
      </c>
      <c r="BC12" s="117">
        <f t="shared" si="12"/>
        <v>0</v>
      </c>
      <c r="BD12" s="117">
        <f t="shared" si="12"/>
        <v>0</v>
      </c>
      <c r="BE12" s="117">
        <f t="shared" si="12"/>
        <v>0</v>
      </c>
      <c r="BF12" s="117">
        <f t="shared" si="12"/>
        <v>0</v>
      </c>
      <c r="BG12" s="117">
        <f t="shared" si="12"/>
        <v>0</v>
      </c>
      <c r="BH12" s="117">
        <f t="shared" si="12"/>
        <v>0</v>
      </c>
      <c r="BI12" s="117">
        <f t="shared" si="12"/>
        <v>2278.0698178492789</v>
      </c>
      <c r="BJ12" s="117">
        <f t="shared" si="12"/>
        <v>1263.51228440054</v>
      </c>
      <c r="BK12" s="117">
        <f t="shared" si="12"/>
        <v>707.60257170171496</v>
      </c>
      <c r="BL12" s="117">
        <f t="shared" si="12"/>
        <v>1239.4198891471399</v>
      </c>
      <c r="BM12" s="117">
        <f t="shared" si="12"/>
        <v>745.07963098478172</v>
      </c>
      <c r="BN12" s="117">
        <f t="shared" si="12"/>
        <v>1161.7888377750728</v>
      </c>
      <c r="BO12" s="117">
        <f t="shared" si="12"/>
        <v>977.08047416567183</v>
      </c>
      <c r="BP12" s="117">
        <f t="shared" si="12"/>
        <v>0</v>
      </c>
      <c r="BQ12" s="117">
        <f t="shared" si="12"/>
        <v>0</v>
      </c>
      <c r="BR12" s="117">
        <f t="shared" si="12"/>
        <v>0</v>
      </c>
      <c r="BS12" s="117">
        <f t="shared" si="12"/>
        <v>0</v>
      </c>
      <c r="BT12" s="117">
        <f t="shared" si="12"/>
        <v>0</v>
      </c>
      <c r="BU12" s="117">
        <f t="shared" ref="BU12:CZ12" si="13">IFERROR(VLOOKUP(BU$8,AEP.telephony.subs.by.plan,6+MATCH(Year.selected,Years),FALSE),0)</f>
        <v>0</v>
      </c>
      <c r="BV12" s="117">
        <f t="shared" si="13"/>
        <v>0</v>
      </c>
      <c r="BW12" s="117">
        <f t="shared" si="13"/>
        <v>0</v>
      </c>
      <c r="BX12" s="117">
        <f t="shared" si="13"/>
        <v>0</v>
      </c>
      <c r="BY12" s="117">
        <f t="shared" si="13"/>
        <v>458913.72940863628</v>
      </c>
      <c r="BZ12" s="117">
        <f t="shared" si="13"/>
        <v>36028.838635056927</v>
      </c>
      <c r="CA12" s="117">
        <f t="shared" si="13"/>
        <v>21279.831185299492</v>
      </c>
      <c r="CB12" s="117">
        <f t="shared" si="13"/>
        <v>69853.669259895396</v>
      </c>
      <c r="CC12" s="117">
        <f t="shared" si="13"/>
        <v>8124.4910660077103</v>
      </c>
      <c r="CD12" s="117">
        <f t="shared" si="13"/>
        <v>0</v>
      </c>
      <c r="CE12" s="117">
        <f t="shared" si="13"/>
        <v>0</v>
      </c>
      <c r="CF12" s="117">
        <f t="shared" si="13"/>
        <v>0</v>
      </c>
      <c r="CG12" s="117">
        <f t="shared" si="13"/>
        <v>0</v>
      </c>
      <c r="CH12" s="117">
        <f t="shared" si="13"/>
        <v>27186.92957705908</v>
      </c>
      <c r="CI12" s="117">
        <f t="shared" si="13"/>
        <v>35081.20442175652</v>
      </c>
      <c r="CJ12" s="117">
        <f t="shared" si="13"/>
        <v>28098.871352947041</v>
      </c>
      <c r="CK12" s="117">
        <f t="shared" si="13"/>
        <v>10733.608240857413</v>
      </c>
      <c r="CL12" s="117">
        <f t="shared" si="13"/>
        <v>4458.8777437496456</v>
      </c>
      <c r="CM12" s="117">
        <f t="shared" si="13"/>
        <v>4271.4924473343117</v>
      </c>
      <c r="CN12" s="117">
        <f t="shared" si="13"/>
        <v>3227.4886530203062</v>
      </c>
      <c r="CO12" s="117">
        <f t="shared" si="13"/>
        <v>20226.011970697065</v>
      </c>
      <c r="CP12" s="117">
        <f t="shared" si="13"/>
        <v>3025.826381639994</v>
      </c>
      <c r="CQ12" s="117">
        <f t="shared" si="13"/>
        <v>2087.1152776927001</v>
      </c>
      <c r="CR12" s="117">
        <f t="shared" si="13"/>
        <v>255.20092749897915</v>
      </c>
      <c r="CS12" s="117">
        <f t="shared" si="13"/>
        <v>0</v>
      </c>
      <c r="CT12" s="117">
        <f t="shared" si="13"/>
        <v>0</v>
      </c>
      <c r="CU12" s="117">
        <f t="shared" si="13"/>
        <v>0</v>
      </c>
      <c r="CV12" s="117">
        <f t="shared" si="13"/>
        <v>0</v>
      </c>
      <c r="CW12" s="117">
        <f t="shared" si="13"/>
        <v>0</v>
      </c>
      <c r="CX12" s="117">
        <f t="shared" si="13"/>
        <v>0</v>
      </c>
      <c r="CY12" s="117">
        <f t="shared" si="13"/>
        <v>0</v>
      </c>
      <c r="CZ12" s="117">
        <f t="shared" si="13"/>
        <v>0</v>
      </c>
      <c r="DA12" s="117">
        <f t="shared" ref="DA12:DN12" si="14">IFERROR(VLOOKUP(DA$8,AEP.telephony.subs.by.plan,6+MATCH(Year.selected,Years),FALSE),0)</f>
        <v>0</v>
      </c>
      <c r="DB12" s="117">
        <f t="shared" si="14"/>
        <v>10304.406680972766</v>
      </c>
      <c r="DC12" s="117">
        <f t="shared" si="14"/>
        <v>10873.701057701259</v>
      </c>
      <c r="DD12" s="117">
        <f t="shared" si="14"/>
        <v>7362.4575272520169</v>
      </c>
      <c r="DE12" s="117">
        <f t="shared" si="14"/>
        <v>2280.7467506552121</v>
      </c>
      <c r="DF12" s="117">
        <f t="shared" si="14"/>
        <v>3325.6428559045289</v>
      </c>
      <c r="DG12" s="117">
        <f t="shared" si="14"/>
        <v>2020.1919575443665</v>
      </c>
      <c r="DH12" s="117">
        <f t="shared" si="14"/>
        <v>4.4615546765555791</v>
      </c>
      <c r="DI12" s="117">
        <f t="shared" si="14"/>
        <v>4.4615546765555791</v>
      </c>
      <c r="DJ12" s="117">
        <f t="shared" si="14"/>
        <v>3.5692437412444638</v>
      </c>
      <c r="DK12" s="117">
        <f t="shared" si="14"/>
        <v>16.061596835600085</v>
      </c>
      <c r="DL12" s="117">
        <f t="shared" si="14"/>
        <v>3.5692437412444638</v>
      </c>
      <c r="DM12" s="117">
        <f t="shared" si="14"/>
        <v>33.907815541822401</v>
      </c>
      <c r="DN12" s="117">
        <f t="shared" si="14"/>
        <v>40.153992089000219</v>
      </c>
      <c r="DO12" s="117"/>
      <c r="DP12" s="117"/>
      <c r="DQ12" s="117"/>
      <c r="DR12" s="117"/>
      <c r="DS12" s="117"/>
      <c r="DT12" s="117"/>
      <c r="DU12" s="117"/>
      <c r="DV12" s="117"/>
      <c r="DW12" s="117"/>
      <c r="DX12" s="117"/>
      <c r="DY12" s="117"/>
      <c r="DZ12" s="117"/>
      <c r="EA12" s="117"/>
      <c r="EB12" s="117"/>
      <c r="EC12" s="117"/>
      <c r="ED12" s="117"/>
      <c r="EE12" s="117"/>
      <c r="EF12" s="117"/>
      <c r="EG12" s="117"/>
      <c r="EH12" s="117"/>
      <c r="EI12" s="117"/>
      <c r="EJ12" s="117"/>
      <c r="EK12" s="117"/>
      <c r="EL12" s="117"/>
      <c r="EM12" s="117"/>
      <c r="EN12" s="117"/>
      <c r="EO12" s="117"/>
      <c r="EP12" s="117"/>
      <c r="EQ12" s="117"/>
      <c r="ER12" s="117"/>
      <c r="ES12" s="117"/>
      <c r="ET12" s="117"/>
      <c r="EU12" s="117"/>
      <c r="EV12" s="117"/>
      <c r="EW12" s="117"/>
      <c r="EX12" s="117"/>
      <c r="EY12" s="117"/>
      <c r="EZ12" s="117"/>
      <c r="FA12" s="117"/>
      <c r="FB12" s="117"/>
      <c r="FC12" s="117"/>
      <c r="FD12" s="117"/>
      <c r="FE12" s="117"/>
      <c r="FF12" s="117"/>
      <c r="FG12" s="117"/>
      <c r="FH12" s="117"/>
      <c r="FI12" s="117"/>
      <c r="FJ12" s="117"/>
      <c r="FK12" s="117"/>
      <c r="FL12" s="117"/>
      <c r="FM12" s="117"/>
      <c r="FN12" s="117"/>
      <c r="FO12" s="117"/>
      <c r="FP12" s="117"/>
      <c r="FQ12" s="117"/>
      <c r="FR12" s="117"/>
      <c r="FS12" s="117"/>
      <c r="FT12" s="117"/>
      <c r="FU12" s="117"/>
      <c r="FV12" s="117"/>
      <c r="FW12" s="117"/>
      <c r="FX12" s="117"/>
      <c r="FY12" s="117"/>
      <c r="FZ12" s="117"/>
      <c r="GA12" s="117"/>
      <c r="GB12" s="117"/>
      <c r="GC12" s="117"/>
      <c r="GD12" s="117"/>
      <c r="GE12" s="117"/>
      <c r="GF12" s="117"/>
      <c r="GG12" s="117"/>
      <c r="GH12" s="117"/>
      <c r="GI12" s="117"/>
      <c r="GJ12" s="117"/>
      <c r="GK12" s="117"/>
      <c r="GL12" s="117"/>
      <c r="GM12" s="117"/>
      <c r="GN12" s="117"/>
      <c r="GO12" s="117"/>
      <c r="GP12" s="117"/>
      <c r="GQ12" s="117"/>
      <c r="GR12" s="117"/>
      <c r="GS12" s="117"/>
      <c r="GT12" s="117"/>
      <c r="GU12" s="117"/>
      <c r="GV12" s="117"/>
      <c r="GW12" s="117"/>
      <c r="GX12" s="117"/>
      <c r="GY12" s="117"/>
      <c r="GZ12" s="117"/>
      <c r="HA12" s="117"/>
      <c r="HB12" s="117"/>
      <c r="HC12" s="117"/>
      <c r="HD12" s="117"/>
      <c r="HE12" s="117"/>
      <c r="HF12" s="117"/>
      <c r="HG12" s="117"/>
      <c r="HH12" s="117"/>
      <c r="HI12" s="117"/>
      <c r="HJ12" s="117"/>
      <c r="HK12" s="117"/>
      <c r="HL12" s="117"/>
      <c r="HM12" s="45" t="s">
        <v>512</v>
      </c>
      <c r="HP12" s="151" t="b">
        <f>INDEX(AEP.telephone.lines,MATCH(Year.selected,Years))=H12</f>
        <v>1</v>
      </c>
      <c r="HQ12" s="44" t="s">
        <v>528</v>
      </c>
    </row>
    <row r="13" spans="1:231" ht="12" x14ac:dyDescent="0.25">
      <c r="C13" s="103" t="s">
        <v>509</v>
      </c>
      <c r="G13" s="77" t="s">
        <v>172</v>
      </c>
      <c r="H13" s="152">
        <f>SUM(vector.users.distribution.telephone)</f>
        <v>1.0000000000000002</v>
      </c>
      <c r="I13" s="106">
        <f t="shared" ref="I13:AN13" si="15">IFERROR(VLOOKUP(I$8,AEP.telephony.distribution.by.plan,6+MATCH(Year.selected,Years),FALSE),0)</f>
        <v>8.7149840556353983E-2</v>
      </c>
      <c r="J13" s="106">
        <f t="shared" si="15"/>
        <v>0.13663902762585745</v>
      </c>
      <c r="K13" s="106">
        <f t="shared" si="15"/>
        <v>0</v>
      </c>
      <c r="L13" s="106">
        <f t="shared" si="15"/>
        <v>0</v>
      </c>
      <c r="M13" s="106">
        <f t="shared" si="15"/>
        <v>0</v>
      </c>
      <c r="N13" s="106">
        <f t="shared" si="15"/>
        <v>0</v>
      </c>
      <c r="O13" s="106">
        <f t="shared" si="15"/>
        <v>0</v>
      </c>
      <c r="P13" s="106">
        <f t="shared" si="15"/>
        <v>0</v>
      </c>
      <c r="Q13" s="106">
        <f t="shared" si="15"/>
        <v>0</v>
      </c>
      <c r="R13" s="106">
        <f t="shared" si="15"/>
        <v>0</v>
      </c>
      <c r="S13" s="106">
        <f t="shared" si="15"/>
        <v>0</v>
      </c>
      <c r="T13" s="106">
        <f t="shared" si="15"/>
        <v>0</v>
      </c>
      <c r="U13" s="106">
        <f t="shared" si="15"/>
        <v>0</v>
      </c>
      <c r="V13" s="106">
        <f t="shared" si="15"/>
        <v>0</v>
      </c>
      <c r="W13" s="106">
        <f t="shared" si="15"/>
        <v>1.2941236336409008E-2</v>
      </c>
      <c r="X13" s="106">
        <f t="shared" si="15"/>
        <v>4.62519140811381E-3</v>
      </c>
      <c r="Y13" s="106">
        <f t="shared" si="15"/>
        <v>2.2407178410791283E-2</v>
      </c>
      <c r="Z13" s="106">
        <f t="shared" si="15"/>
        <v>1.7522324815842899E-2</v>
      </c>
      <c r="AA13" s="106">
        <f t="shared" si="15"/>
        <v>3.2049201840876902E-2</v>
      </c>
      <c r="AB13" s="106">
        <f t="shared" si="15"/>
        <v>0.45467476596864953</v>
      </c>
      <c r="AC13" s="106">
        <f t="shared" si="15"/>
        <v>3.8146225256490369E-2</v>
      </c>
      <c r="AD13" s="106">
        <f t="shared" si="15"/>
        <v>1.1653414301004581E-3</v>
      </c>
      <c r="AE13" s="106">
        <f t="shared" si="15"/>
        <v>9.6433448661509338E-3</v>
      </c>
      <c r="AF13" s="106">
        <f t="shared" si="15"/>
        <v>4.0537776765449909E-2</v>
      </c>
      <c r="AG13" s="106">
        <f t="shared" si="15"/>
        <v>2.0306673195217579E-2</v>
      </c>
      <c r="AH13" s="106">
        <f t="shared" si="15"/>
        <v>3.3580168112299449E-3</v>
      </c>
      <c r="AI13" s="106">
        <f t="shared" si="15"/>
        <v>4.58728271099006E-3</v>
      </c>
      <c r="AJ13" s="106">
        <f t="shared" si="15"/>
        <v>2.4270651032148945E-3</v>
      </c>
      <c r="AK13" s="106">
        <f t="shared" si="15"/>
        <v>1.7623001726069154E-3</v>
      </c>
      <c r="AL13" s="106">
        <f t="shared" si="15"/>
        <v>0</v>
      </c>
      <c r="AM13" s="106">
        <f t="shared" si="15"/>
        <v>0</v>
      </c>
      <c r="AN13" s="106">
        <f t="shared" si="15"/>
        <v>0</v>
      </c>
      <c r="AO13" s="106">
        <f t="shared" ref="AO13:BT13" si="16">IFERROR(VLOOKUP(AO$8,AEP.telephony.distribution.by.plan,6+MATCH(Year.selected,Years),FALSE),0)</f>
        <v>1.2766393827016897E-2</v>
      </c>
      <c r="AP13" s="106">
        <f t="shared" si="16"/>
        <v>9.7844081661234063E-3</v>
      </c>
      <c r="AQ13" s="106">
        <f t="shared" si="16"/>
        <v>5.5849669403035635E-3</v>
      </c>
      <c r="AR13" s="106">
        <f t="shared" si="16"/>
        <v>3.1148725752118199E-3</v>
      </c>
      <c r="AS13" s="106">
        <f t="shared" si="16"/>
        <v>1.5131268845407862E-3</v>
      </c>
      <c r="AT13" s="106">
        <f t="shared" si="16"/>
        <v>7.621382506709446E-4</v>
      </c>
      <c r="AU13" s="106">
        <f t="shared" si="16"/>
        <v>4.089018724611884E-4</v>
      </c>
      <c r="AV13" s="106">
        <f t="shared" si="16"/>
        <v>3.3059852661581316E-3</v>
      </c>
      <c r="AW13" s="106">
        <f t="shared" si="16"/>
        <v>5.4459683841831476E-4</v>
      </c>
      <c r="AX13" s="106">
        <f t="shared" si="16"/>
        <v>2.5668895568761328E-4</v>
      </c>
      <c r="AY13" s="106">
        <f t="shared" si="16"/>
        <v>5.2031545071813508E-5</v>
      </c>
      <c r="AZ13" s="106">
        <f t="shared" si="16"/>
        <v>0</v>
      </c>
      <c r="BA13" s="106">
        <f t="shared" si="16"/>
        <v>0</v>
      </c>
      <c r="BB13" s="106">
        <f t="shared" si="16"/>
        <v>0</v>
      </c>
      <c r="BC13" s="106">
        <f t="shared" si="16"/>
        <v>0</v>
      </c>
      <c r="BD13" s="106">
        <f t="shared" si="16"/>
        <v>0</v>
      </c>
      <c r="BE13" s="106">
        <f t="shared" si="16"/>
        <v>0</v>
      </c>
      <c r="BF13" s="106">
        <f t="shared" si="16"/>
        <v>0</v>
      </c>
      <c r="BG13" s="106">
        <f t="shared" si="16"/>
        <v>0</v>
      </c>
      <c r="BH13" s="106">
        <f t="shared" si="16"/>
        <v>0</v>
      </c>
      <c r="BI13" s="106">
        <f t="shared" si="16"/>
        <v>2.1085164217196807E-4</v>
      </c>
      <c r="BJ13" s="106">
        <f t="shared" si="16"/>
        <v>1.1694709178045702E-4</v>
      </c>
      <c r="BK13" s="106">
        <f t="shared" si="16"/>
        <v>6.5493674987219226E-5</v>
      </c>
      <c r="BL13" s="106">
        <f t="shared" si="16"/>
        <v>1.1471716842023644E-4</v>
      </c>
      <c r="BM13" s="106">
        <f t="shared" si="16"/>
        <v>6.8962444658673456E-5</v>
      </c>
      <c r="BN13" s="106">
        <f t="shared" si="16"/>
        <v>1.0753185981508125E-4</v>
      </c>
      <c r="BO13" s="106">
        <f t="shared" si="16"/>
        <v>9.0435780720056811E-5</v>
      </c>
      <c r="BP13" s="106">
        <f t="shared" si="16"/>
        <v>0</v>
      </c>
      <c r="BQ13" s="106">
        <f t="shared" si="16"/>
        <v>0</v>
      </c>
      <c r="BR13" s="106">
        <f t="shared" si="16"/>
        <v>0</v>
      </c>
      <c r="BS13" s="106">
        <f t="shared" si="16"/>
        <v>0</v>
      </c>
      <c r="BT13" s="106">
        <f t="shared" si="16"/>
        <v>0</v>
      </c>
      <c r="BU13" s="106">
        <f t="shared" ref="BU13:CZ13" si="17">IFERROR(VLOOKUP(BU$8,AEP.telephony.distribution.by.plan,6+MATCH(Year.selected,Years),FALSE),0)</f>
        <v>0</v>
      </c>
      <c r="BV13" s="106">
        <f t="shared" si="17"/>
        <v>0</v>
      </c>
      <c r="BW13" s="106">
        <f t="shared" si="17"/>
        <v>0</v>
      </c>
      <c r="BX13" s="106">
        <f t="shared" si="17"/>
        <v>0</v>
      </c>
      <c r="BY13" s="106">
        <f t="shared" si="17"/>
        <v>4.2475745344989754E-2</v>
      </c>
      <c r="BZ13" s="106">
        <f t="shared" si="17"/>
        <v>3.3347265005787526E-3</v>
      </c>
      <c r="CA13" s="106">
        <f t="shared" si="17"/>
        <v>1.9696004553533468E-3</v>
      </c>
      <c r="CB13" s="106">
        <f t="shared" si="17"/>
        <v>6.4654563085743627E-3</v>
      </c>
      <c r="CC13" s="106">
        <f t="shared" si="17"/>
        <v>7.5197971091882853E-4</v>
      </c>
      <c r="CD13" s="106">
        <f t="shared" si="17"/>
        <v>0</v>
      </c>
      <c r="CE13" s="106">
        <f t="shared" si="17"/>
        <v>0</v>
      </c>
      <c r="CF13" s="106">
        <f t="shared" si="17"/>
        <v>0</v>
      </c>
      <c r="CG13" s="106">
        <f t="shared" si="17"/>
        <v>0</v>
      </c>
      <c r="CH13" s="106">
        <f t="shared" si="17"/>
        <v>2.5163446273778001E-3</v>
      </c>
      <c r="CI13" s="106">
        <f t="shared" si="17"/>
        <v>3.2470161817434095E-3</v>
      </c>
      <c r="CJ13" s="106">
        <f t="shared" si="17"/>
        <v>2.6007513560498529E-3</v>
      </c>
      <c r="CK13" s="106">
        <f t="shared" si="17"/>
        <v>9.9347215185530894E-4</v>
      </c>
      <c r="CL13" s="106">
        <f t="shared" si="17"/>
        <v>4.1270100114897156E-4</v>
      </c>
      <c r="CM13" s="106">
        <f t="shared" si="17"/>
        <v>3.953571527917004E-4</v>
      </c>
      <c r="CN13" s="106">
        <f t="shared" si="17"/>
        <v>2.9872714051547533E-4</v>
      </c>
      <c r="CO13" s="106">
        <f t="shared" si="17"/>
        <v>1.8720619557822172E-3</v>
      </c>
      <c r="CP13" s="106">
        <f t="shared" si="17"/>
        <v>2.8006185609288827E-4</v>
      </c>
      <c r="CQ13" s="106">
        <f t="shared" si="17"/>
        <v>1.9317743479836793E-4</v>
      </c>
      <c r="CR13" s="106">
        <f t="shared" si="17"/>
        <v>2.3620669667521689E-5</v>
      </c>
      <c r="CS13" s="106">
        <f t="shared" si="17"/>
        <v>0</v>
      </c>
      <c r="CT13" s="106">
        <f t="shared" si="17"/>
        <v>0</v>
      </c>
      <c r="CU13" s="106">
        <f t="shared" si="17"/>
        <v>0</v>
      </c>
      <c r="CV13" s="106">
        <f t="shared" si="17"/>
        <v>0</v>
      </c>
      <c r="CW13" s="106">
        <f t="shared" si="17"/>
        <v>0</v>
      </c>
      <c r="CX13" s="106">
        <f t="shared" si="17"/>
        <v>0</v>
      </c>
      <c r="CY13" s="106">
        <f t="shared" si="17"/>
        <v>0</v>
      </c>
      <c r="CZ13" s="106">
        <f t="shared" si="17"/>
        <v>0</v>
      </c>
      <c r="DA13" s="106">
        <f t="shared" ref="DA13:DN13" si="18">IFERROR(VLOOKUP(DA$8,AEP.telephony.distribution.by.plan,6+MATCH(Year.selected,Years),FALSE),0)</f>
        <v>0</v>
      </c>
      <c r="DB13" s="106">
        <f t="shared" si="18"/>
        <v>9.5374648014174982E-4</v>
      </c>
      <c r="DC13" s="106">
        <f t="shared" si="18"/>
        <v>1.0064387432462214E-3</v>
      </c>
      <c r="DD13" s="106">
        <f t="shared" si="18"/>
        <v>6.8144806093259249E-4</v>
      </c>
      <c r="DE13" s="106">
        <f t="shared" si="18"/>
        <v>2.1109941143421479E-4</v>
      </c>
      <c r="DF13" s="106">
        <f t="shared" si="18"/>
        <v>3.0781201346452211E-4</v>
      </c>
      <c r="DG13" s="106">
        <f t="shared" si="18"/>
        <v>1.8698320324219968E-4</v>
      </c>
      <c r="DH13" s="106">
        <f t="shared" si="18"/>
        <v>4.1294877041121828E-7</v>
      </c>
      <c r="DI13" s="106">
        <f t="shared" si="18"/>
        <v>4.1294877041121828E-7</v>
      </c>
      <c r="DJ13" s="106">
        <f t="shared" si="18"/>
        <v>3.3035901632897466E-7</v>
      </c>
      <c r="DK13" s="106">
        <f t="shared" si="18"/>
        <v>1.4866155734803858E-6</v>
      </c>
      <c r="DL13" s="106">
        <f t="shared" si="18"/>
        <v>3.3035901632897466E-7</v>
      </c>
      <c r="DM13" s="106">
        <f t="shared" si="18"/>
        <v>3.1384106551252589E-6</v>
      </c>
      <c r="DN13" s="106">
        <f t="shared" si="18"/>
        <v>3.7165389337009655E-6</v>
      </c>
      <c r="DO13" s="106"/>
      <c r="DP13" s="106"/>
      <c r="DQ13" s="106"/>
      <c r="DR13" s="106"/>
      <c r="DS13" s="106"/>
      <c r="DT13" s="106"/>
      <c r="DU13" s="106"/>
      <c r="DV13" s="106"/>
      <c r="DW13" s="106"/>
      <c r="DX13" s="106"/>
      <c r="DY13" s="106"/>
      <c r="DZ13" s="106"/>
      <c r="EA13" s="106"/>
      <c r="EB13" s="106"/>
      <c r="EC13" s="106"/>
      <c r="ED13" s="106"/>
      <c r="EE13" s="106"/>
      <c r="EF13" s="106"/>
      <c r="EG13" s="106"/>
      <c r="EH13" s="106"/>
      <c r="EI13" s="106"/>
      <c r="EJ13" s="106"/>
      <c r="EK13" s="106"/>
      <c r="EL13" s="106"/>
      <c r="EM13" s="106"/>
      <c r="EN13" s="106"/>
      <c r="EO13" s="106"/>
      <c r="EP13" s="106"/>
      <c r="EQ13" s="106"/>
      <c r="ER13" s="106"/>
      <c r="ES13" s="106"/>
      <c r="ET13" s="106"/>
      <c r="EU13" s="106"/>
      <c r="EV13" s="106"/>
      <c r="EW13" s="106"/>
      <c r="EX13" s="106"/>
      <c r="EY13" s="106"/>
      <c r="EZ13" s="106"/>
      <c r="FA13" s="106"/>
      <c r="FB13" s="106"/>
      <c r="FC13" s="106"/>
      <c r="FD13" s="106"/>
      <c r="FE13" s="106"/>
      <c r="FF13" s="106"/>
      <c r="FG13" s="106"/>
      <c r="FH13" s="106"/>
      <c r="FI13" s="106"/>
      <c r="FJ13" s="106"/>
      <c r="FK13" s="106"/>
      <c r="FL13" s="106"/>
      <c r="FM13" s="106"/>
      <c r="FN13" s="106"/>
      <c r="FO13" s="106"/>
      <c r="FP13" s="106"/>
      <c r="FQ13" s="106"/>
      <c r="FR13" s="106"/>
      <c r="FS13" s="106"/>
      <c r="FT13" s="106"/>
      <c r="FU13" s="106"/>
      <c r="FV13" s="106"/>
      <c r="FW13" s="106"/>
      <c r="FX13" s="106"/>
      <c r="FY13" s="106"/>
      <c r="FZ13" s="106"/>
      <c r="GA13" s="106"/>
      <c r="GB13" s="106"/>
      <c r="GC13" s="106"/>
      <c r="GD13" s="106"/>
      <c r="GE13" s="106"/>
      <c r="GF13" s="106"/>
      <c r="GG13" s="106"/>
      <c r="GH13" s="106"/>
      <c r="GI13" s="106"/>
      <c r="GJ13" s="106"/>
      <c r="GK13" s="106"/>
      <c r="GL13" s="106"/>
      <c r="GM13" s="106"/>
      <c r="GN13" s="106"/>
      <c r="GO13" s="106"/>
      <c r="GP13" s="106"/>
      <c r="GQ13" s="106"/>
      <c r="GR13" s="106"/>
      <c r="GS13" s="106"/>
      <c r="GT13" s="106"/>
      <c r="GU13" s="106"/>
      <c r="GV13" s="106"/>
      <c r="GW13" s="106"/>
      <c r="GX13" s="106"/>
      <c r="GY13" s="106"/>
      <c r="GZ13" s="106"/>
      <c r="HA13" s="106"/>
      <c r="HB13" s="106"/>
      <c r="HC13" s="106"/>
      <c r="HD13" s="106"/>
      <c r="HE13" s="106"/>
      <c r="HF13" s="106"/>
      <c r="HG13" s="106"/>
      <c r="HH13" s="106"/>
      <c r="HI13" s="106"/>
      <c r="HJ13" s="106"/>
      <c r="HK13" s="106"/>
      <c r="HL13" s="106"/>
      <c r="HM13" s="45" t="s">
        <v>513</v>
      </c>
    </row>
    <row r="14" spans="1:231" x14ac:dyDescent="0.25">
      <c r="K14" s="44"/>
      <c r="L14" s="44"/>
      <c r="M14" s="44"/>
      <c r="N14" s="44"/>
      <c r="O14" s="44"/>
      <c r="P14" s="44"/>
      <c r="Q14" s="44"/>
      <c r="R14" s="44"/>
      <c r="S14" s="44"/>
      <c r="T14" s="44"/>
      <c r="U14" s="44"/>
      <c r="V14" s="44"/>
      <c r="W14" s="44"/>
    </row>
    <row r="15" spans="1:231" ht="36" customHeight="1" x14ac:dyDescent="0.25">
      <c r="C15" s="102" t="s">
        <v>518</v>
      </c>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row>
    <row r="16" spans="1:231" ht="12" x14ac:dyDescent="0.25">
      <c r="C16" s="103" t="s">
        <v>519</v>
      </c>
      <c r="G16" s="77" t="s">
        <v>526</v>
      </c>
      <c r="I16" s="154">
        <v>12</v>
      </c>
      <c r="J16" s="154">
        <v>12</v>
      </c>
      <c r="K16" s="154">
        <v>12</v>
      </c>
      <c r="L16" s="154">
        <v>12</v>
      </c>
      <c r="M16" s="154">
        <v>12</v>
      </c>
      <c r="N16" s="154">
        <v>12</v>
      </c>
      <c r="O16" s="154">
        <v>12</v>
      </c>
      <c r="P16" s="154">
        <v>12</v>
      </c>
      <c r="Q16" s="154">
        <v>12</v>
      </c>
      <c r="R16" s="154">
        <v>12</v>
      </c>
      <c r="S16" s="154">
        <v>12</v>
      </c>
      <c r="T16" s="154">
        <v>12</v>
      </c>
      <c r="U16" s="154">
        <v>12</v>
      </c>
      <c r="V16" s="154">
        <v>12</v>
      </c>
      <c r="W16" s="154">
        <v>12</v>
      </c>
      <c r="X16" s="154">
        <v>12</v>
      </c>
      <c r="Y16" s="154">
        <v>12</v>
      </c>
      <c r="Z16" s="154">
        <v>12</v>
      </c>
      <c r="AA16" s="154">
        <v>12</v>
      </c>
      <c r="AB16" s="154">
        <v>12</v>
      </c>
      <c r="AC16" s="154">
        <v>12</v>
      </c>
      <c r="AD16" s="154">
        <v>12</v>
      </c>
      <c r="AE16" s="154">
        <v>12</v>
      </c>
      <c r="AF16" s="154">
        <v>12</v>
      </c>
      <c r="AG16" s="154">
        <v>12</v>
      </c>
      <c r="AH16" s="154">
        <v>12</v>
      </c>
      <c r="AI16" s="154">
        <v>12</v>
      </c>
      <c r="AJ16" s="154">
        <v>12</v>
      </c>
      <c r="AK16" s="154">
        <v>12</v>
      </c>
      <c r="AL16" s="154">
        <v>12</v>
      </c>
      <c r="AM16" s="154">
        <v>12</v>
      </c>
      <c r="AN16" s="154">
        <v>12</v>
      </c>
      <c r="AO16" s="154">
        <v>12</v>
      </c>
      <c r="AP16" s="154">
        <v>12</v>
      </c>
      <c r="AQ16" s="154">
        <v>12</v>
      </c>
      <c r="AR16" s="154">
        <v>12</v>
      </c>
      <c r="AS16" s="154">
        <v>12</v>
      </c>
      <c r="AT16" s="154">
        <v>12</v>
      </c>
      <c r="AU16" s="154">
        <v>12</v>
      </c>
      <c r="AV16" s="154">
        <v>12</v>
      </c>
      <c r="AW16" s="154">
        <v>12</v>
      </c>
      <c r="AX16" s="154">
        <v>12</v>
      </c>
      <c r="AY16" s="154">
        <v>12</v>
      </c>
      <c r="AZ16" s="154">
        <v>12</v>
      </c>
      <c r="BA16" s="154">
        <v>12</v>
      </c>
      <c r="BB16" s="154">
        <v>12</v>
      </c>
      <c r="BC16" s="154">
        <v>12</v>
      </c>
      <c r="BD16" s="154">
        <v>12</v>
      </c>
      <c r="BE16" s="154">
        <v>12</v>
      </c>
      <c r="BF16" s="154">
        <v>12</v>
      </c>
      <c r="BG16" s="154">
        <v>12</v>
      </c>
      <c r="BH16" s="154">
        <v>12</v>
      </c>
      <c r="BI16" s="154">
        <v>12</v>
      </c>
      <c r="BJ16" s="154">
        <v>12</v>
      </c>
      <c r="BK16" s="154">
        <v>12</v>
      </c>
      <c r="BL16" s="154">
        <v>12</v>
      </c>
      <c r="BM16" s="154">
        <v>12</v>
      </c>
      <c r="BN16" s="154">
        <v>12</v>
      </c>
      <c r="BO16" s="154">
        <v>12</v>
      </c>
      <c r="BP16" s="154">
        <v>12</v>
      </c>
      <c r="BQ16" s="154">
        <v>12</v>
      </c>
      <c r="BR16" s="154">
        <v>12</v>
      </c>
      <c r="BS16" s="154">
        <v>12</v>
      </c>
      <c r="BT16" s="154">
        <v>12</v>
      </c>
      <c r="BU16" s="154">
        <v>12</v>
      </c>
      <c r="BV16" s="154">
        <v>12</v>
      </c>
      <c r="BW16" s="154">
        <v>12</v>
      </c>
      <c r="BX16" s="154">
        <v>12</v>
      </c>
      <c r="BY16" s="154">
        <v>12</v>
      </c>
      <c r="BZ16" s="154">
        <v>12</v>
      </c>
      <c r="CA16" s="154">
        <v>12</v>
      </c>
      <c r="CB16" s="154">
        <v>12</v>
      </c>
      <c r="CC16" s="154">
        <v>12</v>
      </c>
      <c r="CD16" s="154">
        <v>12</v>
      </c>
      <c r="CE16" s="154">
        <v>12</v>
      </c>
      <c r="CF16" s="154">
        <v>12</v>
      </c>
      <c r="CG16" s="154">
        <v>12</v>
      </c>
      <c r="CH16" s="154">
        <v>12</v>
      </c>
      <c r="CI16" s="154">
        <v>12</v>
      </c>
      <c r="CJ16" s="154">
        <v>12</v>
      </c>
      <c r="CK16" s="154">
        <v>12</v>
      </c>
      <c r="CL16" s="154">
        <v>12</v>
      </c>
      <c r="CM16" s="154">
        <v>12</v>
      </c>
      <c r="CN16" s="154">
        <v>12</v>
      </c>
      <c r="CO16" s="154">
        <v>12</v>
      </c>
      <c r="CP16" s="154">
        <v>12</v>
      </c>
      <c r="CQ16" s="154">
        <v>12</v>
      </c>
      <c r="CR16" s="154">
        <v>12</v>
      </c>
      <c r="CS16" s="154">
        <v>12</v>
      </c>
      <c r="CT16" s="154">
        <v>12</v>
      </c>
      <c r="CU16" s="154">
        <v>12</v>
      </c>
      <c r="CV16" s="154">
        <v>12</v>
      </c>
      <c r="CW16" s="154">
        <v>12</v>
      </c>
      <c r="CX16" s="154">
        <v>12</v>
      </c>
      <c r="CY16" s="154">
        <v>12</v>
      </c>
      <c r="CZ16" s="154">
        <v>12</v>
      </c>
      <c r="DA16" s="154">
        <v>12</v>
      </c>
      <c r="DB16" s="154">
        <v>12</v>
      </c>
      <c r="DC16" s="154">
        <v>12</v>
      </c>
      <c r="DD16" s="154">
        <v>12</v>
      </c>
      <c r="DE16" s="154">
        <v>12</v>
      </c>
      <c r="DF16" s="154">
        <v>12</v>
      </c>
      <c r="DG16" s="154">
        <v>12</v>
      </c>
      <c r="DH16" s="154">
        <v>12</v>
      </c>
      <c r="DI16" s="154">
        <v>12</v>
      </c>
      <c r="DJ16" s="154">
        <v>12</v>
      </c>
      <c r="DK16" s="154">
        <v>12</v>
      </c>
      <c r="DL16" s="154">
        <v>12</v>
      </c>
      <c r="DM16" s="154">
        <v>12</v>
      </c>
      <c r="DN16" s="154">
        <v>12</v>
      </c>
      <c r="DO16" s="154"/>
      <c r="DP16" s="154"/>
      <c r="DQ16" s="154"/>
      <c r="DR16" s="154"/>
      <c r="DS16" s="154"/>
      <c r="DT16" s="154"/>
      <c r="DU16" s="154"/>
      <c r="DV16" s="154"/>
      <c r="DW16" s="154"/>
      <c r="DX16" s="154"/>
      <c r="DY16" s="154"/>
      <c r="DZ16" s="154"/>
      <c r="EA16" s="154"/>
      <c r="EB16" s="154"/>
      <c r="EC16" s="154"/>
      <c r="ED16" s="154"/>
      <c r="EE16" s="154"/>
      <c r="EF16" s="154"/>
      <c r="EG16" s="154"/>
      <c r="EH16" s="154"/>
      <c r="EI16" s="154"/>
      <c r="EJ16" s="154"/>
      <c r="EK16" s="154"/>
      <c r="EL16" s="154"/>
      <c r="EM16" s="154"/>
      <c r="EN16" s="154"/>
      <c r="EO16" s="154"/>
      <c r="EP16" s="154"/>
      <c r="EQ16" s="154"/>
      <c r="ER16" s="154"/>
      <c r="ES16" s="154"/>
      <c r="ET16" s="154"/>
      <c r="EU16" s="154"/>
      <c r="EV16" s="154"/>
      <c r="EW16" s="154"/>
      <c r="EX16" s="154"/>
      <c r="EY16" s="154"/>
      <c r="EZ16" s="154"/>
      <c r="FA16" s="154"/>
      <c r="FB16" s="154"/>
      <c r="FC16" s="154"/>
      <c r="FD16" s="154"/>
      <c r="FE16" s="154"/>
      <c r="FF16" s="154"/>
      <c r="FG16" s="154"/>
      <c r="FH16" s="154"/>
      <c r="FI16" s="154"/>
      <c r="FJ16" s="154"/>
      <c r="FK16" s="154"/>
      <c r="FL16" s="154"/>
      <c r="FM16" s="154"/>
      <c r="FN16" s="154"/>
      <c r="FO16" s="154"/>
      <c r="FP16" s="154"/>
      <c r="FQ16" s="154"/>
      <c r="FR16" s="154"/>
      <c r="FS16" s="154"/>
      <c r="FT16" s="154"/>
      <c r="FU16" s="154"/>
      <c r="FV16" s="154"/>
      <c r="FW16" s="154"/>
      <c r="FX16" s="154"/>
      <c r="FY16" s="154"/>
      <c r="FZ16" s="154"/>
      <c r="GA16" s="154"/>
      <c r="GB16" s="154"/>
      <c r="GC16" s="154"/>
      <c r="GD16" s="154"/>
      <c r="GE16" s="154"/>
      <c r="GF16" s="154"/>
      <c r="GG16" s="154"/>
      <c r="GH16" s="154"/>
      <c r="GI16" s="154"/>
      <c r="GJ16" s="154"/>
      <c r="GK16" s="154"/>
      <c r="GL16" s="154"/>
      <c r="GM16" s="154"/>
      <c r="GN16" s="154"/>
      <c r="GO16" s="154"/>
      <c r="GP16" s="154"/>
      <c r="GQ16" s="154"/>
      <c r="GR16" s="154"/>
      <c r="GS16" s="154"/>
      <c r="GT16" s="154"/>
      <c r="GU16" s="154"/>
      <c r="GV16" s="154"/>
      <c r="GW16" s="154"/>
      <c r="GX16" s="154"/>
      <c r="GY16" s="154"/>
      <c r="GZ16" s="154"/>
      <c r="HA16" s="154"/>
      <c r="HB16" s="154"/>
      <c r="HC16" s="154"/>
      <c r="HD16" s="154"/>
      <c r="HE16" s="154"/>
      <c r="HF16" s="154"/>
      <c r="HG16" s="154"/>
      <c r="HH16" s="154"/>
      <c r="HI16" s="154"/>
      <c r="HJ16" s="154"/>
      <c r="HK16" s="154"/>
      <c r="HL16" s="154"/>
      <c r="HM16" s="155" t="s">
        <v>520</v>
      </c>
    </row>
    <row r="17" spans="1:221" x14ac:dyDescent="0.25">
      <c r="C17" s="103"/>
      <c r="K17" s="44"/>
      <c r="L17" s="44"/>
      <c r="M17" s="44"/>
      <c r="N17" s="44"/>
      <c r="O17" s="44"/>
      <c r="P17" s="44"/>
      <c r="Q17" s="44"/>
      <c r="R17" s="44"/>
      <c r="S17" s="44"/>
      <c r="T17" s="44"/>
      <c r="U17" s="44"/>
      <c r="V17" s="44"/>
      <c r="W17" s="44"/>
    </row>
    <row r="18" spans="1:221" s="44" customFormat="1" x14ac:dyDescent="0.25">
      <c r="C18" s="102" t="s">
        <v>596</v>
      </c>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c r="DM18" s="262"/>
      <c r="DN18" s="262"/>
      <c r="DO18" s="262"/>
      <c r="DP18" s="262"/>
      <c r="DQ18" s="262"/>
      <c r="DR18" s="262"/>
      <c r="DS18" s="262"/>
      <c r="DT18" s="262"/>
      <c r="DU18" s="262"/>
      <c r="DV18" s="262"/>
      <c r="DW18" s="262"/>
      <c r="DX18" s="262"/>
      <c r="DY18" s="262"/>
      <c r="DZ18" s="262"/>
      <c r="EA18" s="262"/>
      <c r="EB18" s="262"/>
      <c r="EC18" s="262"/>
      <c r="ED18" s="262"/>
      <c r="EE18" s="262"/>
      <c r="EF18" s="262"/>
      <c r="EG18" s="262"/>
      <c r="EH18" s="262"/>
      <c r="EI18" s="262"/>
      <c r="EJ18" s="262"/>
      <c r="EK18" s="262"/>
      <c r="EL18" s="262"/>
      <c r="EM18" s="262"/>
      <c r="EN18" s="262"/>
      <c r="EO18" s="262"/>
      <c r="EP18" s="262"/>
      <c r="EQ18" s="262"/>
      <c r="ER18" s="262"/>
      <c r="ES18" s="262"/>
      <c r="ET18" s="262"/>
      <c r="EU18" s="262"/>
      <c r="EV18" s="262"/>
      <c r="EW18" s="262"/>
      <c r="EX18" s="262"/>
      <c r="EY18" s="262"/>
      <c r="EZ18" s="262"/>
      <c r="FA18" s="262"/>
      <c r="FB18" s="262"/>
      <c r="FC18" s="262"/>
      <c r="FD18" s="262"/>
      <c r="FE18" s="262"/>
      <c r="FF18" s="262"/>
      <c r="FG18" s="262"/>
      <c r="FH18" s="262"/>
      <c r="FI18" s="262"/>
      <c r="FJ18" s="262"/>
      <c r="FK18" s="262"/>
      <c r="FL18" s="262"/>
      <c r="FM18" s="262"/>
      <c r="FN18" s="262"/>
      <c r="FO18" s="262"/>
      <c r="FP18" s="262"/>
      <c r="FQ18" s="262"/>
      <c r="FR18" s="262"/>
      <c r="FS18" s="262"/>
      <c r="FT18" s="262"/>
      <c r="FU18" s="262"/>
      <c r="FV18" s="262"/>
      <c r="FW18" s="262"/>
      <c r="FX18" s="262"/>
      <c r="FY18" s="262"/>
      <c r="FZ18" s="262"/>
      <c r="GA18" s="262"/>
      <c r="GB18" s="262"/>
      <c r="GC18" s="262"/>
      <c r="GD18" s="262"/>
      <c r="GE18" s="262"/>
      <c r="GF18" s="262"/>
      <c r="GG18" s="262"/>
      <c r="GH18" s="262"/>
      <c r="GI18" s="262"/>
      <c r="GJ18" s="262"/>
      <c r="GK18" s="262"/>
      <c r="GL18" s="262"/>
      <c r="GM18" s="262"/>
      <c r="GN18" s="262"/>
      <c r="GO18" s="262"/>
      <c r="GP18" s="262"/>
      <c r="GQ18" s="262"/>
      <c r="GR18" s="262"/>
      <c r="GS18" s="262"/>
      <c r="GT18" s="262"/>
      <c r="GU18" s="262"/>
      <c r="GV18" s="262"/>
      <c r="GW18" s="262"/>
      <c r="GX18" s="262"/>
      <c r="GY18" s="262"/>
      <c r="GZ18" s="262"/>
      <c r="HA18" s="262"/>
      <c r="HB18" s="262"/>
      <c r="HC18" s="262"/>
      <c r="HD18" s="262"/>
      <c r="HE18" s="262"/>
      <c r="HF18" s="262"/>
      <c r="HG18" s="262"/>
      <c r="HH18" s="262"/>
      <c r="HI18" s="262"/>
      <c r="HJ18" s="262"/>
      <c r="HK18" s="262"/>
      <c r="HL18" s="262"/>
    </row>
    <row r="19" spans="1:221" s="44" customFormat="1" ht="12" x14ac:dyDescent="0.25">
      <c r="C19" s="103" t="s">
        <v>597</v>
      </c>
      <c r="G19" s="349" t="s">
        <v>569</v>
      </c>
      <c r="I19" s="95">
        <f>IF(I16=12,1,0)</f>
        <v>1</v>
      </c>
      <c r="J19" s="95">
        <f t="shared" ref="J19:BF19" si="19">IF(J16=12,1,0)</f>
        <v>1</v>
      </c>
      <c r="K19" s="95">
        <f t="shared" ref="K19:W19" si="20">IF(K16=12,1,0)</f>
        <v>1</v>
      </c>
      <c r="L19" s="95">
        <f t="shared" si="20"/>
        <v>1</v>
      </c>
      <c r="M19" s="95">
        <f t="shared" si="20"/>
        <v>1</v>
      </c>
      <c r="N19" s="95">
        <f t="shared" si="20"/>
        <v>1</v>
      </c>
      <c r="O19" s="95">
        <f t="shared" si="20"/>
        <v>1</v>
      </c>
      <c r="P19" s="95">
        <f t="shared" si="20"/>
        <v>1</v>
      </c>
      <c r="Q19" s="95">
        <f t="shared" si="20"/>
        <v>1</v>
      </c>
      <c r="R19" s="95">
        <f t="shared" si="20"/>
        <v>1</v>
      </c>
      <c r="S19" s="95">
        <f t="shared" si="20"/>
        <v>1</v>
      </c>
      <c r="T19" s="95">
        <f t="shared" si="20"/>
        <v>1</v>
      </c>
      <c r="U19" s="95">
        <f t="shared" si="20"/>
        <v>1</v>
      </c>
      <c r="V19" s="95">
        <f t="shared" si="20"/>
        <v>1</v>
      </c>
      <c r="W19" s="95">
        <f t="shared" si="20"/>
        <v>1</v>
      </c>
      <c r="X19" s="95">
        <f>IF(X16=12,1,0)</f>
        <v>1</v>
      </c>
      <c r="Y19" s="95">
        <f>IF(Y16=12,1,0)</f>
        <v>1</v>
      </c>
      <c r="Z19" s="95">
        <f>IF(Z16=12,1,0)</f>
        <v>1</v>
      </c>
      <c r="AA19" s="95">
        <f t="shared" si="19"/>
        <v>1</v>
      </c>
      <c r="AB19" s="95">
        <f t="shared" si="19"/>
        <v>1</v>
      </c>
      <c r="AC19" s="95">
        <f t="shared" si="19"/>
        <v>1</v>
      </c>
      <c r="AD19" s="95">
        <f t="shared" si="19"/>
        <v>1</v>
      </c>
      <c r="AE19" s="95">
        <f t="shared" si="19"/>
        <v>1</v>
      </c>
      <c r="AF19" s="95">
        <f t="shared" si="19"/>
        <v>1</v>
      </c>
      <c r="AG19" s="95">
        <f t="shared" si="19"/>
        <v>1</v>
      </c>
      <c r="AH19" s="95">
        <f t="shared" si="19"/>
        <v>1</v>
      </c>
      <c r="AI19" s="95">
        <f t="shared" si="19"/>
        <v>1</v>
      </c>
      <c r="AJ19" s="95">
        <f t="shared" si="19"/>
        <v>1</v>
      </c>
      <c r="AK19" s="95">
        <f t="shared" si="19"/>
        <v>1</v>
      </c>
      <c r="AL19" s="95">
        <f t="shared" si="19"/>
        <v>1</v>
      </c>
      <c r="AM19" s="95">
        <f t="shared" si="19"/>
        <v>1</v>
      </c>
      <c r="AN19" s="95">
        <f t="shared" si="19"/>
        <v>1</v>
      </c>
      <c r="AO19" s="95">
        <f t="shared" si="19"/>
        <v>1</v>
      </c>
      <c r="AP19" s="95">
        <f t="shared" si="19"/>
        <v>1</v>
      </c>
      <c r="AQ19" s="95">
        <f t="shared" si="19"/>
        <v>1</v>
      </c>
      <c r="AR19" s="95">
        <f t="shared" si="19"/>
        <v>1</v>
      </c>
      <c r="AS19" s="95">
        <f t="shared" si="19"/>
        <v>1</v>
      </c>
      <c r="AT19" s="95">
        <f t="shared" si="19"/>
        <v>1</v>
      </c>
      <c r="AU19" s="95">
        <f t="shared" si="19"/>
        <v>1</v>
      </c>
      <c r="AV19" s="95">
        <f t="shared" si="19"/>
        <v>1</v>
      </c>
      <c r="AW19" s="95">
        <f t="shared" si="19"/>
        <v>1</v>
      </c>
      <c r="AX19" s="95">
        <f t="shared" si="19"/>
        <v>1</v>
      </c>
      <c r="AY19" s="95">
        <f t="shared" si="19"/>
        <v>1</v>
      </c>
      <c r="AZ19" s="95">
        <f t="shared" si="19"/>
        <v>1</v>
      </c>
      <c r="BA19" s="95">
        <f t="shared" si="19"/>
        <v>1</v>
      </c>
      <c r="BB19" s="95">
        <f t="shared" si="19"/>
        <v>1</v>
      </c>
      <c r="BC19" s="95">
        <f t="shared" si="19"/>
        <v>1</v>
      </c>
      <c r="BD19" s="95">
        <f t="shared" si="19"/>
        <v>1</v>
      </c>
      <c r="BE19" s="95">
        <f t="shared" si="19"/>
        <v>1</v>
      </c>
      <c r="BF19" s="95">
        <f t="shared" si="19"/>
        <v>1</v>
      </c>
      <c r="BG19" s="95">
        <f t="shared" ref="BG19:BZ19" si="21">IF(BG16=12,1,0)</f>
        <v>1</v>
      </c>
      <c r="BH19" s="95">
        <f t="shared" si="21"/>
        <v>1</v>
      </c>
      <c r="BI19" s="95">
        <f t="shared" si="21"/>
        <v>1</v>
      </c>
      <c r="BJ19" s="95">
        <f t="shared" si="21"/>
        <v>1</v>
      </c>
      <c r="BK19" s="95">
        <f t="shared" si="21"/>
        <v>1</v>
      </c>
      <c r="BL19" s="95">
        <f t="shared" si="21"/>
        <v>1</v>
      </c>
      <c r="BM19" s="95">
        <f t="shared" si="21"/>
        <v>1</v>
      </c>
      <c r="BN19" s="95">
        <f t="shared" si="21"/>
        <v>1</v>
      </c>
      <c r="BO19" s="95">
        <f t="shared" si="21"/>
        <v>1</v>
      </c>
      <c r="BP19" s="95">
        <f t="shared" si="21"/>
        <v>1</v>
      </c>
      <c r="BQ19" s="95">
        <f t="shared" si="21"/>
        <v>1</v>
      </c>
      <c r="BR19" s="95">
        <f t="shared" si="21"/>
        <v>1</v>
      </c>
      <c r="BS19" s="95">
        <f t="shared" si="21"/>
        <v>1</v>
      </c>
      <c r="BT19" s="95">
        <f t="shared" si="21"/>
        <v>1</v>
      </c>
      <c r="BU19" s="95">
        <f t="shared" si="21"/>
        <v>1</v>
      </c>
      <c r="BV19" s="95">
        <f t="shared" si="21"/>
        <v>1</v>
      </c>
      <c r="BW19" s="95">
        <f t="shared" si="21"/>
        <v>1</v>
      </c>
      <c r="BX19" s="95">
        <f t="shared" si="21"/>
        <v>1</v>
      </c>
      <c r="BY19" s="95">
        <f t="shared" si="21"/>
        <v>1</v>
      </c>
      <c r="BZ19" s="95">
        <f t="shared" si="21"/>
        <v>1</v>
      </c>
      <c r="CA19" s="95">
        <f t="shared" ref="CA19:DN19" si="22">IF(CA16=12,1,0)</f>
        <v>1</v>
      </c>
      <c r="CB19" s="95">
        <f t="shared" si="22"/>
        <v>1</v>
      </c>
      <c r="CC19" s="95">
        <f t="shared" si="22"/>
        <v>1</v>
      </c>
      <c r="CD19" s="95">
        <f t="shared" si="22"/>
        <v>1</v>
      </c>
      <c r="CE19" s="95">
        <f t="shared" si="22"/>
        <v>1</v>
      </c>
      <c r="CF19" s="95">
        <f t="shared" si="22"/>
        <v>1</v>
      </c>
      <c r="CG19" s="95">
        <f t="shared" si="22"/>
        <v>1</v>
      </c>
      <c r="CH19" s="95">
        <f t="shared" si="22"/>
        <v>1</v>
      </c>
      <c r="CI19" s="95">
        <f t="shared" si="22"/>
        <v>1</v>
      </c>
      <c r="CJ19" s="95">
        <f t="shared" si="22"/>
        <v>1</v>
      </c>
      <c r="CK19" s="95">
        <f t="shared" si="22"/>
        <v>1</v>
      </c>
      <c r="CL19" s="95">
        <f t="shared" si="22"/>
        <v>1</v>
      </c>
      <c r="CM19" s="95">
        <f t="shared" si="22"/>
        <v>1</v>
      </c>
      <c r="CN19" s="95">
        <f t="shared" si="22"/>
        <v>1</v>
      </c>
      <c r="CO19" s="95">
        <f t="shared" si="22"/>
        <v>1</v>
      </c>
      <c r="CP19" s="95">
        <f t="shared" si="22"/>
        <v>1</v>
      </c>
      <c r="CQ19" s="95">
        <f t="shared" si="22"/>
        <v>1</v>
      </c>
      <c r="CR19" s="95">
        <f t="shared" si="22"/>
        <v>1</v>
      </c>
      <c r="CS19" s="95">
        <f t="shared" si="22"/>
        <v>1</v>
      </c>
      <c r="CT19" s="95">
        <f t="shared" si="22"/>
        <v>1</v>
      </c>
      <c r="CU19" s="95">
        <f t="shared" si="22"/>
        <v>1</v>
      </c>
      <c r="CV19" s="95">
        <f t="shared" si="22"/>
        <v>1</v>
      </c>
      <c r="CW19" s="95">
        <f t="shared" si="22"/>
        <v>1</v>
      </c>
      <c r="CX19" s="95">
        <f t="shared" si="22"/>
        <v>1</v>
      </c>
      <c r="CY19" s="95">
        <f t="shared" si="22"/>
        <v>1</v>
      </c>
      <c r="CZ19" s="95">
        <f t="shared" si="22"/>
        <v>1</v>
      </c>
      <c r="DA19" s="95">
        <f t="shared" si="22"/>
        <v>1</v>
      </c>
      <c r="DB19" s="95">
        <f t="shared" si="22"/>
        <v>1</v>
      </c>
      <c r="DC19" s="95">
        <f t="shared" si="22"/>
        <v>1</v>
      </c>
      <c r="DD19" s="95">
        <f t="shared" si="22"/>
        <v>1</v>
      </c>
      <c r="DE19" s="95">
        <f t="shared" si="22"/>
        <v>1</v>
      </c>
      <c r="DF19" s="95">
        <f t="shared" si="22"/>
        <v>1</v>
      </c>
      <c r="DG19" s="95">
        <f t="shared" si="22"/>
        <v>1</v>
      </c>
      <c r="DH19" s="95">
        <f t="shared" si="22"/>
        <v>1</v>
      </c>
      <c r="DI19" s="95">
        <f t="shared" si="22"/>
        <v>1</v>
      </c>
      <c r="DJ19" s="95">
        <f t="shared" si="22"/>
        <v>1</v>
      </c>
      <c r="DK19" s="95">
        <f t="shared" si="22"/>
        <v>1</v>
      </c>
      <c r="DL19" s="95">
        <f t="shared" si="22"/>
        <v>1</v>
      </c>
      <c r="DM19" s="95">
        <f t="shared" si="22"/>
        <v>1</v>
      </c>
      <c r="DN19" s="95">
        <f t="shared" si="22"/>
        <v>1</v>
      </c>
      <c r="DO19" s="95"/>
      <c r="DP19" s="95"/>
      <c r="DQ19" s="95"/>
      <c r="DR19" s="95"/>
      <c r="DS19" s="95"/>
      <c r="DT19" s="95"/>
      <c r="DU19" s="95"/>
      <c r="DV19" s="95"/>
      <c r="DW19" s="95"/>
      <c r="DX19" s="95"/>
      <c r="DY19" s="95"/>
      <c r="DZ19" s="95"/>
      <c r="EA19" s="95"/>
      <c r="EB19" s="95"/>
      <c r="EC19" s="95"/>
      <c r="ED19" s="95"/>
      <c r="EE19" s="95"/>
      <c r="EF19" s="95"/>
      <c r="EG19" s="95"/>
      <c r="EH19" s="95"/>
      <c r="EI19" s="95"/>
      <c r="EJ19" s="95"/>
      <c r="EK19" s="95"/>
      <c r="EL19" s="95"/>
      <c r="EM19" s="95"/>
      <c r="EN19" s="95"/>
      <c r="EO19" s="95"/>
      <c r="EP19" s="95"/>
      <c r="EQ19" s="95"/>
      <c r="ER19" s="95"/>
      <c r="ES19" s="95"/>
      <c r="ET19" s="95"/>
      <c r="EU19" s="95"/>
      <c r="EV19" s="95"/>
      <c r="EW19" s="95"/>
      <c r="EX19" s="95"/>
      <c r="EY19" s="95"/>
      <c r="EZ19" s="95"/>
      <c r="FA19" s="95"/>
      <c r="FB19" s="95"/>
      <c r="FC19" s="95"/>
      <c r="FD19" s="95"/>
      <c r="FE19" s="95"/>
      <c r="FF19" s="95"/>
      <c r="FG19" s="95"/>
      <c r="FH19" s="95"/>
      <c r="FI19" s="95"/>
      <c r="FJ19" s="95"/>
      <c r="FK19" s="95"/>
      <c r="FL19" s="95"/>
      <c r="FM19" s="95"/>
      <c r="FN19" s="95"/>
      <c r="FO19" s="95"/>
      <c r="FP19" s="95"/>
      <c r="FQ19" s="95"/>
      <c r="FR19" s="95"/>
      <c r="FS19" s="95"/>
      <c r="FT19" s="95"/>
      <c r="FU19" s="95"/>
      <c r="FV19" s="95"/>
      <c r="FW19" s="95"/>
      <c r="FX19" s="95"/>
      <c r="FY19" s="95"/>
      <c r="FZ19" s="95"/>
      <c r="GA19" s="95"/>
      <c r="GB19" s="95"/>
      <c r="GC19" s="95"/>
      <c r="GD19" s="95"/>
      <c r="GE19" s="95"/>
      <c r="GF19" s="95"/>
      <c r="GG19" s="95"/>
      <c r="GH19" s="95"/>
      <c r="GI19" s="95"/>
      <c r="GJ19" s="95"/>
      <c r="GK19" s="95"/>
      <c r="GL19" s="95"/>
      <c r="GM19" s="95"/>
      <c r="GN19" s="95"/>
      <c r="GO19" s="95"/>
      <c r="GP19" s="95"/>
      <c r="GQ19" s="95"/>
      <c r="GR19" s="95"/>
      <c r="GS19" s="95"/>
      <c r="GT19" s="95"/>
      <c r="GU19" s="95"/>
      <c r="GV19" s="95"/>
      <c r="GW19" s="95"/>
      <c r="GX19" s="95"/>
      <c r="GY19" s="95"/>
      <c r="GZ19" s="95"/>
      <c r="HA19" s="95"/>
      <c r="HB19" s="95"/>
      <c r="HC19" s="95"/>
      <c r="HD19" s="95"/>
      <c r="HE19" s="95"/>
      <c r="HF19" s="95"/>
      <c r="HG19" s="95"/>
      <c r="HH19" s="95"/>
      <c r="HI19" s="95"/>
      <c r="HJ19" s="95"/>
      <c r="HK19" s="95"/>
      <c r="HL19" s="95"/>
      <c r="HM19" s="155" t="s">
        <v>594</v>
      </c>
    </row>
    <row r="20" spans="1:221" s="44" customFormat="1" ht="12" x14ac:dyDescent="0.25">
      <c r="C20" s="103" t="s">
        <v>598</v>
      </c>
      <c r="G20" s="349" t="s">
        <v>569</v>
      </c>
      <c r="I20" s="95">
        <f t="shared" ref="I20:P20" si="23">IF(I5&lt;&gt;"Internet fijo",IF(I7="Residencial",1,0),0)</f>
        <v>1</v>
      </c>
      <c r="J20" s="95">
        <f t="shared" si="23"/>
        <v>0</v>
      </c>
      <c r="K20" s="95">
        <f t="shared" si="23"/>
        <v>0</v>
      </c>
      <c r="L20" s="95">
        <f t="shared" si="23"/>
        <v>0</v>
      </c>
      <c r="M20" s="95">
        <f t="shared" si="23"/>
        <v>0</v>
      </c>
      <c r="N20" s="95">
        <f t="shared" si="23"/>
        <v>0</v>
      </c>
      <c r="O20" s="95">
        <f t="shared" si="23"/>
        <v>0</v>
      </c>
      <c r="P20" s="95">
        <f t="shared" si="23"/>
        <v>0</v>
      </c>
      <c r="Q20" s="95">
        <f t="shared" ref="Q20:W20" si="24">IF(Q5&lt;&gt;"Internet fijo",IF(Q7="Residencial",1,0),0)</f>
        <v>0</v>
      </c>
      <c r="R20" s="95">
        <f t="shared" si="24"/>
        <v>0</v>
      </c>
      <c r="S20" s="95">
        <f t="shared" si="24"/>
        <v>0</v>
      </c>
      <c r="T20" s="95">
        <f t="shared" si="24"/>
        <v>0</v>
      </c>
      <c r="U20" s="95">
        <f t="shared" si="24"/>
        <v>0</v>
      </c>
      <c r="V20" s="95">
        <f t="shared" si="24"/>
        <v>0</v>
      </c>
      <c r="W20" s="95">
        <f t="shared" si="24"/>
        <v>1</v>
      </c>
      <c r="X20" s="95">
        <f>IF(X5&lt;&gt;"Internet fijo",IF(X7="Residencial",1,0),0)</f>
        <v>1</v>
      </c>
      <c r="Y20" s="95">
        <f>IF(Y5&lt;&gt;"Internet fijo",IF(Y7="Residencial",1,0),0)</f>
        <v>1</v>
      </c>
      <c r="Z20" s="95">
        <f>IF(Z5&lt;&gt;"Internet fijo",IF(Z7="Residencial",1,0),0)</f>
        <v>1</v>
      </c>
      <c r="AA20" s="95">
        <f t="shared" ref="AA20:BF20" si="25">IF(AA5&lt;&gt;"Internet fijo",IF(AA7="Residencial",1,0),0)</f>
        <v>1</v>
      </c>
      <c r="AB20" s="95">
        <f t="shared" si="25"/>
        <v>1</v>
      </c>
      <c r="AC20" s="95">
        <f t="shared" si="25"/>
        <v>0</v>
      </c>
      <c r="AD20" s="95">
        <f t="shared" si="25"/>
        <v>1</v>
      </c>
      <c r="AE20" s="95">
        <f t="shared" si="25"/>
        <v>1</v>
      </c>
      <c r="AF20" s="95">
        <f t="shared" si="25"/>
        <v>0</v>
      </c>
      <c r="AG20" s="95">
        <f t="shared" si="25"/>
        <v>0</v>
      </c>
      <c r="AH20" s="95">
        <f t="shared" si="25"/>
        <v>1</v>
      </c>
      <c r="AI20" s="95">
        <f>IF(AI5&lt;&gt;"Internet fijo",IF(AI7="Residencial",1,0),0)</f>
        <v>0</v>
      </c>
      <c r="AJ20" s="95">
        <f t="shared" si="25"/>
        <v>0</v>
      </c>
      <c r="AK20" s="95">
        <f t="shared" si="25"/>
        <v>0</v>
      </c>
      <c r="AL20" s="95">
        <f t="shared" si="25"/>
        <v>0</v>
      </c>
      <c r="AM20" s="95">
        <f t="shared" si="25"/>
        <v>0</v>
      </c>
      <c r="AN20" s="95">
        <f t="shared" si="25"/>
        <v>0</v>
      </c>
      <c r="AO20" s="95">
        <f t="shared" si="25"/>
        <v>1</v>
      </c>
      <c r="AP20" s="95">
        <f t="shared" si="25"/>
        <v>1</v>
      </c>
      <c r="AQ20" s="95">
        <f t="shared" si="25"/>
        <v>1</v>
      </c>
      <c r="AR20" s="95">
        <f t="shared" si="25"/>
        <v>1</v>
      </c>
      <c r="AS20" s="95">
        <f t="shared" si="25"/>
        <v>1</v>
      </c>
      <c r="AT20" s="95">
        <f t="shared" si="25"/>
        <v>1</v>
      </c>
      <c r="AU20" s="95">
        <f t="shared" si="25"/>
        <v>1</v>
      </c>
      <c r="AV20" s="95">
        <f t="shared" si="25"/>
        <v>1</v>
      </c>
      <c r="AW20" s="95">
        <f t="shared" si="25"/>
        <v>1</v>
      </c>
      <c r="AX20" s="95">
        <f t="shared" si="25"/>
        <v>1</v>
      </c>
      <c r="AY20" s="95">
        <f t="shared" si="25"/>
        <v>1</v>
      </c>
      <c r="AZ20" s="95">
        <f t="shared" si="25"/>
        <v>0</v>
      </c>
      <c r="BA20" s="95">
        <f t="shared" si="25"/>
        <v>0</v>
      </c>
      <c r="BB20" s="95">
        <f t="shared" si="25"/>
        <v>0</v>
      </c>
      <c r="BC20" s="95">
        <f t="shared" si="25"/>
        <v>0</v>
      </c>
      <c r="BD20" s="95">
        <f t="shared" si="25"/>
        <v>0</v>
      </c>
      <c r="BE20" s="95">
        <f t="shared" si="25"/>
        <v>0</v>
      </c>
      <c r="BF20" s="95">
        <f t="shared" si="25"/>
        <v>0</v>
      </c>
      <c r="BG20" s="95">
        <f t="shared" ref="BG20:BZ20" si="26">IF(BG5&lt;&gt;"Internet fijo",IF(BG7="Residencial",1,0),0)</f>
        <v>0</v>
      </c>
      <c r="BH20" s="95">
        <f t="shared" si="26"/>
        <v>0</v>
      </c>
      <c r="BI20" s="95">
        <f t="shared" si="26"/>
        <v>0</v>
      </c>
      <c r="BJ20" s="95">
        <f t="shared" si="26"/>
        <v>0</v>
      </c>
      <c r="BK20" s="95">
        <f t="shared" si="26"/>
        <v>0</v>
      </c>
      <c r="BL20" s="95">
        <f t="shared" si="26"/>
        <v>0</v>
      </c>
      <c r="BM20" s="95">
        <f t="shared" si="26"/>
        <v>0</v>
      </c>
      <c r="BN20" s="95">
        <f t="shared" si="26"/>
        <v>0</v>
      </c>
      <c r="BO20" s="95">
        <f t="shared" si="26"/>
        <v>0</v>
      </c>
      <c r="BP20" s="95">
        <f t="shared" si="26"/>
        <v>0</v>
      </c>
      <c r="BQ20" s="95">
        <f t="shared" si="26"/>
        <v>0</v>
      </c>
      <c r="BR20" s="95">
        <f t="shared" si="26"/>
        <v>0</v>
      </c>
      <c r="BS20" s="95">
        <f t="shared" si="26"/>
        <v>0</v>
      </c>
      <c r="BT20" s="95">
        <f t="shared" si="26"/>
        <v>0</v>
      </c>
      <c r="BU20" s="95">
        <f t="shared" si="26"/>
        <v>0</v>
      </c>
      <c r="BV20" s="95">
        <f t="shared" si="26"/>
        <v>0</v>
      </c>
      <c r="BW20" s="95">
        <f t="shared" si="26"/>
        <v>0</v>
      </c>
      <c r="BX20" s="95">
        <f t="shared" si="26"/>
        <v>0</v>
      </c>
      <c r="BY20" s="95">
        <f t="shared" si="26"/>
        <v>1</v>
      </c>
      <c r="BZ20" s="95">
        <f t="shared" si="26"/>
        <v>1</v>
      </c>
      <c r="CA20" s="95">
        <f t="shared" ref="CA20:CF20" si="27">IF(CA5&lt;&gt;"Internet fijo",IF(CA7="Residencial",1,0),0)</f>
        <v>1</v>
      </c>
      <c r="CB20" s="95">
        <f t="shared" si="27"/>
        <v>1</v>
      </c>
      <c r="CC20" s="95">
        <f t="shared" si="27"/>
        <v>1</v>
      </c>
      <c r="CD20" s="95">
        <f t="shared" si="27"/>
        <v>0</v>
      </c>
      <c r="CE20" s="95">
        <f t="shared" si="27"/>
        <v>0</v>
      </c>
      <c r="CF20" s="95">
        <f t="shared" si="27"/>
        <v>0</v>
      </c>
      <c r="CG20" s="95">
        <f t="shared" ref="CG20:DN20" si="28">IF(CG5&lt;&gt;"Internet fijo",IF(CG7="Residencial",1,0),0)</f>
        <v>0</v>
      </c>
      <c r="CH20" s="95">
        <f t="shared" si="28"/>
        <v>1</v>
      </c>
      <c r="CI20" s="95">
        <f t="shared" si="28"/>
        <v>1</v>
      </c>
      <c r="CJ20" s="95">
        <f t="shared" si="28"/>
        <v>1</v>
      </c>
      <c r="CK20" s="95">
        <f t="shared" si="28"/>
        <v>1</v>
      </c>
      <c r="CL20" s="95">
        <f t="shared" si="28"/>
        <v>1</v>
      </c>
      <c r="CM20" s="95">
        <f t="shared" si="28"/>
        <v>1</v>
      </c>
      <c r="CN20" s="95">
        <f t="shared" si="28"/>
        <v>1</v>
      </c>
      <c r="CO20" s="95">
        <f t="shared" si="28"/>
        <v>1</v>
      </c>
      <c r="CP20" s="95">
        <f t="shared" si="28"/>
        <v>1</v>
      </c>
      <c r="CQ20" s="95">
        <f t="shared" si="28"/>
        <v>1</v>
      </c>
      <c r="CR20" s="95">
        <f t="shared" si="28"/>
        <v>1</v>
      </c>
      <c r="CS20" s="95">
        <f t="shared" si="28"/>
        <v>0</v>
      </c>
      <c r="CT20" s="95">
        <f t="shared" si="28"/>
        <v>0</v>
      </c>
      <c r="CU20" s="95">
        <f t="shared" si="28"/>
        <v>0</v>
      </c>
      <c r="CV20" s="95">
        <f t="shared" si="28"/>
        <v>0</v>
      </c>
      <c r="CW20" s="95">
        <f t="shared" si="28"/>
        <v>0</v>
      </c>
      <c r="CX20" s="95">
        <f t="shared" si="28"/>
        <v>0</v>
      </c>
      <c r="CY20" s="95">
        <f t="shared" si="28"/>
        <v>0</v>
      </c>
      <c r="CZ20" s="95">
        <f t="shared" si="28"/>
        <v>0</v>
      </c>
      <c r="DA20" s="95">
        <f t="shared" si="28"/>
        <v>0</v>
      </c>
      <c r="DB20" s="95">
        <f t="shared" si="28"/>
        <v>0</v>
      </c>
      <c r="DC20" s="95">
        <f t="shared" si="28"/>
        <v>0</v>
      </c>
      <c r="DD20" s="95">
        <f t="shared" si="28"/>
        <v>0</v>
      </c>
      <c r="DE20" s="95">
        <f t="shared" si="28"/>
        <v>0</v>
      </c>
      <c r="DF20" s="95">
        <f t="shared" si="28"/>
        <v>0</v>
      </c>
      <c r="DG20" s="95">
        <f t="shared" si="28"/>
        <v>0</v>
      </c>
      <c r="DH20" s="95">
        <f t="shared" si="28"/>
        <v>0</v>
      </c>
      <c r="DI20" s="95">
        <f t="shared" si="28"/>
        <v>0</v>
      </c>
      <c r="DJ20" s="95">
        <f t="shared" si="28"/>
        <v>0</v>
      </c>
      <c r="DK20" s="95">
        <f t="shared" si="28"/>
        <v>0</v>
      </c>
      <c r="DL20" s="95">
        <f t="shared" si="28"/>
        <v>0</v>
      </c>
      <c r="DM20" s="95">
        <f t="shared" si="28"/>
        <v>0</v>
      </c>
      <c r="DN20" s="95">
        <f t="shared" si="28"/>
        <v>0</v>
      </c>
      <c r="DO20" s="95"/>
      <c r="DP20" s="95"/>
      <c r="DQ20" s="95"/>
      <c r="DR20" s="95"/>
      <c r="DS20" s="95"/>
      <c r="DT20" s="95"/>
      <c r="DU20" s="95"/>
      <c r="DV20" s="95"/>
      <c r="DW20" s="95"/>
      <c r="DX20" s="95"/>
      <c r="DY20" s="95"/>
      <c r="DZ20" s="95"/>
      <c r="EA20" s="95"/>
      <c r="EB20" s="95"/>
      <c r="EC20" s="95"/>
      <c r="ED20" s="95"/>
      <c r="EE20" s="95"/>
      <c r="EF20" s="95"/>
      <c r="EG20" s="95"/>
      <c r="EH20" s="95"/>
      <c r="EI20" s="95"/>
      <c r="EJ20" s="95"/>
      <c r="EK20" s="95"/>
      <c r="EL20" s="95"/>
      <c r="EM20" s="95"/>
      <c r="EN20" s="95"/>
      <c r="EO20" s="95"/>
      <c r="EP20" s="95"/>
      <c r="EQ20" s="95"/>
      <c r="ER20" s="95"/>
      <c r="ES20" s="95"/>
      <c r="ET20" s="95"/>
      <c r="EU20" s="95"/>
      <c r="EV20" s="95"/>
      <c r="EW20" s="95"/>
      <c r="EX20" s="95"/>
      <c r="EY20" s="95"/>
      <c r="EZ20" s="95"/>
      <c r="FA20" s="95"/>
      <c r="FB20" s="95"/>
      <c r="FC20" s="95"/>
      <c r="FD20" s="95"/>
      <c r="FE20" s="95"/>
      <c r="FF20" s="95"/>
      <c r="FG20" s="95"/>
      <c r="FH20" s="95"/>
      <c r="FI20" s="95"/>
      <c r="FJ20" s="95"/>
      <c r="FK20" s="95"/>
      <c r="FL20" s="95"/>
      <c r="FM20" s="95"/>
      <c r="FN20" s="95"/>
      <c r="FO20" s="95"/>
      <c r="FP20" s="95"/>
      <c r="FQ20" s="95"/>
      <c r="FR20" s="95"/>
      <c r="FS20" s="95"/>
      <c r="FT20" s="95"/>
      <c r="FU20" s="95"/>
      <c r="FV20" s="95"/>
      <c r="FW20" s="95"/>
      <c r="FX20" s="95"/>
      <c r="FY20" s="95"/>
      <c r="FZ20" s="95"/>
      <c r="GA20" s="95"/>
      <c r="GB20" s="95"/>
      <c r="GC20" s="95"/>
      <c r="GD20" s="95"/>
      <c r="GE20" s="95"/>
      <c r="GF20" s="95"/>
      <c r="GG20" s="95"/>
      <c r="GH20" s="95"/>
      <c r="GI20" s="95"/>
      <c r="GJ20" s="95"/>
      <c r="GK20" s="95"/>
      <c r="GL20" s="95"/>
      <c r="GM20" s="95"/>
      <c r="GN20" s="95"/>
      <c r="GO20" s="95"/>
      <c r="GP20" s="95"/>
      <c r="GQ20" s="95"/>
      <c r="GR20" s="95"/>
      <c r="GS20" s="95"/>
      <c r="GT20" s="95"/>
      <c r="GU20" s="95"/>
      <c r="GV20" s="95"/>
      <c r="GW20" s="95"/>
      <c r="GX20" s="95"/>
      <c r="GY20" s="95"/>
      <c r="GZ20" s="95"/>
      <c r="HA20" s="95"/>
      <c r="HB20" s="95"/>
      <c r="HC20" s="95"/>
      <c r="HD20" s="95"/>
      <c r="HE20" s="95"/>
      <c r="HF20" s="95"/>
      <c r="HG20" s="95"/>
      <c r="HH20" s="95"/>
      <c r="HI20" s="95"/>
      <c r="HJ20" s="95"/>
      <c r="HK20" s="95"/>
      <c r="HL20" s="95"/>
      <c r="HM20" s="155" t="s">
        <v>600</v>
      </c>
    </row>
    <row r="21" spans="1:221" s="44" customFormat="1" ht="12" x14ac:dyDescent="0.25">
      <c r="C21" s="103" t="s">
        <v>599</v>
      </c>
      <c r="G21" s="349" t="s">
        <v>569</v>
      </c>
      <c r="I21" s="95">
        <f t="shared" ref="I21:P21" si="29">IF(I5&lt;&gt;"Internet fijo",IF(I7="No Residencial",1,0),0)</f>
        <v>0</v>
      </c>
      <c r="J21" s="95">
        <f t="shared" si="29"/>
        <v>1</v>
      </c>
      <c r="K21" s="95">
        <f t="shared" si="29"/>
        <v>0</v>
      </c>
      <c r="L21" s="95">
        <f t="shared" si="29"/>
        <v>0</v>
      </c>
      <c r="M21" s="95">
        <f t="shared" si="29"/>
        <v>0</v>
      </c>
      <c r="N21" s="95">
        <f t="shared" si="29"/>
        <v>0</v>
      </c>
      <c r="O21" s="95">
        <f t="shared" si="29"/>
        <v>0</v>
      </c>
      <c r="P21" s="95">
        <f t="shared" si="29"/>
        <v>0</v>
      </c>
      <c r="Q21" s="95">
        <f t="shared" ref="Q21:W21" si="30">IF(Q5&lt;&gt;"Internet fijo",IF(Q7="No Residencial",1,0),0)</f>
        <v>0</v>
      </c>
      <c r="R21" s="95">
        <f t="shared" si="30"/>
        <v>0</v>
      </c>
      <c r="S21" s="95">
        <f t="shared" si="30"/>
        <v>0</v>
      </c>
      <c r="T21" s="95">
        <f t="shared" si="30"/>
        <v>0</v>
      </c>
      <c r="U21" s="95">
        <f t="shared" si="30"/>
        <v>0</v>
      </c>
      <c r="V21" s="95">
        <f t="shared" si="30"/>
        <v>0</v>
      </c>
      <c r="W21" s="95">
        <f t="shared" si="30"/>
        <v>0</v>
      </c>
      <c r="X21" s="95">
        <f>IF(X5&lt;&gt;"Internet fijo",IF(X7="No Residencial",1,0),0)</f>
        <v>0</v>
      </c>
      <c r="Y21" s="95">
        <f>IF(Y5&lt;&gt;"Internet fijo",IF(Y7="No Residencial",1,0),0)</f>
        <v>0</v>
      </c>
      <c r="Z21" s="95">
        <f>IF(Z5&lt;&gt;"Internet fijo",IF(Z7="No Residencial",1,0),0)</f>
        <v>0</v>
      </c>
      <c r="AA21" s="95">
        <f t="shared" ref="AA21:BF21" si="31">IF(AA5&lt;&gt;"Internet fijo",IF(AA7="No Residencial",1,0),0)</f>
        <v>0</v>
      </c>
      <c r="AB21" s="95">
        <f t="shared" si="31"/>
        <v>0</v>
      </c>
      <c r="AC21" s="95">
        <f t="shared" si="31"/>
        <v>1</v>
      </c>
      <c r="AD21" s="95">
        <f t="shared" si="31"/>
        <v>0</v>
      </c>
      <c r="AE21" s="95">
        <f t="shared" si="31"/>
        <v>0</v>
      </c>
      <c r="AF21" s="95">
        <f t="shared" si="31"/>
        <v>1</v>
      </c>
      <c r="AG21" s="95">
        <f t="shared" si="31"/>
        <v>1</v>
      </c>
      <c r="AH21" s="95">
        <f t="shared" si="31"/>
        <v>0</v>
      </c>
      <c r="AI21" s="95">
        <f t="shared" si="31"/>
        <v>1</v>
      </c>
      <c r="AJ21" s="95">
        <f t="shared" si="31"/>
        <v>1</v>
      </c>
      <c r="AK21" s="95">
        <f t="shared" si="31"/>
        <v>1</v>
      </c>
      <c r="AL21" s="95">
        <f t="shared" si="31"/>
        <v>1</v>
      </c>
      <c r="AM21" s="95">
        <f t="shared" si="31"/>
        <v>1</v>
      </c>
      <c r="AN21" s="95">
        <f t="shared" si="31"/>
        <v>1</v>
      </c>
      <c r="AO21" s="95">
        <f t="shared" si="31"/>
        <v>0</v>
      </c>
      <c r="AP21" s="95">
        <f t="shared" si="31"/>
        <v>0</v>
      </c>
      <c r="AQ21" s="95">
        <f t="shared" si="31"/>
        <v>0</v>
      </c>
      <c r="AR21" s="95">
        <f t="shared" si="31"/>
        <v>0</v>
      </c>
      <c r="AS21" s="95">
        <f t="shared" si="31"/>
        <v>0</v>
      </c>
      <c r="AT21" s="95">
        <f t="shared" si="31"/>
        <v>0</v>
      </c>
      <c r="AU21" s="95">
        <f t="shared" si="31"/>
        <v>0</v>
      </c>
      <c r="AV21" s="95">
        <f t="shared" si="31"/>
        <v>0</v>
      </c>
      <c r="AW21" s="95">
        <f t="shared" si="31"/>
        <v>0</v>
      </c>
      <c r="AX21" s="95">
        <f t="shared" si="31"/>
        <v>0</v>
      </c>
      <c r="AY21" s="95">
        <f t="shared" si="31"/>
        <v>0</v>
      </c>
      <c r="AZ21" s="95">
        <f t="shared" si="31"/>
        <v>0</v>
      </c>
      <c r="BA21" s="95">
        <f t="shared" si="31"/>
        <v>0</v>
      </c>
      <c r="BB21" s="95">
        <f t="shared" si="31"/>
        <v>0</v>
      </c>
      <c r="BC21" s="95">
        <f t="shared" si="31"/>
        <v>0</v>
      </c>
      <c r="BD21" s="95">
        <f t="shared" si="31"/>
        <v>0</v>
      </c>
      <c r="BE21" s="95">
        <f t="shared" si="31"/>
        <v>0</v>
      </c>
      <c r="BF21" s="95">
        <f t="shared" si="31"/>
        <v>0</v>
      </c>
      <c r="BG21" s="95">
        <f t="shared" ref="BG21:BZ21" si="32">IF(BG5&lt;&gt;"Internet fijo",IF(BG7="No Residencial",1,0),0)</f>
        <v>0</v>
      </c>
      <c r="BH21" s="95">
        <f t="shared" si="32"/>
        <v>0</v>
      </c>
      <c r="BI21" s="95">
        <f t="shared" si="32"/>
        <v>1</v>
      </c>
      <c r="BJ21" s="95">
        <f t="shared" si="32"/>
        <v>1</v>
      </c>
      <c r="BK21" s="95">
        <f t="shared" si="32"/>
        <v>1</v>
      </c>
      <c r="BL21" s="95">
        <f t="shared" si="32"/>
        <v>1</v>
      </c>
      <c r="BM21" s="95">
        <f t="shared" si="32"/>
        <v>1</v>
      </c>
      <c r="BN21" s="95">
        <f t="shared" si="32"/>
        <v>1</v>
      </c>
      <c r="BO21" s="95">
        <f t="shared" si="32"/>
        <v>1</v>
      </c>
      <c r="BP21" s="95">
        <f t="shared" si="32"/>
        <v>0</v>
      </c>
      <c r="BQ21" s="95">
        <f t="shared" si="32"/>
        <v>0</v>
      </c>
      <c r="BR21" s="95">
        <f t="shared" si="32"/>
        <v>0</v>
      </c>
      <c r="BS21" s="95">
        <f t="shared" si="32"/>
        <v>0</v>
      </c>
      <c r="BT21" s="95">
        <f t="shared" si="32"/>
        <v>0</v>
      </c>
      <c r="BU21" s="95">
        <f t="shared" si="32"/>
        <v>0</v>
      </c>
      <c r="BV21" s="95">
        <f t="shared" si="32"/>
        <v>0</v>
      </c>
      <c r="BW21" s="95">
        <f t="shared" si="32"/>
        <v>0</v>
      </c>
      <c r="BX21" s="95">
        <f t="shared" si="32"/>
        <v>0</v>
      </c>
      <c r="BY21" s="95">
        <f t="shared" si="32"/>
        <v>0</v>
      </c>
      <c r="BZ21" s="95">
        <f t="shared" si="32"/>
        <v>0</v>
      </c>
      <c r="CA21" s="95">
        <f t="shared" ref="CA21:CF21" si="33">IF(CA5&lt;&gt;"Internet fijo",IF(CA7="No Residencial",1,0),0)</f>
        <v>0</v>
      </c>
      <c r="CB21" s="95">
        <f t="shared" si="33"/>
        <v>0</v>
      </c>
      <c r="CC21" s="95">
        <f t="shared" si="33"/>
        <v>0</v>
      </c>
      <c r="CD21" s="95">
        <f t="shared" si="33"/>
        <v>0</v>
      </c>
      <c r="CE21" s="95">
        <f t="shared" si="33"/>
        <v>0</v>
      </c>
      <c r="CF21" s="95">
        <f t="shared" si="33"/>
        <v>0</v>
      </c>
      <c r="CG21" s="95">
        <f t="shared" ref="CG21:DN21" si="34">IF(CG5&lt;&gt;"Internet fijo",IF(CG7="No Residencial",1,0),0)</f>
        <v>0</v>
      </c>
      <c r="CH21" s="95">
        <f t="shared" si="34"/>
        <v>0</v>
      </c>
      <c r="CI21" s="95">
        <f t="shared" si="34"/>
        <v>0</v>
      </c>
      <c r="CJ21" s="95">
        <f t="shared" si="34"/>
        <v>0</v>
      </c>
      <c r="CK21" s="95">
        <f t="shared" si="34"/>
        <v>0</v>
      </c>
      <c r="CL21" s="95">
        <f t="shared" si="34"/>
        <v>0</v>
      </c>
      <c r="CM21" s="95">
        <f t="shared" si="34"/>
        <v>0</v>
      </c>
      <c r="CN21" s="95">
        <f t="shared" si="34"/>
        <v>0</v>
      </c>
      <c r="CO21" s="95">
        <f t="shared" si="34"/>
        <v>0</v>
      </c>
      <c r="CP21" s="95">
        <f t="shared" si="34"/>
        <v>0</v>
      </c>
      <c r="CQ21" s="95">
        <f t="shared" si="34"/>
        <v>0</v>
      </c>
      <c r="CR21" s="95">
        <f t="shared" si="34"/>
        <v>0</v>
      </c>
      <c r="CS21" s="95">
        <f t="shared" si="34"/>
        <v>0</v>
      </c>
      <c r="CT21" s="95">
        <f t="shared" si="34"/>
        <v>0</v>
      </c>
      <c r="CU21" s="95">
        <f t="shared" si="34"/>
        <v>0</v>
      </c>
      <c r="CV21" s="95">
        <f t="shared" si="34"/>
        <v>0</v>
      </c>
      <c r="CW21" s="95">
        <f t="shared" si="34"/>
        <v>0</v>
      </c>
      <c r="CX21" s="95">
        <f t="shared" si="34"/>
        <v>0</v>
      </c>
      <c r="CY21" s="95">
        <f t="shared" si="34"/>
        <v>0</v>
      </c>
      <c r="CZ21" s="95">
        <f t="shared" si="34"/>
        <v>0</v>
      </c>
      <c r="DA21" s="95">
        <f t="shared" si="34"/>
        <v>0</v>
      </c>
      <c r="DB21" s="95">
        <f t="shared" si="34"/>
        <v>1</v>
      </c>
      <c r="DC21" s="95">
        <f t="shared" si="34"/>
        <v>1</v>
      </c>
      <c r="DD21" s="95">
        <f t="shared" si="34"/>
        <v>1</v>
      </c>
      <c r="DE21" s="95">
        <f t="shared" si="34"/>
        <v>1</v>
      </c>
      <c r="DF21" s="95">
        <f t="shared" si="34"/>
        <v>1</v>
      </c>
      <c r="DG21" s="95">
        <f t="shared" si="34"/>
        <v>1</v>
      </c>
      <c r="DH21" s="95">
        <f t="shared" si="34"/>
        <v>1</v>
      </c>
      <c r="DI21" s="95">
        <f t="shared" si="34"/>
        <v>1</v>
      </c>
      <c r="DJ21" s="95">
        <f t="shared" si="34"/>
        <v>1</v>
      </c>
      <c r="DK21" s="95">
        <f t="shared" si="34"/>
        <v>1</v>
      </c>
      <c r="DL21" s="95">
        <f t="shared" si="34"/>
        <v>1</v>
      </c>
      <c r="DM21" s="95">
        <f t="shared" si="34"/>
        <v>1</v>
      </c>
      <c r="DN21" s="95">
        <f t="shared" si="34"/>
        <v>1</v>
      </c>
      <c r="DO21" s="95"/>
      <c r="DP21" s="95"/>
      <c r="DQ21" s="95"/>
      <c r="DR21" s="95"/>
      <c r="DS21" s="95"/>
      <c r="DT21" s="95"/>
      <c r="DU21" s="95"/>
      <c r="DV21" s="95"/>
      <c r="DW21" s="95"/>
      <c r="DX21" s="95"/>
      <c r="DY21" s="95"/>
      <c r="DZ21" s="95"/>
      <c r="EA21" s="95"/>
      <c r="EB21" s="95"/>
      <c r="EC21" s="95"/>
      <c r="ED21" s="95"/>
      <c r="EE21" s="95"/>
      <c r="EF21" s="95"/>
      <c r="EG21" s="95"/>
      <c r="EH21" s="95"/>
      <c r="EI21" s="95"/>
      <c r="EJ21" s="95"/>
      <c r="EK21" s="95"/>
      <c r="EL21" s="95"/>
      <c r="EM21" s="95"/>
      <c r="EN21" s="95"/>
      <c r="EO21" s="95"/>
      <c r="EP21" s="95"/>
      <c r="EQ21" s="95"/>
      <c r="ER21" s="95"/>
      <c r="ES21" s="95"/>
      <c r="ET21" s="95"/>
      <c r="EU21" s="95"/>
      <c r="EV21" s="95"/>
      <c r="EW21" s="95"/>
      <c r="EX21" s="95"/>
      <c r="EY21" s="95"/>
      <c r="EZ21" s="95"/>
      <c r="FA21" s="95"/>
      <c r="FB21" s="95"/>
      <c r="FC21" s="95"/>
      <c r="FD21" s="95"/>
      <c r="FE21" s="95"/>
      <c r="FF21" s="95"/>
      <c r="FG21" s="95"/>
      <c r="FH21" s="95"/>
      <c r="FI21" s="95"/>
      <c r="FJ21" s="95"/>
      <c r="FK21" s="95"/>
      <c r="FL21" s="95"/>
      <c r="FM21" s="95"/>
      <c r="FN21" s="95"/>
      <c r="FO21" s="95"/>
      <c r="FP21" s="95"/>
      <c r="FQ21" s="95"/>
      <c r="FR21" s="95"/>
      <c r="FS21" s="95"/>
      <c r="FT21" s="95"/>
      <c r="FU21" s="95"/>
      <c r="FV21" s="95"/>
      <c r="FW21" s="95"/>
      <c r="FX21" s="95"/>
      <c r="FY21" s="95"/>
      <c r="FZ21" s="95"/>
      <c r="GA21" s="95"/>
      <c r="GB21" s="95"/>
      <c r="GC21" s="95"/>
      <c r="GD21" s="95"/>
      <c r="GE21" s="95"/>
      <c r="GF21" s="95"/>
      <c r="GG21" s="95"/>
      <c r="GH21" s="95"/>
      <c r="GI21" s="95"/>
      <c r="GJ21" s="95"/>
      <c r="GK21" s="95"/>
      <c r="GL21" s="95"/>
      <c r="GM21" s="95"/>
      <c r="GN21" s="95"/>
      <c r="GO21" s="95"/>
      <c r="GP21" s="95"/>
      <c r="GQ21" s="95"/>
      <c r="GR21" s="95"/>
      <c r="GS21" s="95"/>
      <c r="GT21" s="95"/>
      <c r="GU21" s="95"/>
      <c r="GV21" s="95"/>
      <c r="GW21" s="95"/>
      <c r="GX21" s="95"/>
      <c r="GY21" s="95"/>
      <c r="GZ21" s="95"/>
      <c r="HA21" s="95"/>
      <c r="HB21" s="95"/>
      <c r="HC21" s="95"/>
      <c r="HD21" s="95"/>
      <c r="HE21" s="95"/>
      <c r="HF21" s="95"/>
      <c r="HG21" s="95"/>
      <c r="HH21" s="95"/>
      <c r="HI21" s="95"/>
      <c r="HJ21" s="95"/>
      <c r="HK21" s="95"/>
      <c r="HL21" s="95"/>
      <c r="HM21" s="155" t="s">
        <v>601</v>
      </c>
    </row>
    <row r="22" spans="1:221" x14ac:dyDescent="0.25">
      <c r="K22" s="44"/>
      <c r="L22" s="44"/>
      <c r="M22" s="44"/>
      <c r="N22" s="44"/>
      <c r="O22" s="44"/>
      <c r="P22" s="44"/>
      <c r="Q22" s="44"/>
      <c r="R22" s="44"/>
      <c r="S22" s="44"/>
      <c r="T22" s="44"/>
      <c r="U22" s="44"/>
      <c r="V22" s="44"/>
      <c r="W22" s="44"/>
    </row>
    <row r="23" spans="1:221" x14ac:dyDescent="0.25">
      <c r="A23" s="100">
        <v>2</v>
      </c>
      <c r="B23" s="100" t="s">
        <v>725</v>
      </c>
      <c r="C23" s="100"/>
      <c r="D23" s="40"/>
      <c r="E23" s="40"/>
      <c r="F23" s="40"/>
      <c r="G23" s="40"/>
      <c r="H23" s="40"/>
      <c r="K23" s="262"/>
      <c r="L23" s="44"/>
      <c r="M23" s="44"/>
      <c r="N23" s="44"/>
      <c r="O23" s="44"/>
      <c r="P23" s="44"/>
      <c r="Q23" s="44"/>
      <c r="R23" s="44"/>
      <c r="S23" s="44"/>
      <c r="T23" s="44"/>
      <c r="U23" s="44"/>
      <c r="V23" s="44"/>
      <c r="W23" s="44"/>
    </row>
    <row r="24" spans="1:221" x14ac:dyDescent="0.25">
      <c r="A24" s="44"/>
      <c r="C24" s="102"/>
      <c r="D24" s="44"/>
      <c r="E24" s="44"/>
      <c r="G24" s="44"/>
      <c r="H24" s="44"/>
      <c r="K24" s="44"/>
      <c r="L24" s="44"/>
      <c r="M24" s="44"/>
      <c r="N24" s="44"/>
      <c r="O24" s="44"/>
      <c r="P24" s="44"/>
      <c r="Q24" s="44"/>
      <c r="R24" s="44"/>
      <c r="S24" s="44"/>
      <c r="T24" s="44"/>
      <c r="U24" s="44"/>
      <c r="V24" s="44"/>
      <c r="W24" s="44"/>
    </row>
    <row r="25" spans="1:221" s="44" customFormat="1" ht="12" x14ac:dyDescent="0.25">
      <c r="C25" s="102" t="s">
        <v>530</v>
      </c>
      <c r="G25" s="349" t="s">
        <v>726</v>
      </c>
      <c r="H25" s="44" t="s">
        <v>463</v>
      </c>
      <c r="I25" s="149">
        <v>1</v>
      </c>
      <c r="J25" s="149">
        <v>1</v>
      </c>
      <c r="K25" s="99">
        <f>IFERROR(VLOOKUP(K$8,'Info planes y paquetes'!$A$472:$BS$579,8,FALSE),0)</f>
        <v>0</v>
      </c>
      <c r="L25" s="99">
        <f>IFERROR(VLOOKUP(L$8,'Info planes y paquetes'!$A$472:$BS$579,8,FALSE),0)</f>
        <v>0</v>
      </c>
      <c r="M25" s="99">
        <f>IFERROR(VLOOKUP(M$8,'Info planes y paquetes'!$A$472:$BS$579,8,FALSE),0)</f>
        <v>0</v>
      </c>
      <c r="N25" s="99">
        <f>IFERROR(VLOOKUP(N$8,'Info planes y paquetes'!$A$472:$BS$579,8,FALSE),0)</f>
        <v>0</v>
      </c>
      <c r="O25" s="99">
        <f>IFERROR(VLOOKUP(O$8,'Info planes y paquetes'!$A$472:$BS$579,8,FALSE),0)</f>
        <v>0</v>
      </c>
      <c r="P25" s="99">
        <f>IFERROR(VLOOKUP(P$8,'Info planes y paquetes'!$A$472:$BS$579,8,FALSE),0)</f>
        <v>0</v>
      </c>
      <c r="Q25" s="99">
        <f>IFERROR(VLOOKUP(Q$8,'Info planes y paquetes'!$A$472:$BS$579,8,FALSE),0)</f>
        <v>0</v>
      </c>
      <c r="R25" s="99">
        <f>IFERROR(VLOOKUP(R$8,'Info planes y paquetes'!$A$472:$BS$579,8,FALSE),0)</f>
        <v>0</v>
      </c>
      <c r="S25" s="99">
        <f>IFERROR(VLOOKUP(S$8,'Info planes y paquetes'!$A$472:$BS$579,8,FALSE),0)</f>
        <v>0</v>
      </c>
      <c r="T25" s="99">
        <f>IFERROR(VLOOKUP(T$8,'Info planes y paquetes'!$A$472:$BS$579,8,FALSE),0)</f>
        <v>0</v>
      </c>
      <c r="U25" s="99">
        <f>IFERROR(VLOOKUP(U$8,'Info planes y paquetes'!$A$472:$BS$579,8,FALSE),0)</f>
        <v>0</v>
      </c>
      <c r="V25" s="99">
        <f>IFERROR(VLOOKUP(V$8,'Info planes y paquetes'!$A$472:$BS$579,8,FALSE),0)</f>
        <v>0</v>
      </c>
      <c r="W25" s="99">
        <f>IFERROR(VLOOKUP(W$8,'Info planes y paquetes'!$A$472:$BS$579,8,FALSE),0)</f>
        <v>1</v>
      </c>
      <c r="X25" s="99">
        <f>IFERROR(VLOOKUP(X$8,'Info planes y paquetes'!$A$472:$BS$579,8,FALSE),0)</f>
        <v>1</v>
      </c>
      <c r="Y25" s="99">
        <f>IFERROR(VLOOKUP(Y$8,'Info planes y paquetes'!$A$472:$BS$579,8,FALSE),0)</f>
        <v>1</v>
      </c>
      <c r="Z25" s="99">
        <f>IFERROR(VLOOKUP(Z$8,'Info planes y paquetes'!$A$472:$BS$579,8,FALSE),0)</f>
        <v>1</v>
      </c>
      <c r="AA25" s="99">
        <f>IFERROR(VLOOKUP(AA$8,'Info planes y paquetes'!$A$472:$BS$579,8,FALSE),0)</f>
        <v>2</v>
      </c>
      <c r="AB25" s="99">
        <f>IFERROR(VLOOKUP(AB$8,'Info planes y paquetes'!$A$472:$BS$579,8,FALSE),0)</f>
        <v>1</v>
      </c>
      <c r="AC25" s="99">
        <f>IFERROR(VLOOKUP(AC$8,'Info planes y paquetes'!$A$472:$BS$579,8,FALSE),0)</f>
        <v>1</v>
      </c>
      <c r="AD25" s="99">
        <f>IFERROR(VLOOKUP(AD$8,'Info planes y paquetes'!$A$472:$BS$579,8,FALSE),0)</f>
        <v>6</v>
      </c>
      <c r="AE25" s="99">
        <f>IFERROR(VLOOKUP(AE$8,'Info planes y paquetes'!$A$472:$BS$579,8,FALSE),0)</f>
        <v>1</v>
      </c>
      <c r="AF25" s="99">
        <f>IFERROR(VLOOKUP(AF$8,'Info planes y paquetes'!$A$472:$BS$579,8,FALSE),0)</f>
        <v>2</v>
      </c>
      <c r="AG25" s="99">
        <f>IFERROR(VLOOKUP(AG$8,'Info planes y paquetes'!$A$472:$BS$579,8,FALSE),0)</f>
        <v>2</v>
      </c>
      <c r="AH25" s="99">
        <f>IFERROR(VLOOKUP(AH$8,'Info planes y paquetes'!$A$472:$BS$579,8,FALSE),0)</f>
        <v>3</v>
      </c>
      <c r="AI25" s="99">
        <f>IFERROR(VLOOKUP(AI$8,'Info planes y paquetes'!$A$472:$BS$579,8,FALSE),0)</f>
        <v>2</v>
      </c>
      <c r="AJ25" s="99">
        <f>IFERROR(VLOOKUP(AJ$8,'Info planes y paquetes'!$A$472:$BS$579,8,FALSE),0)</f>
        <v>4</v>
      </c>
      <c r="AK25" s="99">
        <f>IFERROR(VLOOKUP(AK$8,'Info planes y paquetes'!$A$472:$BS$579,8,FALSE),0)</f>
        <v>6</v>
      </c>
      <c r="AL25" s="99">
        <f>IFERROR(VLOOKUP(AL$8,'Info planes y paquetes'!$A$472:$BS$579,8,FALSE),0)</f>
        <v>0</v>
      </c>
      <c r="AM25" s="99">
        <f>IFERROR(VLOOKUP(AM$8,'Info planes y paquetes'!$A$472:$BS$579,8,FALSE),0)</f>
        <v>0</v>
      </c>
      <c r="AN25" s="99">
        <f>IFERROR(VLOOKUP(AN$8,'Info planes y paquetes'!$A$472:$BS$579,8,FALSE),0)</f>
        <v>0</v>
      </c>
      <c r="AO25" s="99">
        <f>IFERROR(VLOOKUP(AO$8,'Info planes y paquetes'!$A$472:$BS$579,8,FALSE),0)</f>
        <v>1</v>
      </c>
      <c r="AP25" s="99">
        <f>IFERROR(VLOOKUP(AP$8,'Info planes y paquetes'!$A$472:$BS$579,8,FALSE),0)</f>
        <v>1</v>
      </c>
      <c r="AQ25" s="99">
        <f>IFERROR(VLOOKUP(AQ$8,'Info planes y paquetes'!$A$472:$BS$579,8,FALSE),0)</f>
        <v>1</v>
      </c>
      <c r="AR25" s="99">
        <f>IFERROR(VLOOKUP(AR$8,'Info planes y paquetes'!$A$472:$BS$579,8,FALSE),0)</f>
        <v>1</v>
      </c>
      <c r="AS25" s="99">
        <f>IFERROR(VLOOKUP(AS$8,'Info planes y paquetes'!$A$472:$BS$579,8,FALSE),0)</f>
        <v>1</v>
      </c>
      <c r="AT25" s="99">
        <f>IFERROR(VLOOKUP(AT$8,'Info planes y paquetes'!$A$472:$BS$579,8,FALSE),0)</f>
        <v>1</v>
      </c>
      <c r="AU25" s="99">
        <f>IFERROR(VLOOKUP(AU$8,'Info planes y paquetes'!$A$472:$BS$579,8,FALSE),0)</f>
        <v>1</v>
      </c>
      <c r="AV25" s="99">
        <f>IFERROR(VLOOKUP(AV$8,'Info planes y paquetes'!$A$472:$BS$579,8,FALSE),0)</f>
        <v>1</v>
      </c>
      <c r="AW25" s="99">
        <f>IFERROR(VLOOKUP(AW$8,'Info planes y paquetes'!$A$472:$BS$579,8,FALSE),0)</f>
        <v>1</v>
      </c>
      <c r="AX25" s="99">
        <f>IFERROR(VLOOKUP(AX$8,'Info planes y paquetes'!$A$472:$BS$579,8,FALSE),0)</f>
        <v>3</v>
      </c>
      <c r="AY25" s="99">
        <f>IFERROR(VLOOKUP(AY$8,'Info planes y paquetes'!$A$472:$BS$579,8,FALSE),0)</f>
        <v>3</v>
      </c>
      <c r="AZ25" s="99">
        <f>IFERROR(VLOOKUP(AZ$8,'Info planes y paquetes'!$A$472:$BS$579,8,FALSE),0)</f>
        <v>0</v>
      </c>
      <c r="BA25" s="99">
        <f>IFERROR(VLOOKUP(BA$8,'Info planes y paquetes'!$A$472:$BS$579,8,FALSE),0)</f>
        <v>0</v>
      </c>
      <c r="BB25" s="99">
        <f>IFERROR(VLOOKUP(BB$8,'Info planes y paquetes'!$A$472:$BS$579,8,FALSE),0)</f>
        <v>0</v>
      </c>
      <c r="BC25" s="99">
        <f>IFERROR(VLOOKUP(BC$8,'Info planes y paquetes'!$A$472:$BS$579,8,FALSE),0)</f>
        <v>0</v>
      </c>
      <c r="BD25" s="99">
        <f>IFERROR(VLOOKUP(BD$8,'Info planes y paquetes'!$A$472:$BS$579,8,FALSE),0)</f>
        <v>0</v>
      </c>
      <c r="BE25" s="99">
        <f>IFERROR(VLOOKUP(BE$8,'Info planes y paquetes'!$A$472:$BS$579,8,FALSE),0)</f>
        <v>0</v>
      </c>
      <c r="BF25" s="99">
        <f>IFERROR(VLOOKUP(BF$8,'Info planes y paquetes'!$A$472:$BS$579,8,FALSE),0)</f>
        <v>0</v>
      </c>
      <c r="BG25" s="99">
        <f>IFERROR(VLOOKUP(BG$8,'Info planes y paquetes'!$A$472:$BS$579,8,FALSE),0)</f>
        <v>0</v>
      </c>
      <c r="BH25" s="99">
        <f>IFERROR(VLOOKUP(BH$8,'Info planes y paquetes'!$A$472:$BS$579,8,FALSE),0)</f>
        <v>0</v>
      </c>
      <c r="BI25" s="99">
        <f>IFERROR(VLOOKUP(BI$8,'Info planes y paquetes'!$A$472:$BS$579,8,FALSE),0)</f>
        <v>1</v>
      </c>
      <c r="BJ25" s="99">
        <f>IFERROR(VLOOKUP(BJ$8,'Info planes y paquetes'!$A$472:$BS$579,8,FALSE),0)</f>
        <v>1</v>
      </c>
      <c r="BK25" s="99">
        <f>IFERROR(VLOOKUP(BK$8,'Info planes y paquetes'!$A$472:$BS$579,8,FALSE),0)</f>
        <v>1</v>
      </c>
      <c r="BL25" s="99">
        <f>IFERROR(VLOOKUP(BL$8,'Info planes y paquetes'!$A$472:$BS$579,8,FALSE),0)</f>
        <v>2</v>
      </c>
      <c r="BM25" s="99">
        <f>IFERROR(VLOOKUP(BM$8,'Info planes y paquetes'!$A$472:$BS$579,8,FALSE),0)</f>
        <v>2</v>
      </c>
      <c r="BN25" s="99">
        <f>IFERROR(VLOOKUP(BN$8,'Info planes y paquetes'!$A$472:$BS$579,8,FALSE),0)</f>
        <v>2</v>
      </c>
      <c r="BO25" s="99">
        <f>IFERROR(VLOOKUP(BO$8,'Info planes y paquetes'!$A$472:$BS$579,8,FALSE),0)</f>
        <v>2</v>
      </c>
      <c r="BP25" s="99">
        <f>IFERROR(VLOOKUP(BP$8,'Info planes y paquetes'!$A$472:$BS$579,8,FALSE),0)</f>
        <v>0</v>
      </c>
      <c r="BQ25" s="99">
        <f>IFERROR(VLOOKUP(BQ$8,'Info planes y paquetes'!$A$472:$BS$579,8,FALSE),0)</f>
        <v>0</v>
      </c>
      <c r="BR25" s="99">
        <f>IFERROR(VLOOKUP(BR$8,'Info planes y paquetes'!$A$472:$BS$579,8,FALSE),0)</f>
        <v>0</v>
      </c>
      <c r="BS25" s="99">
        <f>IFERROR(VLOOKUP(BS$8,'Info planes y paquetes'!$A$472:$BS$579,8,FALSE),0)</f>
        <v>0</v>
      </c>
      <c r="BT25" s="99">
        <f>IFERROR(VLOOKUP(BT$8,'Info planes y paquetes'!$A$472:$BS$579,8,FALSE),0)</f>
        <v>0</v>
      </c>
      <c r="BU25" s="99">
        <f>IFERROR(VLOOKUP(BU$8,'Info planes y paquetes'!$A$472:$BS$579,8,FALSE),0)</f>
        <v>0</v>
      </c>
      <c r="BV25" s="99">
        <f>IFERROR(VLOOKUP(BV$8,'Info planes y paquetes'!$A$472:$BS$579,8,FALSE),0)</f>
        <v>0</v>
      </c>
      <c r="BW25" s="99">
        <f>IFERROR(VLOOKUP(BW$8,'Info planes y paquetes'!$A$472:$BS$579,8,FALSE),0)</f>
        <v>0</v>
      </c>
      <c r="BX25" s="99">
        <f>IFERROR(VLOOKUP(BX$8,'Info planes y paquetes'!$A$472:$BS$579,8,FALSE),0)</f>
        <v>0</v>
      </c>
      <c r="BY25" s="99">
        <f>IFERROR(VLOOKUP(BY$8,'Info planes y paquetes'!$A$472:$BS$579,8,FALSE),0)</f>
        <v>1</v>
      </c>
      <c r="BZ25" s="99">
        <f>IFERROR(VLOOKUP(BZ$8,'Info planes y paquetes'!$A$472:$BS$579,8,FALSE),0)</f>
        <v>1</v>
      </c>
      <c r="CA25" s="99">
        <f>IFERROR(VLOOKUP(CA$8,'Info planes y paquetes'!$A$472:$BS$579,8,FALSE),0)</f>
        <v>1</v>
      </c>
      <c r="CB25" s="99">
        <f>IFERROR(VLOOKUP(CB$8,'Info planes y paquetes'!$A$472:$BS$579,8,FALSE),0)</f>
        <v>2</v>
      </c>
      <c r="CC25" s="99">
        <f>IFERROR(VLOOKUP(CC$8,'Info planes y paquetes'!$A$472:$BS$579,8,FALSE),0)</f>
        <v>3</v>
      </c>
      <c r="CD25" s="99">
        <f>IFERROR(VLOOKUP(CD$8,'Info planes y paquetes'!$A$472:$BS$579,8,FALSE),0)</f>
        <v>0</v>
      </c>
      <c r="CE25" s="99">
        <f>IFERROR(VLOOKUP(CE$8,'Info planes y paquetes'!$A$472:$BS$579,8,FALSE),0)</f>
        <v>0</v>
      </c>
      <c r="CF25" s="99">
        <f>IFERROR(VLOOKUP(CF$8,'Info planes y paquetes'!$A$472:$BS$579,8,FALSE),0)</f>
        <v>0</v>
      </c>
      <c r="CG25" s="99">
        <f>IFERROR(VLOOKUP(CG$8,'Info planes y paquetes'!$A$472:$BS$579,8,FALSE),0)</f>
        <v>0</v>
      </c>
      <c r="CH25" s="99">
        <f>IFERROR(VLOOKUP(CH$8,'Info planes y paquetes'!$A$472:$BS$579,8,FALSE),0)</f>
        <v>1</v>
      </c>
      <c r="CI25" s="99">
        <f>IFERROR(VLOOKUP(CI$8,'Info planes y paquetes'!$A$472:$BS$579,8,FALSE),0)</f>
        <v>1</v>
      </c>
      <c r="CJ25" s="99">
        <f>IFERROR(VLOOKUP(CJ$8,'Info planes y paquetes'!$A$472:$BS$579,8,FALSE),0)</f>
        <v>1</v>
      </c>
      <c r="CK25" s="99">
        <f>IFERROR(VLOOKUP(CK$8,'Info planes y paquetes'!$A$472:$BS$579,8,FALSE),0)</f>
        <v>1</v>
      </c>
      <c r="CL25" s="99">
        <f>IFERROR(VLOOKUP(CL$8,'Info planes y paquetes'!$A$472:$BS$579,8,FALSE),0)</f>
        <v>1</v>
      </c>
      <c r="CM25" s="99">
        <f>IFERROR(VLOOKUP(CM$8,'Info planes y paquetes'!$A$472:$BS$579,8,FALSE),0)</f>
        <v>1</v>
      </c>
      <c r="CN25" s="99">
        <f>IFERROR(VLOOKUP(CN$8,'Info planes y paquetes'!$A$472:$BS$579,8,FALSE),0)</f>
        <v>1</v>
      </c>
      <c r="CO25" s="99">
        <f>IFERROR(VLOOKUP(CO$8,'Info planes y paquetes'!$A$472:$BS$579,8,FALSE),0)</f>
        <v>2</v>
      </c>
      <c r="CP25" s="99">
        <f>IFERROR(VLOOKUP(CP$8,'Info planes y paquetes'!$A$472:$BS$579,8,FALSE),0)</f>
        <v>2</v>
      </c>
      <c r="CQ25" s="99">
        <f>IFERROR(VLOOKUP(CQ$8,'Info planes y paquetes'!$A$472:$BS$579,8,FALSE),0)</f>
        <v>3</v>
      </c>
      <c r="CR25" s="99">
        <f>IFERROR(VLOOKUP(CR$8,'Info planes y paquetes'!$A$472:$BS$579,8,FALSE),0)</f>
        <v>3</v>
      </c>
      <c r="CS25" s="99">
        <f>IFERROR(VLOOKUP(CS$8,'Info planes y paquetes'!$A$472:$BS$579,8,FALSE),0)</f>
        <v>0</v>
      </c>
      <c r="CT25" s="99">
        <f>IFERROR(VLOOKUP(CT$8,'Info planes y paquetes'!$A$472:$BS$579,8,FALSE),0)</f>
        <v>0</v>
      </c>
      <c r="CU25" s="99">
        <f>IFERROR(VLOOKUP(CU$8,'Info planes y paquetes'!$A$472:$BS$579,8,FALSE),0)</f>
        <v>0</v>
      </c>
      <c r="CV25" s="99">
        <f>IFERROR(VLOOKUP(CV$8,'Info planes y paquetes'!$A$472:$BS$579,8,FALSE),0)</f>
        <v>0</v>
      </c>
      <c r="CW25" s="99">
        <f>IFERROR(VLOOKUP(CW$8,'Info planes y paquetes'!$A$472:$BS$579,8,FALSE),0)</f>
        <v>0</v>
      </c>
      <c r="CX25" s="99">
        <f>IFERROR(VLOOKUP(CX$8,'Info planes y paquetes'!$A$472:$BS$579,8,FALSE),0)</f>
        <v>0</v>
      </c>
      <c r="CY25" s="99">
        <f>IFERROR(VLOOKUP(CY$8,'Info planes y paquetes'!$A$472:$BS$579,8,FALSE),0)</f>
        <v>0</v>
      </c>
      <c r="CZ25" s="99">
        <f>IFERROR(VLOOKUP(CZ$8,'Info planes y paquetes'!$A$472:$BS$579,8,FALSE),0)</f>
        <v>0</v>
      </c>
      <c r="DA25" s="99">
        <f>IFERROR(VLOOKUP(DA$8,'Info planes y paquetes'!$A$472:$BS$579,8,FALSE),0)</f>
        <v>0</v>
      </c>
      <c r="DB25" s="99">
        <f>IFERROR(VLOOKUP(DB$8,'Info planes y paquetes'!$A$472:$BS$579,8,FALSE),0)</f>
        <v>1</v>
      </c>
      <c r="DC25" s="99">
        <f>IFERROR(VLOOKUP(DC$8,'Info planes y paquetes'!$A$472:$BS$579,8,FALSE),0)</f>
        <v>2</v>
      </c>
      <c r="DD25" s="99">
        <f>IFERROR(VLOOKUP(DD$8,'Info planes y paquetes'!$A$472:$BS$579,8,FALSE),0)</f>
        <v>2</v>
      </c>
      <c r="DE25" s="99">
        <f>IFERROR(VLOOKUP(DE$8,'Info planes y paquetes'!$A$472:$BS$579,8,FALSE),0)</f>
        <v>2</v>
      </c>
      <c r="DF25" s="99">
        <f>IFERROR(VLOOKUP(DF$8,'Info planes y paquetes'!$A$472:$BS$579,8,FALSE),0)</f>
        <v>4</v>
      </c>
      <c r="DG25" s="99">
        <f>IFERROR(VLOOKUP(DG$8,'Info planes y paquetes'!$A$472:$BS$579,8,FALSE),0)</f>
        <v>6</v>
      </c>
      <c r="DH25" s="99">
        <f>IFERROR(VLOOKUP(DH$8,'Info planes y paquetes'!$A$472:$BS$579,8,FALSE),0)</f>
        <v>1</v>
      </c>
      <c r="DI25" s="99">
        <f>IFERROR(VLOOKUP(DI$8,'Info planes y paquetes'!$A$472:$BS$579,8,FALSE),0)</f>
        <v>1</v>
      </c>
      <c r="DJ25" s="99">
        <f>IFERROR(VLOOKUP(DJ$8,'Info planes y paquetes'!$A$472:$BS$579,8,FALSE),0)</f>
        <v>1</v>
      </c>
      <c r="DK25" s="99">
        <f>IFERROR(VLOOKUP(DK$8,'Info planes y paquetes'!$A$472:$BS$579,8,FALSE),0)</f>
        <v>2</v>
      </c>
      <c r="DL25" s="99">
        <f>IFERROR(VLOOKUP(DL$8,'Info planes y paquetes'!$A$472:$BS$579,8,FALSE),0)</f>
        <v>2</v>
      </c>
      <c r="DM25" s="99">
        <f>IFERROR(VLOOKUP(DM$8,'Info planes y paquetes'!$A$472:$BS$579,8,FALSE),0)</f>
        <v>2</v>
      </c>
      <c r="DN25" s="99">
        <f>IFERROR(VLOOKUP(DN$8,'Info planes y paquetes'!$A$472:$BS$579,8,FALSE),0)</f>
        <v>2</v>
      </c>
      <c r="DO25" s="99"/>
      <c r="DP25" s="99"/>
      <c r="DQ25" s="99"/>
      <c r="DR25" s="99"/>
      <c r="DS25" s="99"/>
      <c r="DT25" s="99"/>
      <c r="DU25" s="99"/>
      <c r="DV25" s="99"/>
      <c r="DW25" s="99"/>
      <c r="DX25" s="99"/>
      <c r="DY25" s="99"/>
      <c r="DZ25" s="99"/>
      <c r="EA25" s="99"/>
      <c r="EB25" s="99"/>
      <c r="EC25" s="99"/>
      <c r="ED25" s="99"/>
      <c r="EE25" s="99"/>
      <c r="EF25" s="99"/>
      <c r="EG25" s="99"/>
      <c r="EH25" s="99"/>
      <c r="EI25" s="99"/>
      <c r="EJ25" s="99"/>
      <c r="EK25" s="99"/>
      <c r="EL25" s="99"/>
      <c r="EM25" s="99"/>
      <c r="EN25" s="99"/>
      <c r="EO25" s="99"/>
      <c r="EP25" s="99"/>
      <c r="EQ25" s="99"/>
      <c r="ER25" s="99"/>
      <c r="ES25" s="99"/>
      <c r="ET25" s="99"/>
      <c r="EU25" s="99"/>
      <c r="EV25" s="99"/>
      <c r="EW25" s="99"/>
      <c r="EX25" s="99"/>
      <c r="EY25" s="99"/>
      <c r="EZ25" s="99"/>
      <c r="FA25" s="99"/>
      <c r="FB25" s="99"/>
      <c r="FC25" s="99"/>
      <c r="FD25" s="99"/>
      <c r="FE25" s="99"/>
      <c r="FF25" s="99"/>
      <c r="FG25" s="99"/>
      <c r="FH25" s="99"/>
      <c r="FI25" s="99"/>
      <c r="FJ25" s="99"/>
      <c r="FK25" s="99"/>
      <c r="FL25" s="99"/>
      <c r="FM25" s="99"/>
      <c r="FN25" s="99"/>
      <c r="FO25" s="99"/>
      <c r="FP25" s="99"/>
      <c r="FQ25" s="99"/>
      <c r="FR25" s="99"/>
      <c r="FS25" s="99"/>
      <c r="FT25" s="99"/>
      <c r="FU25" s="99"/>
      <c r="FV25" s="99"/>
      <c r="FW25" s="99"/>
      <c r="FX25" s="99"/>
      <c r="FY25" s="99"/>
      <c r="FZ25" s="99"/>
      <c r="GA25" s="99"/>
      <c r="GB25" s="99"/>
      <c r="GC25" s="99"/>
      <c r="GD25" s="99"/>
      <c r="GE25" s="99"/>
      <c r="GF25" s="99"/>
      <c r="GG25" s="99"/>
      <c r="GH25" s="99"/>
      <c r="GI25" s="99"/>
      <c r="GJ25" s="99"/>
      <c r="GK25" s="99"/>
      <c r="GL25" s="99"/>
      <c r="GM25" s="99"/>
      <c r="GN25" s="99"/>
      <c r="GO25" s="99"/>
      <c r="GP25" s="99"/>
      <c r="GQ25" s="99"/>
      <c r="GR25" s="99"/>
      <c r="GS25" s="99"/>
      <c r="GT25" s="99"/>
      <c r="GU25" s="99"/>
      <c r="GV25" s="99"/>
      <c r="GW25" s="99"/>
      <c r="GX25" s="99"/>
      <c r="GY25" s="99"/>
      <c r="GZ25" s="99"/>
      <c r="HA25" s="99"/>
      <c r="HB25" s="99"/>
      <c r="HC25" s="99"/>
      <c r="HD25" s="99"/>
      <c r="HE25" s="99"/>
      <c r="HF25" s="99"/>
      <c r="HG25" s="99"/>
      <c r="HH25" s="99"/>
      <c r="HI25" s="99"/>
      <c r="HJ25" s="99"/>
      <c r="HK25" s="99"/>
      <c r="HL25" s="99"/>
      <c r="HM25" s="155" t="s">
        <v>915</v>
      </c>
    </row>
    <row r="26" spans="1:221" s="44" customFormat="1" x14ac:dyDescent="0.25">
      <c r="C26" s="102"/>
      <c r="BG26" s="262"/>
      <c r="BH26" s="262"/>
      <c r="BI26" s="262"/>
      <c r="BJ26" s="262"/>
      <c r="BK26" s="262"/>
      <c r="BL26" s="262"/>
      <c r="BM26" s="262"/>
      <c r="BN26" s="262"/>
      <c r="BO26" s="262"/>
      <c r="BP26" s="262"/>
      <c r="BQ26" s="262"/>
      <c r="BR26" s="262"/>
      <c r="BS26" s="262"/>
      <c r="BT26" s="262"/>
      <c r="BU26" s="262"/>
      <c r="BV26" s="262"/>
      <c r="BW26" s="262"/>
      <c r="BX26" s="262"/>
      <c r="BY26" s="262"/>
      <c r="BZ26" s="262"/>
      <c r="CA26" s="262"/>
      <c r="CB26" s="262"/>
      <c r="CC26" s="262"/>
      <c r="CD26" s="262"/>
      <c r="CE26" s="262"/>
      <c r="CF26" s="262"/>
      <c r="CG26" s="262"/>
      <c r="CH26" s="262"/>
      <c r="CI26" s="262"/>
      <c r="CJ26" s="262"/>
      <c r="CK26" s="262"/>
      <c r="CL26" s="262"/>
      <c r="CM26" s="262"/>
      <c r="CN26" s="262"/>
      <c r="CO26" s="262"/>
      <c r="CP26" s="262"/>
      <c r="CQ26" s="262"/>
      <c r="CR26" s="262"/>
      <c r="CS26" s="262"/>
      <c r="CT26" s="262"/>
      <c r="CU26" s="262"/>
      <c r="CV26" s="262"/>
      <c r="CW26" s="262"/>
      <c r="CX26" s="262"/>
      <c r="CY26" s="262"/>
      <c r="CZ26" s="262"/>
      <c r="DA26" s="262"/>
      <c r="DB26" s="262"/>
      <c r="DC26" s="262"/>
      <c r="DD26" s="262"/>
      <c r="DE26" s="262"/>
      <c r="DF26" s="262"/>
      <c r="DG26" s="262"/>
      <c r="DH26" s="262"/>
      <c r="DI26" s="262"/>
      <c r="DJ26" s="262"/>
      <c r="DK26" s="262"/>
      <c r="DL26" s="262"/>
      <c r="DM26" s="262"/>
      <c r="DN26" s="262"/>
      <c r="DO26" s="262"/>
      <c r="DP26" s="262"/>
      <c r="DQ26" s="262"/>
      <c r="DR26" s="262"/>
      <c r="DS26" s="262"/>
      <c r="DT26" s="262"/>
      <c r="DU26" s="262"/>
      <c r="DV26" s="262"/>
      <c r="DW26" s="262"/>
      <c r="DX26" s="262"/>
      <c r="DY26" s="262"/>
      <c r="DZ26" s="262"/>
      <c r="EA26" s="262"/>
      <c r="EB26" s="262"/>
      <c r="EC26" s="262"/>
      <c r="ED26" s="262"/>
      <c r="EE26" s="262"/>
      <c r="EF26" s="262"/>
      <c r="EG26" s="262"/>
      <c r="EH26" s="262"/>
      <c r="EI26" s="262"/>
      <c r="EJ26" s="262"/>
      <c r="EK26" s="262"/>
      <c r="EL26" s="262"/>
      <c r="EM26" s="262"/>
      <c r="EN26" s="262"/>
      <c r="EO26" s="262"/>
      <c r="EP26" s="262"/>
      <c r="EQ26" s="262"/>
      <c r="ER26" s="262"/>
      <c r="ES26" s="262"/>
      <c r="ET26" s="262"/>
      <c r="EU26" s="262"/>
      <c r="EV26" s="262"/>
      <c r="EW26" s="262"/>
      <c r="EX26" s="262"/>
      <c r="EY26" s="262"/>
      <c r="EZ26" s="262"/>
      <c r="FA26" s="262"/>
      <c r="FB26" s="262"/>
      <c r="FC26" s="262"/>
      <c r="FD26" s="262"/>
      <c r="FE26" s="262"/>
      <c r="FF26" s="262"/>
      <c r="FG26" s="262"/>
      <c r="FH26" s="262"/>
      <c r="FI26" s="262"/>
      <c r="FJ26" s="262"/>
      <c r="FK26" s="262"/>
      <c r="FL26" s="262"/>
      <c r="FM26" s="262"/>
      <c r="FN26" s="262"/>
      <c r="FO26" s="262"/>
      <c r="FP26" s="262"/>
      <c r="FQ26" s="262"/>
      <c r="FR26" s="262"/>
      <c r="FS26" s="262"/>
      <c r="FT26" s="262"/>
      <c r="FU26" s="262"/>
      <c r="FV26" s="262"/>
      <c r="FW26" s="262"/>
      <c r="FX26" s="262"/>
      <c r="FY26" s="262"/>
      <c r="FZ26" s="262"/>
      <c r="GA26" s="262"/>
      <c r="GB26" s="262"/>
      <c r="GC26" s="262"/>
      <c r="GD26" s="262"/>
      <c r="GE26" s="262"/>
      <c r="GF26" s="262"/>
      <c r="GG26" s="262"/>
      <c r="GH26" s="262"/>
      <c r="GI26" s="262"/>
      <c r="GJ26" s="262"/>
      <c r="GK26" s="262"/>
      <c r="GL26" s="262"/>
      <c r="GM26" s="262"/>
      <c r="GN26" s="262"/>
      <c r="GO26" s="262"/>
      <c r="GP26" s="262"/>
      <c r="GQ26" s="262"/>
      <c r="GR26" s="262"/>
      <c r="GS26" s="262"/>
      <c r="GT26" s="262"/>
      <c r="GU26" s="262"/>
      <c r="GV26" s="262"/>
      <c r="GW26" s="262"/>
      <c r="GX26" s="262"/>
      <c r="GY26" s="262"/>
      <c r="GZ26" s="262"/>
      <c r="HA26" s="262"/>
      <c r="HB26" s="262"/>
      <c r="HC26" s="262"/>
      <c r="HD26" s="262"/>
      <c r="HE26" s="262"/>
      <c r="HF26" s="262"/>
      <c r="HG26" s="262"/>
      <c r="HH26" s="262"/>
      <c r="HI26" s="262"/>
      <c r="HJ26" s="262"/>
      <c r="HK26" s="262"/>
      <c r="HL26" s="262"/>
    </row>
    <row r="27" spans="1:221" ht="12" x14ac:dyDescent="0.25">
      <c r="B27" s="100">
        <v>2.1</v>
      </c>
      <c r="C27" s="100" t="s">
        <v>531</v>
      </c>
      <c r="D27" s="100"/>
      <c r="E27" s="100"/>
      <c r="F27" s="100"/>
      <c r="G27" s="100"/>
      <c r="H27" s="100"/>
      <c r="I27" s="161">
        <f>I28</f>
        <v>156.55000000000001</v>
      </c>
      <c r="J27" s="161">
        <f t="shared" ref="J27:BU27" si="35">J28</f>
        <v>198</v>
      </c>
      <c r="K27" s="161">
        <f t="shared" si="35"/>
        <v>0</v>
      </c>
      <c r="L27" s="161">
        <f t="shared" si="35"/>
        <v>0</v>
      </c>
      <c r="M27" s="161">
        <f>M28</f>
        <v>0</v>
      </c>
      <c r="N27" s="161">
        <f t="shared" si="35"/>
        <v>0</v>
      </c>
      <c r="O27" s="161">
        <f t="shared" si="35"/>
        <v>0</v>
      </c>
      <c r="P27" s="161">
        <f t="shared" si="35"/>
        <v>0</v>
      </c>
      <c r="Q27" s="161">
        <f t="shared" si="35"/>
        <v>0</v>
      </c>
      <c r="R27" s="161">
        <f t="shared" si="35"/>
        <v>0</v>
      </c>
      <c r="S27" s="161">
        <f>S28</f>
        <v>0</v>
      </c>
      <c r="T27" s="161">
        <f t="shared" si="35"/>
        <v>0</v>
      </c>
      <c r="U27" s="161">
        <f t="shared" si="35"/>
        <v>0</v>
      </c>
      <c r="V27" s="161">
        <f t="shared" si="35"/>
        <v>0</v>
      </c>
      <c r="W27" s="161">
        <f t="shared" si="35"/>
        <v>156.55000000000001</v>
      </c>
      <c r="X27" s="161">
        <f t="shared" si="35"/>
        <v>156.55000000000001</v>
      </c>
      <c r="Y27" s="161">
        <f t="shared" si="35"/>
        <v>156.55000000000001</v>
      </c>
      <c r="Z27" s="161">
        <f>Z28</f>
        <v>156.55000000000001</v>
      </c>
      <c r="AA27" s="161">
        <f t="shared" si="35"/>
        <v>313.10000000000002</v>
      </c>
      <c r="AB27" s="161">
        <f t="shared" si="35"/>
        <v>156.55000000000001</v>
      </c>
      <c r="AC27" s="161">
        <f t="shared" si="35"/>
        <v>198</v>
      </c>
      <c r="AD27" s="161">
        <f t="shared" si="35"/>
        <v>939.30000000000007</v>
      </c>
      <c r="AE27" s="161">
        <f t="shared" si="35"/>
        <v>156.55000000000001</v>
      </c>
      <c r="AF27" s="161">
        <f t="shared" si="35"/>
        <v>396</v>
      </c>
      <c r="AG27" s="161">
        <f t="shared" si="35"/>
        <v>396</v>
      </c>
      <c r="AH27" s="161">
        <f>AH28</f>
        <v>469.65000000000003</v>
      </c>
      <c r="AI27" s="161">
        <f t="shared" si="35"/>
        <v>396</v>
      </c>
      <c r="AJ27" s="161">
        <f t="shared" si="35"/>
        <v>792</v>
      </c>
      <c r="AK27" s="161">
        <f t="shared" si="35"/>
        <v>1188</v>
      </c>
      <c r="AL27" s="161">
        <f t="shared" si="35"/>
        <v>0</v>
      </c>
      <c r="AM27" s="161">
        <f t="shared" si="35"/>
        <v>0</v>
      </c>
      <c r="AN27" s="161">
        <f t="shared" si="35"/>
        <v>0</v>
      </c>
      <c r="AO27" s="161">
        <f t="shared" si="35"/>
        <v>156.55000000000001</v>
      </c>
      <c r="AP27" s="161">
        <f t="shared" si="35"/>
        <v>156.55000000000001</v>
      </c>
      <c r="AQ27" s="161">
        <f t="shared" si="35"/>
        <v>156.55000000000001</v>
      </c>
      <c r="AR27" s="161">
        <f t="shared" si="35"/>
        <v>156.55000000000001</v>
      </c>
      <c r="AS27" s="161">
        <f>AS28</f>
        <v>156.55000000000001</v>
      </c>
      <c r="AT27" s="161">
        <f t="shared" si="35"/>
        <v>156.55000000000001</v>
      </c>
      <c r="AU27" s="161">
        <f t="shared" si="35"/>
        <v>156.55000000000001</v>
      </c>
      <c r="AV27" s="161">
        <f t="shared" si="35"/>
        <v>156.55000000000001</v>
      </c>
      <c r="AW27" s="161">
        <f t="shared" si="35"/>
        <v>156.55000000000001</v>
      </c>
      <c r="AX27" s="161">
        <f t="shared" si="35"/>
        <v>469.65000000000003</v>
      </c>
      <c r="AY27" s="161">
        <f t="shared" si="35"/>
        <v>469.65000000000003</v>
      </c>
      <c r="AZ27" s="161">
        <f t="shared" si="35"/>
        <v>0</v>
      </c>
      <c r="BA27" s="161">
        <f t="shared" si="35"/>
        <v>0</v>
      </c>
      <c r="BB27" s="161">
        <f t="shared" si="35"/>
        <v>0</v>
      </c>
      <c r="BC27" s="161">
        <f t="shared" si="35"/>
        <v>0</v>
      </c>
      <c r="BD27" s="161">
        <f t="shared" si="35"/>
        <v>0</v>
      </c>
      <c r="BE27" s="161">
        <f t="shared" si="35"/>
        <v>0</v>
      </c>
      <c r="BF27" s="161">
        <f t="shared" si="35"/>
        <v>0</v>
      </c>
      <c r="BG27" s="161">
        <f t="shared" si="35"/>
        <v>0</v>
      </c>
      <c r="BH27" s="161">
        <f t="shared" si="35"/>
        <v>0</v>
      </c>
      <c r="BI27" s="161">
        <f t="shared" si="35"/>
        <v>198</v>
      </c>
      <c r="BJ27" s="161">
        <f t="shared" si="35"/>
        <v>198</v>
      </c>
      <c r="BK27" s="161">
        <f t="shared" si="35"/>
        <v>198</v>
      </c>
      <c r="BL27" s="161">
        <f t="shared" si="35"/>
        <v>396</v>
      </c>
      <c r="BM27" s="161">
        <f t="shared" si="35"/>
        <v>396</v>
      </c>
      <c r="BN27" s="161">
        <f t="shared" si="35"/>
        <v>396</v>
      </c>
      <c r="BO27" s="161">
        <f t="shared" si="35"/>
        <v>396</v>
      </c>
      <c r="BP27" s="161">
        <f t="shared" si="35"/>
        <v>0</v>
      </c>
      <c r="BQ27" s="161">
        <f t="shared" si="35"/>
        <v>0</v>
      </c>
      <c r="BR27" s="161">
        <f t="shared" si="35"/>
        <v>0</v>
      </c>
      <c r="BS27" s="161">
        <f t="shared" si="35"/>
        <v>0</v>
      </c>
      <c r="BT27" s="161">
        <f t="shared" si="35"/>
        <v>0</v>
      </c>
      <c r="BU27" s="161">
        <f t="shared" si="35"/>
        <v>0</v>
      </c>
      <c r="BV27" s="161">
        <f>BV28</f>
        <v>0</v>
      </c>
      <c r="BW27" s="161">
        <f>BW28</f>
        <v>0</v>
      </c>
      <c r="BX27" s="161">
        <f>BX28</f>
        <v>0</v>
      </c>
      <c r="BY27" s="161">
        <f>BY28</f>
        <v>156.55000000000001</v>
      </c>
      <c r="BZ27" s="161">
        <f>BZ28</f>
        <v>156.55000000000001</v>
      </c>
      <c r="CA27" s="161">
        <f t="shared" ref="CA27:DN27" si="36">CA28</f>
        <v>156.55000000000001</v>
      </c>
      <c r="CB27" s="161">
        <f t="shared" si="36"/>
        <v>313.10000000000002</v>
      </c>
      <c r="CC27" s="161">
        <f t="shared" si="36"/>
        <v>469.65000000000003</v>
      </c>
      <c r="CD27" s="161">
        <f t="shared" si="36"/>
        <v>0</v>
      </c>
      <c r="CE27" s="161">
        <f t="shared" si="36"/>
        <v>0</v>
      </c>
      <c r="CF27" s="161">
        <f t="shared" si="36"/>
        <v>0</v>
      </c>
      <c r="CG27" s="161">
        <f t="shared" si="36"/>
        <v>0</v>
      </c>
      <c r="CH27" s="161">
        <f t="shared" si="36"/>
        <v>156.55000000000001</v>
      </c>
      <c r="CI27" s="161">
        <f t="shared" si="36"/>
        <v>156.55000000000001</v>
      </c>
      <c r="CJ27" s="161">
        <f t="shared" si="36"/>
        <v>156.55000000000001</v>
      </c>
      <c r="CK27" s="161">
        <f t="shared" si="36"/>
        <v>156.55000000000001</v>
      </c>
      <c r="CL27" s="161">
        <f t="shared" si="36"/>
        <v>156.55000000000001</v>
      </c>
      <c r="CM27" s="161">
        <f t="shared" si="36"/>
        <v>156.55000000000001</v>
      </c>
      <c r="CN27" s="161">
        <f t="shared" si="36"/>
        <v>156.55000000000001</v>
      </c>
      <c r="CO27" s="161">
        <f t="shared" si="36"/>
        <v>313.10000000000002</v>
      </c>
      <c r="CP27" s="161">
        <f t="shared" si="36"/>
        <v>313.10000000000002</v>
      </c>
      <c r="CQ27" s="161">
        <f t="shared" si="36"/>
        <v>469.65000000000003</v>
      </c>
      <c r="CR27" s="161">
        <f t="shared" si="36"/>
        <v>469.65000000000003</v>
      </c>
      <c r="CS27" s="161">
        <f t="shared" si="36"/>
        <v>0</v>
      </c>
      <c r="CT27" s="161">
        <f t="shared" si="36"/>
        <v>0</v>
      </c>
      <c r="CU27" s="161">
        <f t="shared" si="36"/>
        <v>0</v>
      </c>
      <c r="CV27" s="161">
        <f t="shared" si="36"/>
        <v>0</v>
      </c>
      <c r="CW27" s="161">
        <f t="shared" si="36"/>
        <v>0</v>
      </c>
      <c r="CX27" s="161">
        <f t="shared" si="36"/>
        <v>0</v>
      </c>
      <c r="CY27" s="161">
        <f t="shared" si="36"/>
        <v>0</v>
      </c>
      <c r="CZ27" s="161">
        <f t="shared" si="36"/>
        <v>0</v>
      </c>
      <c r="DA27" s="161">
        <f t="shared" si="36"/>
        <v>0</v>
      </c>
      <c r="DB27" s="161">
        <f t="shared" si="36"/>
        <v>198</v>
      </c>
      <c r="DC27" s="161">
        <f t="shared" si="36"/>
        <v>396</v>
      </c>
      <c r="DD27" s="161">
        <f t="shared" si="36"/>
        <v>396</v>
      </c>
      <c r="DE27" s="161">
        <f t="shared" si="36"/>
        <v>396</v>
      </c>
      <c r="DF27" s="161">
        <f t="shared" si="36"/>
        <v>792</v>
      </c>
      <c r="DG27" s="161">
        <f t="shared" si="36"/>
        <v>1188</v>
      </c>
      <c r="DH27" s="161">
        <f t="shared" si="36"/>
        <v>198</v>
      </c>
      <c r="DI27" s="161">
        <f t="shared" si="36"/>
        <v>198</v>
      </c>
      <c r="DJ27" s="161">
        <f t="shared" si="36"/>
        <v>198</v>
      </c>
      <c r="DK27" s="161">
        <f t="shared" si="36"/>
        <v>396</v>
      </c>
      <c r="DL27" s="161">
        <f t="shared" si="36"/>
        <v>396</v>
      </c>
      <c r="DM27" s="161">
        <f t="shared" si="36"/>
        <v>396</v>
      </c>
      <c r="DN27" s="161">
        <f t="shared" si="36"/>
        <v>396</v>
      </c>
      <c r="DO27" s="161"/>
      <c r="DP27" s="161"/>
      <c r="DQ27" s="161"/>
      <c r="DR27" s="161"/>
      <c r="DS27" s="161"/>
      <c r="DT27" s="161"/>
      <c r="DU27" s="161"/>
      <c r="DV27" s="161"/>
      <c r="DW27" s="161"/>
      <c r="DX27" s="161"/>
      <c r="DY27" s="161"/>
      <c r="DZ27" s="161"/>
      <c r="EA27" s="161"/>
      <c r="EB27" s="161"/>
      <c r="EC27" s="161"/>
      <c r="ED27" s="161"/>
      <c r="EE27" s="161"/>
      <c r="EF27" s="161"/>
      <c r="EG27" s="161"/>
      <c r="EH27" s="161"/>
      <c r="EI27" s="161"/>
      <c r="EJ27" s="161"/>
      <c r="EK27" s="161"/>
      <c r="EL27" s="161"/>
      <c r="EM27" s="161"/>
      <c r="EN27" s="161"/>
      <c r="EO27" s="161"/>
      <c r="EP27" s="161"/>
      <c r="EQ27" s="161"/>
      <c r="ER27" s="161"/>
      <c r="ES27" s="161"/>
      <c r="ET27" s="161"/>
      <c r="EU27" s="161"/>
      <c r="EV27" s="161"/>
      <c r="EW27" s="161"/>
      <c r="EX27" s="161"/>
      <c r="EY27" s="161"/>
      <c r="EZ27" s="161"/>
      <c r="FA27" s="161"/>
      <c r="FB27" s="161"/>
      <c r="FC27" s="161"/>
      <c r="FD27" s="161"/>
      <c r="FE27" s="161"/>
      <c r="FF27" s="161"/>
      <c r="FG27" s="161"/>
      <c r="FH27" s="161"/>
      <c r="FI27" s="161"/>
      <c r="FJ27" s="161"/>
      <c r="FK27" s="161"/>
      <c r="FL27" s="161"/>
      <c r="FM27" s="161"/>
      <c r="FN27" s="161"/>
      <c r="FO27" s="161"/>
      <c r="FP27" s="161"/>
      <c r="FQ27" s="161"/>
      <c r="FR27" s="161"/>
      <c r="FS27" s="161"/>
      <c r="FT27" s="161"/>
      <c r="FU27" s="161"/>
      <c r="FV27" s="161"/>
      <c r="FW27" s="161"/>
      <c r="FX27" s="161"/>
      <c r="FY27" s="161"/>
      <c r="FZ27" s="161"/>
      <c r="GA27" s="161"/>
      <c r="GB27" s="161"/>
      <c r="GC27" s="161"/>
      <c r="GD27" s="161"/>
      <c r="GE27" s="161"/>
      <c r="GF27" s="161"/>
      <c r="GG27" s="161"/>
      <c r="GH27" s="161"/>
      <c r="GI27" s="161"/>
      <c r="GJ27" s="161"/>
      <c r="GK27" s="161"/>
      <c r="GL27" s="161"/>
      <c r="GM27" s="161"/>
      <c r="GN27" s="161"/>
      <c r="GO27" s="161"/>
      <c r="GP27" s="161"/>
      <c r="GQ27" s="161"/>
      <c r="GR27" s="161"/>
      <c r="GS27" s="161"/>
      <c r="GT27" s="161"/>
      <c r="GU27" s="161"/>
      <c r="GV27" s="161"/>
      <c r="GW27" s="161"/>
      <c r="GX27" s="161"/>
      <c r="GY27" s="161"/>
      <c r="GZ27" s="161"/>
      <c r="HA27" s="161"/>
      <c r="HB27" s="161"/>
      <c r="HC27" s="161"/>
      <c r="HD27" s="161"/>
      <c r="HE27" s="161"/>
      <c r="HF27" s="161"/>
      <c r="HG27" s="161"/>
      <c r="HH27" s="161"/>
      <c r="HI27" s="161"/>
      <c r="HJ27" s="161"/>
      <c r="HK27" s="161"/>
      <c r="HL27" s="161"/>
      <c r="HM27" s="155" t="s">
        <v>548</v>
      </c>
    </row>
    <row r="28" spans="1:221" x14ac:dyDescent="0.25">
      <c r="C28" s="103" t="s">
        <v>532</v>
      </c>
      <c r="G28" s="77" t="s">
        <v>533</v>
      </c>
      <c r="H28" t="s">
        <v>534</v>
      </c>
      <c r="I28" s="627">
        <v>156.55000000000001</v>
      </c>
      <c r="J28" s="627">
        <v>198</v>
      </c>
      <c r="K28" s="160">
        <f>IF(K5&lt;&gt;"Internet fijo", IF(K7="Residencial",$I$28,$J$28),0)*K25</f>
        <v>0</v>
      </c>
      <c r="L28" s="160">
        <f t="shared" ref="L28:BW28" si="37">IF(L5&lt;&gt;"Internet fijo", IF(L7="Residencial",$I$28,$J$28),0)*L25</f>
        <v>0</v>
      </c>
      <c r="M28" s="160">
        <f t="shared" si="37"/>
        <v>0</v>
      </c>
      <c r="N28" s="160">
        <f t="shared" si="37"/>
        <v>0</v>
      </c>
      <c r="O28" s="160">
        <f t="shared" si="37"/>
        <v>0</v>
      </c>
      <c r="P28" s="160">
        <f t="shared" si="37"/>
        <v>0</v>
      </c>
      <c r="Q28" s="160">
        <f t="shared" si="37"/>
        <v>0</v>
      </c>
      <c r="R28" s="160">
        <f t="shared" si="37"/>
        <v>0</v>
      </c>
      <c r="S28" s="160">
        <f t="shared" si="37"/>
        <v>0</v>
      </c>
      <c r="T28" s="160">
        <f t="shared" si="37"/>
        <v>0</v>
      </c>
      <c r="U28" s="160">
        <f t="shared" si="37"/>
        <v>0</v>
      </c>
      <c r="V28" s="160">
        <f t="shared" si="37"/>
        <v>0</v>
      </c>
      <c r="W28" s="160">
        <f t="shared" si="37"/>
        <v>156.55000000000001</v>
      </c>
      <c r="X28" s="160">
        <f t="shared" si="37"/>
        <v>156.55000000000001</v>
      </c>
      <c r="Y28" s="160">
        <f t="shared" si="37"/>
        <v>156.55000000000001</v>
      </c>
      <c r="Z28" s="160">
        <f t="shared" si="37"/>
        <v>156.55000000000001</v>
      </c>
      <c r="AA28" s="160">
        <f t="shared" si="37"/>
        <v>313.10000000000002</v>
      </c>
      <c r="AB28" s="160">
        <f t="shared" si="37"/>
        <v>156.55000000000001</v>
      </c>
      <c r="AC28" s="160">
        <f t="shared" si="37"/>
        <v>198</v>
      </c>
      <c r="AD28" s="160">
        <f t="shared" si="37"/>
        <v>939.30000000000007</v>
      </c>
      <c r="AE28" s="160">
        <f t="shared" si="37"/>
        <v>156.55000000000001</v>
      </c>
      <c r="AF28" s="160">
        <f t="shared" si="37"/>
        <v>396</v>
      </c>
      <c r="AG28" s="160">
        <f t="shared" si="37"/>
        <v>396</v>
      </c>
      <c r="AH28" s="160">
        <f t="shared" si="37"/>
        <v>469.65000000000003</v>
      </c>
      <c r="AI28" s="160">
        <f t="shared" si="37"/>
        <v>396</v>
      </c>
      <c r="AJ28" s="160">
        <f t="shared" si="37"/>
        <v>792</v>
      </c>
      <c r="AK28" s="160">
        <f t="shared" si="37"/>
        <v>1188</v>
      </c>
      <c r="AL28" s="160">
        <f t="shared" si="37"/>
        <v>0</v>
      </c>
      <c r="AM28" s="160">
        <f t="shared" si="37"/>
        <v>0</v>
      </c>
      <c r="AN28" s="160">
        <f t="shared" si="37"/>
        <v>0</v>
      </c>
      <c r="AO28" s="160">
        <f t="shared" si="37"/>
        <v>156.55000000000001</v>
      </c>
      <c r="AP28" s="160">
        <f t="shared" si="37"/>
        <v>156.55000000000001</v>
      </c>
      <c r="AQ28" s="160">
        <f t="shared" si="37"/>
        <v>156.55000000000001</v>
      </c>
      <c r="AR28" s="160">
        <f t="shared" si="37"/>
        <v>156.55000000000001</v>
      </c>
      <c r="AS28" s="160">
        <f t="shared" si="37"/>
        <v>156.55000000000001</v>
      </c>
      <c r="AT28" s="160">
        <f t="shared" si="37"/>
        <v>156.55000000000001</v>
      </c>
      <c r="AU28" s="160">
        <f t="shared" si="37"/>
        <v>156.55000000000001</v>
      </c>
      <c r="AV28" s="160">
        <f t="shared" si="37"/>
        <v>156.55000000000001</v>
      </c>
      <c r="AW28" s="160">
        <f t="shared" si="37"/>
        <v>156.55000000000001</v>
      </c>
      <c r="AX28" s="160">
        <f t="shared" si="37"/>
        <v>469.65000000000003</v>
      </c>
      <c r="AY28" s="160">
        <f t="shared" si="37"/>
        <v>469.65000000000003</v>
      </c>
      <c r="AZ28" s="160">
        <f t="shared" si="37"/>
        <v>0</v>
      </c>
      <c r="BA28" s="160">
        <f t="shared" si="37"/>
        <v>0</v>
      </c>
      <c r="BB28" s="160">
        <f t="shared" si="37"/>
        <v>0</v>
      </c>
      <c r="BC28" s="160">
        <f t="shared" si="37"/>
        <v>0</v>
      </c>
      <c r="BD28" s="160">
        <f t="shared" si="37"/>
        <v>0</v>
      </c>
      <c r="BE28" s="160">
        <f t="shared" si="37"/>
        <v>0</v>
      </c>
      <c r="BF28" s="160">
        <f t="shared" si="37"/>
        <v>0</v>
      </c>
      <c r="BG28" s="160">
        <f t="shared" si="37"/>
        <v>0</v>
      </c>
      <c r="BH28" s="160">
        <f t="shared" si="37"/>
        <v>0</v>
      </c>
      <c r="BI28" s="160">
        <f t="shared" si="37"/>
        <v>198</v>
      </c>
      <c r="BJ28" s="160">
        <f t="shared" si="37"/>
        <v>198</v>
      </c>
      <c r="BK28" s="160">
        <f t="shared" si="37"/>
        <v>198</v>
      </c>
      <c r="BL28" s="160">
        <f t="shared" si="37"/>
        <v>396</v>
      </c>
      <c r="BM28" s="160">
        <f t="shared" si="37"/>
        <v>396</v>
      </c>
      <c r="BN28" s="160">
        <f t="shared" si="37"/>
        <v>396</v>
      </c>
      <c r="BO28" s="160">
        <f t="shared" si="37"/>
        <v>396</v>
      </c>
      <c r="BP28" s="160">
        <f t="shared" si="37"/>
        <v>0</v>
      </c>
      <c r="BQ28" s="160">
        <f t="shared" si="37"/>
        <v>0</v>
      </c>
      <c r="BR28" s="160">
        <f t="shared" si="37"/>
        <v>0</v>
      </c>
      <c r="BS28" s="160">
        <f t="shared" si="37"/>
        <v>0</v>
      </c>
      <c r="BT28" s="160">
        <f t="shared" si="37"/>
        <v>0</v>
      </c>
      <c r="BU28" s="160">
        <f t="shared" si="37"/>
        <v>0</v>
      </c>
      <c r="BV28" s="160">
        <f t="shared" si="37"/>
        <v>0</v>
      </c>
      <c r="BW28" s="160">
        <f t="shared" si="37"/>
        <v>0</v>
      </c>
      <c r="BX28" s="160">
        <f t="shared" ref="BX28:EI28" si="38">IF(BX5&lt;&gt;"Internet fijo", IF(BX7="Residencial",$I$28,$J$28),0)*BX25</f>
        <v>0</v>
      </c>
      <c r="BY28" s="160">
        <f t="shared" si="38"/>
        <v>156.55000000000001</v>
      </c>
      <c r="BZ28" s="160">
        <f t="shared" si="38"/>
        <v>156.55000000000001</v>
      </c>
      <c r="CA28" s="160">
        <f t="shared" si="38"/>
        <v>156.55000000000001</v>
      </c>
      <c r="CB28" s="160">
        <f t="shared" si="38"/>
        <v>313.10000000000002</v>
      </c>
      <c r="CC28" s="160">
        <f t="shared" si="38"/>
        <v>469.65000000000003</v>
      </c>
      <c r="CD28" s="160">
        <f t="shared" si="38"/>
        <v>0</v>
      </c>
      <c r="CE28" s="160">
        <f t="shared" si="38"/>
        <v>0</v>
      </c>
      <c r="CF28" s="160">
        <f t="shared" si="38"/>
        <v>0</v>
      </c>
      <c r="CG28" s="160">
        <f t="shared" si="38"/>
        <v>0</v>
      </c>
      <c r="CH28" s="160">
        <f t="shared" si="38"/>
        <v>156.55000000000001</v>
      </c>
      <c r="CI28" s="160">
        <f t="shared" si="38"/>
        <v>156.55000000000001</v>
      </c>
      <c r="CJ28" s="160">
        <f t="shared" si="38"/>
        <v>156.55000000000001</v>
      </c>
      <c r="CK28" s="160">
        <f t="shared" si="38"/>
        <v>156.55000000000001</v>
      </c>
      <c r="CL28" s="160">
        <f t="shared" si="38"/>
        <v>156.55000000000001</v>
      </c>
      <c r="CM28" s="160">
        <f t="shared" si="38"/>
        <v>156.55000000000001</v>
      </c>
      <c r="CN28" s="160">
        <f t="shared" si="38"/>
        <v>156.55000000000001</v>
      </c>
      <c r="CO28" s="160">
        <f t="shared" si="38"/>
        <v>313.10000000000002</v>
      </c>
      <c r="CP28" s="160">
        <f t="shared" si="38"/>
        <v>313.10000000000002</v>
      </c>
      <c r="CQ28" s="160">
        <f t="shared" si="38"/>
        <v>469.65000000000003</v>
      </c>
      <c r="CR28" s="160">
        <f t="shared" si="38"/>
        <v>469.65000000000003</v>
      </c>
      <c r="CS28" s="160">
        <f t="shared" si="38"/>
        <v>0</v>
      </c>
      <c r="CT28" s="160">
        <f t="shared" si="38"/>
        <v>0</v>
      </c>
      <c r="CU28" s="160">
        <f t="shared" si="38"/>
        <v>0</v>
      </c>
      <c r="CV28" s="160">
        <f t="shared" si="38"/>
        <v>0</v>
      </c>
      <c r="CW28" s="160">
        <f t="shared" si="38"/>
        <v>0</v>
      </c>
      <c r="CX28" s="160">
        <f t="shared" si="38"/>
        <v>0</v>
      </c>
      <c r="CY28" s="160">
        <f t="shared" si="38"/>
        <v>0</v>
      </c>
      <c r="CZ28" s="160">
        <f t="shared" si="38"/>
        <v>0</v>
      </c>
      <c r="DA28" s="160">
        <f t="shared" si="38"/>
        <v>0</v>
      </c>
      <c r="DB28" s="160">
        <f t="shared" si="38"/>
        <v>198</v>
      </c>
      <c r="DC28" s="160">
        <f t="shared" si="38"/>
        <v>396</v>
      </c>
      <c r="DD28" s="160">
        <f t="shared" si="38"/>
        <v>396</v>
      </c>
      <c r="DE28" s="160">
        <f t="shared" si="38"/>
        <v>396</v>
      </c>
      <c r="DF28" s="160">
        <f t="shared" si="38"/>
        <v>792</v>
      </c>
      <c r="DG28" s="160">
        <f t="shared" si="38"/>
        <v>1188</v>
      </c>
      <c r="DH28" s="160">
        <f t="shared" si="38"/>
        <v>198</v>
      </c>
      <c r="DI28" s="160">
        <f t="shared" si="38"/>
        <v>198</v>
      </c>
      <c r="DJ28" s="160">
        <f t="shared" si="38"/>
        <v>198</v>
      </c>
      <c r="DK28" s="160">
        <f t="shared" si="38"/>
        <v>396</v>
      </c>
      <c r="DL28" s="160">
        <f t="shared" si="38"/>
        <v>396</v>
      </c>
      <c r="DM28" s="160">
        <f t="shared" si="38"/>
        <v>396</v>
      </c>
      <c r="DN28" s="160">
        <f t="shared" si="38"/>
        <v>396</v>
      </c>
      <c r="DO28" s="160">
        <f t="shared" si="38"/>
        <v>0</v>
      </c>
      <c r="DP28" s="160">
        <f t="shared" si="38"/>
        <v>0</v>
      </c>
      <c r="DQ28" s="160">
        <f t="shared" si="38"/>
        <v>0</v>
      </c>
      <c r="DR28" s="160">
        <f t="shared" si="38"/>
        <v>0</v>
      </c>
      <c r="DS28" s="160">
        <f t="shared" si="38"/>
        <v>0</v>
      </c>
      <c r="DT28" s="160">
        <f t="shared" si="38"/>
        <v>0</v>
      </c>
      <c r="DU28" s="160">
        <f t="shared" si="38"/>
        <v>0</v>
      </c>
      <c r="DV28" s="160">
        <f t="shared" si="38"/>
        <v>0</v>
      </c>
      <c r="DW28" s="160">
        <f t="shared" si="38"/>
        <v>0</v>
      </c>
      <c r="DX28" s="160">
        <f t="shared" si="38"/>
        <v>0</v>
      </c>
      <c r="DY28" s="160">
        <f t="shared" si="38"/>
        <v>0</v>
      </c>
      <c r="DZ28" s="160">
        <f t="shared" si="38"/>
        <v>0</v>
      </c>
      <c r="EA28" s="160">
        <f t="shared" si="38"/>
        <v>0</v>
      </c>
      <c r="EB28" s="160">
        <f t="shared" si="38"/>
        <v>0</v>
      </c>
      <c r="EC28" s="160">
        <f t="shared" si="38"/>
        <v>0</v>
      </c>
      <c r="ED28" s="160">
        <f t="shared" si="38"/>
        <v>0</v>
      </c>
      <c r="EE28" s="160">
        <f t="shared" si="38"/>
        <v>0</v>
      </c>
      <c r="EF28" s="160">
        <f t="shared" si="38"/>
        <v>0</v>
      </c>
      <c r="EG28" s="160">
        <f t="shared" si="38"/>
        <v>0</v>
      </c>
      <c r="EH28" s="160">
        <f t="shared" si="38"/>
        <v>0</v>
      </c>
      <c r="EI28" s="160">
        <f t="shared" si="38"/>
        <v>0</v>
      </c>
      <c r="EJ28" s="160">
        <f t="shared" ref="EJ28:GU28" si="39">IF(EJ5&lt;&gt;"Internet fijo", IF(EJ7="Residencial",$I$28,$J$28),0)*EJ25</f>
        <v>0</v>
      </c>
      <c r="EK28" s="160">
        <f t="shared" si="39"/>
        <v>0</v>
      </c>
      <c r="EL28" s="160">
        <f t="shared" si="39"/>
        <v>0</v>
      </c>
      <c r="EM28" s="160">
        <f t="shared" si="39"/>
        <v>0</v>
      </c>
      <c r="EN28" s="160">
        <f t="shared" si="39"/>
        <v>0</v>
      </c>
      <c r="EO28" s="160">
        <f t="shared" si="39"/>
        <v>0</v>
      </c>
      <c r="EP28" s="160">
        <f t="shared" si="39"/>
        <v>0</v>
      </c>
      <c r="EQ28" s="160">
        <f t="shared" si="39"/>
        <v>0</v>
      </c>
      <c r="ER28" s="160">
        <f t="shared" si="39"/>
        <v>0</v>
      </c>
      <c r="ES28" s="160">
        <f t="shared" si="39"/>
        <v>0</v>
      </c>
      <c r="ET28" s="160">
        <f t="shared" si="39"/>
        <v>0</v>
      </c>
      <c r="EU28" s="160">
        <f t="shared" si="39"/>
        <v>0</v>
      </c>
      <c r="EV28" s="160">
        <f t="shared" si="39"/>
        <v>0</v>
      </c>
      <c r="EW28" s="160">
        <f t="shared" si="39"/>
        <v>0</v>
      </c>
      <c r="EX28" s="160">
        <f t="shared" si="39"/>
        <v>0</v>
      </c>
      <c r="EY28" s="160">
        <f t="shared" si="39"/>
        <v>0</v>
      </c>
      <c r="EZ28" s="160">
        <f t="shared" si="39"/>
        <v>0</v>
      </c>
      <c r="FA28" s="160">
        <f t="shared" si="39"/>
        <v>0</v>
      </c>
      <c r="FB28" s="160">
        <f t="shared" si="39"/>
        <v>0</v>
      </c>
      <c r="FC28" s="160">
        <f t="shared" si="39"/>
        <v>0</v>
      </c>
      <c r="FD28" s="160">
        <f t="shared" si="39"/>
        <v>0</v>
      </c>
      <c r="FE28" s="160">
        <f t="shared" si="39"/>
        <v>0</v>
      </c>
      <c r="FF28" s="160">
        <f t="shared" si="39"/>
        <v>0</v>
      </c>
      <c r="FG28" s="160">
        <f t="shared" si="39"/>
        <v>0</v>
      </c>
      <c r="FH28" s="160">
        <f t="shared" si="39"/>
        <v>0</v>
      </c>
      <c r="FI28" s="160">
        <f t="shared" si="39"/>
        <v>0</v>
      </c>
      <c r="FJ28" s="160">
        <f t="shared" si="39"/>
        <v>0</v>
      </c>
      <c r="FK28" s="160">
        <f t="shared" si="39"/>
        <v>0</v>
      </c>
      <c r="FL28" s="160">
        <f t="shared" si="39"/>
        <v>0</v>
      </c>
      <c r="FM28" s="160">
        <f t="shared" si="39"/>
        <v>0</v>
      </c>
      <c r="FN28" s="160">
        <f t="shared" si="39"/>
        <v>0</v>
      </c>
      <c r="FO28" s="160">
        <f t="shared" si="39"/>
        <v>0</v>
      </c>
      <c r="FP28" s="160">
        <f t="shared" si="39"/>
        <v>0</v>
      </c>
      <c r="FQ28" s="160">
        <f t="shared" si="39"/>
        <v>0</v>
      </c>
      <c r="FR28" s="160">
        <f t="shared" si="39"/>
        <v>0</v>
      </c>
      <c r="FS28" s="160">
        <f t="shared" si="39"/>
        <v>0</v>
      </c>
      <c r="FT28" s="160">
        <f t="shared" si="39"/>
        <v>0</v>
      </c>
      <c r="FU28" s="160">
        <f t="shared" si="39"/>
        <v>0</v>
      </c>
      <c r="FV28" s="160">
        <f t="shared" si="39"/>
        <v>0</v>
      </c>
      <c r="FW28" s="160">
        <f t="shared" si="39"/>
        <v>0</v>
      </c>
      <c r="FX28" s="160">
        <f t="shared" si="39"/>
        <v>0</v>
      </c>
      <c r="FY28" s="160">
        <f t="shared" si="39"/>
        <v>0</v>
      </c>
      <c r="FZ28" s="160">
        <f t="shared" si="39"/>
        <v>0</v>
      </c>
      <c r="GA28" s="160">
        <f t="shared" si="39"/>
        <v>0</v>
      </c>
      <c r="GB28" s="160">
        <f t="shared" si="39"/>
        <v>0</v>
      </c>
      <c r="GC28" s="160">
        <f t="shared" si="39"/>
        <v>0</v>
      </c>
      <c r="GD28" s="160">
        <f t="shared" si="39"/>
        <v>0</v>
      </c>
      <c r="GE28" s="160">
        <f t="shared" si="39"/>
        <v>0</v>
      </c>
      <c r="GF28" s="160">
        <f t="shared" si="39"/>
        <v>0</v>
      </c>
      <c r="GG28" s="160">
        <f t="shared" si="39"/>
        <v>0</v>
      </c>
      <c r="GH28" s="160">
        <f t="shared" si="39"/>
        <v>0</v>
      </c>
      <c r="GI28" s="160">
        <f t="shared" si="39"/>
        <v>0</v>
      </c>
      <c r="GJ28" s="160">
        <f t="shared" si="39"/>
        <v>0</v>
      </c>
      <c r="GK28" s="160">
        <f t="shared" si="39"/>
        <v>0</v>
      </c>
      <c r="GL28" s="160">
        <f t="shared" si="39"/>
        <v>0</v>
      </c>
      <c r="GM28" s="160">
        <f t="shared" si="39"/>
        <v>0</v>
      </c>
      <c r="GN28" s="160">
        <f t="shared" si="39"/>
        <v>0</v>
      </c>
      <c r="GO28" s="160">
        <f t="shared" si="39"/>
        <v>0</v>
      </c>
      <c r="GP28" s="160">
        <f t="shared" si="39"/>
        <v>0</v>
      </c>
      <c r="GQ28" s="160">
        <f t="shared" si="39"/>
        <v>0</v>
      </c>
      <c r="GR28" s="160">
        <f t="shared" si="39"/>
        <v>0</v>
      </c>
      <c r="GS28" s="160">
        <f t="shared" si="39"/>
        <v>0</v>
      </c>
      <c r="GT28" s="160">
        <f t="shared" si="39"/>
        <v>0</v>
      </c>
      <c r="GU28" s="160">
        <f t="shared" si="39"/>
        <v>0</v>
      </c>
      <c r="GV28" s="160">
        <f t="shared" ref="GV28:HL28" si="40">IF(GV5&lt;&gt;"Internet fijo", IF(GV7="Residencial",$I$28,$J$28),0)*GV25</f>
        <v>0</v>
      </c>
      <c r="GW28" s="160">
        <f t="shared" si="40"/>
        <v>0</v>
      </c>
      <c r="GX28" s="160">
        <f t="shared" si="40"/>
        <v>0</v>
      </c>
      <c r="GY28" s="160">
        <f t="shared" si="40"/>
        <v>0</v>
      </c>
      <c r="GZ28" s="160">
        <f t="shared" si="40"/>
        <v>0</v>
      </c>
      <c r="HA28" s="160">
        <f t="shared" si="40"/>
        <v>0</v>
      </c>
      <c r="HB28" s="160">
        <f t="shared" si="40"/>
        <v>0</v>
      </c>
      <c r="HC28" s="160">
        <f t="shared" si="40"/>
        <v>0</v>
      </c>
      <c r="HD28" s="160">
        <f t="shared" si="40"/>
        <v>0</v>
      </c>
      <c r="HE28" s="160">
        <f t="shared" si="40"/>
        <v>0</v>
      </c>
      <c r="HF28" s="160">
        <f t="shared" si="40"/>
        <v>0</v>
      </c>
      <c r="HG28" s="160">
        <f t="shared" si="40"/>
        <v>0</v>
      </c>
      <c r="HH28" s="160">
        <f t="shared" si="40"/>
        <v>0</v>
      </c>
      <c r="HI28" s="160">
        <f t="shared" si="40"/>
        <v>0</v>
      </c>
      <c r="HJ28" s="160">
        <f t="shared" si="40"/>
        <v>0</v>
      </c>
      <c r="HK28" s="160">
        <f t="shared" si="40"/>
        <v>0</v>
      </c>
      <c r="HL28" s="160">
        <f t="shared" si="40"/>
        <v>0</v>
      </c>
    </row>
    <row r="29" spans="1:221" x14ac:dyDescent="0.25">
      <c r="K29" s="44"/>
      <c r="L29" s="44"/>
      <c r="M29" s="44"/>
      <c r="N29" s="44"/>
      <c r="O29" s="44"/>
      <c r="P29" s="44"/>
      <c r="Q29" s="44"/>
      <c r="R29" s="44"/>
      <c r="S29" s="44"/>
      <c r="T29" s="44"/>
      <c r="U29" s="44"/>
      <c r="V29" s="44"/>
      <c r="W29" s="44"/>
    </row>
    <row r="30" spans="1:221" ht="12" x14ac:dyDescent="0.25">
      <c r="B30" s="100">
        <v>2.2000000000000002</v>
      </c>
      <c r="C30" s="100" t="s">
        <v>535</v>
      </c>
      <c r="D30" s="100"/>
      <c r="E30" s="100"/>
      <c r="F30" s="100"/>
      <c r="G30" s="164" t="s">
        <v>533</v>
      </c>
      <c r="H30" s="100" t="s">
        <v>1326</v>
      </c>
      <c r="I30" s="628">
        <v>0</v>
      </c>
      <c r="J30" s="628">
        <v>0</v>
      </c>
      <c r="K30" s="161">
        <f>IFERROR(VLOOKUP(K$3,'Datos precios'!$D$360:$Y$479,21,FALSE),0)</f>
        <v>0</v>
      </c>
      <c r="L30" s="161">
        <f>IFERROR(VLOOKUP(L$3,'Datos precios'!$D$360:$Y$479,21,FALSE),0)</f>
        <v>0</v>
      </c>
      <c r="M30" s="161">
        <f>IFERROR(VLOOKUP(M$3,'Datos precios'!$D$360:$Y$479,21,FALSE),0)</f>
        <v>0</v>
      </c>
      <c r="N30" s="161">
        <f>IFERROR(VLOOKUP(N$3,'Datos precios'!$D$360:$Y$479,21,FALSE),0)</f>
        <v>0</v>
      </c>
      <c r="O30" s="161">
        <f>IFERROR(VLOOKUP(O$3,'Datos precios'!$D$360:$Y$479,21,FALSE),0)</f>
        <v>0</v>
      </c>
      <c r="P30" s="161">
        <f>IFERROR(VLOOKUP(P$3,'Datos precios'!$D$360:$Y$479,21,FALSE),0)</f>
        <v>0</v>
      </c>
      <c r="Q30" s="161">
        <f>IFERROR(VLOOKUP(Q$3,'Datos precios'!$D$360:$Y$479,21,FALSE),0)</f>
        <v>0</v>
      </c>
      <c r="R30" s="161">
        <f>IFERROR(VLOOKUP(R$3,'Datos precios'!$D$360:$Y$479,21,FALSE),0)</f>
        <v>0</v>
      </c>
      <c r="S30" s="161">
        <f>IFERROR(VLOOKUP(S$3,'Datos precios'!$D$360:$Y$479,21,FALSE),0)</f>
        <v>0</v>
      </c>
      <c r="T30" s="161">
        <f>IFERROR(VLOOKUP(T$3,'Datos precios'!$D$360:$Y$479,21,FALSE),0)</f>
        <v>0</v>
      </c>
      <c r="U30" s="161">
        <f>IFERROR(VLOOKUP(U$3,'Datos precios'!$D$360:$Y$479,21,FALSE),0)</f>
        <v>0</v>
      </c>
      <c r="V30" s="161">
        <f>IFERROR(VLOOKUP(V$3,'Datos precios'!$D$360:$Y$479,21,FALSE),0)</f>
        <v>0</v>
      </c>
      <c r="W30" s="161">
        <f>IFERROR(VLOOKUP(W$3,'Datos precios'!$D$360:$Y$479,21,FALSE),0)</f>
        <v>0</v>
      </c>
      <c r="X30" s="161">
        <f>IFERROR(VLOOKUP(X$3,'Datos precios'!$D$360:$Y$479,21,FALSE),0)</f>
        <v>4</v>
      </c>
      <c r="Y30" s="161">
        <f>IFERROR(VLOOKUP(Y$3,'Datos precios'!$D$360:$Y$479,21,FALSE),0)</f>
        <v>36</v>
      </c>
      <c r="Z30" s="161">
        <f>IFERROR(VLOOKUP(Z$3,'Datos precios'!$D$360:$Y$479,21,FALSE),0)</f>
        <v>35</v>
      </c>
      <c r="AA30" s="161">
        <f>IFERROR(VLOOKUP(AA$3,'Datos precios'!$D$360:$Y$479,21,FALSE),0)</f>
        <v>39</v>
      </c>
      <c r="AB30" s="161">
        <f>IFERROR(VLOOKUP(AB$3,'Datos precios'!$D$360:$Y$479,21,FALSE),0)</f>
        <v>29</v>
      </c>
      <c r="AC30" s="161">
        <f>IFERROR(VLOOKUP(AC$3,'Datos precios'!$D$360:$Y$479,21,FALSE),0)</f>
        <v>29</v>
      </c>
      <c r="AD30" s="161">
        <f>IFERROR(VLOOKUP(AD$3,'Datos precios'!$D$360:$Y$479,21,FALSE),0)</f>
        <v>16</v>
      </c>
      <c r="AE30" s="161">
        <f>IFERROR(VLOOKUP(AE$3,'Datos precios'!$D$360:$Y$479,21,FALSE),0)</f>
        <v>7</v>
      </c>
      <c r="AF30" s="161">
        <f>IFERROR(VLOOKUP(AF$3,'Datos precios'!$D$360:$Y$479,21,FALSE),0)</f>
        <v>34</v>
      </c>
      <c r="AG30" s="161">
        <f>IFERROR(VLOOKUP(AG$3,'Datos precios'!$D$360:$Y$479,21,FALSE),0)</f>
        <v>56</v>
      </c>
      <c r="AH30" s="161">
        <f>IFERROR(VLOOKUP(AH$3,'Datos precios'!$D$360:$Y$479,21,FALSE),0)</f>
        <v>35</v>
      </c>
      <c r="AI30" s="161">
        <f>IFERROR(VLOOKUP(AI$3,'Datos precios'!$D$360:$Y$479,21,FALSE),0)</f>
        <v>50</v>
      </c>
      <c r="AJ30" s="161">
        <f>IFERROR(VLOOKUP(AJ$3,'Datos precios'!$D$360:$Y$479,21,FALSE),0)</f>
        <v>58</v>
      </c>
      <c r="AK30" s="161">
        <f>IFERROR(VLOOKUP(AK$3,'Datos precios'!$D$360:$Y$479,21,FALSE),0)</f>
        <v>56</v>
      </c>
      <c r="AL30" s="161">
        <f>IFERROR(VLOOKUP(AL$3,'Datos precios'!$D$360:$Y$479,21,FALSE),0)</f>
        <v>0</v>
      </c>
      <c r="AM30" s="161">
        <f>IFERROR(VLOOKUP(AM$3,'Datos precios'!$D$360:$Y$479,21,FALSE),0)</f>
        <v>0</v>
      </c>
      <c r="AN30" s="161">
        <f>IFERROR(VLOOKUP(AN$3,'Datos precios'!$D$360:$Y$479,21,FALSE),0)</f>
        <v>0</v>
      </c>
      <c r="AO30" s="161">
        <f>IFERROR(VLOOKUP(AO$3,'Datos precios'!$D$360:$Y$479,21,FALSE),0)</f>
        <v>39</v>
      </c>
      <c r="AP30" s="161">
        <f>IFERROR(VLOOKUP(AP$3,'Datos precios'!$D$360:$Y$479,21,FALSE),0)</f>
        <v>36</v>
      </c>
      <c r="AQ30" s="161">
        <f>IFERROR(VLOOKUP(AQ$3,'Datos precios'!$D$360:$Y$479,21,FALSE),0)</f>
        <v>42</v>
      </c>
      <c r="AR30" s="161">
        <f>IFERROR(VLOOKUP(AR$3,'Datos precios'!$D$360:$Y$479,21,FALSE),0)</f>
        <v>38</v>
      </c>
      <c r="AS30" s="161">
        <f>IFERROR(VLOOKUP(AS$3,'Datos precios'!$D$360:$Y$479,21,FALSE),0)</f>
        <v>34</v>
      </c>
      <c r="AT30" s="161">
        <f>IFERROR(VLOOKUP(AT$3,'Datos precios'!$D$360:$Y$479,21,FALSE),0)</f>
        <v>45</v>
      </c>
      <c r="AU30" s="161">
        <f>IFERROR(VLOOKUP(AU$3,'Datos precios'!$D$360:$Y$479,21,FALSE),0)</f>
        <v>36</v>
      </c>
      <c r="AV30" s="161">
        <f>IFERROR(VLOOKUP(AV$3,'Datos precios'!$D$360:$Y$479,21,FALSE),0)</f>
        <v>45</v>
      </c>
      <c r="AW30" s="161">
        <f>IFERROR(VLOOKUP(AW$3,'Datos precios'!$D$360:$Y$479,21,FALSE),0)</f>
        <v>41</v>
      </c>
      <c r="AX30" s="161">
        <f>IFERROR(VLOOKUP(AX$3,'Datos precios'!$D$360:$Y$479,21,FALSE),0)</f>
        <v>33</v>
      </c>
      <c r="AY30" s="161">
        <f>IFERROR(VLOOKUP(AY$3,'Datos precios'!$D$360:$Y$479,21,FALSE),0)</f>
        <v>37</v>
      </c>
      <c r="AZ30" s="161">
        <f>IFERROR(VLOOKUP(AZ$3,'Datos precios'!$D$360:$Y$479,21,FALSE),0)</f>
        <v>0</v>
      </c>
      <c r="BA30" s="161">
        <f>IFERROR(VLOOKUP(BA$3,'Datos precios'!$D$360:$Y$479,21,FALSE),0)</f>
        <v>0</v>
      </c>
      <c r="BB30" s="161">
        <f>IFERROR(VLOOKUP(BB$3,'Datos precios'!$D$360:$Y$479,21,FALSE),0)</f>
        <v>0</v>
      </c>
      <c r="BC30" s="161">
        <f>IFERROR(VLOOKUP(BC$3,'Datos precios'!$D$360:$Y$479,21,FALSE),0)</f>
        <v>0</v>
      </c>
      <c r="BD30" s="161">
        <f>IFERROR(VLOOKUP(BD$3,'Datos precios'!$D$360:$Y$479,21,FALSE),0)</f>
        <v>0</v>
      </c>
      <c r="BE30" s="161">
        <f>IFERROR(VLOOKUP(BE$3,'Datos precios'!$D$360:$Y$479,21,FALSE),0)</f>
        <v>0</v>
      </c>
      <c r="BF30" s="161">
        <f>IFERROR(VLOOKUP(BF$3,'Datos precios'!$D$360:$Y$479,21,FALSE),0)</f>
        <v>0</v>
      </c>
      <c r="BG30" s="161">
        <f>IFERROR(VLOOKUP(BG$3,'Datos precios'!$D$360:$Y$479,21,FALSE),0)</f>
        <v>0</v>
      </c>
      <c r="BH30" s="161">
        <f>IFERROR(VLOOKUP(BH$3,'Datos precios'!$D$360:$Y$479,21,FALSE),0)</f>
        <v>0</v>
      </c>
      <c r="BI30" s="161">
        <f>IFERROR(VLOOKUP(BI$3,'Datos precios'!$D$360:$Y$479,21,FALSE),0)</f>
        <v>27</v>
      </c>
      <c r="BJ30" s="161">
        <f>IFERROR(VLOOKUP(BJ$3,'Datos precios'!$D$360:$Y$479,21,FALSE),0)</f>
        <v>29</v>
      </c>
      <c r="BK30" s="161">
        <f>IFERROR(VLOOKUP(BK$3,'Datos precios'!$D$360:$Y$479,21,FALSE),0)</f>
        <v>30</v>
      </c>
      <c r="BL30" s="161">
        <f>IFERROR(VLOOKUP(BL$3,'Datos precios'!$D$360:$Y$479,21,FALSE),0)</f>
        <v>38</v>
      </c>
      <c r="BM30" s="161">
        <f>IFERROR(VLOOKUP(BM$3,'Datos precios'!$D$360:$Y$479,21,FALSE),0)</f>
        <v>45</v>
      </c>
      <c r="BN30" s="161">
        <f>IFERROR(VLOOKUP(BN$3,'Datos precios'!$D$360:$Y$479,21,FALSE),0)</f>
        <v>59</v>
      </c>
      <c r="BO30" s="161">
        <f>IFERROR(VLOOKUP(BO$3,'Datos precios'!$D$360:$Y$479,21,FALSE),0)</f>
        <v>47</v>
      </c>
      <c r="BP30" s="161">
        <f>IFERROR(VLOOKUP(BP$3,'Datos precios'!$D$360:$Y$479,21,FALSE),0)</f>
        <v>0</v>
      </c>
      <c r="BQ30" s="161">
        <f>IFERROR(VLOOKUP(BQ$3,'Datos precios'!$D$360:$Y$479,21,FALSE),0)</f>
        <v>0</v>
      </c>
      <c r="BR30" s="161">
        <f>IFERROR(VLOOKUP(BR$3,'Datos precios'!$D$360:$Y$479,21,FALSE),0)</f>
        <v>0</v>
      </c>
      <c r="BS30" s="161">
        <f>IFERROR(VLOOKUP(BS$3,'Datos precios'!$D$360:$Y$479,21,FALSE),0)</f>
        <v>0</v>
      </c>
      <c r="BT30" s="161">
        <f>IFERROR(VLOOKUP(BT$3,'Datos precios'!$D$360:$Y$479,21,FALSE),0)</f>
        <v>0</v>
      </c>
      <c r="BU30" s="161">
        <f>IFERROR(VLOOKUP(BU$3,'Datos precios'!$D$360:$Y$479,21,FALSE),0)</f>
        <v>0</v>
      </c>
      <c r="BV30" s="161">
        <f>IFERROR(VLOOKUP(BV$3,'Datos precios'!$D$360:$Y$479,21,FALSE),0)</f>
        <v>0</v>
      </c>
      <c r="BW30" s="161">
        <f>IFERROR(VLOOKUP(BW$3,'Datos precios'!$D$360:$Y$479,21,FALSE),0)</f>
        <v>0</v>
      </c>
      <c r="BX30" s="161">
        <f>IFERROR(VLOOKUP(BX$3,'Datos precios'!$D$360:$Y$479,21,FALSE),0)</f>
        <v>0</v>
      </c>
      <c r="BY30" s="161">
        <f>IFERROR(VLOOKUP(BY$3,'Datos precios'!$D$360:$Y$479,21,FALSE),0)</f>
        <v>34</v>
      </c>
      <c r="BZ30" s="161">
        <f>IFERROR(VLOOKUP(BZ$3,'Datos precios'!$D$360:$Y$479,21,FALSE),0)</f>
        <v>30</v>
      </c>
      <c r="CA30" s="161">
        <f>IFERROR(VLOOKUP(CA$3,'Datos precios'!$D$360:$Y$479,21,FALSE),0)</f>
        <v>41</v>
      </c>
      <c r="CB30" s="161">
        <f>IFERROR(VLOOKUP(CB$3,'Datos precios'!$D$360:$Y$479,21,FALSE),0)</f>
        <v>48</v>
      </c>
      <c r="CC30" s="161">
        <f>IFERROR(VLOOKUP(CC$3,'Datos precios'!$D$360:$Y$479,21,FALSE),0)</f>
        <v>39</v>
      </c>
      <c r="CD30" s="161">
        <f>IFERROR(VLOOKUP(CD$3,'Datos precios'!$D$360:$Y$479,21,FALSE),0)</f>
        <v>0</v>
      </c>
      <c r="CE30" s="161">
        <f>IFERROR(VLOOKUP(CE$3,'Datos precios'!$D$360:$Y$479,21,FALSE),0)</f>
        <v>0</v>
      </c>
      <c r="CF30" s="161">
        <f>IFERROR(VLOOKUP(CF$3,'Datos precios'!$D$360:$Y$479,21,FALSE),0)</f>
        <v>0</v>
      </c>
      <c r="CG30" s="161">
        <f>IFERROR(VLOOKUP(CG$3,'Datos precios'!$D$360:$Y$479,21,FALSE),0)</f>
        <v>0</v>
      </c>
      <c r="CH30" s="161">
        <f>IFERROR(VLOOKUP(CH$3,'Datos precios'!$D$360:$Y$479,21,FALSE),0)</f>
        <v>31</v>
      </c>
      <c r="CI30" s="161">
        <f>IFERROR(VLOOKUP(CI$3,'Datos precios'!$D$360:$Y$479,21,FALSE),0)</f>
        <v>35</v>
      </c>
      <c r="CJ30" s="161">
        <f>IFERROR(VLOOKUP(CJ$3,'Datos precios'!$D$360:$Y$479,21,FALSE),0)</f>
        <v>41</v>
      </c>
      <c r="CK30" s="161">
        <f>IFERROR(VLOOKUP(CK$3,'Datos precios'!$D$360:$Y$479,21,FALSE),0)</f>
        <v>38</v>
      </c>
      <c r="CL30" s="161">
        <f>IFERROR(VLOOKUP(CL$3,'Datos precios'!$D$360:$Y$479,21,FALSE),0)</f>
        <v>38</v>
      </c>
      <c r="CM30" s="161">
        <f>IFERROR(VLOOKUP(CM$3,'Datos precios'!$D$360:$Y$479,21,FALSE),0)</f>
        <v>44</v>
      </c>
      <c r="CN30" s="161">
        <f>IFERROR(VLOOKUP(CN$3,'Datos precios'!$D$360:$Y$479,21,FALSE),0)</f>
        <v>38</v>
      </c>
      <c r="CO30" s="161">
        <f>IFERROR(VLOOKUP(CO$3,'Datos precios'!$D$360:$Y$479,21,FALSE),0)</f>
        <v>52</v>
      </c>
      <c r="CP30" s="161">
        <f>IFERROR(VLOOKUP(CP$3,'Datos precios'!$D$360:$Y$479,21,FALSE),0)</f>
        <v>39</v>
      </c>
      <c r="CQ30" s="161">
        <f>IFERROR(VLOOKUP(CQ$3,'Datos precios'!$D$360:$Y$479,21,FALSE),0)</f>
        <v>36</v>
      </c>
      <c r="CR30" s="161">
        <f>IFERROR(VLOOKUP(CR$3,'Datos precios'!$D$360:$Y$479,21,FALSE),0)</f>
        <v>35</v>
      </c>
      <c r="CS30" s="161">
        <f>IFERROR(VLOOKUP(CS$3,'Datos precios'!$D$360:$Y$479,21,FALSE),0)</f>
        <v>0</v>
      </c>
      <c r="CT30" s="161">
        <f>IFERROR(VLOOKUP(CT$3,'Datos precios'!$D$360:$Y$479,21,FALSE),0)</f>
        <v>0</v>
      </c>
      <c r="CU30" s="161">
        <f>IFERROR(VLOOKUP(CU$3,'Datos precios'!$D$360:$Y$479,21,FALSE),0)</f>
        <v>0</v>
      </c>
      <c r="CV30" s="161">
        <f>IFERROR(VLOOKUP(CV$3,'Datos precios'!$D$360:$Y$479,21,FALSE),0)</f>
        <v>0</v>
      </c>
      <c r="CW30" s="161">
        <f>IFERROR(VLOOKUP(CW$3,'Datos precios'!$D$360:$Y$479,21,FALSE),0)</f>
        <v>0</v>
      </c>
      <c r="CX30" s="161">
        <f>IFERROR(VLOOKUP(CX$3,'Datos precios'!$D$360:$Y$479,21,FALSE),0)</f>
        <v>0</v>
      </c>
      <c r="CY30" s="161">
        <f>IFERROR(VLOOKUP(CY$3,'Datos precios'!$D$360:$Y$479,21,FALSE),0)</f>
        <v>0</v>
      </c>
      <c r="CZ30" s="161">
        <f>IFERROR(VLOOKUP(CZ$3,'Datos precios'!$D$360:$Y$479,21,FALSE),0)</f>
        <v>0</v>
      </c>
      <c r="DA30" s="161">
        <f>IFERROR(VLOOKUP(DA$3,'Datos precios'!$D$360:$Y$479,21,FALSE),0)</f>
        <v>0</v>
      </c>
      <c r="DB30" s="161">
        <f>IFERROR(VLOOKUP(DB$3,'Datos precios'!$D$360:$Y$479,21,FALSE),0)</f>
        <v>0</v>
      </c>
      <c r="DC30" s="161">
        <f>IFERROR(VLOOKUP(DC$3,'Datos precios'!$D$360:$Y$479,21,FALSE),0)</f>
        <v>0</v>
      </c>
      <c r="DD30" s="161">
        <f>IFERROR(VLOOKUP(DD$3,'Datos precios'!$D$360:$Y$479,21,FALSE),0)</f>
        <v>0</v>
      </c>
      <c r="DE30" s="161">
        <f>IFERROR(VLOOKUP(DE$3,'Datos precios'!$D$360:$Y$479,21,FALSE),0)</f>
        <v>0</v>
      </c>
      <c r="DF30" s="161">
        <f>IFERROR(VLOOKUP(DF$3,'Datos precios'!$D$360:$Y$479,21,FALSE),0)</f>
        <v>0</v>
      </c>
      <c r="DG30" s="161">
        <f>IFERROR(VLOOKUP(DG$3,'Datos precios'!$D$360:$Y$479,21,FALSE),0)</f>
        <v>0</v>
      </c>
      <c r="DH30" s="161">
        <f>IFERROR(VLOOKUP(DH$3,'Datos precios'!$D$360:$Y$479,21,FALSE),0)</f>
        <v>0</v>
      </c>
      <c r="DI30" s="161">
        <f>IFERROR(VLOOKUP(DI$3,'Datos precios'!$D$360:$Y$479,21,FALSE),0)</f>
        <v>0</v>
      </c>
      <c r="DJ30" s="161">
        <f>IFERROR(VLOOKUP(DJ$3,'Datos precios'!$D$360:$Y$479,21,FALSE),0)</f>
        <v>0</v>
      </c>
      <c r="DK30" s="161">
        <f>IFERROR(VLOOKUP(DK$3,'Datos precios'!$D$360:$Y$479,21,FALSE),0)</f>
        <v>0</v>
      </c>
      <c r="DL30" s="161">
        <f>IFERROR(VLOOKUP(DL$3,'Datos precios'!$D$360:$Y$479,21,FALSE),0)</f>
        <v>0</v>
      </c>
      <c r="DM30" s="161">
        <f>IFERROR(VLOOKUP(DM$3,'Datos precios'!$D$360:$Y$479,21,FALSE),0)</f>
        <v>0</v>
      </c>
      <c r="DN30" s="161">
        <f>IFERROR(VLOOKUP(DN$3,'Datos precios'!$D$360:$Y$479,21,FALSE),0)</f>
        <v>0</v>
      </c>
      <c r="DO30" s="161"/>
      <c r="DP30" s="161"/>
      <c r="DQ30" s="161"/>
      <c r="DR30" s="161"/>
      <c r="DS30" s="161"/>
      <c r="DT30" s="161"/>
      <c r="DU30" s="161"/>
      <c r="DV30" s="161"/>
      <c r="DW30" s="161"/>
      <c r="DX30" s="161"/>
      <c r="DY30" s="161"/>
      <c r="DZ30" s="161"/>
      <c r="EA30" s="161"/>
      <c r="EB30" s="161"/>
      <c r="EC30" s="161"/>
      <c r="ED30" s="161"/>
      <c r="EE30" s="161"/>
      <c r="EF30" s="161"/>
      <c r="EG30" s="161"/>
      <c r="EH30" s="161"/>
      <c r="EI30" s="161"/>
      <c r="EJ30" s="161"/>
      <c r="EK30" s="161"/>
      <c r="EL30" s="161"/>
      <c r="EM30" s="161"/>
      <c r="EN30" s="161"/>
      <c r="EO30" s="161"/>
      <c r="EP30" s="161"/>
      <c r="EQ30" s="161"/>
      <c r="ER30" s="161"/>
      <c r="ES30" s="161"/>
      <c r="ET30" s="161"/>
      <c r="EU30" s="161"/>
      <c r="EV30" s="161"/>
      <c r="EW30" s="161"/>
      <c r="EX30" s="161"/>
      <c r="EY30" s="161"/>
      <c r="EZ30" s="161"/>
      <c r="FA30" s="161"/>
      <c r="FB30" s="161"/>
      <c r="FC30" s="161"/>
      <c r="FD30" s="161"/>
      <c r="FE30" s="161"/>
      <c r="FF30" s="161"/>
      <c r="FG30" s="161"/>
      <c r="FH30" s="161"/>
      <c r="FI30" s="161"/>
      <c r="FJ30" s="161"/>
      <c r="FK30" s="161"/>
      <c r="FL30" s="161"/>
      <c r="FM30" s="161"/>
      <c r="FN30" s="161"/>
      <c r="FO30" s="161"/>
      <c r="FP30" s="161"/>
      <c r="FQ30" s="161"/>
      <c r="FR30" s="161"/>
      <c r="FS30" s="161"/>
      <c r="FT30" s="161"/>
      <c r="FU30" s="161"/>
      <c r="FV30" s="161"/>
      <c r="FW30" s="161"/>
      <c r="FX30" s="161"/>
      <c r="FY30" s="161"/>
      <c r="FZ30" s="161"/>
      <c r="GA30" s="161"/>
      <c r="GB30" s="161"/>
      <c r="GC30" s="161"/>
      <c r="GD30" s="161"/>
      <c r="GE30" s="161"/>
      <c r="GF30" s="161"/>
      <c r="GG30" s="161"/>
      <c r="GH30" s="161"/>
      <c r="GI30" s="161"/>
      <c r="GJ30" s="161"/>
      <c r="GK30" s="161"/>
      <c r="GL30" s="161"/>
      <c r="GM30" s="161"/>
      <c r="GN30" s="161"/>
      <c r="GO30" s="161"/>
      <c r="GP30" s="161"/>
      <c r="GQ30" s="161"/>
      <c r="GR30" s="161"/>
      <c r="GS30" s="161"/>
      <c r="GT30" s="161"/>
      <c r="GU30" s="161"/>
      <c r="GV30" s="161"/>
      <c r="GW30" s="161"/>
      <c r="GX30" s="161"/>
      <c r="GY30" s="161"/>
      <c r="GZ30" s="161"/>
      <c r="HA30" s="161"/>
      <c r="HB30" s="161"/>
      <c r="HC30" s="161"/>
      <c r="HD30" s="161"/>
      <c r="HE30" s="161"/>
      <c r="HF30" s="161"/>
      <c r="HG30" s="161"/>
      <c r="HH30" s="161"/>
      <c r="HI30" s="161"/>
      <c r="HJ30" s="161"/>
      <c r="HK30" s="161"/>
      <c r="HL30" s="161"/>
      <c r="HM30" s="155" t="s">
        <v>549</v>
      </c>
    </row>
    <row r="31" spans="1:221" x14ac:dyDescent="0.25">
      <c r="K31" s="44"/>
      <c r="L31" s="44"/>
      <c r="M31" s="44"/>
      <c r="N31" s="44"/>
      <c r="O31" s="44"/>
      <c r="P31" s="44"/>
      <c r="Q31" s="44"/>
      <c r="R31" s="44"/>
      <c r="S31" s="44"/>
      <c r="T31" s="44"/>
      <c r="U31" s="44"/>
      <c r="V31" s="44"/>
      <c r="W31" s="44"/>
    </row>
    <row r="32" spans="1:221" x14ac:dyDescent="0.25">
      <c r="I32" s="169"/>
      <c r="K32" s="44"/>
      <c r="L32" s="44"/>
      <c r="M32" s="44"/>
      <c r="N32" s="44"/>
      <c r="O32" s="44"/>
      <c r="P32" s="44"/>
      <c r="Q32" s="44"/>
      <c r="R32" s="44"/>
      <c r="S32" s="44"/>
      <c r="T32" s="44"/>
      <c r="U32" s="44"/>
      <c r="V32" s="44"/>
      <c r="W32" s="44"/>
    </row>
    <row r="33" spans="1:221" x14ac:dyDescent="0.25">
      <c r="K33" s="44"/>
      <c r="L33" s="44"/>
      <c r="M33" s="44"/>
      <c r="N33" s="44"/>
      <c r="O33" s="44"/>
      <c r="P33" s="44"/>
      <c r="Q33" s="44"/>
      <c r="R33" s="44"/>
      <c r="S33" s="44"/>
      <c r="T33" s="44"/>
      <c r="U33" s="44"/>
      <c r="V33" s="44"/>
      <c r="W33" s="44"/>
    </row>
    <row r="34" spans="1:221" ht="12" x14ac:dyDescent="0.25">
      <c r="B34" s="100">
        <v>2.2999999999999998</v>
      </c>
      <c r="C34" s="100" t="s">
        <v>537</v>
      </c>
      <c r="D34" s="100"/>
      <c r="E34" s="100"/>
      <c r="F34" s="100"/>
      <c r="G34" s="100"/>
      <c r="H34" s="100"/>
      <c r="I34" s="161">
        <f>I40</f>
        <v>2.5</v>
      </c>
      <c r="J34" s="161">
        <f t="shared" ref="J34:BF34" si="41">J40</f>
        <v>0</v>
      </c>
      <c r="K34" s="161">
        <f t="shared" ref="K34:Y34" si="42">K40</f>
        <v>0</v>
      </c>
      <c r="L34" s="161">
        <f t="shared" si="42"/>
        <v>0</v>
      </c>
      <c r="M34" s="161">
        <f t="shared" si="42"/>
        <v>0</v>
      </c>
      <c r="N34" s="161">
        <f>N40</f>
        <v>0</v>
      </c>
      <c r="O34" s="161">
        <f t="shared" si="42"/>
        <v>0</v>
      </c>
      <c r="P34" s="161">
        <f t="shared" si="42"/>
        <v>0</v>
      </c>
      <c r="Q34" s="161">
        <f t="shared" si="42"/>
        <v>0</v>
      </c>
      <c r="R34" s="161">
        <f t="shared" si="42"/>
        <v>0</v>
      </c>
      <c r="S34" s="161">
        <f t="shared" si="42"/>
        <v>0</v>
      </c>
      <c r="T34" s="161">
        <f t="shared" si="42"/>
        <v>0</v>
      </c>
      <c r="U34" s="161">
        <f t="shared" si="42"/>
        <v>0</v>
      </c>
      <c r="V34" s="161">
        <f t="shared" si="42"/>
        <v>0</v>
      </c>
      <c r="W34" s="161">
        <f t="shared" si="42"/>
        <v>0</v>
      </c>
      <c r="X34" s="161">
        <f t="shared" si="42"/>
        <v>0</v>
      </c>
      <c r="Y34" s="161">
        <f t="shared" si="42"/>
        <v>77.5</v>
      </c>
      <c r="Z34" s="161">
        <f>Z40</f>
        <v>77.5</v>
      </c>
      <c r="AA34" s="161">
        <f t="shared" si="41"/>
        <v>155</v>
      </c>
      <c r="AB34" s="161">
        <f t="shared" si="41"/>
        <v>77.5</v>
      </c>
      <c r="AC34" s="161">
        <f t="shared" si="41"/>
        <v>80</v>
      </c>
      <c r="AD34" s="161">
        <f t="shared" si="41"/>
        <v>465</v>
      </c>
      <c r="AE34" s="161">
        <f t="shared" si="41"/>
        <v>0</v>
      </c>
      <c r="AF34" s="161">
        <f t="shared" si="41"/>
        <v>160</v>
      </c>
      <c r="AG34" s="161">
        <f t="shared" si="41"/>
        <v>160</v>
      </c>
      <c r="AH34" s="161">
        <f t="shared" si="41"/>
        <v>232.5</v>
      </c>
      <c r="AI34" s="161">
        <f t="shared" si="41"/>
        <v>160</v>
      </c>
      <c r="AJ34" s="161">
        <f t="shared" si="41"/>
        <v>320</v>
      </c>
      <c r="AK34" s="161">
        <f t="shared" si="41"/>
        <v>480</v>
      </c>
      <c r="AL34" s="161">
        <f t="shared" si="41"/>
        <v>0</v>
      </c>
      <c r="AM34" s="161">
        <f t="shared" si="41"/>
        <v>0</v>
      </c>
      <c r="AN34" s="161">
        <f t="shared" si="41"/>
        <v>0</v>
      </c>
      <c r="AO34" s="161">
        <f t="shared" si="41"/>
        <v>77.5</v>
      </c>
      <c r="AP34" s="161">
        <f t="shared" si="41"/>
        <v>77.5</v>
      </c>
      <c r="AQ34" s="161">
        <f t="shared" si="41"/>
        <v>77.5</v>
      </c>
      <c r="AR34" s="161">
        <f t="shared" si="41"/>
        <v>77.5</v>
      </c>
      <c r="AS34" s="161">
        <f t="shared" si="41"/>
        <v>77.5</v>
      </c>
      <c r="AT34" s="161">
        <f t="shared" si="41"/>
        <v>77.5</v>
      </c>
      <c r="AU34" s="161">
        <f t="shared" si="41"/>
        <v>77.5</v>
      </c>
      <c r="AV34" s="161">
        <f t="shared" si="41"/>
        <v>77.5</v>
      </c>
      <c r="AW34" s="161">
        <f t="shared" si="41"/>
        <v>77.5</v>
      </c>
      <c r="AX34" s="161">
        <f t="shared" si="41"/>
        <v>232.5</v>
      </c>
      <c r="AY34" s="161">
        <f t="shared" si="41"/>
        <v>232.5</v>
      </c>
      <c r="AZ34" s="161">
        <f t="shared" si="41"/>
        <v>0</v>
      </c>
      <c r="BA34" s="161">
        <f t="shared" si="41"/>
        <v>0</v>
      </c>
      <c r="BB34" s="161">
        <f t="shared" si="41"/>
        <v>0</v>
      </c>
      <c r="BC34" s="161">
        <f t="shared" si="41"/>
        <v>0</v>
      </c>
      <c r="BD34" s="161">
        <f t="shared" si="41"/>
        <v>0</v>
      </c>
      <c r="BE34" s="161">
        <f t="shared" si="41"/>
        <v>0</v>
      </c>
      <c r="BF34" s="161">
        <f t="shared" si="41"/>
        <v>0</v>
      </c>
      <c r="BG34" s="161">
        <f t="shared" ref="BG34:DN34" si="43">BG40</f>
        <v>0</v>
      </c>
      <c r="BH34" s="161">
        <f t="shared" si="43"/>
        <v>0</v>
      </c>
      <c r="BI34" s="161">
        <f t="shared" si="43"/>
        <v>80</v>
      </c>
      <c r="BJ34" s="161">
        <f t="shared" si="43"/>
        <v>80</v>
      </c>
      <c r="BK34" s="161">
        <f t="shared" si="43"/>
        <v>80</v>
      </c>
      <c r="BL34" s="161">
        <f t="shared" si="43"/>
        <v>160</v>
      </c>
      <c r="BM34" s="161">
        <f t="shared" si="43"/>
        <v>160</v>
      </c>
      <c r="BN34" s="161">
        <f t="shared" si="43"/>
        <v>160</v>
      </c>
      <c r="BO34" s="161">
        <f t="shared" si="43"/>
        <v>160</v>
      </c>
      <c r="BP34" s="161">
        <f t="shared" si="43"/>
        <v>0</v>
      </c>
      <c r="BQ34" s="161">
        <f t="shared" si="43"/>
        <v>0</v>
      </c>
      <c r="BR34" s="161">
        <f t="shared" si="43"/>
        <v>0</v>
      </c>
      <c r="BS34" s="161">
        <f t="shared" si="43"/>
        <v>0</v>
      </c>
      <c r="BT34" s="161">
        <f t="shared" si="43"/>
        <v>0</v>
      </c>
      <c r="BU34" s="161">
        <f t="shared" si="43"/>
        <v>0</v>
      </c>
      <c r="BV34" s="161">
        <f t="shared" si="43"/>
        <v>0</v>
      </c>
      <c r="BW34" s="161">
        <f t="shared" si="43"/>
        <v>0</v>
      </c>
      <c r="BX34" s="161">
        <f t="shared" si="43"/>
        <v>0</v>
      </c>
      <c r="BY34" s="161">
        <f t="shared" si="43"/>
        <v>77.5</v>
      </c>
      <c r="BZ34" s="161">
        <f t="shared" si="43"/>
        <v>77.5</v>
      </c>
      <c r="CA34" s="161">
        <f t="shared" si="43"/>
        <v>77.5</v>
      </c>
      <c r="CB34" s="161">
        <f t="shared" si="43"/>
        <v>155</v>
      </c>
      <c r="CC34" s="161">
        <f t="shared" si="43"/>
        <v>232.5</v>
      </c>
      <c r="CD34" s="161">
        <f t="shared" si="43"/>
        <v>0</v>
      </c>
      <c r="CE34" s="161">
        <f t="shared" si="43"/>
        <v>0</v>
      </c>
      <c r="CF34" s="161">
        <f t="shared" si="43"/>
        <v>0</v>
      </c>
      <c r="CG34" s="161">
        <f t="shared" si="43"/>
        <v>0</v>
      </c>
      <c r="CH34" s="161">
        <f t="shared" si="43"/>
        <v>77.5</v>
      </c>
      <c r="CI34" s="161">
        <f t="shared" si="43"/>
        <v>77.5</v>
      </c>
      <c r="CJ34" s="161">
        <f t="shared" si="43"/>
        <v>77.5</v>
      </c>
      <c r="CK34" s="161">
        <f t="shared" si="43"/>
        <v>77.5</v>
      </c>
      <c r="CL34" s="161">
        <f t="shared" si="43"/>
        <v>77.5</v>
      </c>
      <c r="CM34" s="161">
        <f t="shared" si="43"/>
        <v>77.5</v>
      </c>
      <c r="CN34" s="161">
        <f t="shared" si="43"/>
        <v>77.5</v>
      </c>
      <c r="CO34" s="161">
        <f t="shared" si="43"/>
        <v>155</v>
      </c>
      <c r="CP34" s="161">
        <f t="shared" si="43"/>
        <v>155</v>
      </c>
      <c r="CQ34" s="161">
        <f t="shared" si="43"/>
        <v>232.5</v>
      </c>
      <c r="CR34" s="161">
        <f t="shared" si="43"/>
        <v>232.5</v>
      </c>
      <c r="CS34" s="161">
        <f t="shared" si="43"/>
        <v>0</v>
      </c>
      <c r="CT34" s="161">
        <f t="shared" si="43"/>
        <v>0</v>
      </c>
      <c r="CU34" s="161">
        <f t="shared" si="43"/>
        <v>0</v>
      </c>
      <c r="CV34" s="161">
        <f t="shared" si="43"/>
        <v>0</v>
      </c>
      <c r="CW34" s="161">
        <f t="shared" si="43"/>
        <v>0</v>
      </c>
      <c r="CX34" s="161">
        <f t="shared" si="43"/>
        <v>0</v>
      </c>
      <c r="CY34" s="161">
        <f t="shared" si="43"/>
        <v>0</v>
      </c>
      <c r="CZ34" s="161">
        <f t="shared" si="43"/>
        <v>0</v>
      </c>
      <c r="DA34" s="161">
        <f t="shared" si="43"/>
        <v>0</v>
      </c>
      <c r="DB34" s="161">
        <f t="shared" si="43"/>
        <v>80</v>
      </c>
      <c r="DC34" s="161">
        <f t="shared" si="43"/>
        <v>160</v>
      </c>
      <c r="DD34" s="161">
        <f t="shared" si="43"/>
        <v>160</v>
      </c>
      <c r="DE34" s="161">
        <f t="shared" si="43"/>
        <v>160</v>
      </c>
      <c r="DF34" s="161">
        <f t="shared" si="43"/>
        <v>320</v>
      </c>
      <c r="DG34" s="161">
        <f t="shared" si="43"/>
        <v>480</v>
      </c>
      <c r="DH34" s="161">
        <f t="shared" si="43"/>
        <v>80</v>
      </c>
      <c r="DI34" s="161">
        <f t="shared" si="43"/>
        <v>80</v>
      </c>
      <c r="DJ34" s="161">
        <f t="shared" si="43"/>
        <v>80</v>
      </c>
      <c r="DK34" s="161">
        <f t="shared" si="43"/>
        <v>160</v>
      </c>
      <c r="DL34" s="161">
        <f t="shared" si="43"/>
        <v>160</v>
      </c>
      <c r="DM34" s="161">
        <f t="shared" si="43"/>
        <v>160</v>
      </c>
      <c r="DN34" s="161">
        <f t="shared" si="43"/>
        <v>160</v>
      </c>
      <c r="DO34" s="161"/>
      <c r="DP34" s="161"/>
      <c r="DQ34" s="161"/>
      <c r="DR34" s="161"/>
      <c r="DS34" s="161"/>
      <c r="DT34" s="161"/>
      <c r="DU34" s="161"/>
      <c r="DV34" s="161"/>
      <c r="DW34" s="161"/>
      <c r="DX34" s="161"/>
      <c r="DY34" s="161"/>
      <c r="DZ34" s="161"/>
      <c r="EA34" s="161"/>
      <c r="EB34" s="161"/>
      <c r="EC34" s="161"/>
      <c r="ED34" s="161"/>
      <c r="EE34" s="161"/>
      <c r="EF34" s="161"/>
      <c r="EG34" s="161"/>
      <c r="EH34" s="161"/>
      <c r="EI34" s="161"/>
      <c r="EJ34" s="161"/>
      <c r="EK34" s="161"/>
      <c r="EL34" s="161"/>
      <c r="EM34" s="161"/>
      <c r="EN34" s="161"/>
      <c r="EO34" s="161"/>
      <c r="EP34" s="161"/>
      <c r="EQ34" s="161"/>
      <c r="ER34" s="161"/>
      <c r="ES34" s="161"/>
      <c r="ET34" s="161"/>
      <c r="EU34" s="161"/>
      <c r="EV34" s="161"/>
      <c r="EW34" s="161"/>
      <c r="EX34" s="161"/>
      <c r="EY34" s="161"/>
      <c r="EZ34" s="161"/>
      <c r="FA34" s="161"/>
      <c r="FB34" s="161"/>
      <c r="FC34" s="161"/>
      <c r="FD34" s="161"/>
      <c r="FE34" s="161"/>
      <c r="FF34" s="161"/>
      <c r="FG34" s="161"/>
      <c r="FH34" s="161"/>
      <c r="FI34" s="161"/>
      <c r="FJ34" s="161"/>
      <c r="FK34" s="161"/>
      <c r="FL34" s="161"/>
      <c r="FM34" s="161"/>
      <c r="FN34" s="161"/>
      <c r="FO34" s="161"/>
      <c r="FP34" s="161"/>
      <c r="FQ34" s="161"/>
      <c r="FR34" s="161"/>
      <c r="FS34" s="161"/>
      <c r="FT34" s="161"/>
      <c r="FU34" s="161"/>
      <c r="FV34" s="161"/>
      <c r="FW34" s="161"/>
      <c r="FX34" s="161"/>
      <c r="FY34" s="161"/>
      <c r="FZ34" s="161"/>
      <c r="GA34" s="161"/>
      <c r="GB34" s="161"/>
      <c r="GC34" s="161"/>
      <c r="GD34" s="161"/>
      <c r="GE34" s="161"/>
      <c r="GF34" s="161"/>
      <c r="GG34" s="161"/>
      <c r="GH34" s="161"/>
      <c r="GI34" s="161"/>
      <c r="GJ34" s="161"/>
      <c r="GK34" s="161"/>
      <c r="GL34" s="161"/>
      <c r="GM34" s="161"/>
      <c r="GN34" s="161"/>
      <c r="GO34" s="161"/>
      <c r="GP34" s="161"/>
      <c r="GQ34" s="161"/>
      <c r="GR34" s="161"/>
      <c r="GS34" s="161"/>
      <c r="GT34" s="161"/>
      <c r="GU34" s="161"/>
      <c r="GV34" s="161"/>
      <c r="GW34" s="161"/>
      <c r="GX34" s="161"/>
      <c r="GY34" s="161"/>
      <c r="GZ34" s="161"/>
      <c r="HA34" s="161"/>
      <c r="HB34" s="161"/>
      <c r="HC34" s="161"/>
      <c r="HD34" s="161"/>
      <c r="HE34" s="161"/>
      <c r="HF34" s="161"/>
      <c r="HG34" s="161"/>
      <c r="HH34" s="161"/>
      <c r="HI34" s="161"/>
      <c r="HJ34" s="161"/>
      <c r="HK34" s="161"/>
      <c r="HL34" s="161"/>
      <c r="HM34" s="155" t="s">
        <v>550</v>
      </c>
    </row>
    <row r="35" spans="1:221" x14ac:dyDescent="0.25">
      <c r="K35" s="44"/>
      <c r="L35" s="44"/>
      <c r="M35" s="44"/>
      <c r="N35" s="44"/>
      <c r="O35" s="44"/>
      <c r="P35" s="44"/>
      <c r="Q35" s="44"/>
      <c r="R35" s="44"/>
      <c r="S35" s="44"/>
      <c r="T35" s="44"/>
      <c r="U35" s="44"/>
      <c r="V35" s="44"/>
      <c r="W35" s="44"/>
    </row>
    <row r="36" spans="1:221" x14ac:dyDescent="0.25">
      <c r="C36" t="s">
        <v>536</v>
      </c>
      <c r="G36" s="77" t="s">
        <v>161</v>
      </c>
      <c r="H36" s="44" t="s">
        <v>463</v>
      </c>
      <c r="I36" s="149">
        <v>3</v>
      </c>
      <c r="J36" s="99">
        <f>IFERROR(VLOOKUP(J$3,#REF!,11,FALSE),0)</f>
        <v>0</v>
      </c>
      <c r="K36" s="99">
        <f>IFERROR(VLOOKUP(K$8,'Info planes y paquetes'!$A$472:$BS$579,13,FALSE),0)</f>
        <v>0</v>
      </c>
      <c r="L36" s="99">
        <f>IFERROR(VLOOKUP(L$8,'Info planes y paquetes'!$A$472:$BS$579,13,FALSE),0)</f>
        <v>0</v>
      </c>
      <c r="M36" s="99">
        <f>IFERROR(VLOOKUP(M$8,'Info planes y paquetes'!$A$472:$BS$579,13,FALSE),0)</f>
        <v>0</v>
      </c>
      <c r="N36" s="99">
        <f>IFERROR(VLOOKUP(N$8,'Info planes y paquetes'!$A$472:$BS$579,13,FALSE),0)</f>
        <v>0</v>
      </c>
      <c r="O36" s="99">
        <f>IFERROR(VLOOKUP(O$8,'Info planes y paquetes'!$A$472:$BS$579,13,FALSE),0)</f>
        <v>0</v>
      </c>
      <c r="P36" s="99">
        <f>IFERROR(VLOOKUP(P$8,'Info planes y paquetes'!$A$472:$BS$579,13,FALSE),0)</f>
        <v>0</v>
      </c>
      <c r="Q36" s="99">
        <f>IFERROR(VLOOKUP(Q$8,'Info planes y paquetes'!$A$472:$BS$579,13,FALSE),0)</f>
        <v>0</v>
      </c>
      <c r="R36" s="99">
        <f>IFERROR(VLOOKUP(R$8,'Info planes y paquetes'!$A$472:$BS$579,13,FALSE),0)</f>
        <v>0</v>
      </c>
      <c r="S36" s="99">
        <f>IFERROR(VLOOKUP(S$8,'Info planes y paquetes'!$A$472:$BS$579,13,FALSE),0)</f>
        <v>0</v>
      </c>
      <c r="T36" s="99">
        <f>IFERROR(VLOOKUP(T$8,'Info planes y paquetes'!$A$472:$BS$579,13,FALSE),0)</f>
        <v>0</v>
      </c>
      <c r="U36" s="99">
        <f>IFERROR(VLOOKUP(U$8,'Info planes y paquetes'!$A$472:$BS$579,13,FALSE),0)</f>
        <v>0</v>
      </c>
      <c r="V36" s="99">
        <f>IFERROR(VLOOKUP(V$8,'Info planes y paquetes'!$A$472:$BS$579,13,FALSE),0)</f>
        <v>0</v>
      </c>
      <c r="W36" s="99">
        <f>IFERROR(VLOOKUP(W$8,'Info planes y paquetes'!$A$472:$BS$579,13,FALSE),0)</f>
        <v>0</v>
      </c>
      <c r="X36" s="99">
        <f>IFERROR(VLOOKUP(X$8,'Info planes y paquetes'!$A$472:$BS$579,13,FALSE),0)</f>
        <v>0</v>
      </c>
      <c r="Y36" s="99">
        <f>IFERROR(VLOOKUP(Y$8,'Info planes y paquetes'!$A$472:$BS$579,13,FALSE),0)</f>
        <v>5</v>
      </c>
      <c r="Z36" s="99">
        <f>IFERROR(VLOOKUP(Z$8,'Info planes y paquetes'!$A$472:$BS$579,13,FALSE),0)</f>
        <v>5</v>
      </c>
      <c r="AA36" s="99">
        <f>IFERROR(VLOOKUP(AA$8,'Info planes y paquetes'!$A$472:$BS$579,13,FALSE),0)</f>
        <v>5</v>
      </c>
      <c r="AB36" s="99">
        <f>IFERROR(VLOOKUP(AB$8,'Info planes y paquetes'!$A$472:$BS$579,13,FALSE),0)</f>
        <v>5</v>
      </c>
      <c r="AC36" s="99">
        <f>IFERROR(VLOOKUP(AC$8,'Info planes y paquetes'!$A$472:$BS$579,13,FALSE),0)</f>
        <v>5</v>
      </c>
      <c r="AD36" s="99">
        <f>IFERROR(VLOOKUP(AD$8,'Info planes y paquetes'!$A$472:$BS$579,13,FALSE),0)</f>
        <v>5</v>
      </c>
      <c r="AE36" s="99">
        <f>IFERROR(VLOOKUP(AE$8,'Info planes y paquetes'!$A$472:$BS$579,13,FALSE),0)</f>
        <v>0</v>
      </c>
      <c r="AF36" s="99">
        <f>IFERROR(VLOOKUP(AF$8,'Info planes y paquetes'!$A$472:$BS$579,13,FALSE),0)</f>
        <v>5</v>
      </c>
      <c r="AG36" s="99">
        <f>IFERROR(VLOOKUP(AG$8,'Info planes y paquetes'!$A$472:$BS$579,13,FALSE),0)</f>
        <v>5</v>
      </c>
      <c r="AH36" s="99">
        <f>IFERROR(VLOOKUP(AH$8,'Info planes y paquetes'!$A$472:$BS$579,13,FALSE),0)</f>
        <v>5</v>
      </c>
      <c r="AI36" s="99">
        <f>IFERROR(VLOOKUP(AI$8,'Info planes y paquetes'!$A$472:$BS$579,13,FALSE),0)</f>
        <v>5</v>
      </c>
      <c r="AJ36" s="99">
        <f>IFERROR(VLOOKUP(AJ$8,'Info planes y paquetes'!$A$472:$BS$579,13,FALSE),0)</f>
        <v>5</v>
      </c>
      <c r="AK36" s="99">
        <f>IFERROR(VLOOKUP(AK$8,'Info planes y paquetes'!$A$472:$BS$579,13,FALSE),0)</f>
        <v>5</v>
      </c>
      <c r="AL36" s="99">
        <f>IFERROR(VLOOKUP(AL$8,'Info planes y paquetes'!$A$472:$BS$579,13,FALSE),0)</f>
        <v>0</v>
      </c>
      <c r="AM36" s="99">
        <f>IFERROR(VLOOKUP(AM$8,'Info planes y paquetes'!$A$472:$BS$579,13,FALSE),0)</f>
        <v>0</v>
      </c>
      <c r="AN36" s="99">
        <f>IFERROR(VLOOKUP(AN$8,'Info planes y paquetes'!$A$472:$BS$579,13,FALSE),0)</f>
        <v>0</v>
      </c>
      <c r="AO36" s="99">
        <f>IFERROR(VLOOKUP(AO$8,'Info planes y paquetes'!$A$472:$BS$579,13,FALSE),0)</f>
        <v>5</v>
      </c>
      <c r="AP36" s="99">
        <f>IFERROR(VLOOKUP(AP$8,'Info planes y paquetes'!$A$472:$BS$579,13,FALSE),0)</f>
        <v>5</v>
      </c>
      <c r="AQ36" s="99">
        <f>IFERROR(VLOOKUP(AQ$8,'Info planes y paquetes'!$A$472:$BS$579,13,FALSE),0)</f>
        <v>5</v>
      </c>
      <c r="AR36" s="99">
        <f>IFERROR(VLOOKUP(AR$8,'Info planes y paquetes'!$A$472:$BS$579,13,FALSE),0)</f>
        <v>5</v>
      </c>
      <c r="AS36" s="99">
        <f>IFERROR(VLOOKUP(AS$8,'Info planes y paquetes'!$A$472:$BS$579,13,FALSE),0)</f>
        <v>5</v>
      </c>
      <c r="AT36" s="99">
        <f>IFERROR(VLOOKUP(AT$8,'Info planes y paquetes'!$A$472:$BS$579,13,FALSE),0)</f>
        <v>5</v>
      </c>
      <c r="AU36" s="99">
        <f>IFERROR(VLOOKUP(AU$8,'Info planes y paquetes'!$A$472:$BS$579,13,FALSE),0)</f>
        <v>5</v>
      </c>
      <c r="AV36" s="99">
        <f>IFERROR(VLOOKUP(AV$8,'Info planes y paquetes'!$A$472:$BS$579,13,FALSE),0)</f>
        <v>5</v>
      </c>
      <c r="AW36" s="99">
        <f>IFERROR(VLOOKUP(AW$8,'Info planes y paquetes'!$A$472:$BS$579,13,FALSE),0)</f>
        <v>5</v>
      </c>
      <c r="AX36" s="99">
        <f>IFERROR(VLOOKUP(AX$8,'Info planes y paquetes'!$A$472:$BS$579,13,FALSE),0)</f>
        <v>5</v>
      </c>
      <c r="AY36" s="99">
        <f>IFERROR(VLOOKUP(AY$8,'Info planes y paquetes'!$A$472:$BS$579,13,FALSE),0)</f>
        <v>5</v>
      </c>
      <c r="AZ36" s="99">
        <f>IFERROR(VLOOKUP(AZ$8,'Info planes y paquetes'!$A$472:$BS$579,13,FALSE),0)</f>
        <v>0</v>
      </c>
      <c r="BA36" s="99">
        <f>IFERROR(VLOOKUP(BA$8,'Info planes y paquetes'!$A$472:$BS$579,13,FALSE),0)</f>
        <v>0</v>
      </c>
      <c r="BB36" s="99">
        <f>IFERROR(VLOOKUP(BB$8,'Info planes y paquetes'!$A$472:$BS$579,13,FALSE),0)</f>
        <v>0</v>
      </c>
      <c r="BC36" s="99">
        <f>IFERROR(VLOOKUP(BC$8,'Info planes y paquetes'!$A$472:$BS$579,13,FALSE),0)</f>
        <v>0</v>
      </c>
      <c r="BD36" s="99">
        <f>IFERROR(VLOOKUP(BD$8,'Info planes y paquetes'!$A$472:$BS$579,13,FALSE),0)</f>
        <v>0</v>
      </c>
      <c r="BE36" s="99">
        <f>IFERROR(VLOOKUP(BE$8,'Info planes y paquetes'!$A$472:$BS$579,13,FALSE),0)</f>
        <v>0</v>
      </c>
      <c r="BF36" s="99">
        <f>IFERROR(VLOOKUP(BF$8,'Info planes y paquetes'!$A$472:$BS$579,13,FALSE),0)</f>
        <v>0</v>
      </c>
      <c r="BG36" s="99">
        <f>IFERROR(VLOOKUP(BG$8,'Info planes y paquetes'!$A$472:$BS$579,13,FALSE),0)</f>
        <v>0</v>
      </c>
      <c r="BH36" s="99">
        <f>IFERROR(VLOOKUP(BH$8,'Info planes y paquetes'!$A$472:$BS$579,13,FALSE),0)</f>
        <v>0</v>
      </c>
      <c r="BI36" s="99">
        <f>IFERROR(VLOOKUP(BI$8,'Info planes y paquetes'!$A$472:$BS$579,13,FALSE),0)</f>
        <v>5</v>
      </c>
      <c r="BJ36" s="99">
        <f>IFERROR(VLOOKUP(BJ$8,'Info planes y paquetes'!$A$472:$BS$579,13,FALSE),0)</f>
        <v>5</v>
      </c>
      <c r="BK36" s="99">
        <f>IFERROR(VLOOKUP(BK$8,'Info planes y paquetes'!$A$472:$BS$579,13,FALSE),0)</f>
        <v>5</v>
      </c>
      <c r="BL36" s="99">
        <f>IFERROR(VLOOKUP(BL$8,'Info planes y paquetes'!$A$472:$BS$579,13,FALSE),0)</f>
        <v>5</v>
      </c>
      <c r="BM36" s="99">
        <f>IFERROR(VLOOKUP(BM$8,'Info planes y paquetes'!$A$472:$BS$579,13,FALSE),0)</f>
        <v>5</v>
      </c>
      <c r="BN36" s="99">
        <f>IFERROR(VLOOKUP(BN$8,'Info planes y paquetes'!$A$472:$BS$579,13,FALSE),0)</f>
        <v>5</v>
      </c>
      <c r="BO36" s="99">
        <f>IFERROR(VLOOKUP(BO$8,'Info planes y paquetes'!$A$472:$BS$579,13,FALSE),0)</f>
        <v>5</v>
      </c>
      <c r="BP36" s="99">
        <f>IFERROR(VLOOKUP(BP$8,'Info planes y paquetes'!$A$472:$BS$579,13,FALSE),0)</f>
        <v>0</v>
      </c>
      <c r="BQ36" s="99">
        <f>IFERROR(VLOOKUP(BQ$8,'Info planes y paquetes'!$A$472:$BS$579,13,FALSE),0)</f>
        <v>0</v>
      </c>
      <c r="BR36" s="99">
        <f>IFERROR(VLOOKUP(BR$8,'Info planes y paquetes'!$A$472:$BS$579,13,FALSE),0)</f>
        <v>0</v>
      </c>
      <c r="BS36" s="99">
        <f>IFERROR(VLOOKUP(BS$8,'Info planes y paquetes'!$A$472:$BS$579,13,FALSE),0)</f>
        <v>0</v>
      </c>
      <c r="BT36" s="99">
        <f>IFERROR(VLOOKUP(BT$8,'Info planes y paquetes'!$A$472:$BS$579,13,FALSE),0)</f>
        <v>0</v>
      </c>
      <c r="BU36" s="99">
        <f>IFERROR(VLOOKUP(BU$8,'Info planes y paquetes'!$A$472:$BS$579,13,FALSE),0)</f>
        <v>0</v>
      </c>
      <c r="BV36" s="99">
        <f>IFERROR(VLOOKUP(BV$8,'Info planes y paquetes'!$A$472:$BS$579,13,FALSE),0)</f>
        <v>0</v>
      </c>
      <c r="BW36" s="99">
        <f>IFERROR(VLOOKUP(BW$8,'Info planes y paquetes'!$A$472:$BS$579,13,FALSE),0)</f>
        <v>0</v>
      </c>
      <c r="BX36" s="99">
        <f>IFERROR(VLOOKUP(BX$8,'Info planes y paquetes'!$A$472:$BS$579,13,FALSE),0)</f>
        <v>0</v>
      </c>
      <c r="BY36" s="99">
        <f>IFERROR(VLOOKUP(BY$8,'Info planes y paquetes'!$A$472:$BS$579,13,FALSE),0)</f>
        <v>5</v>
      </c>
      <c r="BZ36" s="99">
        <f>IFERROR(VLOOKUP(BZ$8,'Info planes y paquetes'!$A$472:$BS$579,13,FALSE),0)</f>
        <v>5</v>
      </c>
      <c r="CA36" s="99">
        <f>IFERROR(VLOOKUP(CA$8,'Info planes y paquetes'!$A$472:$BS$579,13,FALSE),0)</f>
        <v>5</v>
      </c>
      <c r="CB36" s="99">
        <f>IFERROR(VLOOKUP(CB$8,'Info planes y paquetes'!$A$472:$BS$579,13,FALSE),0)</f>
        <v>5</v>
      </c>
      <c r="CC36" s="99">
        <f>IFERROR(VLOOKUP(CC$8,'Info planes y paquetes'!$A$472:$BS$579,13,FALSE),0)</f>
        <v>5</v>
      </c>
      <c r="CD36" s="99">
        <f>IFERROR(VLOOKUP(CD$8,'Info planes y paquetes'!$A$472:$BS$579,13,FALSE),0)</f>
        <v>0</v>
      </c>
      <c r="CE36" s="99">
        <f>IFERROR(VLOOKUP(CE$8,'Info planes y paquetes'!$A$472:$BS$579,13,FALSE),0)</f>
        <v>0</v>
      </c>
      <c r="CF36" s="99">
        <f>IFERROR(VLOOKUP(CF$8,'Info planes y paquetes'!$A$472:$BS$579,13,FALSE),0)</f>
        <v>0</v>
      </c>
      <c r="CG36" s="99">
        <f>IFERROR(VLOOKUP(CG$8,'Info planes y paquetes'!$A$472:$BS$579,13,FALSE),0)</f>
        <v>0</v>
      </c>
      <c r="CH36" s="99">
        <f>IFERROR(VLOOKUP(CH$8,'Info planes y paquetes'!$A$472:$BS$579,13,FALSE),0)</f>
        <v>5</v>
      </c>
      <c r="CI36" s="99">
        <f>IFERROR(VLOOKUP(CI$8,'Info planes y paquetes'!$A$472:$BS$579,13,FALSE),0)</f>
        <v>5</v>
      </c>
      <c r="CJ36" s="99">
        <f>IFERROR(VLOOKUP(CJ$8,'Info planes y paquetes'!$A$472:$BS$579,13,FALSE),0)</f>
        <v>5</v>
      </c>
      <c r="CK36" s="99">
        <f>IFERROR(VLOOKUP(CK$8,'Info planes y paquetes'!$A$472:$BS$579,13,FALSE),0)</f>
        <v>5</v>
      </c>
      <c r="CL36" s="99">
        <f>IFERROR(VLOOKUP(CL$8,'Info planes y paquetes'!$A$472:$BS$579,13,FALSE),0)</f>
        <v>5</v>
      </c>
      <c r="CM36" s="99">
        <f>IFERROR(VLOOKUP(CM$8,'Info planes y paquetes'!$A$472:$BS$579,13,FALSE),0)</f>
        <v>5</v>
      </c>
      <c r="CN36" s="99">
        <f>IFERROR(VLOOKUP(CN$8,'Info planes y paquetes'!$A$472:$BS$579,13,FALSE),0)</f>
        <v>5</v>
      </c>
      <c r="CO36" s="99">
        <f>IFERROR(VLOOKUP(CO$8,'Info planes y paquetes'!$A$472:$BS$579,13,FALSE),0)</f>
        <v>5</v>
      </c>
      <c r="CP36" s="99">
        <f>IFERROR(VLOOKUP(CP$8,'Info planes y paquetes'!$A$472:$BS$579,13,FALSE),0)</f>
        <v>5</v>
      </c>
      <c r="CQ36" s="99">
        <f>IFERROR(VLOOKUP(CQ$8,'Info planes y paquetes'!$A$472:$BS$579,13,FALSE),0)</f>
        <v>5</v>
      </c>
      <c r="CR36" s="99">
        <f>IFERROR(VLOOKUP(CR$8,'Info planes y paquetes'!$A$472:$BS$579,13,FALSE),0)</f>
        <v>5</v>
      </c>
      <c r="CS36" s="99">
        <f>IFERROR(VLOOKUP(CS$8,'Info planes y paquetes'!$A$472:$BS$579,13,FALSE),0)</f>
        <v>0</v>
      </c>
      <c r="CT36" s="99">
        <f>IFERROR(VLOOKUP(CT$8,'Info planes y paquetes'!$A$472:$BS$579,13,FALSE),0)</f>
        <v>0</v>
      </c>
      <c r="CU36" s="99">
        <f>IFERROR(VLOOKUP(CU$8,'Info planes y paquetes'!$A$472:$BS$579,13,FALSE),0)</f>
        <v>0</v>
      </c>
      <c r="CV36" s="99">
        <f>IFERROR(VLOOKUP(CV$8,'Info planes y paquetes'!$A$472:$BS$579,13,FALSE),0)</f>
        <v>0</v>
      </c>
      <c r="CW36" s="99">
        <f>IFERROR(VLOOKUP(CW$8,'Info planes y paquetes'!$A$472:$BS$579,13,FALSE),0)</f>
        <v>0</v>
      </c>
      <c r="CX36" s="99">
        <f>IFERROR(VLOOKUP(CX$8,'Info planes y paquetes'!$A$472:$BS$579,13,FALSE),0)</f>
        <v>0</v>
      </c>
      <c r="CY36" s="99">
        <f>IFERROR(VLOOKUP(CY$8,'Info planes y paquetes'!$A$472:$BS$579,13,FALSE),0)</f>
        <v>0</v>
      </c>
      <c r="CZ36" s="99">
        <f>IFERROR(VLOOKUP(CZ$8,'Info planes y paquetes'!$A$472:$BS$579,13,FALSE),0)</f>
        <v>0</v>
      </c>
      <c r="DA36" s="99">
        <f>IFERROR(VLOOKUP(DA$8,'Info planes y paquetes'!$A$472:$BS$579,13,FALSE),0)</f>
        <v>0</v>
      </c>
      <c r="DB36" s="99">
        <f>IFERROR(VLOOKUP(DB$8,'Info planes y paquetes'!$A$472:$BS$579,13,FALSE),0)</f>
        <v>5</v>
      </c>
      <c r="DC36" s="99">
        <f>IFERROR(VLOOKUP(DC$8,'Info planes y paquetes'!$A$472:$BS$579,13,FALSE),0)</f>
        <v>5</v>
      </c>
      <c r="DD36" s="99">
        <f>IFERROR(VLOOKUP(DD$8,'Info planes y paquetes'!$A$472:$BS$579,13,FALSE),0)</f>
        <v>5</v>
      </c>
      <c r="DE36" s="99">
        <f>IFERROR(VLOOKUP(DE$8,'Info planes y paquetes'!$A$472:$BS$579,13,FALSE),0)</f>
        <v>5</v>
      </c>
      <c r="DF36" s="99">
        <f>IFERROR(VLOOKUP(DF$8,'Info planes y paquetes'!$A$472:$BS$579,13,FALSE),0)</f>
        <v>5</v>
      </c>
      <c r="DG36" s="99">
        <f>IFERROR(VLOOKUP(DG$8,'Info planes y paquetes'!$A$472:$BS$579,13,FALSE),0)</f>
        <v>5</v>
      </c>
      <c r="DH36" s="99">
        <f>IFERROR(VLOOKUP(DH$8,'Info planes y paquetes'!$A$472:$BS$579,13,FALSE),0)</f>
        <v>5</v>
      </c>
      <c r="DI36" s="99">
        <f>IFERROR(VLOOKUP(DI$8,'Info planes y paquetes'!$A$472:$BS$579,13,FALSE),0)</f>
        <v>5</v>
      </c>
      <c r="DJ36" s="99">
        <f>IFERROR(VLOOKUP(DJ$8,'Info planes y paquetes'!$A$472:$BS$579,13,FALSE),0)</f>
        <v>5</v>
      </c>
      <c r="DK36" s="99">
        <f>IFERROR(VLOOKUP(DK$8,'Info planes y paquetes'!$A$472:$BS$579,13,FALSE),0)</f>
        <v>5</v>
      </c>
      <c r="DL36" s="99">
        <f>IFERROR(VLOOKUP(DL$8,'Info planes y paquetes'!$A$472:$BS$579,13,FALSE),0)</f>
        <v>5</v>
      </c>
      <c r="DM36" s="99">
        <f>IFERROR(VLOOKUP(DM$8,'Info planes y paquetes'!$A$472:$BS$579,13,FALSE),0)</f>
        <v>5</v>
      </c>
      <c r="DN36" s="99">
        <f>IFERROR(VLOOKUP(DN$8,'Info planes y paquetes'!$A$472:$BS$579,13,FALSE),0)</f>
        <v>5</v>
      </c>
      <c r="DO36" s="99"/>
      <c r="DP36" s="99"/>
      <c r="DQ36" s="99"/>
      <c r="DR36" s="99"/>
      <c r="DS36" s="99"/>
      <c r="DT36" s="99"/>
      <c r="DU36" s="99"/>
      <c r="DV36" s="99"/>
      <c r="DW36" s="99"/>
      <c r="DX36" s="99"/>
      <c r="DY36" s="99"/>
      <c r="DZ36" s="99"/>
      <c r="EA36" s="99"/>
      <c r="EB36" s="99"/>
      <c r="EC36" s="99"/>
      <c r="ED36" s="99"/>
      <c r="EE36" s="99"/>
      <c r="EF36" s="99"/>
      <c r="EG36" s="99"/>
      <c r="EH36" s="99"/>
      <c r="EI36" s="99"/>
      <c r="EJ36" s="99"/>
      <c r="EK36" s="99"/>
      <c r="EL36" s="99"/>
      <c r="EM36" s="99"/>
      <c r="EN36" s="99"/>
      <c r="EO36" s="99"/>
      <c r="EP36" s="99"/>
      <c r="EQ36" s="99"/>
      <c r="ER36" s="99"/>
      <c r="ES36" s="99"/>
      <c r="ET36" s="99"/>
      <c r="EU36" s="99"/>
      <c r="EV36" s="99"/>
      <c r="EW36" s="99"/>
      <c r="EX36" s="99"/>
      <c r="EY36" s="99"/>
      <c r="EZ36" s="99"/>
      <c r="FA36" s="99"/>
      <c r="FB36" s="99"/>
      <c r="FC36" s="99"/>
      <c r="FD36" s="99"/>
      <c r="FE36" s="99"/>
      <c r="FF36" s="99"/>
      <c r="FG36" s="99"/>
      <c r="FH36" s="99"/>
      <c r="FI36" s="99"/>
      <c r="FJ36" s="99"/>
      <c r="FK36" s="99"/>
      <c r="FL36" s="99"/>
      <c r="FM36" s="99"/>
      <c r="FN36" s="99"/>
      <c r="FO36" s="99"/>
      <c r="FP36" s="99"/>
      <c r="FQ36" s="99"/>
      <c r="FR36" s="99"/>
      <c r="FS36" s="99"/>
      <c r="FT36" s="99"/>
      <c r="FU36" s="99"/>
      <c r="FV36" s="99"/>
      <c r="FW36" s="99"/>
      <c r="FX36" s="99"/>
      <c r="FY36" s="99"/>
      <c r="FZ36" s="99"/>
      <c r="GA36" s="99"/>
      <c r="GB36" s="99"/>
      <c r="GC36" s="99"/>
      <c r="GD36" s="99"/>
      <c r="GE36" s="99"/>
      <c r="GF36" s="99"/>
      <c r="GG36" s="99"/>
      <c r="GH36" s="99"/>
      <c r="GI36" s="99"/>
      <c r="GJ36" s="99"/>
      <c r="GK36" s="99"/>
      <c r="GL36" s="99"/>
      <c r="GM36" s="99"/>
      <c r="GN36" s="99"/>
      <c r="GO36" s="99"/>
      <c r="GP36" s="99"/>
      <c r="GQ36" s="99"/>
      <c r="GR36" s="99"/>
      <c r="GS36" s="99"/>
      <c r="GT36" s="99"/>
      <c r="GU36" s="99"/>
      <c r="GV36" s="99"/>
      <c r="GW36" s="99"/>
      <c r="GX36" s="99"/>
      <c r="GY36" s="99"/>
      <c r="GZ36" s="99"/>
      <c r="HA36" s="99"/>
      <c r="HB36" s="99"/>
      <c r="HC36" s="99"/>
      <c r="HD36" s="99"/>
      <c r="HE36" s="99"/>
      <c r="HF36" s="99"/>
      <c r="HG36" s="99"/>
      <c r="HH36" s="99"/>
      <c r="HI36" s="99"/>
      <c r="HJ36" s="99"/>
      <c r="HK36" s="99"/>
      <c r="HL36" s="99"/>
    </row>
    <row r="37" spans="1:221" s="44" customFormat="1" x14ac:dyDescent="0.25">
      <c r="BG37" s="262"/>
      <c r="BH37" s="262"/>
      <c r="BI37" s="262"/>
      <c r="BJ37" s="262"/>
      <c r="BK37" s="262"/>
      <c r="BL37" s="262"/>
      <c r="BM37" s="262"/>
      <c r="BN37" s="262"/>
      <c r="BO37" s="262"/>
      <c r="BP37" s="262"/>
      <c r="BQ37" s="262"/>
      <c r="BR37" s="262"/>
      <c r="BS37" s="262"/>
      <c r="BT37" s="262"/>
      <c r="BU37" s="262"/>
      <c r="BV37" s="262"/>
      <c r="BW37" s="262"/>
      <c r="BX37" s="262"/>
      <c r="BY37" s="262"/>
      <c r="BZ37" s="262"/>
      <c r="CA37" s="262"/>
      <c r="CB37" s="262"/>
      <c r="CC37" s="262"/>
      <c r="CD37" s="262"/>
      <c r="CE37" s="262"/>
      <c r="CF37" s="262"/>
      <c r="CG37" s="262"/>
      <c r="CH37" s="262"/>
      <c r="CI37" s="262"/>
      <c r="CJ37" s="262"/>
      <c r="CK37" s="262"/>
      <c r="CL37" s="262"/>
      <c r="CM37" s="262"/>
      <c r="CN37" s="262"/>
      <c r="CO37" s="262"/>
      <c r="CP37" s="262"/>
      <c r="CQ37" s="262"/>
      <c r="CR37" s="262"/>
      <c r="CS37" s="262"/>
      <c r="CT37" s="262"/>
      <c r="CU37" s="262"/>
      <c r="CV37" s="262"/>
      <c r="CW37" s="262"/>
      <c r="CX37" s="262"/>
      <c r="CY37" s="262"/>
      <c r="CZ37" s="262"/>
      <c r="DA37" s="262"/>
      <c r="DB37" s="262"/>
      <c r="DC37" s="262"/>
      <c r="DD37" s="262"/>
      <c r="DE37" s="262"/>
      <c r="DF37" s="262"/>
      <c r="DG37" s="262"/>
      <c r="DH37" s="262"/>
      <c r="DI37" s="262"/>
      <c r="DJ37" s="262"/>
      <c r="DK37" s="262"/>
      <c r="DL37" s="262"/>
      <c r="DM37" s="262"/>
      <c r="DN37" s="262"/>
      <c r="DO37" s="262"/>
      <c r="DP37" s="262"/>
      <c r="DQ37" s="262"/>
      <c r="DR37" s="262"/>
      <c r="DS37" s="262"/>
      <c r="DT37" s="262"/>
      <c r="DU37" s="262"/>
      <c r="DV37" s="262"/>
      <c r="DW37" s="262"/>
      <c r="DX37" s="262"/>
      <c r="DY37" s="262"/>
      <c r="DZ37" s="262"/>
      <c r="EA37" s="262"/>
      <c r="EB37" s="262"/>
      <c r="EC37" s="262"/>
      <c r="ED37" s="262"/>
      <c r="EE37" s="262"/>
      <c r="EF37" s="262"/>
      <c r="EG37" s="262"/>
      <c r="EH37" s="262"/>
      <c r="EI37" s="262"/>
      <c r="EJ37" s="262"/>
      <c r="EK37" s="262"/>
      <c r="EL37" s="262"/>
      <c r="EM37" s="262"/>
      <c r="EN37" s="262"/>
      <c r="EO37" s="262"/>
      <c r="EP37" s="262"/>
      <c r="EQ37" s="262"/>
      <c r="ER37" s="262"/>
      <c r="ES37" s="262"/>
      <c r="ET37" s="262"/>
      <c r="EU37" s="262"/>
      <c r="EV37" s="262"/>
      <c r="EW37" s="262"/>
      <c r="EX37" s="262"/>
      <c r="EY37" s="262"/>
      <c r="EZ37" s="262"/>
      <c r="FA37" s="262"/>
      <c r="FB37" s="262"/>
      <c r="FC37" s="262"/>
      <c r="FD37" s="262"/>
      <c r="FE37" s="262"/>
      <c r="FF37" s="262"/>
      <c r="FG37" s="262"/>
      <c r="FH37" s="262"/>
      <c r="FI37" s="262"/>
      <c r="FJ37" s="262"/>
      <c r="FK37" s="262"/>
      <c r="FL37" s="262"/>
      <c r="FM37" s="262"/>
      <c r="FN37" s="262"/>
      <c r="FO37" s="262"/>
      <c r="FP37" s="262"/>
      <c r="FQ37" s="262"/>
      <c r="FR37" s="262"/>
      <c r="FS37" s="262"/>
      <c r="FT37" s="262"/>
      <c r="FU37" s="262"/>
      <c r="FV37" s="262"/>
      <c r="FW37" s="262"/>
      <c r="FX37" s="262"/>
      <c r="FY37" s="262"/>
      <c r="FZ37" s="262"/>
      <c r="GA37" s="262"/>
      <c r="GB37" s="262"/>
      <c r="GC37" s="262"/>
      <c r="GD37" s="262"/>
      <c r="GE37" s="262"/>
      <c r="GF37" s="262"/>
      <c r="GG37" s="262"/>
      <c r="GH37" s="262"/>
      <c r="GI37" s="262"/>
      <c r="GJ37" s="262"/>
      <c r="GK37" s="262"/>
      <c r="GL37" s="262"/>
      <c r="GM37" s="262"/>
      <c r="GN37" s="262"/>
      <c r="GO37" s="262"/>
      <c r="GP37" s="262"/>
      <c r="GQ37" s="262"/>
      <c r="GR37" s="262"/>
      <c r="GS37" s="262"/>
      <c r="GT37" s="262"/>
      <c r="GU37" s="262"/>
      <c r="GV37" s="262"/>
      <c r="GW37" s="262"/>
      <c r="GX37" s="262"/>
      <c r="GY37" s="262"/>
      <c r="GZ37" s="262"/>
      <c r="HA37" s="262"/>
      <c r="HB37" s="262"/>
      <c r="HC37" s="262"/>
      <c r="HD37" s="262"/>
      <c r="HE37" s="262"/>
      <c r="HF37" s="262"/>
      <c r="HG37" s="262"/>
      <c r="HH37" s="262"/>
      <c r="HI37" s="262"/>
      <c r="HJ37" s="262"/>
      <c r="HK37" s="262"/>
      <c r="HL37" s="262"/>
    </row>
    <row r="38" spans="1:221" x14ac:dyDescent="0.25">
      <c r="C38" s="103" t="s">
        <v>935</v>
      </c>
      <c r="D38" s="44"/>
      <c r="E38" s="44"/>
      <c r="G38" s="77" t="s">
        <v>533</v>
      </c>
      <c r="H38" s="44" t="s">
        <v>534</v>
      </c>
      <c r="I38" s="405">
        <f>I36*3*unit.cost.digital.service.3/(12*years.client.retention)</f>
        <v>2.5</v>
      </c>
      <c r="J38" s="479">
        <f>J36*unit.cost.digital.service.5</f>
        <v>0</v>
      </c>
      <c r="K38" s="160">
        <f t="shared" ref="K38:AP38" si="44">IF(K36&gt;0,IF(K7="Residencial",5*unit.cost.digital.service.5-3*3*unit.cost.digital.service.3/(12*years.client.retention),K36*unit.cost.digital.service.5),0)</f>
        <v>0</v>
      </c>
      <c r="L38" s="160">
        <f t="shared" si="44"/>
        <v>0</v>
      </c>
      <c r="M38" s="160">
        <f t="shared" si="44"/>
        <v>0</v>
      </c>
      <c r="N38" s="160">
        <f t="shared" si="44"/>
        <v>0</v>
      </c>
      <c r="O38" s="160">
        <f t="shared" si="44"/>
        <v>0</v>
      </c>
      <c r="P38" s="160">
        <f t="shared" si="44"/>
        <v>0</v>
      </c>
      <c r="Q38" s="160">
        <f t="shared" si="44"/>
        <v>0</v>
      </c>
      <c r="R38" s="160">
        <f t="shared" si="44"/>
        <v>0</v>
      </c>
      <c r="S38" s="160">
        <f t="shared" si="44"/>
        <v>0</v>
      </c>
      <c r="T38" s="160">
        <f t="shared" si="44"/>
        <v>0</v>
      </c>
      <c r="U38" s="160">
        <f t="shared" si="44"/>
        <v>0</v>
      </c>
      <c r="V38" s="160">
        <f t="shared" si="44"/>
        <v>0</v>
      </c>
      <c r="W38" s="160">
        <f t="shared" si="44"/>
        <v>0</v>
      </c>
      <c r="X38" s="160">
        <f t="shared" si="44"/>
        <v>0</v>
      </c>
      <c r="Y38" s="160">
        <f t="shared" si="44"/>
        <v>77.5</v>
      </c>
      <c r="Z38" s="160">
        <f t="shared" si="44"/>
        <v>77.5</v>
      </c>
      <c r="AA38" s="160">
        <f t="shared" si="44"/>
        <v>77.5</v>
      </c>
      <c r="AB38" s="160">
        <f t="shared" si="44"/>
        <v>77.5</v>
      </c>
      <c r="AC38" s="160">
        <f t="shared" si="44"/>
        <v>80</v>
      </c>
      <c r="AD38" s="160">
        <f t="shared" si="44"/>
        <v>77.5</v>
      </c>
      <c r="AE38" s="160">
        <f t="shared" si="44"/>
        <v>0</v>
      </c>
      <c r="AF38" s="160">
        <f t="shared" si="44"/>
        <v>80</v>
      </c>
      <c r="AG38" s="160">
        <f t="shared" si="44"/>
        <v>80</v>
      </c>
      <c r="AH38" s="160">
        <f t="shared" si="44"/>
        <v>77.5</v>
      </c>
      <c r="AI38" s="160">
        <f t="shared" si="44"/>
        <v>80</v>
      </c>
      <c r="AJ38" s="160">
        <f t="shared" si="44"/>
        <v>80</v>
      </c>
      <c r="AK38" s="160">
        <f t="shared" si="44"/>
        <v>80</v>
      </c>
      <c r="AL38" s="160">
        <f t="shared" si="44"/>
        <v>0</v>
      </c>
      <c r="AM38" s="160">
        <f t="shared" si="44"/>
        <v>0</v>
      </c>
      <c r="AN38" s="160">
        <f t="shared" si="44"/>
        <v>0</v>
      </c>
      <c r="AO38" s="160">
        <f t="shared" si="44"/>
        <v>77.5</v>
      </c>
      <c r="AP38" s="160">
        <f t="shared" si="44"/>
        <v>77.5</v>
      </c>
      <c r="AQ38" s="160">
        <f t="shared" ref="AQ38:BV38" si="45">IF(AQ36&gt;0,IF(AQ7="Residencial",5*unit.cost.digital.service.5-3*3*unit.cost.digital.service.3/(12*years.client.retention),AQ36*unit.cost.digital.service.5),0)</f>
        <v>77.5</v>
      </c>
      <c r="AR38" s="160">
        <f t="shared" si="45"/>
        <v>77.5</v>
      </c>
      <c r="AS38" s="160">
        <f t="shared" si="45"/>
        <v>77.5</v>
      </c>
      <c r="AT38" s="160">
        <f t="shared" si="45"/>
        <v>77.5</v>
      </c>
      <c r="AU38" s="160">
        <f t="shared" si="45"/>
        <v>77.5</v>
      </c>
      <c r="AV38" s="160">
        <f t="shared" si="45"/>
        <v>77.5</v>
      </c>
      <c r="AW38" s="160">
        <f t="shared" si="45"/>
        <v>77.5</v>
      </c>
      <c r="AX38" s="160">
        <f t="shared" si="45"/>
        <v>77.5</v>
      </c>
      <c r="AY38" s="160">
        <f t="shared" si="45"/>
        <v>77.5</v>
      </c>
      <c r="AZ38" s="160">
        <f t="shared" si="45"/>
        <v>0</v>
      </c>
      <c r="BA38" s="160">
        <f t="shared" si="45"/>
        <v>0</v>
      </c>
      <c r="BB38" s="160">
        <f t="shared" si="45"/>
        <v>0</v>
      </c>
      <c r="BC38" s="160">
        <f t="shared" si="45"/>
        <v>0</v>
      </c>
      <c r="BD38" s="160">
        <f t="shared" si="45"/>
        <v>0</v>
      </c>
      <c r="BE38" s="160">
        <f t="shared" si="45"/>
        <v>0</v>
      </c>
      <c r="BF38" s="160">
        <f t="shared" si="45"/>
        <v>0</v>
      </c>
      <c r="BG38" s="160">
        <f t="shared" si="45"/>
        <v>0</v>
      </c>
      <c r="BH38" s="160">
        <f t="shared" si="45"/>
        <v>0</v>
      </c>
      <c r="BI38" s="160">
        <f t="shared" si="45"/>
        <v>80</v>
      </c>
      <c r="BJ38" s="160">
        <f t="shared" si="45"/>
        <v>80</v>
      </c>
      <c r="BK38" s="160">
        <f t="shared" si="45"/>
        <v>80</v>
      </c>
      <c r="BL38" s="160">
        <f t="shared" si="45"/>
        <v>80</v>
      </c>
      <c r="BM38" s="160">
        <f t="shared" si="45"/>
        <v>80</v>
      </c>
      <c r="BN38" s="160">
        <f t="shared" si="45"/>
        <v>80</v>
      </c>
      <c r="BO38" s="160">
        <f t="shared" si="45"/>
        <v>80</v>
      </c>
      <c r="BP38" s="160">
        <f t="shared" si="45"/>
        <v>0</v>
      </c>
      <c r="BQ38" s="160">
        <f t="shared" si="45"/>
        <v>0</v>
      </c>
      <c r="BR38" s="160">
        <f t="shared" si="45"/>
        <v>0</v>
      </c>
      <c r="BS38" s="160">
        <f t="shared" si="45"/>
        <v>0</v>
      </c>
      <c r="BT38" s="160">
        <f t="shared" si="45"/>
        <v>0</v>
      </c>
      <c r="BU38" s="160">
        <f t="shared" si="45"/>
        <v>0</v>
      </c>
      <c r="BV38" s="160">
        <f t="shared" si="45"/>
        <v>0</v>
      </c>
      <c r="BW38" s="160">
        <f t="shared" ref="BW38:DN38" si="46">IF(BW36&gt;0,IF(BW7="Residencial",5*unit.cost.digital.service.5-3*3*unit.cost.digital.service.3/(12*years.client.retention),BW36*unit.cost.digital.service.5),0)</f>
        <v>0</v>
      </c>
      <c r="BX38" s="160">
        <f t="shared" si="46"/>
        <v>0</v>
      </c>
      <c r="BY38" s="160">
        <f t="shared" si="46"/>
        <v>77.5</v>
      </c>
      <c r="BZ38" s="160">
        <f t="shared" si="46"/>
        <v>77.5</v>
      </c>
      <c r="CA38" s="160">
        <f t="shared" si="46"/>
        <v>77.5</v>
      </c>
      <c r="CB38" s="160">
        <f t="shared" si="46"/>
        <v>77.5</v>
      </c>
      <c r="CC38" s="160">
        <f t="shared" si="46"/>
        <v>77.5</v>
      </c>
      <c r="CD38" s="160">
        <f t="shared" si="46"/>
        <v>0</v>
      </c>
      <c r="CE38" s="160">
        <f t="shared" si="46"/>
        <v>0</v>
      </c>
      <c r="CF38" s="160">
        <f t="shared" si="46"/>
        <v>0</v>
      </c>
      <c r="CG38" s="160">
        <f t="shared" si="46"/>
        <v>0</v>
      </c>
      <c r="CH38" s="160">
        <f t="shared" si="46"/>
        <v>77.5</v>
      </c>
      <c r="CI38" s="160">
        <f t="shared" si="46"/>
        <v>77.5</v>
      </c>
      <c r="CJ38" s="160">
        <f t="shared" si="46"/>
        <v>77.5</v>
      </c>
      <c r="CK38" s="160">
        <f t="shared" si="46"/>
        <v>77.5</v>
      </c>
      <c r="CL38" s="160">
        <f t="shared" si="46"/>
        <v>77.5</v>
      </c>
      <c r="CM38" s="160">
        <f t="shared" si="46"/>
        <v>77.5</v>
      </c>
      <c r="CN38" s="160">
        <f t="shared" si="46"/>
        <v>77.5</v>
      </c>
      <c r="CO38" s="160">
        <f t="shared" si="46"/>
        <v>77.5</v>
      </c>
      <c r="CP38" s="160">
        <f t="shared" si="46"/>
        <v>77.5</v>
      </c>
      <c r="CQ38" s="160">
        <f t="shared" si="46"/>
        <v>77.5</v>
      </c>
      <c r="CR38" s="160">
        <f t="shared" si="46"/>
        <v>77.5</v>
      </c>
      <c r="CS38" s="160">
        <f t="shared" si="46"/>
        <v>0</v>
      </c>
      <c r="CT38" s="160">
        <f t="shared" si="46"/>
        <v>0</v>
      </c>
      <c r="CU38" s="160">
        <f t="shared" si="46"/>
        <v>0</v>
      </c>
      <c r="CV38" s="160">
        <f t="shared" si="46"/>
        <v>0</v>
      </c>
      <c r="CW38" s="160">
        <f t="shared" si="46"/>
        <v>0</v>
      </c>
      <c r="CX38" s="160">
        <f t="shared" si="46"/>
        <v>0</v>
      </c>
      <c r="CY38" s="160">
        <f t="shared" si="46"/>
        <v>0</v>
      </c>
      <c r="CZ38" s="160">
        <f t="shared" si="46"/>
        <v>0</v>
      </c>
      <c r="DA38" s="160">
        <f t="shared" si="46"/>
        <v>0</v>
      </c>
      <c r="DB38" s="160">
        <f t="shared" si="46"/>
        <v>80</v>
      </c>
      <c r="DC38" s="160">
        <f t="shared" si="46"/>
        <v>80</v>
      </c>
      <c r="DD38" s="160">
        <f t="shared" si="46"/>
        <v>80</v>
      </c>
      <c r="DE38" s="160">
        <f t="shared" si="46"/>
        <v>80</v>
      </c>
      <c r="DF38" s="160">
        <f t="shared" si="46"/>
        <v>80</v>
      </c>
      <c r="DG38" s="160">
        <f t="shared" si="46"/>
        <v>80</v>
      </c>
      <c r="DH38" s="160">
        <f t="shared" si="46"/>
        <v>80</v>
      </c>
      <c r="DI38" s="160">
        <f t="shared" si="46"/>
        <v>80</v>
      </c>
      <c r="DJ38" s="160">
        <f t="shared" si="46"/>
        <v>80</v>
      </c>
      <c r="DK38" s="160">
        <f t="shared" si="46"/>
        <v>80</v>
      </c>
      <c r="DL38" s="160">
        <f t="shared" si="46"/>
        <v>80</v>
      </c>
      <c r="DM38" s="160">
        <f t="shared" si="46"/>
        <v>80</v>
      </c>
      <c r="DN38" s="160">
        <f t="shared" si="46"/>
        <v>80</v>
      </c>
      <c r="DO38" s="160"/>
      <c r="DP38" s="160"/>
      <c r="DQ38" s="160"/>
      <c r="DR38" s="160"/>
      <c r="DS38" s="160"/>
      <c r="DT38" s="160"/>
      <c r="DU38" s="160"/>
      <c r="DV38" s="160"/>
      <c r="DW38" s="160"/>
      <c r="DX38" s="160"/>
      <c r="DY38" s="160"/>
      <c r="DZ38" s="160"/>
      <c r="EA38" s="160"/>
      <c r="EB38" s="160"/>
      <c r="EC38" s="160"/>
      <c r="ED38" s="160"/>
      <c r="EE38" s="160"/>
      <c r="EF38" s="160"/>
      <c r="EG38" s="160"/>
      <c r="EH38" s="160"/>
      <c r="EI38" s="160"/>
      <c r="EJ38" s="160"/>
      <c r="EK38" s="160"/>
      <c r="EL38" s="160"/>
      <c r="EM38" s="160"/>
      <c r="EN38" s="160"/>
      <c r="EO38" s="160"/>
      <c r="EP38" s="160"/>
      <c r="EQ38" s="160"/>
      <c r="ER38" s="160"/>
      <c r="ES38" s="160"/>
      <c r="ET38" s="160"/>
      <c r="EU38" s="160"/>
      <c r="EV38" s="160"/>
      <c r="EW38" s="160"/>
      <c r="EX38" s="160"/>
      <c r="EY38" s="160"/>
      <c r="EZ38" s="160"/>
      <c r="FA38" s="160"/>
      <c r="FB38" s="160"/>
      <c r="FC38" s="160"/>
      <c r="FD38" s="160"/>
      <c r="FE38" s="160"/>
      <c r="FF38" s="160"/>
      <c r="FG38" s="160"/>
      <c r="FH38" s="160"/>
      <c r="FI38" s="160"/>
      <c r="FJ38" s="160"/>
      <c r="FK38" s="160"/>
      <c r="FL38" s="160"/>
      <c r="FM38" s="160"/>
      <c r="FN38" s="160"/>
      <c r="FO38" s="160"/>
      <c r="FP38" s="160"/>
      <c r="FQ38" s="160"/>
      <c r="FR38" s="160"/>
      <c r="FS38" s="160"/>
      <c r="FT38" s="160"/>
      <c r="FU38" s="160"/>
      <c r="FV38" s="160"/>
      <c r="FW38" s="160"/>
      <c r="FX38" s="160"/>
      <c r="FY38" s="160"/>
      <c r="FZ38" s="160"/>
      <c r="GA38" s="160"/>
      <c r="GB38" s="160"/>
      <c r="GC38" s="160"/>
      <c r="GD38" s="160"/>
      <c r="GE38" s="160"/>
      <c r="GF38" s="160"/>
      <c r="GG38" s="160"/>
      <c r="GH38" s="160"/>
      <c r="GI38" s="160"/>
      <c r="GJ38" s="160"/>
      <c r="GK38" s="160"/>
      <c r="GL38" s="160"/>
      <c r="GM38" s="160"/>
      <c r="GN38" s="160"/>
      <c r="GO38" s="160"/>
      <c r="GP38" s="160"/>
      <c r="GQ38" s="160"/>
      <c r="GR38" s="160"/>
      <c r="GS38" s="160"/>
      <c r="GT38" s="160"/>
      <c r="GU38" s="160"/>
      <c r="GV38" s="160"/>
      <c r="GW38" s="160"/>
      <c r="GX38" s="160"/>
      <c r="GY38" s="160"/>
      <c r="GZ38" s="160"/>
      <c r="HA38" s="160"/>
      <c r="HB38" s="160"/>
      <c r="HC38" s="160"/>
      <c r="HD38" s="160"/>
      <c r="HE38" s="160"/>
      <c r="HF38" s="160"/>
      <c r="HG38" s="160"/>
      <c r="HH38" s="160"/>
      <c r="HI38" s="160"/>
      <c r="HJ38" s="160"/>
      <c r="HK38" s="160"/>
      <c r="HL38" s="160"/>
    </row>
    <row r="39" spans="1:221" s="44" customFormat="1" x14ac:dyDescent="0.25">
      <c r="C39" s="103"/>
      <c r="G39" s="77"/>
      <c r="X39" s="2"/>
      <c r="Y39" s="2"/>
      <c r="BG39" s="262"/>
      <c r="BH39" s="262"/>
      <c r="BI39" s="262"/>
      <c r="BJ39" s="262"/>
      <c r="BK39" s="262"/>
      <c r="BL39" s="262"/>
      <c r="BM39" s="262"/>
      <c r="BN39" s="262"/>
      <c r="BO39" s="262"/>
      <c r="BP39" s="262"/>
      <c r="BQ39" s="262"/>
      <c r="BR39" s="262"/>
      <c r="BS39" s="262"/>
      <c r="BT39" s="262"/>
      <c r="BU39" s="262"/>
      <c r="BV39" s="262"/>
      <c r="BW39" s="262"/>
      <c r="BX39" s="262"/>
      <c r="BY39" s="262"/>
      <c r="BZ39" s="262"/>
      <c r="CA39" s="262"/>
      <c r="CB39" s="262"/>
      <c r="CC39" s="262"/>
      <c r="CD39" s="262"/>
      <c r="CE39" s="262"/>
      <c r="CF39" s="262"/>
      <c r="CG39" s="262"/>
      <c r="CH39" s="262"/>
      <c r="CI39" s="262"/>
      <c r="CJ39" s="262"/>
      <c r="CK39" s="262"/>
      <c r="CL39" s="262"/>
      <c r="CM39" s="262"/>
      <c r="CN39" s="262"/>
      <c r="CO39" s="262"/>
      <c r="CP39" s="262"/>
      <c r="CQ39" s="262"/>
      <c r="CR39" s="262"/>
      <c r="CS39" s="262"/>
      <c r="CT39" s="262"/>
      <c r="CU39" s="262"/>
      <c r="CV39" s="262"/>
      <c r="CW39" s="262"/>
      <c r="CX39" s="262"/>
      <c r="CY39" s="262"/>
      <c r="CZ39" s="262"/>
      <c r="DA39" s="262"/>
      <c r="DB39" s="262"/>
      <c r="DC39" s="262"/>
      <c r="DD39" s="262"/>
      <c r="DE39" s="262"/>
      <c r="DF39" s="262"/>
      <c r="DG39" s="262"/>
      <c r="DH39" s="262"/>
      <c r="DI39" s="262"/>
      <c r="DJ39" s="262"/>
      <c r="DK39" s="262"/>
      <c r="DL39" s="262"/>
      <c r="DM39" s="262"/>
      <c r="DN39" s="262"/>
      <c r="DO39" s="262"/>
      <c r="DP39" s="262"/>
      <c r="DQ39" s="262"/>
      <c r="DR39" s="262"/>
      <c r="DS39" s="262"/>
      <c r="DT39" s="262"/>
      <c r="DU39" s="262"/>
      <c r="DV39" s="262"/>
      <c r="DW39" s="262"/>
      <c r="DX39" s="262"/>
      <c r="DY39" s="262"/>
      <c r="DZ39" s="262"/>
      <c r="EA39" s="262"/>
      <c r="EB39" s="262"/>
      <c r="EC39" s="262"/>
      <c r="ED39" s="262"/>
      <c r="EE39" s="262"/>
      <c r="EF39" s="262"/>
      <c r="EG39" s="262"/>
      <c r="EH39" s="262"/>
      <c r="EI39" s="262"/>
      <c r="EJ39" s="262"/>
      <c r="EK39" s="262"/>
      <c r="EL39" s="262"/>
      <c r="EM39" s="262"/>
      <c r="EN39" s="262"/>
      <c r="EO39" s="262"/>
      <c r="EP39" s="262"/>
      <c r="EQ39" s="262"/>
      <c r="ER39" s="262"/>
      <c r="ES39" s="262"/>
      <c r="ET39" s="262"/>
      <c r="EU39" s="262"/>
      <c r="EV39" s="262"/>
      <c r="EW39" s="262"/>
      <c r="EX39" s="262"/>
      <c r="EY39" s="262"/>
      <c r="EZ39" s="262"/>
      <c r="FA39" s="262"/>
      <c r="FB39" s="262"/>
      <c r="FC39" s="262"/>
      <c r="FD39" s="262"/>
      <c r="FE39" s="262"/>
      <c r="FF39" s="262"/>
      <c r="FG39" s="262"/>
      <c r="FH39" s="262"/>
      <c r="FI39" s="262"/>
      <c r="FJ39" s="262"/>
      <c r="FK39" s="262"/>
      <c r="FL39" s="262"/>
      <c r="FM39" s="262"/>
      <c r="FN39" s="262"/>
      <c r="FO39" s="262"/>
      <c r="FP39" s="262"/>
      <c r="FQ39" s="262"/>
      <c r="FR39" s="262"/>
      <c r="FS39" s="262"/>
      <c r="FT39" s="262"/>
      <c r="FU39" s="262"/>
      <c r="FV39" s="262"/>
      <c r="FW39" s="262"/>
      <c r="FX39" s="262"/>
      <c r="FY39" s="262"/>
      <c r="FZ39" s="262"/>
      <c r="GA39" s="262"/>
      <c r="GB39" s="262"/>
      <c r="GC39" s="262"/>
      <c r="GD39" s="262"/>
      <c r="GE39" s="262"/>
      <c r="GF39" s="262"/>
      <c r="GG39" s="262"/>
      <c r="GH39" s="262"/>
      <c r="GI39" s="262"/>
      <c r="GJ39" s="262"/>
      <c r="GK39" s="262"/>
      <c r="GL39" s="262"/>
      <c r="GM39" s="262"/>
      <c r="GN39" s="262"/>
      <c r="GO39" s="262"/>
      <c r="GP39" s="262"/>
      <c r="GQ39" s="262"/>
      <c r="GR39" s="262"/>
      <c r="GS39" s="262"/>
      <c r="GT39" s="262"/>
      <c r="GU39" s="262"/>
      <c r="GV39" s="262"/>
      <c r="GW39" s="262"/>
      <c r="GX39" s="262"/>
      <c r="GY39" s="262"/>
      <c r="GZ39" s="262"/>
      <c r="HA39" s="262"/>
      <c r="HB39" s="262"/>
      <c r="HC39" s="262"/>
      <c r="HD39" s="262"/>
      <c r="HE39" s="262"/>
      <c r="HF39" s="262"/>
      <c r="HG39" s="262"/>
      <c r="HH39" s="262"/>
      <c r="HI39" s="262"/>
      <c r="HJ39" s="262"/>
      <c r="HK39" s="262"/>
      <c r="HL39" s="262"/>
    </row>
    <row r="40" spans="1:221" s="44" customFormat="1" x14ac:dyDescent="0.25">
      <c r="C40" s="103" t="s">
        <v>936</v>
      </c>
      <c r="G40" s="77" t="s">
        <v>533</v>
      </c>
      <c r="H40" s="44" t="s">
        <v>534</v>
      </c>
      <c r="I40" s="160">
        <f t="shared" ref="I40:Y40" si="47">I38*I25</f>
        <v>2.5</v>
      </c>
      <c r="J40" s="160">
        <f t="shared" si="47"/>
        <v>0</v>
      </c>
      <c r="K40" s="160">
        <f t="shared" si="47"/>
        <v>0</v>
      </c>
      <c r="L40" s="160">
        <f t="shared" si="47"/>
        <v>0</v>
      </c>
      <c r="M40" s="160">
        <f t="shared" si="47"/>
        <v>0</v>
      </c>
      <c r="N40" s="160">
        <f t="shared" si="47"/>
        <v>0</v>
      </c>
      <c r="O40" s="160">
        <f t="shared" si="47"/>
        <v>0</v>
      </c>
      <c r="P40" s="160">
        <f t="shared" si="47"/>
        <v>0</v>
      </c>
      <c r="Q40" s="160">
        <f t="shared" si="47"/>
        <v>0</v>
      </c>
      <c r="R40" s="160">
        <f t="shared" si="47"/>
        <v>0</v>
      </c>
      <c r="S40" s="160">
        <f t="shared" si="47"/>
        <v>0</v>
      </c>
      <c r="T40" s="160">
        <f t="shared" si="47"/>
        <v>0</v>
      </c>
      <c r="U40" s="160">
        <f t="shared" si="47"/>
        <v>0</v>
      </c>
      <c r="V40" s="160">
        <f t="shared" si="47"/>
        <v>0</v>
      </c>
      <c r="W40" s="160">
        <f t="shared" si="47"/>
        <v>0</v>
      </c>
      <c r="X40" s="160">
        <f t="shared" si="47"/>
        <v>0</v>
      </c>
      <c r="Y40" s="160">
        <f t="shared" si="47"/>
        <v>77.5</v>
      </c>
      <c r="Z40" s="160">
        <f t="shared" ref="Z40:BE40" si="48">Z38*Z25</f>
        <v>77.5</v>
      </c>
      <c r="AA40" s="160">
        <f>AA38*AA25</f>
        <v>155</v>
      </c>
      <c r="AB40" s="160">
        <f t="shared" si="48"/>
        <v>77.5</v>
      </c>
      <c r="AC40" s="160">
        <f t="shared" si="48"/>
        <v>80</v>
      </c>
      <c r="AD40" s="160">
        <f t="shared" si="48"/>
        <v>465</v>
      </c>
      <c r="AE40" s="160">
        <f t="shared" si="48"/>
        <v>0</v>
      </c>
      <c r="AF40" s="160">
        <f t="shared" si="48"/>
        <v>160</v>
      </c>
      <c r="AG40" s="160">
        <f t="shared" si="48"/>
        <v>160</v>
      </c>
      <c r="AH40" s="160">
        <f t="shared" si="48"/>
        <v>232.5</v>
      </c>
      <c r="AI40" s="160">
        <f t="shared" si="48"/>
        <v>160</v>
      </c>
      <c r="AJ40" s="160">
        <f t="shared" si="48"/>
        <v>320</v>
      </c>
      <c r="AK40" s="160">
        <f t="shared" si="48"/>
        <v>480</v>
      </c>
      <c r="AL40" s="160">
        <f t="shared" si="48"/>
        <v>0</v>
      </c>
      <c r="AM40" s="160">
        <f t="shared" si="48"/>
        <v>0</v>
      </c>
      <c r="AN40" s="160">
        <f t="shared" si="48"/>
        <v>0</v>
      </c>
      <c r="AO40" s="160">
        <f t="shared" si="48"/>
        <v>77.5</v>
      </c>
      <c r="AP40" s="160">
        <f t="shared" si="48"/>
        <v>77.5</v>
      </c>
      <c r="AQ40" s="160">
        <f t="shared" si="48"/>
        <v>77.5</v>
      </c>
      <c r="AR40" s="160">
        <f t="shared" si="48"/>
        <v>77.5</v>
      </c>
      <c r="AS40" s="160">
        <f t="shared" si="48"/>
        <v>77.5</v>
      </c>
      <c r="AT40" s="160">
        <f t="shared" si="48"/>
        <v>77.5</v>
      </c>
      <c r="AU40" s="160">
        <f t="shared" si="48"/>
        <v>77.5</v>
      </c>
      <c r="AV40" s="160">
        <f t="shared" si="48"/>
        <v>77.5</v>
      </c>
      <c r="AW40" s="160">
        <f t="shared" si="48"/>
        <v>77.5</v>
      </c>
      <c r="AX40" s="160">
        <f t="shared" si="48"/>
        <v>232.5</v>
      </c>
      <c r="AY40" s="160">
        <f t="shared" si="48"/>
        <v>232.5</v>
      </c>
      <c r="AZ40" s="160">
        <f t="shared" si="48"/>
        <v>0</v>
      </c>
      <c r="BA40" s="160">
        <f t="shared" si="48"/>
        <v>0</v>
      </c>
      <c r="BB40" s="160">
        <f t="shared" si="48"/>
        <v>0</v>
      </c>
      <c r="BC40" s="160">
        <f t="shared" si="48"/>
        <v>0</v>
      </c>
      <c r="BD40" s="160">
        <f t="shared" si="48"/>
        <v>0</v>
      </c>
      <c r="BE40" s="160">
        <f t="shared" si="48"/>
        <v>0</v>
      </c>
      <c r="BF40" s="160">
        <f t="shared" ref="BF40:DN40" si="49">BF38*BF25</f>
        <v>0</v>
      </c>
      <c r="BG40" s="160">
        <f t="shared" si="49"/>
        <v>0</v>
      </c>
      <c r="BH40" s="160">
        <f t="shared" si="49"/>
        <v>0</v>
      </c>
      <c r="BI40" s="160">
        <f t="shared" si="49"/>
        <v>80</v>
      </c>
      <c r="BJ40" s="160">
        <f t="shared" si="49"/>
        <v>80</v>
      </c>
      <c r="BK40" s="160">
        <f t="shared" si="49"/>
        <v>80</v>
      </c>
      <c r="BL40" s="160">
        <f t="shared" si="49"/>
        <v>160</v>
      </c>
      <c r="BM40" s="160">
        <f t="shared" si="49"/>
        <v>160</v>
      </c>
      <c r="BN40" s="160">
        <f t="shared" si="49"/>
        <v>160</v>
      </c>
      <c r="BO40" s="160">
        <f t="shared" si="49"/>
        <v>160</v>
      </c>
      <c r="BP40" s="160">
        <f t="shared" si="49"/>
        <v>0</v>
      </c>
      <c r="BQ40" s="160">
        <f t="shared" si="49"/>
        <v>0</v>
      </c>
      <c r="BR40" s="160">
        <f t="shared" si="49"/>
        <v>0</v>
      </c>
      <c r="BS40" s="160">
        <f t="shared" si="49"/>
        <v>0</v>
      </c>
      <c r="BT40" s="160">
        <f t="shared" si="49"/>
        <v>0</v>
      </c>
      <c r="BU40" s="160">
        <f t="shared" si="49"/>
        <v>0</v>
      </c>
      <c r="BV40" s="160">
        <f t="shared" si="49"/>
        <v>0</v>
      </c>
      <c r="BW40" s="160">
        <f t="shared" si="49"/>
        <v>0</v>
      </c>
      <c r="BX40" s="160">
        <f t="shared" si="49"/>
        <v>0</v>
      </c>
      <c r="BY40" s="160">
        <f t="shared" si="49"/>
        <v>77.5</v>
      </c>
      <c r="BZ40" s="160">
        <f t="shared" si="49"/>
        <v>77.5</v>
      </c>
      <c r="CA40" s="160">
        <f>CA38*CA25</f>
        <v>77.5</v>
      </c>
      <c r="CB40" s="160">
        <f t="shared" si="49"/>
        <v>155</v>
      </c>
      <c r="CC40" s="160">
        <f t="shared" si="49"/>
        <v>232.5</v>
      </c>
      <c r="CD40" s="160">
        <f t="shared" si="49"/>
        <v>0</v>
      </c>
      <c r="CE40" s="160">
        <f t="shared" si="49"/>
        <v>0</v>
      </c>
      <c r="CF40" s="160">
        <f t="shared" si="49"/>
        <v>0</v>
      </c>
      <c r="CG40" s="160">
        <f t="shared" si="49"/>
        <v>0</v>
      </c>
      <c r="CH40" s="160">
        <f t="shared" si="49"/>
        <v>77.5</v>
      </c>
      <c r="CI40" s="160">
        <f t="shared" si="49"/>
        <v>77.5</v>
      </c>
      <c r="CJ40" s="160">
        <f t="shared" si="49"/>
        <v>77.5</v>
      </c>
      <c r="CK40" s="160">
        <f t="shared" si="49"/>
        <v>77.5</v>
      </c>
      <c r="CL40" s="160">
        <f t="shared" si="49"/>
        <v>77.5</v>
      </c>
      <c r="CM40" s="160">
        <f t="shared" si="49"/>
        <v>77.5</v>
      </c>
      <c r="CN40" s="160">
        <f t="shared" si="49"/>
        <v>77.5</v>
      </c>
      <c r="CO40" s="160">
        <f t="shared" si="49"/>
        <v>155</v>
      </c>
      <c r="CP40" s="160">
        <f t="shared" si="49"/>
        <v>155</v>
      </c>
      <c r="CQ40" s="160">
        <f t="shared" si="49"/>
        <v>232.5</v>
      </c>
      <c r="CR40" s="160">
        <f t="shared" si="49"/>
        <v>232.5</v>
      </c>
      <c r="CS40" s="160">
        <f t="shared" si="49"/>
        <v>0</v>
      </c>
      <c r="CT40" s="160">
        <f t="shared" si="49"/>
        <v>0</v>
      </c>
      <c r="CU40" s="160">
        <f t="shared" si="49"/>
        <v>0</v>
      </c>
      <c r="CV40" s="160">
        <f t="shared" si="49"/>
        <v>0</v>
      </c>
      <c r="CW40" s="160">
        <f t="shared" si="49"/>
        <v>0</v>
      </c>
      <c r="CX40" s="160">
        <f t="shared" si="49"/>
        <v>0</v>
      </c>
      <c r="CY40" s="160">
        <f t="shared" si="49"/>
        <v>0</v>
      </c>
      <c r="CZ40" s="160">
        <f t="shared" si="49"/>
        <v>0</v>
      </c>
      <c r="DA40" s="160">
        <f t="shared" si="49"/>
        <v>0</v>
      </c>
      <c r="DB40" s="160">
        <f t="shared" si="49"/>
        <v>80</v>
      </c>
      <c r="DC40" s="160">
        <f t="shared" si="49"/>
        <v>160</v>
      </c>
      <c r="DD40" s="160">
        <f t="shared" si="49"/>
        <v>160</v>
      </c>
      <c r="DE40" s="160">
        <f t="shared" si="49"/>
        <v>160</v>
      </c>
      <c r="DF40" s="160">
        <f t="shared" si="49"/>
        <v>320</v>
      </c>
      <c r="DG40" s="160">
        <f t="shared" si="49"/>
        <v>480</v>
      </c>
      <c r="DH40" s="160">
        <f t="shared" si="49"/>
        <v>80</v>
      </c>
      <c r="DI40" s="160">
        <f t="shared" si="49"/>
        <v>80</v>
      </c>
      <c r="DJ40" s="160">
        <f t="shared" si="49"/>
        <v>80</v>
      </c>
      <c r="DK40" s="160">
        <f t="shared" si="49"/>
        <v>160</v>
      </c>
      <c r="DL40" s="160">
        <f t="shared" si="49"/>
        <v>160</v>
      </c>
      <c r="DM40" s="160">
        <f t="shared" si="49"/>
        <v>160</v>
      </c>
      <c r="DN40" s="160">
        <f t="shared" si="49"/>
        <v>160</v>
      </c>
      <c r="DO40" s="160"/>
      <c r="DP40" s="160"/>
      <c r="DQ40" s="160"/>
      <c r="DR40" s="160"/>
      <c r="DS40" s="160"/>
      <c r="DT40" s="160"/>
      <c r="DU40" s="160"/>
      <c r="DV40" s="160"/>
      <c r="DW40" s="160"/>
      <c r="DX40" s="160"/>
      <c r="DY40" s="160"/>
      <c r="DZ40" s="160"/>
      <c r="EA40" s="160"/>
      <c r="EB40" s="160"/>
      <c r="EC40" s="160"/>
      <c r="ED40" s="160"/>
      <c r="EE40" s="160"/>
      <c r="EF40" s="160"/>
      <c r="EG40" s="160"/>
      <c r="EH40" s="160"/>
      <c r="EI40" s="160"/>
      <c r="EJ40" s="160"/>
      <c r="EK40" s="160"/>
      <c r="EL40" s="160"/>
      <c r="EM40" s="160"/>
      <c r="EN40" s="160"/>
      <c r="EO40" s="160"/>
      <c r="EP40" s="160"/>
      <c r="EQ40" s="160"/>
      <c r="ER40" s="160"/>
      <c r="ES40" s="160"/>
      <c r="ET40" s="160"/>
      <c r="EU40" s="160"/>
      <c r="EV40" s="160"/>
      <c r="EW40" s="160"/>
      <c r="EX40" s="160"/>
      <c r="EY40" s="160"/>
      <c r="EZ40" s="160"/>
      <c r="FA40" s="160"/>
      <c r="FB40" s="160"/>
      <c r="FC40" s="160"/>
      <c r="FD40" s="160"/>
      <c r="FE40" s="160"/>
      <c r="FF40" s="160"/>
      <c r="FG40" s="160"/>
      <c r="FH40" s="160"/>
      <c r="FI40" s="160"/>
      <c r="FJ40" s="160"/>
      <c r="FK40" s="160"/>
      <c r="FL40" s="160"/>
      <c r="FM40" s="160"/>
      <c r="FN40" s="160"/>
      <c r="FO40" s="160"/>
      <c r="FP40" s="160"/>
      <c r="FQ40" s="160"/>
      <c r="FR40" s="160"/>
      <c r="FS40" s="160"/>
      <c r="FT40" s="160"/>
      <c r="FU40" s="160"/>
      <c r="FV40" s="160"/>
      <c r="FW40" s="160"/>
      <c r="FX40" s="160"/>
      <c r="FY40" s="160"/>
      <c r="FZ40" s="160"/>
      <c r="GA40" s="160"/>
      <c r="GB40" s="160"/>
      <c r="GC40" s="160"/>
      <c r="GD40" s="160"/>
      <c r="GE40" s="160"/>
      <c r="GF40" s="160"/>
      <c r="GG40" s="160"/>
      <c r="GH40" s="160"/>
      <c r="GI40" s="160"/>
      <c r="GJ40" s="160"/>
      <c r="GK40" s="160"/>
      <c r="GL40" s="160"/>
      <c r="GM40" s="160"/>
      <c r="GN40" s="160"/>
      <c r="GO40" s="160"/>
      <c r="GP40" s="160"/>
      <c r="GQ40" s="160"/>
      <c r="GR40" s="160"/>
      <c r="GS40" s="160"/>
      <c r="GT40" s="160"/>
      <c r="GU40" s="160"/>
      <c r="GV40" s="160"/>
      <c r="GW40" s="160"/>
      <c r="GX40" s="160"/>
      <c r="GY40" s="160"/>
      <c r="GZ40" s="160"/>
      <c r="HA40" s="160"/>
      <c r="HB40" s="160"/>
      <c r="HC40" s="160"/>
      <c r="HD40" s="160"/>
      <c r="HE40" s="160"/>
      <c r="HF40" s="160"/>
      <c r="HG40" s="160"/>
      <c r="HH40" s="160"/>
      <c r="HI40" s="160"/>
      <c r="HJ40" s="160"/>
      <c r="HK40" s="160"/>
      <c r="HL40" s="160"/>
    </row>
    <row r="41" spans="1:221" x14ac:dyDescent="0.25">
      <c r="K41" s="44"/>
      <c r="L41" s="44"/>
      <c r="M41" s="44"/>
      <c r="N41" s="44"/>
      <c r="O41" s="44"/>
      <c r="P41" s="44"/>
      <c r="Q41" s="44"/>
      <c r="R41" s="44"/>
      <c r="S41" s="44"/>
      <c r="T41" s="44"/>
      <c r="U41" s="44"/>
      <c r="V41" s="44"/>
      <c r="W41" s="44"/>
    </row>
    <row r="42" spans="1:221" x14ac:dyDescent="0.25">
      <c r="A42" s="44"/>
      <c r="B42" s="100">
        <v>2.4</v>
      </c>
      <c r="C42" s="100" t="s">
        <v>538</v>
      </c>
      <c r="D42" s="100"/>
      <c r="E42" s="100"/>
      <c r="F42" s="100"/>
      <c r="G42" s="100"/>
      <c r="H42" s="100"/>
      <c r="K42" s="44"/>
      <c r="L42" s="44"/>
      <c r="M42" s="44"/>
      <c r="N42" s="44"/>
      <c r="O42" s="44"/>
      <c r="P42" s="44"/>
      <c r="Q42" s="44"/>
      <c r="R42" s="44"/>
      <c r="S42" s="44"/>
      <c r="T42" s="44"/>
      <c r="U42" s="44"/>
      <c r="V42" s="44"/>
      <c r="W42" s="44"/>
    </row>
    <row r="43" spans="1:221" x14ac:dyDescent="0.25">
      <c r="A43" s="44"/>
      <c r="C43" s="44"/>
      <c r="D43" s="44"/>
      <c r="E43" s="44"/>
      <c r="G43" s="44"/>
      <c r="H43" s="44"/>
      <c r="K43" s="44"/>
      <c r="L43" s="44"/>
      <c r="M43" s="44"/>
      <c r="N43" s="44"/>
      <c r="O43" s="44"/>
      <c r="P43" s="44"/>
      <c r="Q43" s="44"/>
      <c r="R43" s="44"/>
      <c r="S43" s="44"/>
      <c r="T43" s="44"/>
      <c r="U43" s="44"/>
      <c r="V43" s="44"/>
      <c r="W43" s="44"/>
      <c r="AF43" s="209"/>
    </row>
    <row r="44" spans="1:221" x14ac:dyDescent="0.25">
      <c r="A44" s="44"/>
      <c r="C44" s="162" t="s">
        <v>539</v>
      </c>
      <c r="D44" s="44"/>
      <c r="E44" s="44"/>
      <c r="G44" s="77" t="s">
        <v>172</v>
      </c>
      <c r="I44" s="106">
        <f t="shared" ref="I44:BT44" si="50">IFERROR(1-SUM(I27,I30)/SUM(I27,I30,I34),0)</f>
        <v>1.5718327569946511E-2</v>
      </c>
      <c r="J44" s="106">
        <f t="shared" si="50"/>
        <v>0</v>
      </c>
      <c r="K44" s="106">
        <f t="shared" si="50"/>
        <v>0</v>
      </c>
      <c r="L44" s="106">
        <f t="shared" si="50"/>
        <v>0</v>
      </c>
      <c r="M44" s="106">
        <f t="shared" si="50"/>
        <v>0</v>
      </c>
      <c r="N44" s="106">
        <f t="shared" si="50"/>
        <v>0</v>
      </c>
      <c r="O44" s="106">
        <f t="shared" si="50"/>
        <v>0</v>
      </c>
      <c r="P44" s="106">
        <f t="shared" si="50"/>
        <v>0</v>
      </c>
      <c r="Q44" s="106">
        <f t="shared" si="50"/>
        <v>0</v>
      </c>
      <c r="R44" s="106">
        <f t="shared" si="50"/>
        <v>0</v>
      </c>
      <c r="S44" s="106">
        <f t="shared" si="50"/>
        <v>0</v>
      </c>
      <c r="T44" s="106">
        <f t="shared" si="50"/>
        <v>0</v>
      </c>
      <c r="U44" s="106">
        <f t="shared" si="50"/>
        <v>0</v>
      </c>
      <c r="V44" s="106">
        <f t="shared" si="50"/>
        <v>0</v>
      </c>
      <c r="W44" s="106">
        <f t="shared" si="50"/>
        <v>0</v>
      </c>
      <c r="X44" s="106">
        <f t="shared" si="50"/>
        <v>0</v>
      </c>
      <c r="Y44" s="106">
        <f t="shared" si="50"/>
        <v>0.28698389187187556</v>
      </c>
      <c r="Z44" s="106">
        <f t="shared" si="50"/>
        <v>0.2880505482252369</v>
      </c>
      <c r="AA44" s="106">
        <f t="shared" si="50"/>
        <v>0.30565963320844014</v>
      </c>
      <c r="AB44" s="106">
        <f t="shared" si="50"/>
        <v>0.29462079452575551</v>
      </c>
      <c r="AC44" s="106">
        <f t="shared" si="50"/>
        <v>0.26058631921824105</v>
      </c>
      <c r="AD44" s="106">
        <f t="shared" si="50"/>
        <v>0.32739562064352601</v>
      </c>
      <c r="AE44" s="106">
        <f t="shared" si="50"/>
        <v>0</v>
      </c>
      <c r="AF44" s="106">
        <f t="shared" si="50"/>
        <v>0.27118644067796616</v>
      </c>
      <c r="AG44" s="106">
        <f t="shared" si="50"/>
        <v>0.26143790849673199</v>
      </c>
      <c r="AH44" s="106">
        <f t="shared" si="50"/>
        <v>0.31540392050464627</v>
      </c>
      <c r="AI44" s="106">
        <f t="shared" si="50"/>
        <v>0.264026402640264</v>
      </c>
      <c r="AJ44" s="106">
        <f t="shared" si="50"/>
        <v>0.27350427350427353</v>
      </c>
      <c r="AK44" s="106">
        <f t="shared" si="50"/>
        <v>0.27842227378190254</v>
      </c>
      <c r="AL44" s="106">
        <f t="shared" si="50"/>
        <v>0</v>
      </c>
      <c r="AM44" s="106">
        <f t="shared" si="50"/>
        <v>0</v>
      </c>
      <c r="AN44" s="106">
        <f t="shared" si="50"/>
        <v>0</v>
      </c>
      <c r="AO44" s="106">
        <f t="shared" si="50"/>
        <v>0.28383080021973994</v>
      </c>
      <c r="AP44" s="106">
        <f t="shared" si="50"/>
        <v>0.28698389187187556</v>
      </c>
      <c r="AQ44" s="106">
        <f t="shared" si="50"/>
        <v>0.28074624162289441</v>
      </c>
      <c r="AR44" s="106">
        <f t="shared" si="50"/>
        <v>0.28487410402499536</v>
      </c>
      <c r="AS44" s="106">
        <f t="shared" si="50"/>
        <v>0.28912516321581794</v>
      </c>
      <c r="AT44" s="106">
        <f t="shared" si="50"/>
        <v>0.27772800573373946</v>
      </c>
      <c r="AU44" s="106">
        <f t="shared" si="50"/>
        <v>0.28698389187187556</v>
      </c>
      <c r="AV44" s="106">
        <f t="shared" si="50"/>
        <v>0.27772800573373946</v>
      </c>
      <c r="AW44" s="106">
        <f t="shared" si="50"/>
        <v>0.28176695146337027</v>
      </c>
      <c r="AX44" s="106">
        <f t="shared" si="50"/>
        <v>0.31626198734952049</v>
      </c>
      <c r="AY44" s="106">
        <f t="shared" si="50"/>
        <v>0.31455049719272143</v>
      </c>
      <c r="AZ44" s="106">
        <f t="shared" si="50"/>
        <v>0</v>
      </c>
      <c r="BA44" s="106">
        <f t="shared" si="50"/>
        <v>0</v>
      </c>
      <c r="BB44" s="106">
        <f t="shared" si="50"/>
        <v>0</v>
      </c>
      <c r="BC44" s="106">
        <f t="shared" si="50"/>
        <v>0</v>
      </c>
      <c r="BD44" s="106">
        <f t="shared" si="50"/>
        <v>0</v>
      </c>
      <c r="BE44" s="106">
        <f t="shared" si="50"/>
        <v>0</v>
      </c>
      <c r="BF44" s="106">
        <f t="shared" si="50"/>
        <v>0</v>
      </c>
      <c r="BG44" s="106">
        <f t="shared" si="50"/>
        <v>0</v>
      </c>
      <c r="BH44" s="106">
        <f t="shared" si="50"/>
        <v>0</v>
      </c>
      <c r="BI44" s="106">
        <f t="shared" si="50"/>
        <v>0.26229508196721307</v>
      </c>
      <c r="BJ44" s="106">
        <f t="shared" si="50"/>
        <v>0.26058631921824105</v>
      </c>
      <c r="BK44" s="106">
        <f t="shared" si="50"/>
        <v>0.25974025974025972</v>
      </c>
      <c r="BL44" s="106">
        <f t="shared" si="50"/>
        <v>0.26936026936026936</v>
      </c>
      <c r="BM44" s="106">
        <f t="shared" si="50"/>
        <v>0.26622296173044924</v>
      </c>
      <c r="BN44" s="106">
        <f t="shared" si="50"/>
        <v>0.26016260162601623</v>
      </c>
      <c r="BO44" s="106">
        <f t="shared" si="50"/>
        <v>0.26533996683250416</v>
      </c>
      <c r="BP44" s="106">
        <f t="shared" si="50"/>
        <v>0</v>
      </c>
      <c r="BQ44" s="106">
        <f t="shared" si="50"/>
        <v>0</v>
      </c>
      <c r="BR44" s="106">
        <f t="shared" si="50"/>
        <v>0</v>
      </c>
      <c r="BS44" s="106">
        <f t="shared" si="50"/>
        <v>0</v>
      </c>
      <c r="BT44" s="106">
        <f t="shared" si="50"/>
        <v>0</v>
      </c>
      <c r="BU44" s="106">
        <f t="shared" ref="BU44:DN44" si="51">IFERROR(1-SUM(BU27,BU30)/SUM(BU27,BU30,BU34),0)</f>
        <v>0</v>
      </c>
      <c r="BV44" s="106">
        <f t="shared" si="51"/>
        <v>0</v>
      </c>
      <c r="BW44" s="106">
        <f t="shared" si="51"/>
        <v>0</v>
      </c>
      <c r="BX44" s="106">
        <f t="shared" si="51"/>
        <v>0</v>
      </c>
      <c r="BY44" s="106">
        <f t="shared" si="51"/>
        <v>0.28912516321581794</v>
      </c>
      <c r="BZ44" s="106">
        <f t="shared" si="51"/>
        <v>0.29350501798901718</v>
      </c>
      <c r="CA44" s="106">
        <f t="shared" si="51"/>
        <v>0.28176695146337027</v>
      </c>
      <c r="CB44" s="106">
        <f t="shared" si="51"/>
        <v>0.30032939352838595</v>
      </c>
      <c r="CC44" s="106">
        <f t="shared" si="51"/>
        <v>0.31370167982189845</v>
      </c>
      <c r="CD44" s="106">
        <f t="shared" si="51"/>
        <v>0</v>
      </c>
      <c r="CE44" s="106">
        <f t="shared" si="51"/>
        <v>0</v>
      </c>
      <c r="CF44" s="106">
        <f t="shared" si="51"/>
        <v>0</v>
      </c>
      <c r="CG44" s="106">
        <f t="shared" si="51"/>
        <v>0</v>
      </c>
      <c r="CH44" s="106">
        <f t="shared" si="51"/>
        <v>0.29239766081871343</v>
      </c>
      <c r="CI44" s="106">
        <f t="shared" si="51"/>
        <v>0.2880505482252369</v>
      </c>
      <c r="CJ44" s="106">
        <f t="shared" si="51"/>
        <v>0.28176695146337027</v>
      </c>
      <c r="CK44" s="106">
        <f t="shared" si="51"/>
        <v>0.28487410402499536</v>
      </c>
      <c r="CL44" s="106">
        <f t="shared" si="51"/>
        <v>0.28487410402499536</v>
      </c>
      <c r="CM44" s="106">
        <f t="shared" si="51"/>
        <v>0.27872684768926448</v>
      </c>
      <c r="CN44" s="106">
        <f t="shared" si="51"/>
        <v>0.28487410402499536</v>
      </c>
      <c r="CO44" s="106">
        <f t="shared" si="51"/>
        <v>0.29801961161315127</v>
      </c>
      <c r="CP44" s="106">
        <f t="shared" si="51"/>
        <v>0.30565963320844014</v>
      </c>
      <c r="CQ44" s="106">
        <f t="shared" si="51"/>
        <v>0.31497663076610449</v>
      </c>
      <c r="CR44" s="106">
        <f t="shared" si="51"/>
        <v>0.31540392050464627</v>
      </c>
      <c r="CS44" s="106">
        <f t="shared" si="51"/>
        <v>0</v>
      </c>
      <c r="CT44" s="106">
        <f t="shared" si="51"/>
        <v>0</v>
      </c>
      <c r="CU44" s="106">
        <f t="shared" si="51"/>
        <v>0</v>
      </c>
      <c r="CV44" s="106">
        <f t="shared" si="51"/>
        <v>0</v>
      </c>
      <c r="CW44" s="106">
        <f t="shared" si="51"/>
        <v>0</v>
      </c>
      <c r="CX44" s="106">
        <f t="shared" si="51"/>
        <v>0</v>
      </c>
      <c r="CY44" s="106">
        <f t="shared" si="51"/>
        <v>0</v>
      </c>
      <c r="CZ44" s="106">
        <f t="shared" si="51"/>
        <v>0</v>
      </c>
      <c r="DA44" s="106">
        <f t="shared" si="51"/>
        <v>0</v>
      </c>
      <c r="DB44" s="106">
        <f t="shared" si="51"/>
        <v>0.28776978417266186</v>
      </c>
      <c r="DC44" s="106">
        <f t="shared" si="51"/>
        <v>0.28776978417266186</v>
      </c>
      <c r="DD44" s="106">
        <f t="shared" si="51"/>
        <v>0.28776978417266186</v>
      </c>
      <c r="DE44" s="106">
        <f t="shared" si="51"/>
        <v>0.28776978417266186</v>
      </c>
      <c r="DF44" s="106">
        <f t="shared" si="51"/>
        <v>0.28776978417266186</v>
      </c>
      <c r="DG44" s="106">
        <f t="shared" si="51"/>
        <v>0.28776978417266186</v>
      </c>
      <c r="DH44" s="106">
        <f t="shared" si="51"/>
        <v>0.28776978417266186</v>
      </c>
      <c r="DI44" s="106">
        <f t="shared" si="51"/>
        <v>0.28776978417266186</v>
      </c>
      <c r="DJ44" s="106">
        <f t="shared" si="51"/>
        <v>0.28776978417266186</v>
      </c>
      <c r="DK44" s="106">
        <f t="shared" si="51"/>
        <v>0.28776978417266186</v>
      </c>
      <c r="DL44" s="106">
        <f t="shared" si="51"/>
        <v>0.28776978417266186</v>
      </c>
      <c r="DM44" s="106">
        <f t="shared" si="51"/>
        <v>0.28776978417266186</v>
      </c>
      <c r="DN44" s="106">
        <f t="shared" si="51"/>
        <v>0.28776978417266186</v>
      </c>
      <c r="DO44" s="106"/>
      <c r="DP44" s="106"/>
      <c r="DQ44" s="106"/>
      <c r="DR44" s="106"/>
      <c r="DS44" s="106"/>
      <c r="DT44" s="106"/>
      <c r="DU44" s="106"/>
      <c r="DV44" s="106"/>
      <c r="DW44" s="106"/>
      <c r="DX44" s="106"/>
      <c r="DY44" s="106"/>
      <c r="DZ44" s="106"/>
      <c r="EA44" s="106"/>
      <c r="EB44" s="106"/>
      <c r="EC44" s="106"/>
      <c r="ED44" s="106"/>
      <c r="EE44" s="106"/>
      <c r="EF44" s="106"/>
      <c r="EG44" s="106"/>
      <c r="EH44" s="106"/>
      <c r="EI44" s="106"/>
      <c r="EJ44" s="106"/>
      <c r="EK44" s="106"/>
      <c r="EL44" s="106"/>
      <c r="EM44" s="106"/>
      <c r="EN44" s="106"/>
      <c r="EO44" s="106"/>
      <c r="EP44" s="106"/>
      <c r="EQ44" s="106"/>
      <c r="ER44" s="106"/>
      <c r="ES44" s="106"/>
      <c r="ET44" s="106"/>
      <c r="EU44" s="106"/>
      <c r="EV44" s="106"/>
      <c r="EW44" s="106"/>
      <c r="EX44" s="106"/>
      <c r="EY44" s="106"/>
      <c r="EZ44" s="106"/>
      <c r="FA44" s="106"/>
      <c r="FB44" s="106"/>
      <c r="FC44" s="106"/>
      <c r="FD44" s="106"/>
      <c r="FE44" s="106"/>
      <c r="FF44" s="106"/>
      <c r="FG44" s="106"/>
      <c r="FH44" s="106"/>
      <c r="FI44" s="106"/>
      <c r="FJ44" s="106"/>
      <c r="FK44" s="106"/>
      <c r="FL44" s="106"/>
      <c r="FM44" s="106"/>
      <c r="FN44" s="106"/>
      <c r="FO44" s="106"/>
      <c r="FP44" s="106"/>
      <c r="FQ44" s="106"/>
      <c r="FR44" s="106"/>
      <c r="FS44" s="106"/>
      <c r="FT44" s="106"/>
      <c r="FU44" s="106"/>
      <c r="FV44" s="106"/>
      <c r="FW44" s="106"/>
      <c r="FX44" s="106"/>
      <c r="FY44" s="106"/>
      <c r="FZ44" s="106"/>
      <c r="GA44" s="106"/>
      <c r="GB44" s="106"/>
      <c r="GC44" s="106"/>
      <c r="GD44" s="106"/>
      <c r="GE44" s="106"/>
      <c r="GF44" s="106"/>
      <c r="GG44" s="106"/>
      <c r="GH44" s="106"/>
      <c r="GI44" s="106"/>
      <c r="GJ44" s="106"/>
      <c r="GK44" s="106"/>
      <c r="GL44" s="106"/>
      <c r="GM44" s="106"/>
      <c r="GN44" s="106"/>
      <c r="GO44" s="106"/>
      <c r="GP44" s="106"/>
      <c r="GQ44" s="106"/>
      <c r="GR44" s="106"/>
      <c r="GS44" s="106"/>
      <c r="GT44" s="106"/>
      <c r="GU44" s="106"/>
      <c r="GV44" s="106"/>
      <c r="GW44" s="106"/>
      <c r="GX44" s="106"/>
      <c r="GY44" s="106"/>
      <c r="GZ44" s="106"/>
      <c r="HA44" s="106"/>
      <c r="HB44" s="106"/>
      <c r="HC44" s="106"/>
      <c r="HD44" s="106"/>
      <c r="HE44" s="106"/>
      <c r="HF44" s="106"/>
      <c r="HG44" s="106"/>
      <c r="HH44" s="106"/>
      <c r="HI44" s="106"/>
      <c r="HJ44" s="106"/>
      <c r="HK44" s="106"/>
      <c r="HL44" s="106"/>
    </row>
    <row r="45" spans="1:221" x14ac:dyDescent="0.25">
      <c r="A45" s="44"/>
      <c r="C45" s="162"/>
      <c r="D45" s="44"/>
      <c r="E45" s="44"/>
      <c r="G45" s="77" t="s">
        <v>172</v>
      </c>
      <c r="H45" s="163">
        <f>SUMPRODUCT(I44:DN44,vector.users.distribution.telephone)</f>
        <v>0.21834573450013206</v>
      </c>
      <c r="K45" s="44"/>
      <c r="L45" s="44"/>
      <c r="M45" s="44"/>
      <c r="N45" s="44"/>
      <c r="O45" s="44"/>
      <c r="P45" s="44"/>
      <c r="Q45" s="44"/>
      <c r="R45" s="44"/>
      <c r="S45" s="44"/>
      <c r="T45" s="44"/>
      <c r="U45" s="44"/>
      <c r="V45" s="44"/>
      <c r="W45" s="44"/>
    </row>
    <row r="46" spans="1:221" x14ac:dyDescent="0.25">
      <c r="A46" s="44"/>
      <c r="C46" s="162"/>
      <c r="D46" s="44"/>
      <c r="E46" s="44"/>
      <c r="G46" s="77"/>
      <c r="H46" s="44"/>
      <c r="I46" s="209"/>
      <c r="J46" s="209"/>
      <c r="K46" s="209"/>
      <c r="L46" s="209"/>
      <c r="M46" s="44"/>
      <c r="N46" s="44"/>
      <c r="O46" s="44"/>
      <c r="P46" s="44"/>
      <c r="Q46" s="44"/>
      <c r="R46" s="44"/>
      <c r="S46" s="44"/>
      <c r="T46" s="44"/>
      <c r="U46" s="44"/>
      <c r="V46" s="44"/>
      <c r="W46" s="44"/>
    </row>
    <row r="47" spans="1:221" x14ac:dyDescent="0.25">
      <c r="I47" s="209"/>
      <c r="K47" s="44"/>
      <c r="L47" s="44"/>
      <c r="M47" s="44"/>
      <c r="N47" s="44"/>
      <c r="O47" s="44"/>
      <c r="P47" s="44"/>
      <c r="Q47" s="44"/>
      <c r="R47" s="44"/>
      <c r="S47" s="44"/>
      <c r="T47" s="44"/>
      <c r="U47" s="44"/>
      <c r="V47" s="44"/>
      <c r="W47" s="44"/>
    </row>
    <row r="48" spans="1:221" x14ac:dyDescent="0.25">
      <c r="C48" s="100" t="s">
        <v>540</v>
      </c>
      <c r="D48" s="100"/>
      <c r="E48" s="100"/>
      <c r="F48" s="100"/>
      <c r="G48" s="100"/>
      <c r="H48" s="100"/>
      <c r="I48" s="161">
        <f>SUM(I49:I51)</f>
        <v>156.55000000000001</v>
      </c>
      <c r="J48" s="161">
        <f>SUM(J49:J51)</f>
        <v>198</v>
      </c>
      <c r="K48" s="161">
        <f t="shared" ref="K48:Y48" si="52">SUM(K49:K51)</f>
        <v>0</v>
      </c>
      <c r="L48" s="161">
        <f t="shared" si="52"/>
        <v>0</v>
      </c>
      <c r="M48" s="161">
        <f t="shared" si="52"/>
        <v>0</v>
      </c>
      <c r="N48" s="161">
        <f t="shared" si="52"/>
        <v>0</v>
      </c>
      <c r="O48" s="161">
        <f t="shared" si="52"/>
        <v>0</v>
      </c>
      <c r="P48" s="161">
        <f t="shared" si="52"/>
        <v>0</v>
      </c>
      <c r="Q48" s="161">
        <f t="shared" si="52"/>
        <v>0</v>
      </c>
      <c r="R48" s="161">
        <f t="shared" si="52"/>
        <v>0</v>
      </c>
      <c r="S48" s="161">
        <f t="shared" si="52"/>
        <v>0</v>
      </c>
      <c r="T48" s="161">
        <f t="shared" si="52"/>
        <v>0</v>
      </c>
      <c r="U48" s="161">
        <f t="shared" si="52"/>
        <v>0</v>
      </c>
      <c r="V48" s="161">
        <f t="shared" si="52"/>
        <v>0</v>
      </c>
      <c r="W48" s="161">
        <f t="shared" si="52"/>
        <v>156.55000000000001</v>
      </c>
      <c r="X48" s="161">
        <f t="shared" si="52"/>
        <v>160.55000000000001</v>
      </c>
      <c r="Y48" s="161">
        <f t="shared" si="52"/>
        <v>192.55</v>
      </c>
      <c r="Z48" s="161">
        <f>SUM(Z49:Z51)</f>
        <v>191.55</v>
      </c>
      <c r="AA48" s="161">
        <f t="shared" ref="AA48:BF48" si="53">SUM(AA49:AA51)</f>
        <v>352.1</v>
      </c>
      <c r="AB48" s="161">
        <f t="shared" si="53"/>
        <v>185.55</v>
      </c>
      <c r="AC48" s="161">
        <f t="shared" si="53"/>
        <v>226.99999999999997</v>
      </c>
      <c r="AD48" s="161">
        <f t="shared" si="53"/>
        <v>955.30000000000007</v>
      </c>
      <c r="AE48" s="161">
        <f t="shared" si="53"/>
        <v>163.55000000000001</v>
      </c>
      <c r="AF48" s="161">
        <f>SUM(AF49:AF51)</f>
        <v>430</v>
      </c>
      <c r="AG48" s="161">
        <f t="shared" si="53"/>
        <v>452</v>
      </c>
      <c r="AH48" s="161">
        <f t="shared" si="53"/>
        <v>504.65000000000003</v>
      </c>
      <c r="AI48" s="161">
        <f t="shared" si="53"/>
        <v>446</v>
      </c>
      <c r="AJ48" s="161">
        <f t="shared" si="53"/>
        <v>849.99999999999989</v>
      </c>
      <c r="AK48" s="161">
        <f t="shared" si="53"/>
        <v>1244</v>
      </c>
      <c r="AL48" s="161">
        <f t="shared" si="53"/>
        <v>0</v>
      </c>
      <c r="AM48" s="161">
        <f t="shared" si="53"/>
        <v>0</v>
      </c>
      <c r="AN48" s="161">
        <f t="shared" si="53"/>
        <v>0</v>
      </c>
      <c r="AO48" s="161">
        <f t="shared" si="53"/>
        <v>195.55</v>
      </c>
      <c r="AP48" s="161">
        <f t="shared" si="53"/>
        <v>192.55</v>
      </c>
      <c r="AQ48" s="161">
        <f>SUM(AQ49:AQ51)</f>
        <v>198.55</v>
      </c>
      <c r="AR48" s="161">
        <f t="shared" si="53"/>
        <v>194.55</v>
      </c>
      <c r="AS48" s="161">
        <f t="shared" si="53"/>
        <v>190.54999999999998</v>
      </c>
      <c r="AT48" s="161">
        <f t="shared" si="53"/>
        <v>201.55</v>
      </c>
      <c r="AU48" s="161">
        <f t="shared" si="53"/>
        <v>192.55</v>
      </c>
      <c r="AV48" s="161">
        <f t="shared" si="53"/>
        <v>201.55</v>
      </c>
      <c r="AW48" s="161">
        <f t="shared" si="53"/>
        <v>197.55000000000004</v>
      </c>
      <c r="AX48" s="161">
        <f t="shared" si="53"/>
        <v>502.65</v>
      </c>
      <c r="AY48" s="161">
        <f t="shared" si="53"/>
        <v>506.65</v>
      </c>
      <c r="AZ48" s="161">
        <f t="shared" si="53"/>
        <v>0</v>
      </c>
      <c r="BA48" s="161">
        <f t="shared" si="53"/>
        <v>0</v>
      </c>
      <c r="BB48" s="161">
        <f t="shared" si="53"/>
        <v>0</v>
      </c>
      <c r="BC48" s="161">
        <f t="shared" si="53"/>
        <v>0</v>
      </c>
      <c r="BD48" s="161">
        <f t="shared" si="53"/>
        <v>0</v>
      </c>
      <c r="BE48" s="161">
        <f t="shared" si="53"/>
        <v>0</v>
      </c>
      <c r="BF48" s="161">
        <f t="shared" si="53"/>
        <v>0</v>
      </c>
      <c r="BG48" s="161">
        <f t="shared" ref="BG48:BZ48" si="54">SUM(BG49:BG51)</f>
        <v>0</v>
      </c>
      <c r="BH48" s="161">
        <f t="shared" si="54"/>
        <v>0</v>
      </c>
      <c r="BI48" s="161">
        <f t="shared" si="54"/>
        <v>225.00000000000003</v>
      </c>
      <c r="BJ48" s="161">
        <f t="shared" si="54"/>
        <v>226.99999999999997</v>
      </c>
      <c r="BK48" s="161">
        <f t="shared" si="54"/>
        <v>228</v>
      </c>
      <c r="BL48" s="161">
        <f t="shared" si="54"/>
        <v>434</v>
      </c>
      <c r="BM48" s="161">
        <f t="shared" si="54"/>
        <v>441</v>
      </c>
      <c r="BN48" s="161">
        <f t="shared" si="54"/>
        <v>455</v>
      </c>
      <c r="BO48" s="161">
        <f t="shared" si="54"/>
        <v>443</v>
      </c>
      <c r="BP48" s="161">
        <f t="shared" si="54"/>
        <v>0</v>
      </c>
      <c r="BQ48" s="161">
        <f t="shared" si="54"/>
        <v>0</v>
      </c>
      <c r="BR48" s="161">
        <f t="shared" si="54"/>
        <v>0</v>
      </c>
      <c r="BS48" s="161">
        <f t="shared" si="54"/>
        <v>0</v>
      </c>
      <c r="BT48" s="161">
        <f t="shared" si="54"/>
        <v>0</v>
      </c>
      <c r="BU48" s="161">
        <f t="shared" si="54"/>
        <v>0</v>
      </c>
      <c r="BV48" s="161">
        <f t="shared" si="54"/>
        <v>0</v>
      </c>
      <c r="BW48" s="161">
        <f t="shared" si="54"/>
        <v>0</v>
      </c>
      <c r="BX48" s="161">
        <f t="shared" si="54"/>
        <v>0</v>
      </c>
      <c r="BY48" s="161">
        <f t="shared" si="54"/>
        <v>190.54999999999998</v>
      </c>
      <c r="BZ48" s="161">
        <f t="shared" si="54"/>
        <v>186.55</v>
      </c>
      <c r="CA48" s="161">
        <f t="shared" ref="CA48:DN48" si="55">SUM(CA49:CA51)</f>
        <v>197.55000000000004</v>
      </c>
      <c r="CB48" s="161">
        <f t="shared" si="55"/>
        <v>361.1</v>
      </c>
      <c r="CC48" s="161">
        <f t="shared" si="55"/>
        <v>508.65</v>
      </c>
      <c r="CD48" s="161">
        <f t="shared" si="55"/>
        <v>0</v>
      </c>
      <c r="CE48" s="161">
        <f t="shared" si="55"/>
        <v>0</v>
      </c>
      <c r="CF48" s="161">
        <f t="shared" si="55"/>
        <v>0</v>
      </c>
      <c r="CG48" s="161">
        <f t="shared" si="55"/>
        <v>0</v>
      </c>
      <c r="CH48" s="161">
        <f t="shared" si="55"/>
        <v>187.55</v>
      </c>
      <c r="CI48" s="161">
        <f t="shared" si="55"/>
        <v>191.55</v>
      </c>
      <c r="CJ48" s="161">
        <f t="shared" si="55"/>
        <v>197.55000000000004</v>
      </c>
      <c r="CK48" s="161">
        <f t="shared" si="55"/>
        <v>194.55</v>
      </c>
      <c r="CL48" s="161">
        <f t="shared" si="55"/>
        <v>194.55</v>
      </c>
      <c r="CM48" s="161">
        <f t="shared" si="55"/>
        <v>200.55000000000004</v>
      </c>
      <c r="CN48" s="161">
        <f t="shared" si="55"/>
        <v>194.55</v>
      </c>
      <c r="CO48" s="161">
        <f t="shared" si="55"/>
        <v>365.1</v>
      </c>
      <c r="CP48" s="161">
        <f t="shared" si="55"/>
        <v>352.1</v>
      </c>
      <c r="CQ48" s="161">
        <f t="shared" si="55"/>
        <v>505.65</v>
      </c>
      <c r="CR48" s="161">
        <f t="shared" si="55"/>
        <v>504.65000000000003</v>
      </c>
      <c r="CS48" s="161">
        <f t="shared" si="55"/>
        <v>0</v>
      </c>
      <c r="CT48" s="161">
        <f t="shared" si="55"/>
        <v>0</v>
      </c>
      <c r="CU48" s="161">
        <f t="shared" si="55"/>
        <v>0</v>
      </c>
      <c r="CV48" s="161">
        <f t="shared" si="55"/>
        <v>0</v>
      </c>
      <c r="CW48" s="161">
        <f t="shared" si="55"/>
        <v>0</v>
      </c>
      <c r="CX48" s="161">
        <f t="shared" si="55"/>
        <v>0</v>
      </c>
      <c r="CY48" s="161">
        <f t="shared" si="55"/>
        <v>0</v>
      </c>
      <c r="CZ48" s="161">
        <f t="shared" si="55"/>
        <v>0</v>
      </c>
      <c r="DA48" s="161">
        <f t="shared" si="55"/>
        <v>0</v>
      </c>
      <c r="DB48" s="161">
        <f t="shared" si="55"/>
        <v>198</v>
      </c>
      <c r="DC48" s="161">
        <f t="shared" si="55"/>
        <v>396</v>
      </c>
      <c r="DD48" s="161">
        <f t="shared" si="55"/>
        <v>396</v>
      </c>
      <c r="DE48" s="161">
        <f t="shared" si="55"/>
        <v>396</v>
      </c>
      <c r="DF48" s="161">
        <f t="shared" si="55"/>
        <v>792</v>
      </c>
      <c r="DG48" s="161">
        <f t="shared" si="55"/>
        <v>1188</v>
      </c>
      <c r="DH48" s="161">
        <f t="shared" si="55"/>
        <v>198</v>
      </c>
      <c r="DI48" s="161">
        <f t="shared" si="55"/>
        <v>198</v>
      </c>
      <c r="DJ48" s="161">
        <f t="shared" si="55"/>
        <v>198</v>
      </c>
      <c r="DK48" s="161">
        <f t="shared" si="55"/>
        <v>396</v>
      </c>
      <c r="DL48" s="161">
        <f t="shared" si="55"/>
        <v>396</v>
      </c>
      <c r="DM48" s="161">
        <f t="shared" si="55"/>
        <v>396</v>
      </c>
      <c r="DN48" s="161">
        <f t="shared" si="55"/>
        <v>396</v>
      </c>
      <c r="DO48" s="161"/>
      <c r="DP48" s="161"/>
      <c r="DQ48" s="161"/>
      <c r="DR48" s="161"/>
      <c r="DS48" s="161"/>
      <c r="DT48" s="161"/>
      <c r="DU48" s="161"/>
      <c r="DV48" s="161"/>
      <c r="DW48" s="161"/>
      <c r="DX48" s="161"/>
      <c r="DY48" s="161"/>
      <c r="DZ48" s="161"/>
      <c r="EA48" s="161"/>
      <c r="EB48" s="161"/>
      <c r="EC48" s="161"/>
      <c r="ED48" s="161"/>
      <c r="EE48" s="161"/>
      <c r="EF48" s="161"/>
      <c r="EG48" s="161"/>
      <c r="EH48" s="161"/>
      <c r="EI48" s="161"/>
      <c r="EJ48" s="161"/>
      <c r="EK48" s="161"/>
      <c r="EL48" s="161"/>
      <c r="EM48" s="161"/>
      <c r="EN48" s="161"/>
      <c r="EO48" s="161"/>
      <c r="EP48" s="161"/>
      <c r="EQ48" s="161"/>
      <c r="ER48" s="161"/>
      <c r="ES48" s="161"/>
      <c r="ET48" s="161"/>
      <c r="EU48" s="161"/>
      <c r="EV48" s="161"/>
      <c r="EW48" s="161"/>
      <c r="EX48" s="161"/>
      <c r="EY48" s="161"/>
      <c r="EZ48" s="161"/>
      <c r="FA48" s="161"/>
      <c r="FB48" s="161"/>
      <c r="FC48" s="161"/>
      <c r="FD48" s="161"/>
      <c r="FE48" s="161"/>
      <c r="FF48" s="161"/>
      <c r="FG48" s="161"/>
      <c r="FH48" s="161"/>
      <c r="FI48" s="161"/>
      <c r="FJ48" s="161"/>
      <c r="FK48" s="161"/>
      <c r="FL48" s="161"/>
      <c r="FM48" s="161"/>
      <c r="FN48" s="161"/>
      <c r="FO48" s="161"/>
      <c r="FP48" s="161"/>
      <c r="FQ48" s="161"/>
      <c r="FR48" s="161"/>
      <c r="FS48" s="161"/>
      <c r="FT48" s="161"/>
      <c r="FU48" s="161"/>
      <c r="FV48" s="161"/>
      <c r="FW48" s="161"/>
      <c r="FX48" s="161"/>
      <c r="FY48" s="161"/>
      <c r="FZ48" s="161"/>
      <c r="GA48" s="161"/>
      <c r="GB48" s="161"/>
      <c r="GC48" s="161"/>
      <c r="GD48" s="161"/>
      <c r="GE48" s="161"/>
      <c r="GF48" s="161"/>
      <c r="GG48" s="161"/>
      <c r="GH48" s="161"/>
      <c r="GI48" s="161"/>
      <c r="GJ48" s="161"/>
      <c r="GK48" s="161"/>
      <c r="GL48" s="161"/>
      <c r="GM48" s="161"/>
      <c r="GN48" s="161"/>
      <c r="GO48" s="161"/>
      <c r="GP48" s="161"/>
      <c r="GQ48" s="161"/>
      <c r="GR48" s="161"/>
      <c r="GS48" s="161"/>
      <c r="GT48" s="161"/>
      <c r="GU48" s="161"/>
      <c r="GV48" s="161"/>
      <c r="GW48" s="161"/>
      <c r="GX48" s="161"/>
      <c r="GY48" s="161"/>
      <c r="GZ48" s="161"/>
      <c r="HA48" s="161"/>
      <c r="HB48" s="161"/>
      <c r="HC48" s="161"/>
      <c r="HD48" s="161"/>
      <c r="HE48" s="161"/>
      <c r="HF48" s="161"/>
      <c r="HG48" s="161"/>
      <c r="HH48" s="161"/>
      <c r="HI48" s="161"/>
      <c r="HJ48" s="161"/>
      <c r="HK48" s="161"/>
      <c r="HL48" s="161"/>
    </row>
    <row r="49" spans="1:221" s="2" customFormat="1" ht="12" x14ac:dyDescent="0.25">
      <c r="C49" s="162" t="s">
        <v>529</v>
      </c>
      <c r="G49" s="310" t="s">
        <v>541</v>
      </c>
      <c r="H49" s="2" t="s">
        <v>544</v>
      </c>
      <c r="I49" s="476">
        <f t="shared" ref="I49:BT49" si="56">I27*(1-I$44)</f>
        <v>154.08929581892488</v>
      </c>
      <c r="J49" s="476">
        <f t="shared" si="56"/>
        <v>198</v>
      </c>
      <c r="K49" s="476">
        <f t="shared" si="56"/>
        <v>0</v>
      </c>
      <c r="L49" s="476">
        <f t="shared" si="56"/>
        <v>0</v>
      </c>
      <c r="M49" s="476">
        <f t="shared" si="56"/>
        <v>0</v>
      </c>
      <c r="N49" s="476">
        <f t="shared" si="56"/>
        <v>0</v>
      </c>
      <c r="O49" s="476">
        <f t="shared" si="56"/>
        <v>0</v>
      </c>
      <c r="P49" s="476">
        <f t="shared" si="56"/>
        <v>0</v>
      </c>
      <c r="Q49" s="476">
        <f t="shared" si="56"/>
        <v>0</v>
      </c>
      <c r="R49" s="476">
        <f t="shared" si="56"/>
        <v>0</v>
      </c>
      <c r="S49" s="476">
        <f t="shared" si="56"/>
        <v>0</v>
      </c>
      <c r="T49" s="476">
        <f t="shared" si="56"/>
        <v>0</v>
      </c>
      <c r="U49" s="476">
        <f t="shared" si="56"/>
        <v>0</v>
      </c>
      <c r="V49" s="476">
        <f t="shared" si="56"/>
        <v>0</v>
      </c>
      <c r="W49" s="476">
        <f t="shared" si="56"/>
        <v>156.55000000000001</v>
      </c>
      <c r="X49" s="476">
        <f t="shared" si="56"/>
        <v>156.55000000000001</v>
      </c>
      <c r="Y49" s="476">
        <f t="shared" si="56"/>
        <v>111.62267172745788</v>
      </c>
      <c r="Z49" s="476">
        <f t="shared" si="56"/>
        <v>111.45568667533917</v>
      </c>
      <c r="AA49" s="476">
        <f t="shared" si="56"/>
        <v>217.39796884243742</v>
      </c>
      <c r="AB49" s="476">
        <f t="shared" si="56"/>
        <v>110.42711461699298</v>
      </c>
      <c r="AC49" s="476">
        <f t="shared" si="56"/>
        <v>146.40390879478826</v>
      </c>
      <c r="AD49" s="476">
        <f t="shared" si="56"/>
        <v>631.77729352953611</v>
      </c>
      <c r="AE49" s="476">
        <f t="shared" si="56"/>
        <v>156.55000000000001</v>
      </c>
      <c r="AF49" s="476">
        <f t="shared" si="56"/>
        <v>288.61016949152543</v>
      </c>
      <c r="AG49" s="476">
        <f t="shared" si="56"/>
        <v>292.47058823529414</v>
      </c>
      <c r="AH49" s="476">
        <f t="shared" si="56"/>
        <v>321.52054873499293</v>
      </c>
      <c r="AI49" s="476">
        <f t="shared" si="56"/>
        <v>291.44554455445547</v>
      </c>
      <c r="AJ49" s="476">
        <f t="shared" si="56"/>
        <v>575.38461538461536</v>
      </c>
      <c r="AK49" s="476">
        <f t="shared" si="56"/>
        <v>857.23433874709974</v>
      </c>
      <c r="AL49" s="476">
        <f t="shared" si="56"/>
        <v>0</v>
      </c>
      <c r="AM49" s="476">
        <f t="shared" si="56"/>
        <v>0</v>
      </c>
      <c r="AN49" s="476">
        <f t="shared" si="56"/>
        <v>0</v>
      </c>
      <c r="AO49" s="476">
        <f t="shared" si="56"/>
        <v>112.11628822559972</v>
      </c>
      <c r="AP49" s="476">
        <f t="shared" si="56"/>
        <v>111.62267172745788</v>
      </c>
      <c r="AQ49" s="476">
        <f t="shared" si="56"/>
        <v>112.59917587393589</v>
      </c>
      <c r="AR49" s="476">
        <f t="shared" si="56"/>
        <v>111.95295901488699</v>
      </c>
      <c r="AS49" s="476">
        <f t="shared" si="56"/>
        <v>111.2874556985637</v>
      </c>
      <c r="AT49" s="476">
        <f t="shared" si="56"/>
        <v>113.07168070238309</v>
      </c>
      <c r="AU49" s="476">
        <f t="shared" si="56"/>
        <v>111.62267172745788</v>
      </c>
      <c r="AV49" s="476">
        <f t="shared" si="56"/>
        <v>113.07168070238309</v>
      </c>
      <c r="AW49" s="476">
        <f t="shared" si="56"/>
        <v>112.4393837484094</v>
      </c>
      <c r="AX49" s="476">
        <f t="shared" si="56"/>
        <v>321.11755764129771</v>
      </c>
      <c r="AY49" s="476">
        <f t="shared" si="56"/>
        <v>321.92135899343839</v>
      </c>
      <c r="AZ49" s="476">
        <f t="shared" si="56"/>
        <v>0</v>
      </c>
      <c r="BA49" s="476">
        <f t="shared" si="56"/>
        <v>0</v>
      </c>
      <c r="BB49" s="476">
        <f t="shared" si="56"/>
        <v>0</v>
      </c>
      <c r="BC49" s="476">
        <f t="shared" si="56"/>
        <v>0</v>
      </c>
      <c r="BD49" s="476">
        <f t="shared" si="56"/>
        <v>0</v>
      </c>
      <c r="BE49" s="476">
        <f t="shared" si="56"/>
        <v>0</v>
      </c>
      <c r="BF49" s="476">
        <f t="shared" si="56"/>
        <v>0</v>
      </c>
      <c r="BG49" s="476">
        <f t="shared" si="56"/>
        <v>0</v>
      </c>
      <c r="BH49" s="476">
        <f t="shared" si="56"/>
        <v>0</v>
      </c>
      <c r="BI49" s="476">
        <f t="shared" si="56"/>
        <v>146.06557377049182</v>
      </c>
      <c r="BJ49" s="476">
        <f t="shared" si="56"/>
        <v>146.40390879478826</v>
      </c>
      <c r="BK49" s="476">
        <f t="shared" si="56"/>
        <v>146.57142857142858</v>
      </c>
      <c r="BL49" s="476">
        <f t="shared" si="56"/>
        <v>289.33333333333331</v>
      </c>
      <c r="BM49" s="476">
        <f t="shared" si="56"/>
        <v>290.57570715474208</v>
      </c>
      <c r="BN49" s="476">
        <f t="shared" si="56"/>
        <v>292.97560975609758</v>
      </c>
      <c r="BO49" s="476">
        <f t="shared" si="56"/>
        <v>290.92537313432837</v>
      </c>
      <c r="BP49" s="476">
        <f t="shared" si="56"/>
        <v>0</v>
      </c>
      <c r="BQ49" s="476">
        <f t="shared" si="56"/>
        <v>0</v>
      </c>
      <c r="BR49" s="476">
        <f t="shared" si="56"/>
        <v>0</v>
      </c>
      <c r="BS49" s="476">
        <f t="shared" si="56"/>
        <v>0</v>
      </c>
      <c r="BT49" s="476">
        <f t="shared" si="56"/>
        <v>0</v>
      </c>
      <c r="BU49" s="476">
        <f t="shared" ref="BU49:DN49" si="57">BU27*(1-BU$44)</f>
        <v>0</v>
      </c>
      <c r="BV49" s="476">
        <f t="shared" si="57"/>
        <v>0</v>
      </c>
      <c r="BW49" s="476">
        <f t="shared" si="57"/>
        <v>0</v>
      </c>
      <c r="BX49" s="476">
        <f t="shared" si="57"/>
        <v>0</v>
      </c>
      <c r="BY49" s="476">
        <f t="shared" si="57"/>
        <v>111.2874556985637</v>
      </c>
      <c r="BZ49" s="476">
        <f t="shared" si="57"/>
        <v>110.60178943381936</v>
      </c>
      <c r="CA49" s="476">
        <f t="shared" si="57"/>
        <v>112.4393837484094</v>
      </c>
      <c r="CB49" s="476">
        <f t="shared" si="57"/>
        <v>219.06686688626237</v>
      </c>
      <c r="CC49" s="476">
        <f t="shared" si="57"/>
        <v>322.32000607164542</v>
      </c>
      <c r="CD49" s="476">
        <f t="shared" si="57"/>
        <v>0</v>
      </c>
      <c r="CE49" s="476">
        <f t="shared" si="57"/>
        <v>0</v>
      </c>
      <c r="CF49" s="476">
        <f t="shared" si="57"/>
        <v>0</v>
      </c>
      <c r="CG49" s="476">
        <f t="shared" si="57"/>
        <v>0</v>
      </c>
      <c r="CH49" s="476">
        <f t="shared" si="57"/>
        <v>110.77514619883041</v>
      </c>
      <c r="CI49" s="476">
        <f t="shared" si="57"/>
        <v>111.45568667533917</v>
      </c>
      <c r="CJ49" s="476">
        <f t="shared" si="57"/>
        <v>112.4393837484094</v>
      </c>
      <c r="CK49" s="476">
        <f t="shared" si="57"/>
        <v>111.95295901488699</v>
      </c>
      <c r="CL49" s="476">
        <f t="shared" si="57"/>
        <v>111.95295901488699</v>
      </c>
      <c r="CM49" s="476">
        <f t="shared" si="57"/>
        <v>112.91531199424566</v>
      </c>
      <c r="CN49" s="476">
        <f t="shared" si="57"/>
        <v>111.95295901488699</v>
      </c>
      <c r="CO49" s="476">
        <f t="shared" si="57"/>
        <v>219.79005960392234</v>
      </c>
      <c r="CP49" s="476">
        <f t="shared" si="57"/>
        <v>217.39796884243742</v>
      </c>
      <c r="CQ49" s="476">
        <f t="shared" si="57"/>
        <v>321.72122536069907</v>
      </c>
      <c r="CR49" s="476">
        <f t="shared" si="57"/>
        <v>321.52054873499293</v>
      </c>
      <c r="CS49" s="476">
        <f t="shared" si="57"/>
        <v>0</v>
      </c>
      <c r="CT49" s="476">
        <f t="shared" si="57"/>
        <v>0</v>
      </c>
      <c r="CU49" s="476">
        <f t="shared" si="57"/>
        <v>0</v>
      </c>
      <c r="CV49" s="476">
        <f t="shared" si="57"/>
        <v>0</v>
      </c>
      <c r="CW49" s="476">
        <f t="shared" si="57"/>
        <v>0</v>
      </c>
      <c r="CX49" s="476">
        <f t="shared" si="57"/>
        <v>0</v>
      </c>
      <c r="CY49" s="476">
        <f t="shared" si="57"/>
        <v>0</v>
      </c>
      <c r="CZ49" s="476">
        <f t="shared" si="57"/>
        <v>0</v>
      </c>
      <c r="DA49" s="476">
        <f t="shared" si="57"/>
        <v>0</v>
      </c>
      <c r="DB49" s="476">
        <f t="shared" si="57"/>
        <v>141.02158273381295</v>
      </c>
      <c r="DC49" s="476">
        <f t="shared" si="57"/>
        <v>282.0431654676259</v>
      </c>
      <c r="DD49" s="476">
        <f t="shared" si="57"/>
        <v>282.0431654676259</v>
      </c>
      <c r="DE49" s="476">
        <f t="shared" si="57"/>
        <v>282.0431654676259</v>
      </c>
      <c r="DF49" s="476">
        <f t="shared" si="57"/>
        <v>564.08633093525179</v>
      </c>
      <c r="DG49" s="476">
        <f t="shared" si="57"/>
        <v>846.12949640287775</v>
      </c>
      <c r="DH49" s="476">
        <f t="shared" si="57"/>
        <v>141.02158273381295</v>
      </c>
      <c r="DI49" s="476">
        <f t="shared" si="57"/>
        <v>141.02158273381295</v>
      </c>
      <c r="DJ49" s="476">
        <f t="shared" si="57"/>
        <v>141.02158273381295</v>
      </c>
      <c r="DK49" s="476">
        <f t="shared" si="57"/>
        <v>282.0431654676259</v>
      </c>
      <c r="DL49" s="476">
        <f t="shared" si="57"/>
        <v>282.0431654676259</v>
      </c>
      <c r="DM49" s="476">
        <f t="shared" si="57"/>
        <v>282.0431654676259</v>
      </c>
      <c r="DN49" s="476">
        <f t="shared" si="57"/>
        <v>282.0431654676259</v>
      </c>
      <c r="DO49" s="476"/>
      <c r="DP49" s="476"/>
      <c r="DQ49" s="476"/>
      <c r="DR49" s="476"/>
      <c r="DS49" s="476"/>
      <c r="DT49" s="476"/>
      <c r="DU49" s="476"/>
      <c r="DV49" s="476"/>
      <c r="DW49" s="476"/>
      <c r="DX49" s="476"/>
      <c r="DY49" s="476"/>
      <c r="DZ49" s="476"/>
      <c r="EA49" s="476"/>
      <c r="EB49" s="476"/>
      <c r="EC49" s="476"/>
      <c r="ED49" s="476"/>
      <c r="EE49" s="476"/>
      <c r="EF49" s="476"/>
      <c r="EG49" s="476"/>
      <c r="EH49" s="476"/>
      <c r="EI49" s="476"/>
      <c r="EJ49" s="476"/>
      <c r="EK49" s="476"/>
      <c r="EL49" s="476"/>
      <c r="EM49" s="476"/>
      <c r="EN49" s="476"/>
      <c r="EO49" s="476"/>
      <c r="EP49" s="476"/>
      <c r="EQ49" s="476"/>
      <c r="ER49" s="476"/>
      <c r="ES49" s="476"/>
      <c r="ET49" s="476"/>
      <c r="EU49" s="476"/>
      <c r="EV49" s="476"/>
      <c r="EW49" s="476"/>
      <c r="EX49" s="476"/>
      <c r="EY49" s="476"/>
      <c r="EZ49" s="476"/>
      <c r="FA49" s="476"/>
      <c r="FB49" s="476"/>
      <c r="FC49" s="476"/>
      <c r="FD49" s="476"/>
      <c r="FE49" s="476"/>
      <c r="FF49" s="476"/>
      <c r="FG49" s="476"/>
      <c r="FH49" s="476"/>
      <c r="FI49" s="476"/>
      <c r="FJ49" s="476"/>
      <c r="FK49" s="476"/>
      <c r="FL49" s="476"/>
      <c r="FM49" s="476"/>
      <c r="FN49" s="476"/>
      <c r="FO49" s="476"/>
      <c r="FP49" s="476"/>
      <c r="FQ49" s="476"/>
      <c r="FR49" s="476"/>
      <c r="FS49" s="476"/>
      <c r="FT49" s="476"/>
      <c r="FU49" s="476"/>
      <c r="FV49" s="476"/>
      <c r="FW49" s="476"/>
      <c r="FX49" s="476"/>
      <c r="FY49" s="476"/>
      <c r="FZ49" s="476"/>
      <c r="GA49" s="476"/>
      <c r="GB49" s="476"/>
      <c r="GC49" s="476"/>
      <c r="GD49" s="476"/>
      <c r="GE49" s="476"/>
      <c r="GF49" s="476"/>
      <c r="GG49" s="476"/>
      <c r="GH49" s="476"/>
      <c r="GI49" s="476"/>
      <c r="GJ49" s="476"/>
      <c r="GK49" s="476"/>
      <c r="GL49" s="476"/>
      <c r="GM49" s="476"/>
      <c r="GN49" s="476"/>
      <c r="GO49" s="476"/>
      <c r="GP49" s="476"/>
      <c r="GQ49" s="476"/>
      <c r="GR49" s="476"/>
      <c r="GS49" s="476"/>
      <c r="GT49" s="476"/>
      <c r="GU49" s="476"/>
      <c r="GV49" s="476"/>
      <c r="GW49" s="476"/>
      <c r="GX49" s="476"/>
      <c r="GY49" s="476"/>
      <c r="GZ49" s="476"/>
      <c r="HA49" s="476"/>
      <c r="HB49" s="476"/>
      <c r="HC49" s="476"/>
      <c r="HD49" s="476"/>
      <c r="HE49" s="476"/>
      <c r="HF49" s="476"/>
      <c r="HG49" s="476"/>
      <c r="HH49" s="476"/>
      <c r="HI49" s="476"/>
      <c r="HJ49" s="476"/>
      <c r="HK49" s="476"/>
      <c r="HL49" s="476"/>
      <c r="HM49" s="477" t="s">
        <v>545</v>
      </c>
    </row>
    <row r="50" spans="1:221" s="2" customFormat="1" ht="12" x14ac:dyDescent="0.25">
      <c r="C50" s="162" t="s">
        <v>542</v>
      </c>
      <c r="G50" s="310" t="s">
        <v>541</v>
      </c>
      <c r="H50" s="2" t="s">
        <v>544</v>
      </c>
      <c r="I50" s="476">
        <f t="shared" ref="I50:BT50" si="58">I30*(1-I$44)</f>
        <v>0</v>
      </c>
      <c r="J50" s="476">
        <f t="shared" si="58"/>
        <v>0</v>
      </c>
      <c r="K50" s="476">
        <f t="shared" si="58"/>
        <v>0</v>
      </c>
      <c r="L50" s="476">
        <f t="shared" si="58"/>
        <v>0</v>
      </c>
      <c r="M50" s="476">
        <f t="shared" si="58"/>
        <v>0</v>
      </c>
      <c r="N50" s="476">
        <f t="shared" si="58"/>
        <v>0</v>
      </c>
      <c r="O50" s="476">
        <f t="shared" si="58"/>
        <v>0</v>
      </c>
      <c r="P50" s="476">
        <f t="shared" si="58"/>
        <v>0</v>
      </c>
      <c r="Q50" s="476">
        <f t="shared" si="58"/>
        <v>0</v>
      </c>
      <c r="R50" s="476">
        <f t="shared" si="58"/>
        <v>0</v>
      </c>
      <c r="S50" s="476">
        <f t="shared" si="58"/>
        <v>0</v>
      </c>
      <c r="T50" s="476">
        <f t="shared" si="58"/>
        <v>0</v>
      </c>
      <c r="U50" s="476">
        <f t="shared" si="58"/>
        <v>0</v>
      </c>
      <c r="V50" s="476">
        <f t="shared" si="58"/>
        <v>0</v>
      </c>
      <c r="W50" s="476">
        <f t="shared" si="58"/>
        <v>0</v>
      </c>
      <c r="X50" s="476">
        <f t="shared" si="58"/>
        <v>4</v>
      </c>
      <c r="Y50" s="476">
        <f t="shared" si="58"/>
        <v>25.668579892612481</v>
      </c>
      <c r="Z50" s="476">
        <f t="shared" si="58"/>
        <v>24.918230812116708</v>
      </c>
      <c r="AA50" s="476">
        <f t="shared" si="58"/>
        <v>27.079274304870836</v>
      </c>
      <c r="AB50" s="476">
        <f t="shared" si="58"/>
        <v>20.45599695875309</v>
      </c>
      <c r="AC50" s="476">
        <f t="shared" si="58"/>
        <v>21.44299674267101</v>
      </c>
      <c r="AD50" s="476">
        <f t="shared" si="58"/>
        <v>10.761670069703584</v>
      </c>
      <c r="AE50" s="476">
        <f t="shared" si="58"/>
        <v>7</v>
      </c>
      <c r="AF50" s="476">
        <f t="shared" si="58"/>
        <v>24.779661016949152</v>
      </c>
      <c r="AG50" s="476">
        <f t="shared" si="58"/>
        <v>41.359477124183009</v>
      </c>
      <c r="AH50" s="476">
        <f t="shared" si="58"/>
        <v>23.960862782337379</v>
      </c>
      <c r="AI50" s="476">
        <f t="shared" si="58"/>
        <v>36.798679867986799</v>
      </c>
      <c r="AJ50" s="476">
        <f t="shared" si="58"/>
        <v>42.136752136752136</v>
      </c>
      <c r="AK50" s="476">
        <f t="shared" si="58"/>
        <v>40.40835266821346</v>
      </c>
      <c r="AL50" s="476">
        <f t="shared" si="58"/>
        <v>0</v>
      </c>
      <c r="AM50" s="476">
        <f t="shared" si="58"/>
        <v>0</v>
      </c>
      <c r="AN50" s="476">
        <f t="shared" si="58"/>
        <v>0</v>
      </c>
      <c r="AO50" s="476">
        <f t="shared" si="58"/>
        <v>27.930598791430143</v>
      </c>
      <c r="AP50" s="476">
        <f t="shared" si="58"/>
        <v>25.668579892612481</v>
      </c>
      <c r="AQ50" s="476">
        <f t="shared" si="58"/>
        <v>30.208657851838435</v>
      </c>
      <c r="AR50" s="476">
        <f t="shared" si="58"/>
        <v>27.174784047050178</v>
      </c>
      <c r="AS50" s="476">
        <f t="shared" si="58"/>
        <v>24.16974445066219</v>
      </c>
      <c r="AT50" s="476">
        <f t="shared" si="58"/>
        <v>32.502239741981725</v>
      </c>
      <c r="AU50" s="476">
        <f t="shared" si="58"/>
        <v>25.668579892612481</v>
      </c>
      <c r="AV50" s="476">
        <f t="shared" si="58"/>
        <v>32.502239741981725</v>
      </c>
      <c r="AW50" s="476">
        <f t="shared" si="58"/>
        <v>29.447554990001819</v>
      </c>
      <c r="AX50" s="476">
        <f t="shared" si="58"/>
        <v>22.563354417465824</v>
      </c>
      <c r="AY50" s="476">
        <f t="shared" si="58"/>
        <v>25.361631603869306</v>
      </c>
      <c r="AZ50" s="476">
        <f t="shared" si="58"/>
        <v>0</v>
      </c>
      <c r="BA50" s="476">
        <f t="shared" si="58"/>
        <v>0</v>
      </c>
      <c r="BB50" s="476">
        <f t="shared" si="58"/>
        <v>0</v>
      </c>
      <c r="BC50" s="476">
        <f t="shared" si="58"/>
        <v>0</v>
      </c>
      <c r="BD50" s="476">
        <f t="shared" si="58"/>
        <v>0</v>
      </c>
      <c r="BE50" s="476">
        <f t="shared" si="58"/>
        <v>0</v>
      </c>
      <c r="BF50" s="476">
        <f t="shared" si="58"/>
        <v>0</v>
      </c>
      <c r="BG50" s="476">
        <f t="shared" si="58"/>
        <v>0</v>
      </c>
      <c r="BH50" s="476">
        <f t="shared" si="58"/>
        <v>0</v>
      </c>
      <c r="BI50" s="476">
        <f t="shared" si="58"/>
        <v>19.918032786885249</v>
      </c>
      <c r="BJ50" s="476">
        <f t="shared" si="58"/>
        <v>21.44299674267101</v>
      </c>
      <c r="BK50" s="476">
        <f t="shared" si="58"/>
        <v>22.20779220779221</v>
      </c>
      <c r="BL50" s="476">
        <f t="shared" si="58"/>
        <v>27.764309764309765</v>
      </c>
      <c r="BM50" s="476">
        <f t="shared" si="58"/>
        <v>33.019966722129787</v>
      </c>
      <c r="BN50" s="476">
        <f t="shared" si="58"/>
        <v>43.650406504065039</v>
      </c>
      <c r="BO50" s="476">
        <f t="shared" si="58"/>
        <v>34.529021558872302</v>
      </c>
      <c r="BP50" s="476">
        <f t="shared" si="58"/>
        <v>0</v>
      </c>
      <c r="BQ50" s="476">
        <f t="shared" si="58"/>
        <v>0</v>
      </c>
      <c r="BR50" s="476">
        <f t="shared" si="58"/>
        <v>0</v>
      </c>
      <c r="BS50" s="476">
        <f t="shared" si="58"/>
        <v>0</v>
      </c>
      <c r="BT50" s="476">
        <f t="shared" si="58"/>
        <v>0</v>
      </c>
      <c r="BU50" s="476">
        <f t="shared" ref="BU50:DN50" si="59">BU30*(1-BU$44)</f>
        <v>0</v>
      </c>
      <c r="BV50" s="476">
        <f t="shared" si="59"/>
        <v>0</v>
      </c>
      <c r="BW50" s="476">
        <f t="shared" si="59"/>
        <v>0</v>
      </c>
      <c r="BX50" s="476">
        <f t="shared" si="59"/>
        <v>0</v>
      </c>
      <c r="BY50" s="476">
        <f t="shared" si="59"/>
        <v>24.16974445066219</v>
      </c>
      <c r="BZ50" s="476">
        <f t="shared" si="59"/>
        <v>21.194849460329486</v>
      </c>
      <c r="CA50" s="476">
        <f t="shared" si="59"/>
        <v>29.447554990001819</v>
      </c>
      <c r="CB50" s="476">
        <f t="shared" si="59"/>
        <v>33.584189110637475</v>
      </c>
      <c r="CC50" s="476">
        <f t="shared" si="59"/>
        <v>26.765634486945959</v>
      </c>
      <c r="CD50" s="476">
        <f t="shared" si="59"/>
        <v>0</v>
      </c>
      <c r="CE50" s="476">
        <f t="shared" si="59"/>
        <v>0</v>
      </c>
      <c r="CF50" s="476">
        <f t="shared" si="59"/>
        <v>0</v>
      </c>
      <c r="CG50" s="476">
        <f t="shared" si="59"/>
        <v>0</v>
      </c>
      <c r="CH50" s="476">
        <f t="shared" si="59"/>
        <v>21.935672514619885</v>
      </c>
      <c r="CI50" s="476">
        <f t="shared" si="59"/>
        <v>24.918230812116708</v>
      </c>
      <c r="CJ50" s="476">
        <f t="shared" si="59"/>
        <v>29.447554990001819</v>
      </c>
      <c r="CK50" s="476">
        <f t="shared" si="59"/>
        <v>27.174784047050178</v>
      </c>
      <c r="CL50" s="476">
        <f t="shared" si="59"/>
        <v>27.174784047050178</v>
      </c>
      <c r="CM50" s="476">
        <f t="shared" si="59"/>
        <v>31.736018701672364</v>
      </c>
      <c r="CN50" s="476">
        <f t="shared" si="59"/>
        <v>27.174784047050178</v>
      </c>
      <c r="CO50" s="476">
        <f t="shared" si="59"/>
        <v>36.502980196116134</v>
      </c>
      <c r="CP50" s="476">
        <f t="shared" si="59"/>
        <v>27.079274304870836</v>
      </c>
      <c r="CQ50" s="476">
        <f t="shared" si="59"/>
        <v>24.660841292420237</v>
      </c>
      <c r="CR50" s="476">
        <f t="shared" si="59"/>
        <v>23.960862782337379</v>
      </c>
      <c r="CS50" s="476">
        <f t="shared" si="59"/>
        <v>0</v>
      </c>
      <c r="CT50" s="476">
        <f t="shared" si="59"/>
        <v>0</v>
      </c>
      <c r="CU50" s="476">
        <f t="shared" si="59"/>
        <v>0</v>
      </c>
      <c r="CV50" s="476">
        <f t="shared" si="59"/>
        <v>0</v>
      </c>
      <c r="CW50" s="476">
        <f t="shared" si="59"/>
        <v>0</v>
      </c>
      <c r="CX50" s="476">
        <f t="shared" si="59"/>
        <v>0</v>
      </c>
      <c r="CY50" s="476">
        <f t="shared" si="59"/>
        <v>0</v>
      </c>
      <c r="CZ50" s="476">
        <f t="shared" si="59"/>
        <v>0</v>
      </c>
      <c r="DA50" s="476">
        <f t="shared" si="59"/>
        <v>0</v>
      </c>
      <c r="DB50" s="476">
        <f t="shared" si="59"/>
        <v>0</v>
      </c>
      <c r="DC50" s="476">
        <f t="shared" si="59"/>
        <v>0</v>
      </c>
      <c r="DD50" s="476">
        <f t="shared" si="59"/>
        <v>0</v>
      </c>
      <c r="DE50" s="476">
        <f t="shared" si="59"/>
        <v>0</v>
      </c>
      <c r="DF50" s="476">
        <f t="shared" si="59"/>
        <v>0</v>
      </c>
      <c r="DG50" s="476">
        <f t="shared" si="59"/>
        <v>0</v>
      </c>
      <c r="DH50" s="476">
        <f t="shared" si="59"/>
        <v>0</v>
      </c>
      <c r="DI50" s="476">
        <f t="shared" si="59"/>
        <v>0</v>
      </c>
      <c r="DJ50" s="476">
        <f t="shared" si="59"/>
        <v>0</v>
      </c>
      <c r="DK50" s="476">
        <f t="shared" si="59"/>
        <v>0</v>
      </c>
      <c r="DL50" s="476">
        <f t="shared" si="59"/>
        <v>0</v>
      </c>
      <c r="DM50" s="476">
        <f t="shared" si="59"/>
        <v>0</v>
      </c>
      <c r="DN50" s="476">
        <f t="shared" si="59"/>
        <v>0</v>
      </c>
      <c r="DO50" s="476"/>
      <c r="DP50" s="476"/>
      <c r="DQ50" s="476"/>
      <c r="DR50" s="476"/>
      <c r="DS50" s="476"/>
      <c r="DT50" s="476"/>
      <c r="DU50" s="476"/>
      <c r="DV50" s="476"/>
      <c r="DW50" s="476"/>
      <c r="DX50" s="476"/>
      <c r="DY50" s="476"/>
      <c r="DZ50" s="476"/>
      <c r="EA50" s="476"/>
      <c r="EB50" s="476"/>
      <c r="EC50" s="476"/>
      <c r="ED50" s="476"/>
      <c r="EE50" s="476"/>
      <c r="EF50" s="476"/>
      <c r="EG50" s="476"/>
      <c r="EH50" s="476"/>
      <c r="EI50" s="476"/>
      <c r="EJ50" s="476"/>
      <c r="EK50" s="476"/>
      <c r="EL50" s="476"/>
      <c r="EM50" s="476"/>
      <c r="EN50" s="476"/>
      <c r="EO50" s="476"/>
      <c r="EP50" s="476"/>
      <c r="EQ50" s="476"/>
      <c r="ER50" s="476"/>
      <c r="ES50" s="476"/>
      <c r="ET50" s="476"/>
      <c r="EU50" s="476"/>
      <c r="EV50" s="476"/>
      <c r="EW50" s="476"/>
      <c r="EX50" s="476"/>
      <c r="EY50" s="476"/>
      <c r="EZ50" s="476"/>
      <c r="FA50" s="476"/>
      <c r="FB50" s="476"/>
      <c r="FC50" s="476"/>
      <c r="FD50" s="476"/>
      <c r="FE50" s="476"/>
      <c r="FF50" s="476"/>
      <c r="FG50" s="476"/>
      <c r="FH50" s="476"/>
      <c r="FI50" s="476"/>
      <c r="FJ50" s="476"/>
      <c r="FK50" s="476"/>
      <c r="FL50" s="476"/>
      <c r="FM50" s="476"/>
      <c r="FN50" s="476"/>
      <c r="FO50" s="476"/>
      <c r="FP50" s="476"/>
      <c r="FQ50" s="476"/>
      <c r="FR50" s="476"/>
      <c r="FS50" s="476"/>
      <c r="FT50" s="476"/>
      <c r="FU50" s="476"/>
      <c r="FV50" s="476"/>
      <c r="FW50" s="476"/>
      <c r="FX50" s="476"/>
      <c r="FY50" s="476"/>
      <c r="FZ50" s="476"/>
      <c r="GA50" s="476"/>
      <c r="GB50" s="476"/>
      <c r="GC50" s="476"/>
      <c r="GD50" s="476"/>
      <c r="GE50" s="476"/>
      <c r="GF50" s="476"/>
      <c r="GG50" s="476"/>
      <c r="GH50" s="476"/>
      <c r="GI50" s="476"/>
      <c r="GJ50" s="476"/>
      <c r="GK50" s="476"/>
      <c r="GL50" s="476"/>
      <c r="GM50" s="476"/>
      <c r="GN50" s="476"/>
      <c r="GO50" s="476"/>
      <c r="GP50" s="476"/>
      <c r="GQ50" s="476"/>
      <c r="GR50" s="476"/>
      <c r="GS50" s="476"/>
      <c r="GT50" s="476"/>
      <c r="GU50" s="476"/>
      <c r="GV50" s="476"/>
      <c r="GW50" s="476"/>
      <c r="GX50" s="476"/>
      <c r="GY50" s="476"/>
      <c r="GZ50" s="476"/>
      <c r="HA50" s="476"/>
      <c r="HB50" s="476"/>
      <c r="HC50" s="476"/>
      <c r="HD50" s="476"/>
      <c r="HE50" s="476"/>
      <c r="HF50" s="476"/>
      <c r="HG50" s="476"/>
      <c r="HH50" s="476"/>
      <c r="HI50" s="476"/>
      <c r="HJ50" s="476"/>
      <c r="HK50" s="476"/>
      <c r="HL50" s="476"/>
      <c r="HM50" s="477" t="s">
        <v>546</v>
      </c>
    </row>
    <row r="51" spans="1:221" s="2" customFormat="1" ht="12" x14ac:dyDescent="0.25">
      <c r="C51" s="162" t="s">
        <v>543</v>
      </c>
      <c r="G51" s="310" t="s">
        <v>541</v>
      </c>
      <c r="H51" s="2" t="s">
        <v>544</v>
      </c>
      <c r="I51" s="476">
        <f>I34*(1-I$44)</f>
        <v>2.4607041810751338</v>
      </c>
      <c r="J51" s="476">
        <f>J34*(1-J$44)</f>
        <v>0</v>
      </c>
      <c r="K51" s="476">
        <f t="shared" ref="K51:W51" si="60">K34*(1-K$44)</f>
        <v>0</v>
      </c>
      <c r="L51" s="476">
        <f t="shared" si="60"/>
        <v>0</v>
      </c>
      <c r="M51" s="476">
        <f t="shared" si="60"/>
        <v>0</v>
      </c>
      <c r="N51" s="476">
        <f>N34*(1-N$44)</f>
        <v>0</v>
      </c>
      <c r="O51" s="476">
        <f t="shared" si="60"/>
        <v>0</v>
      </c>
      <c r="P51" s="476">
        <f t="shared" si="60"/>
        <v>0</v>
      </c>
      <c r="Q51" s="476">
        <f t="shared" si="60"/>
        <v>0</v>
      </c>
      <c r="R51" s="476">
        <f t="shared" si="60"/>
        <v>0</v>
      </c>
      <c r="S51" s="476">
        <f t="shared" si="60"/>
        <v>0</v>
      </c>
      <c r="T51" s="476">
        <f t="shared" si="60"/>
        <v>0</v>
      </c>
      <c r="U51" s="476">
        <f t="shared" si="60"/>
        <v>0</v>
      </c>
      <c r="V51" s="476">
        <f>V34*(1-V$44)</f>
        <v>0</v>
      </c>
      <c r="W51" s="476">
        <f t="shared" si="60"/>
        <v>0</v>
      </c>
      <c r="X51" s="476">
        <f t="shared" ref="X51:AN51" si="61">X34*(1-X$44)</f>
        <v>0</v>
      </c>
      <c r="Y51" s="476">
        <f t="shared" si="61"/>
        <v>55.258748379929642</v>
      </c>
      <c r="Z51" s="476">
        <f t="shared" si="61"/>
        <v>55.176082512544141</v>
      </c>
      <c r="AA51" s="476">
        <f t="shared" si="61"/>
        <v>107.62275685269178</v>
      </c>
      <c r="AB51" s="476">
        <f t="shared" si="61"/>
        <v>54.666888424253948</v>
      </c>
      <c r="AC51" s="476">
        <f t="shared" si="61"/>
        <v>59.153094462540714</v>
      </c>
      <c r="AD51" s="476">
        <f t="shared" si="61"/>
        <v>312.76103640076042</v>
      </c>
      <c r="AE51" s="476">
        <f t="shared" si="61"/>
        <v>0</v>
      </c>
      <c r="AF51" s="476">
        <f t="shared" si="61"/>
        <v>116.61016949152541</v>
      </c>
      <c r="AG51" s="476">
        <f t="shared" si="61"/>
        <v>118.16993464052288</v>
      </c>
      <c r="AH51" s="476">
        <f t="shared" si="61"/>
        <v>159.16858848266975</v>
      </c>
      <c r="AI51" s="476">
        <f t="shared" si="61"/>
        <v>117.75577557755776</v>
      </c>
      <c r="AJ51" s="476">
        <f t="shared" si="61"/>
        <v>232.47863247863248</v>
      </c>
      <c r="AK51" s="476">
        <f t="shared" si="61"/>
        <v>346.35730858468679</v>
      </c>
      <c r="AL51" s="476">
        <f t="shared" si="61"/>
        <v>0</v>
      </c>
      <c r="AM51" s="476">
        <f t="shared" si="61"/>
        <v>0</v>
      </c>
      <c r="AN51" s="476">
        <f t="shared" si="61"/>
        <v>0</v>
      </c>
      <c r="AO51" s="476">
        <f t="shared" ref="AO51:BF51" si="62">AO34*(1-AO$44)</f>
        <v>55.503112982970151</v>
      </c>
      <c r="AP51" s="476">
        <f t="shared" si="62"/>
        <v>55.258748379929642</v>
      </c>
      <c r="AQ51" s="476">
        <f>AQ34*(1-AQ$44)</f>
        <v>55.742166274225681</v>
      </c>
      <c r="AR51" s="476">
        <f t="shared" si="62"/>
        <v>55.422256938062858</v>
      </c>
      <c r="AS51" s="476">
        <f t="shared" si="62"/>
        <v>55.092799850774107</v>
      </c>
      <c r="AT51" s="476">
        <f t="shared" si="62"/>
        <v>55.976079555635195</v>
      </c>
      <c r="AU51" s="476">
        <f t="shared" si="62"/>
        <v>55.258748379929642</v>
      </c>
      <c r="AV51" s="476">
        <f t="shared" si="62"/>
        <v>55.976079555635195</v>
      </c>
      <c r="AW51" s="476">
        <f t="shared" si="62"/>
        <v>55.663061261588801</v>
      </c>
      <c r="AX51" s="476">
        <f t="shared" si="62"/>
        <v>158.96908794123649</v>
      </c>
      <c r="AY51" s="476">
        <f t="shared" si="62"/>
        <v>159.36700940269228</v>
      </c>
      <c r="AZ51" s="476">
        <f t="shared" si="62"/>
        <v>0</v>
      </c>
      <c r="BA51" s="476">
        <f t="shared" si="62"/>
        <v>0</v>
      </c>
      <c r="BB51" s="476">
        <f t="shared" si="62"/>
        <v>0</v>
      </c>
      <c r="BC51" s="476">
        <f t="shared" si="62"/>
        <v>0</v>
      </c>
      <c r="BD51" s="476">
        <f t="shared" si="62"/>
        <v>0</v>
      </c>
      <c r="BE51" s="476">
        <f t="shared" si="62"/>
        <v>0</v>
      </c>
      <c r="BF51" s="476">
        <f t="shared" si="62"/>
        <v>0</v>
      </c>
      <c r="BG51" s="476">
        <f t="shared" ref="BG51:BZ51" si="63">BG34*(1-BG$44)</f>
        <v>0</v>
      </c>
      <c r="BH51" s="476">
        <f t="shared" si="63"/>
        <v>0</v>
      </c>
      <c r="BI51" s="476">
        <f t="shared" si="63"/>
        <v>59.016393442622956</v>
      </c>
      <c r="BJ51" s="476">
        <f t="shared" si="63"/>
        <v>59.153094462540714</v>
      </c>
      <c r="BK51" s="476">
        <f t="shared" si="63"/>
        <v>59.220779220779221</v>
      </c>
      <c r="BL51" s="476">
        <f t="shared" si="63"/>
        <v>116.9023569023569</v>
      </c>
      <c r="BM51" s="476">
        <f t="shared" si="63"/>
        <v>117.40432612312813</v>
      </c>
      <c r="BN51" s="476">
        <f t="shared" si="63"/>
        <v>118.3739837398374</v>
      </c>
      <c r="BO51" s="476">
        <f t="shared" si="63"/>
        <v>117.54560530679933</v>
      </c>
      <c r="BP51" s="476">
        <f t="shared" si="63"/>
        <v>0</v>
      </c>
      <c r="BQ51" s="476">
        <f t="shared" si="63"/>
        <v>0</v>
      </c>
      <c r="BR51" s="476">
        <f t="shared" si="63"/>
        <v>0</v>
      </c>
      <c r="BS51" s="476">
        <f t="shared" si="63"/>
        <v>0</v>
      </c>
      <c r="BT51" s="476">
        <f t="shared" si="63"/>
        <v>0</v>
      </c>
      <c r="BU51" s="476">
        <f t="shared" si="63"/>
        <v>0</v>
      </c>
      <c r="BV51" s="476">
        <f t="shared" si="63"/>
        <v>0</v>
      </c>
      <c r="BW51" s="476">
        <f t="shared" si="63"/>
        <v>0</v>
      </c>
      <c r="BX51" s="476">
        <f t="shared" si="63"/>
        <v>0</v>
      </c>
      <c r="BY51" s="476">
        <f t="shared" si="63"/>
        <v>55.092799850774107</v>
      </c>
      <c r="BZ51" s="476">
        <f t="shared" si="63"/>
        <v>54.75336110585117</v>
      </c>
      <c r="CA51" s="476">
        <f t="shared" ref="CA51:DN51" si="64">CA34*(1-CA$44)</f>
        <v>55.663061261588801</v>
      </c>
      <c r="CB51" s="476">
        <f t="shared" si="64"/>
        <v>108.44894400310018</v>
      </c>
      <c r="CC51" s="476">
        <f t="shared" si="64"/>
        <v>159.56435944140861</v>
      </c>
      <c r="CD51" s="476">
        <f t="shared" si="64"/>
        <v>0</v>
      </c>
      <c r="CE51" s="476">
        <f t="shared" si="64"/>
        <v>0</v>
      </c>
      <c r="CF51" s="476">
        <f t="shared" si="64"/>
        <v>0</v>
      </c>
      <c r="CG51" s="476">
        <f t="shared" si="64"/>
        <v>0</v>
      </c>
      <c r="CH51" s="476">
        <f t="shared" si="64"/>
        <v>54.83918128654971</v>
      </c>
      <c r="CI51" s="476">
        <f t="shared" si="64"/>
        <v>55.176082512544141</v>
      </c>
      <c r="CJ51" s="476">
        <f t="shared" si="64"/>
        <v>55.663061261588801</v>
      </c>
      <c r="CK51" s="476">
        <f t="shared" si="64"/>
        <v>55.422256938062858</v>
      </c>
      <c r="CL51" s="476">
        <f t="shared" si="64"/>
        <v>55.422256938062858</v>
      </c>
      <c r="CM51" s="476">
        <f t="shared" si="64"/>
        <v>55.898669304082006</v>
      </c>
      <c r="CN51" s="476">
        <f t="shared" si="64"/>
        <v>55.422256938062858</v>
      </c>
      <c r="CO51" s="476">
        <f t="shared" si="64"/>
        <v>108.80696019996155</v>
      </c>
      <c r="CP51" s="476">
        <f t="shared" si="64"/>
        <v>107.62275685269178</v>
      </c>
      <c r="CQ51" s="476">
        <f t="shared" si="64"/>
        <v>159.26793334688071</v>
      </c>
      <c r="CR51" s="476">
        <f t="shared" si="64"/>
        <v>159.16858848266975</v>
      </c>
      <c r="CS51" s="476">
        <f t="shared" si="64"/>
        <v>0</v>
      </c>
      <c r="CT51" s="476">
        <f t="shared" si="64"/>
        <v>0</v>
      </c>
      <c r="CU51" s="476">
        <f t="shared" si="64"/>
        <v>0</v>
      </c>
      <c r="CV51" s="476">
        <f t="shared" si="64"/>
        <v>0</v>
      </c>
      <c r="CW51" s="476">
        <f t="shared" si="64"/>
        <v>0</v>
      </c>
      <c r="CX51" s="476">
        <f t="shared" si="64"/>
        <v>0</v>
      </c>
      <c r="CY51" s="476">
        <f t="shared" si="64"/>
        <v>0</v>
      </c>
      <c r="CZ51" s="476">
        <f t="shared" si="64"/>
        <v>0</v>
      </c>
      <c r="DA51" s="476">
        <f t="shared" si="64"/>
        <v>0</v>
      </c>
      <c r="DB51" s="476">
        <f t="shared" si="64"/>
        <v>56.978417266187051</v>
      </c>
      <c r="DC51" s="476">
        <f t="shared" si="64"/>
        <v>113.9568345323741</v>
      </c>
      <c r="DD51" s="476">
        <f t="shared" si="64"/>
        <v>113.9568345323741</v>
      </c>
      <c r="DE51" s="476">
        <f t="shared" si="64"/>
        <v>113.9568345323741</v>
      </c>
      <c r="DF51" s="476">
        <f t="shared" si="64"/>
        <v>227.91366906474821</v>
      </c>
      <c r="DG51" s="476">
        <f t="shared" si="64"/>
        <v>341.87050359712231</v>
      </c>
      <c r="DH51" s="476">
        <f t="shared" si="64"/>
        <v>56.978417266187051</v>
      </c>
      <c r="DI51" s="476">
        <f t="shared" si="64"/>
        <v>56.978417266187051</v>
      </c>
      <c r="DJ51" s="476">
        <f t="shared" si="64"/>
        <v>56.978417266187051</v>
      </c>
      <c r="DK51" s="476">
        <f t="shared" si="64"/>
        <v>113.9568345323741</v>
      </c>
      <c r="DL51" s="476">
        <f t="shared" si="64"/>
        <v>113.9568345323741</v>
      </c>
      <c r="DM51" s="476">
        <f t="shared" si="64"/>
        <v>113.9568345323741</v>
      </c>
      <c r="DN51" s="476">
        <f t="shared" si="64"/>
        <v>113.9568345323741</v>
      </c>
      <c r="DO51" s="476"/>
      <c r="DP51" s="476"/>
      <c r="DQ51" s="476"/>
      <c r="DR51" s="476"/>
      <c r="DS51" s="476"/>
      <c r="DT51" s="476"/>
      <c r="DU51" s="476"/>
      <c r="DV51" s="476"/>
      <c r="DW51" s="476"/>
      <c r="DX51" s="476"/>
      <c r="DY51" s="476"/>
      <c r="DZ51" s="476"/>
      <c r="EA51" s="476"/>
      <c r="EB51" s="476"/>
      <c r="EC51" s="476"/>
      <c r="ED51" s="476"/>
      <c r="EE51" s="476"/>
      <c r="EF51" s="476"/>
      <c r="EG51" s="476"/>
      <c r="EH51" s="476"/>
      <c r="EI51" s="476"/>
      <c r="EJ51" s="476"/>
      <c r="EK51" s="476"/>
      <c r="EL51" s="476"/>
      <c r="EM51" s="476"/>
      <c r="EN51" s="476"/>
      <c r="EO51" s="476"/>
      <c r="EP51" s="476"/>
      <c r="EQ51" s="476"/>
      <c r="ER51" s="476"/>
      <c r="ES51" s="476"/>
      <c r="ET51" s="476"/>
      <c r="EU51" s="476"/>
      <c r="EV51" s="476"/>
      <c r="EW51" s="476"/>
      <c r="EX51" s="476"/>
      <c r="EY51" s="476"/>
      <c r="EZ51" s="476"/>
      <c r="FA51" s="476"/>
      <c r="FB51" s="476"/>
      <c r="FC51" s="476"/>
      <c r="FD51" s="476"/>
      <c r="FE51" s="476"/>
      <c r="FF51" s="476"/>
      <c r="FG51" s="476"/>
      <c r="FH51" s="476"/>
      <c r="FI51" s="476"/>
      <c r="FJ51" s="476"/>
      <c r="FK51" s="476"/>
      <c r="FL51" s="476"/>
      <c r="FM51" s="476"/>
      <c r="FN51" s="476"/>
      <c r="FO51" s="476"/>
      <c r="FP51" s="476"/>
      <c r="FQ51" s="476"/>
      <c r="FR51" s="476"/>
      <c r="FS51" s="476"/>
      <c r="FT51" s="476"/>
      <c r="FU51" s="476"/>
      <c r="FV51" s="476"/>
      <c r="FW51" s="476"/>
      <c r="FX51" s="476"/>
      <c r="FY51" s="476"/>
      <c r="FZ51" s="476"/>
      <c r="GA51" s="476"/>
      <c r="GB51" s="476"/>
      <c r="GC51" s="476"/>
      <c r="GD51" s="476"/>
      <c r="GE51" s="476"/>
      <c r="GF51" s="476"/>
      <c r="GG51" s="476"/>
      <c r="GH51" s="476"/>
      <c r="GI51" s="476"/>
      <c r="GJ51" s="476"/>
      <c r="GK51" s="476"/>
      <c r="GL51" s="476"/>
      <c r="GM51" s="476"/>
      <c r="GN51" s="476"/>
      <c r="GO51" s="476"/>
      <c r="GP51" s="476"/>
      <c r="GQ51" s="476"/>
      <c r="GR51" s="476"/>
      <c r="GS51" s="476"/>
      <c r="GT51" s="476"/>
      <c r="GU51" s="476"/>
      <c r="GV51" s="476"/>
      <c r="GW51" s="476"/>
      <c r="GX51" s="476"/>
      <c r="GY51" s="476"/>
      <c r="GZ51" s="476"/>
      <c r="HA51" s="476"/>
      <c r="HB51" s="476"/>
      <c r="HC51" s="476"/>
      <c r="HD51" s="476"/>
      <c r="HE51" s="476"/>
      <c r="HF51" s="476"/>
      <c r="HG51" s="476"/>
      <c r="HH51" s="476"/>
      <c r="HI51" s="476"/>
      <c r="HJ51" s="476"/>
      <c r="HK51" s="476"/>
      <c r="HL51" s="476"/>
      <c r="HM51" s="477" t="s">
        <v>547</v>
      </c>
    </row>
    <row r="52" spans="1:221" x14ac:dyDescent="0.25">
      <c r="C52" s="103"/>
      <c r="D52" s="262"/>
      <c r="E52" s="262"/>
      <c r="F52" s="262"/>
      <c r="G52" s="263"/>
      <c r="H52" s="262"/>
      <c r="I52" s="665"/>
      <c r="J52" s="665"/>
      <c r="K52" s="665"/>
      <c r="L52" s="665"/>
      <c r="M52" s="665"/>
      <c r="N52" s="665"/>
      <c r="O52" s="665"/>
      <c r="P52" s="665"/>
      <c r="Q52" s="665"/>
      <c r="R52" s="665"/>
      <c r="S52" s="665"/>
      <c r="T52" s="665"/>
      <c r="U52" s="665"/>
      <c r="V52" s="665"/>
      <c r="W52" s="665"/>
      <c r="X52" s="665"/>
      <c r="Y52" s="665"/>
      <c r="Z52" s="665"/>
      <c r="AA52" s="665"/>
      <c r="AB52" s="665"/>
      <c r="AC52" s="665"/>
      <c r="AD52" s="665"/>
      <c r="AE52" s="665"/>
      <c r="AF52" s="665"/>
      <c r="AG52" s="665"/>
      <c r="AH52" s="665"/>
      <c r="AI52" s="665"/>
      <c r="AJ52" s="665"/>
      <c r="AK52" s="665"/>
      <c r="AL52" s="665"/>
      <c r="AM52" s="665"/>
      <c r="AN52" s="665"/>
      <c r="AO52" s="665"/>
      <c r="AP52" s="665"/>
      <c r="AQ52" s="665"/>
      <c r="AR52" s="665"/>
      <c r="AS52" s="665"/>
      <c r="AT52" s="665"/>
      <c r="AU52" s="665"/>
      <c r="AV52" s="665"/>
      <c r="AW52" s="665"/>
      <c r="AX52" s="665"/>
      <c r="AY52" s="665"/>
      <c r="AZ52" s="665"/>
      <c r="BA52" s="665"/>
      <c r="BB52" s="665"/>
      <c r="BC52" s="665"/>
      <c r="BD52" s="665"/>
      <c r="BE52" s="665"/>
      <c r="BF52" s="665"/>
      <c r="BG52" s="665"/>
      <c r="BH52" s="665"/>
      <c r="BI52" s="665"/>
      <c r="BJ52" s="665"/>
      <c r="BK52" s="665"/>
      <c r="BL52" s="665"/>
      <c r="BM52" s="665"/>
      <c r="BN52" s="665"/>
      <c r="BO52" s="665"/>
      <c r="BP52" s="665"/>
      <c r="BQ52" s="665"/>
      <c r="BR52" s="665"/>
      <c r="BS52" s="665"/>
      <c r="BT52" s="665"/>
      <c r="BU52" s="665"/>
      <c r="BV52" s="665"/>
      <c r="BW52" s="665"/>
      <c r="BX52" s="665"/>
      <c r="BY52" s="665"/>
      <c r="BZ52" s="665"/>
      <c r="CA52" s="665"/>
      <c r="CB52" s="665"/>
      <c r="CC52" s="665"/>
      <c r="CD52" s="665"/>
      <c r="CE52" s="665"/>
      <c r="CF52" s="665"/>
      <c r="CG52" s="665"/>
      <c r="CH52" s="665"/>
      <c r="CI52" s="665"/>
      <c r="CJ52" s="665"/>
      <c r="CK52" s="665"/>
      <c r="CL52" s="665"/>
      <c r="CM52" s="665"/>
      <c r="CN52" s="665"/>
      <c r="CO52" s="665"/>
      <c r="CP52" s="665"/>
      <c r="CQ52" s="665"/>
      <c r="CR52" s="665"/>
      <c r="CS52" s="665"/>
      <c r="CT52" s="665"/>
      <c r="CU52" s="665"/>
      <c r="CV52" s="665"/>
      <c r="CW52" s="665"/>
      <c r="CX52" s="665"/>
      <c r="CY52" s="665"/>
      <c r="CZ52" s="665"/>
      <c r="DA52" s="665"/>
      <c r="DB52" s="665"/>
      <c r="DC52" s="665"/>
      <c r="DD52" s="665"/>
      <c r="DE52" s="665"/>
      <c r="DF52" s="665"/>
      <c r="DG52" s="665"/>
      <c r="DH52" s="665"/>
      <c r="DI52" s="665"/>
      <c r="DJ52" s="665"/>
      <c r="DK52" s="665"/>
      <c r="DL52" s="665"/>
      <c r="DM52" s="665"/>
      <c r="DN52" s="665"/>
      <c r="DO52" s="664"/>
      <c r="DP52" s="208"/>
      <c r="DQ52" s="208"/>
      <c r="DR52" s="208"/>
      <c r="DS52" s="208"/>
      <c r="DT52" s="208"/>
      <c r="DU52" s="208"/>
      <c r="DV52" s="208"/>
      <c r="DW52" s="208"/>
      <c r="DX52" s="208"/>
      <c r="DY52" s="208"/>
      <c r="DZ52" s="208"/>
      <c r="EA52" s="208"/>
      <c r="EB52" s="208"/>
      <c r="EC52" s="208"/>
      <c r="ED52" s="208"/>
      <c r="EE52" s="208"/>
      <c r="EF52" s="208"/>
      <c r="EG52" s="208"/>
      <c r="EH52" s="208"/>
      <c r="EI52" s="208"/>
      <c r="EJ52" s="208"/>
      <c r="EK52" s="208"/>
      <c r="EL52" s="208"/>
      <c r="EM52" s="208"/>
      <c r="EN52" s="208"/>
      <c r="EO52" s="208"/>
      <c r="EP52" s="208"/>
      <c r="EQ52" s="208"/>
      <c r="ER52" s="208"/>
      <c r="ES52" s="208"/>
      <c r="ET52" s="208"/>
      <c r="EU52" s="208"/>
      <c r="EV52" s="208"/>
      <c r="EW52" s="208"/>
      <c r="EX52" s="208"/>
      <c r="EY52" s="208"/>
      <c r="EZ52" s="208"/>
      <c r="FA52" s="208"/>
      <c r="FB52" s="208"/>
      <c r="FC52" s="208"/>
      <c r="FD52" s="208"/>
      <c r="FE52" s="208"/>
      <c r="FF52" s="208"/>
      <c r="FG52" s="208"/>
      <c r="FH52" s="208"/>
      <c r="FI52" s="208"/>
      <c r="FJ52" s="208"/>
      <c r="FK52" s="208"/>
      <c r="FL52" s="208"/>
      <c r="FM52" s="208"/>
      <c r="FN52" s="208"/>
      <c r="FO52" s="208"/>
      <c r="FP52" s="208"/>
      <c r="FQ52" s="208"/>
      <c r="FR52" s="208"/>
      <c r="FS52" s="208"/>
      <c r="FT52" s="208"/>
      <c r="FU52" s="208"/>
      <c r="FV52" s="208"/>
      <c r="FW52" s="208"/>
      <c r="FX52" s="208"/>
      <c r="FY52" s="208"/>
      <c r="FZ52" s="208"/>
      <c r="GA52" s="208"/>
      <c r="GB52" s="208"/>
      <c r="GC52" s="208"/>
      <c r="GD52" s="208"/>
      <c r="GE52" s="208"/>
      <c r="GF52" s="208"/>
      <c r="GG52" s="208"/>
      <c r="GH52" s="208"/>
      <c r="GI52" s="208"/>
      <c r="GJ52" s="208"/>
      <c r="GK52" s="208"/>
      <c r="GL52" s="208"/>
      <c r="GM52" s="208"/>
      <c r="GN52" s="208"/>
      <c r="GO52" s="208"/>
      <c r="GP52" s="208"/>
      <c r="GQ52" s="208"/>
      <c r="GR52" s="208"/>
      <c r="GS52" s="208"/>
      <c r="GT52" s="208"/>
      <c r="GU52" s="208"/>
      <c r="GV52" s="208"/>
      <c r="GW52" s="208"/>
      <c r="GX52" s="208"/>
      <c r="GY52" s="208"/>
      <c r="GZ52" s="208"/>
      <c r="HA52" s="208"/>
      <c r="HB52" s="208"/>
      <c r="HC52" s="208"/>
      <c r="HD52" s="208"/>
      <c r="HE52" s="208"/>
      <c r="HF52" s="208"/>
      <c r="HG52" s="208"/>
      <c r="HH52" s="208"/>
      <c r="HI52" s="208"/>
      <c r="HJ52" s="208"/>
      <c r="HK52" s="208"/>
      <c r="HL52" s="208"/>
    </row>
    <row r="53" spans="1:221" x14ac:dyDescent="0.25">
      <c r="K53" s="44"/>
      <c r="L53" s="44"/>
      <c r="M53" s="44"/>
      <c r="N53" s="44"/>
      <c r="O53" s="44"/>
      <c r="P53" s="44"/>
      <c r="Q53" s="44"/>
      <c r="R53" s="44"/>
      <c r="S53" s="44"/>
      <c r="T53" s="44"/>
      <c r="U53" s="44"/>
      <c r="V53" s="44"/>
      <c r="W53" s="44"/>
    </row>
    <row r="54" spans="1:221" x14ac:dyDescent="0.25">
      <c r="A54" s="100">
        <v>3</v>
      </c>
      <c r="B54" s="100" t="s">
        <v>727</v>
      </c>
      <c r="C54" s="100"/>
      <c r="D54" s="40"/>
      <c r="E54" s="40"/>
      <c r="F54" s="40"/>
      <c r="G54" s="40"/>
      <c r="H54" s="40"/>
      <c r="I54" s="44"/>
      <c r="K54" s="44"/>
      <c r="L54" s="44"/>
      <c r="M54" s="44"/>
      <c r="N54" s="44"/>
      <c r="O54" s="44"/>
      <c r="P54" s="44"/>
      <c r="Q54" s="44"/>
      <c r="R54" s="44"/>
      <c r="S54" s="44"/>
      <c r="T54" s="44"/>
      <c r="U54" s="44"/>
      <c r="V54" s="44"/>
      <c r="W54" s="44"/>
    </row>
    <row r="55" spans="1:221" x14ac:dyDescent="0.25">
      <c r="K55" s="44"/>
      <c r="L55" s="44"/>
      <c r="M55" s="44"/>
      <c r="N55" s="44"/>
      <c r="O55" s="44"/>
      <c r="P55" s="44"/>
      <c r="Q55" s="44"/>
      <c r="R55" s="44"/>
      <c r="S55" s="44"/>
      <c r="T55" s="44"/>
      <c r="U55" s="44"/>
      <c r="V55" s="44"/>
      <c r="W55" s="44"/>
    </row>
    <row r="56" spans="1:221" x14ac:dyDescent="0.25">
      <c r="C56" s="102" t="s">
        <v>563</v>
      </c>
      <c r="K56" s="44"/>
      <c r="L56" s="44"/>
      <c r="M56" s="44"/>
      <c r="N56" s="44"/>
      <c r="O56" s="44"/>
      <c r="P56" s="44"/>
      <c r="Q56" s="44"/>
      <c r="R56" s="44"/>
      <c r="S56" s="44"/>
      <c r="T56" s="44"/>
      <c r="U56" s="44"/>
      <c r="V56" s="44"/>
      <c r="W56" s="44"/>
    </row>
    <row r="57" spans="1:221" x14ac:dyDescent="0.25">
      <c r="C57" t="s">
        <v>564</v>
      </c>
      <c r="G57" s="77" t="s">
        <v>565</v>
      </c>
      <c r="H57" s="102" t="s">
        <v>574</v>
      </c>
      <c r="I57" s="501">
        <v>0</v>
      </c>
      <c r="J57" s="501">
        <v>0</v>
      </c>
      <c r="K57" s="158" t="str">
        <f>IFERROR(VLOOKUP(K$8,'Info planes y paquetes'!$A$472:$BS$579,15,FALSE),"")</f>
        <v>50 Mbps</v>
      </c>
      <c r="L57" s="158" t="str">
        <f>IFERROR(VLOOKUP(L$8,'Info planes y paquetes'!$A$472:$BS$579,15,FALSE),"")</f>
        <v>500 Mbps</v>
      </c>
      <c r="M57" s="158" t="str">
        <f>IFERROR(VLOOKUP(M$8,'Info planes y paquetes'!$A$472:$BS$579,15,FALSE),"")</f>
        <v>60 Mbps</v>
      </c>
      <c r="N57" s="158" t="str">
        <f>IFERROR(VLOOKUP(N$8,'Info planes y paquetes'!$A$472:$BS$579,15,FALSE),"")</f>
        <v>100 Mbps</v>
      </c>
      <c r="O57" s="158" t="str">
        <f>IFERROR(VLOOKUP(O$8,'Info planes y paquetes'!$A$472:$BS$579,15,FALSE),"")</f>
        <v>200 Mbps</v>
      </c>
      <c r="P57" s="158" t="str">
        <f>IFERROR(VLOOKUP(P$8,'Info planes y paquetes'!$A$472:$BS$579,15,FALSE),"")</f>
        <v>30 Mbps</v>
      </c>
      <c r="Q57" s="158" t="str">
        <f>IFERROR(VLOOKUP(Q$8,'Info planes y paquetes'!$A$472:$BS$579,15,FALSE),"")</f>
        <v>40 Mbps</v>
      </c>
      <c r="R57" s="158" t="str">
        <f>IFERROR(VLOOKUP(R$8,'Info planes y paquetes'!$A$472:$BS$579,15,FALSE),"")</f>
        <v>40 Mbps</v>
      </c>
      <c r="S57" s="158" t="str">
        <f>IFERROR(VLOOKUP(S$8,'Info planes y paquetes'!$A$472:$BS$579,15,FALSE),"")</f>
        <v>20 Mbps</v>
      </c>
      <c r="T57" s="158" t="str">
        <f>IFERROR(VLOOKUP(T$8,'Info planes y paquetes'!$A$472:$BS$579,15,FALSE),"")</f>
        <v>60 Mbps</v>
      </c>
      <c r="U57" s="158" t="str">
        <f>IFERROR(VLOOKUP(U$8,'Info planes y paquetes'!$A$472:$BS$579,15,FALSE),"")</f>
        <v>200 Mbps</v>
      </c>
      <c r="V57" s="158" t="str">
        <f>IFERROR(VLOOKUP(V$8,'Info planes y paquetes'!$A$472:$BS$579,15,FALSE),"")</f>
        <v>500 Mbps</v>
      </c>
      <c r="W57" s="158" t="str">
        <f>IFERROR(VLOOKUP(W$8,'Info planes y paquetes'!$A$472:$BS$579,15,FALSE),"")</f>
        <v>5 Mbps</v>
      </c>
      <c r="X57" s="158" t="str">
        <f>IFERROR(VLOOKUP(X$8,'Info planes y paquetes'!$A$472:$BS$579,15,FALSE),"")</f>
        <v>5 Mbps</v>
      </c>
      <c r="Y57" s="158" t="str">
        <f>IFERROR(VLOOKUP(Y$8,'Info planes y paquetes'!$A$472:$BS$579,15,FALSE),"")</f>
        <v>30 Mbps</v>
      </c>
      <c r="Z57" s="158" t="str">
        <f>IFERROR(VLOOKUP(Z$8,'Info planes y paquetes'!$A$472:$BS$579,15,FALSE),"")</f>
        <v>40 Mbps</v>
      </c>
      <c r="AA57" s="158" t="str">
        <f>IFERROR(VLOOKUP(AA$8,'Info planes y paquetes'!$A$472:$BS$579,15,FALSE),"")</f>
        <v>150 Mbps</v>
      </c>
      <c r="AB57" s="158" t="str">
        <f>IFERROR(VLOOKUP(AB$8,'Info planes y paquetes'!$A$472:$BS$579,15,FALSE),"")</f>
        <v>20 Mbps</v>
      </c>
      <c r="AC57" s="158" t="str">
        <f>IFERROR(VLOOKUP(AC$8,'Info planes y paquetes'!$A$472:$BS$579,15,FALSE),"")</f>
        <v>20 Mbps</v>
      </c>
      <c r="AD57" s="158" t="str">
        <f>IFERROR(VLOOKUP(AD$8,'Info planes y paquetes'!$A$472:$BS$579,15,FALSE),"")</f>
        <v>1000 Mbps</v>
      </c>
      <c r="AE57" s="158" t="str">
        <f>IFERROR(VLOOKUP(AE$8,'Info planes y paquetes'!$A$472:$BS$579,15,FALSE),"")</f>
        <v>5 Mbps</v>
      </c>
      <c r="AF57" s="158" t="str">
        <f>IFERROR(VLOOKUP(AF$8,'Info planes y paquetes'!$A$472:$BS$579,15,FALSE),"")</f>
        <v>100 Mbps</v>
      </c>
      <c r="AG57" s="158" t="str">
        <f>IFERROR(VLOOKUP(AG$8,'Info planes y paquetes'!$A$472:$BS$579,15,FALSE),"")</f>
        <v>200 Mbps</v>
      </c>
      <c r="AH57" s="158" t="str">
        <f>IFERROR(VLOOKUP(AH$8,'Info planes y paquetes'!$A$472:$BS$579,15,FALSE),"")</f>
        <v>500 Mbps</v>
      </c>
      <c r="AI57" s="158" t="str">
        <f>IFERROR(VLOOKUP(AI$8,'Info planes y paquetes'!$A$472:$BS$579,15,FALSE),"")</f>
        <v>500 Mbps</v>
      </c>
      <c r="AJ57" s="158" t="str">
        <f>IFERROR(VLOOKUP(AJ$8,'Info planes y paquetes'!$A$472:$BS$579,15,FALSE),"")</f>
        <v>500 Mbps</v>
      </c>
      <c r="AK57" s="158" t="str">
        <f>IFERROR(VLOOKUP(AK$8,'Info planes y paquetes'!$A$472:$BS$579,15,FALSE),"")</f>
        <v>1000 Mbps</v>
      </c>
      <c r="AL57" s="158" t="str">
        <f>IFERROR(VLOOKUP(AL$8,'Info planes y paquetes'!$A$472:$BS$579,15,FALSE),"")</f>
        <v>30 Mbps</v>
      </c>
      <c r="AM57" s="158" t="str">
        <f>IFERROR(VLOOKUP(AM$8,'Info planes y paquetes'!$A$472:$BS$579,15,FALSE),"")</f>
        <v>50 Mbps</v>
      </c>
      <c r="AN57" s="158" t="str">
        <f>IFERROR(VLOOKUP(AN$8,'Info planes y paquetes'!$A$472:$BS$579,15,FALSE),"")</f>
        <v>100 Mbps</v>
      </c>
      <c r="AO57" s="158" t="str">
        <f>IFERROR(VLOOKUP(AO$8,'Info planes y paquetes'!$A$472:$BS$579,15,FALSE),"")</f>
        <v>20 Mbps</v>
      </c>
      <c r="AP57" s="158" t="str">
        <f>IFERROR(VLOOKUP(AP$8,'Info planes y paquetes'!$A$472:$BS$579,15,FALSE),"")</f>
        <v>20 Mbps</v>
      </c>
      <c r="AQ57" s="158" t="str">
        <f>IFERROR(VLOOKUP(AQ$8,'Info planes y paquetes'!$A$472:$BS$579,15,FALSE),"")</f>
        <v>20 Mbps</v>
      </c>
      <c r="AR57" s="158" t="str">
        <f>IFERROR(VLOOKUP(AR$8,'Info planes y paquetes'!$A$472:$BS$579,15,FALSE),"")</f>
        <v>30 Mbps</v>
      </c>
      <c r="AS57" s="158" t="str">
        <f>IFERROR(VLOOKUP(AS$8,'Info planes y paquetes'!$A$472:$BS$579,15,FALSE),"")</f>
        <v>30 Mbps</v>
      </c>
      <c r="AT57" s="158" t="str">
        <f>IFERROR(VLOOKUP(AT$8,'Info planes y paquetes'!$A$472:$BS$579,15,FALSE),"")</f>
        <v>40 Mbps</v>
      </c>
      <c r="AU57" s="158" t="str">
        <f>IFERROR(VLOOKUP(AU$8,'Info planes y paquetes'!$A$472:$BS$579,15,FALSE),"")</f>
        <v>40 Mbps</v>
      </c>
      <c r="AV57" s="158" t="str">
        <f>IFERROR(VLOOKUP(AV$8,'Info planes y paquetes'!$A$472:$BS$579,15,FALSE),"")</f>
        <v>150 Mbps</v>
      </c>
      <c r="AW57" s="158" t="str">
        <f>IFERROR(VLOOKUP(AW$8,'Info planes y paquetes'!$A$472:$BS$579,15,FALSE),"")</f>
        <v>150 Mbps</v>
      </c>
      <c r="AX57" s="158" t="str">
        <f>IFERROR(VLOOKUP(AX$8,'Info planes y paquetes'!$A$472:$BS$579,15,FALSE),"")</f>
        <v>500 Mbps</v>
      </c>
      <c r="AY57" s="158" t="str">
        <f>IFERROR(VLOOKUP(AY$8,'Info planes y paquetes'!$A$472:$BS$579,15,FALSE),"")</f>
        <v>500 Mbps</v>
      </c>
      <c r="AZ57" s="158" t="str">
        <f>IFERROR(VLOOKUP(AZ$8,'Info planes y paquetes'!$A$472:$BS$579,15,FALSE),"")</f>
        <v>50 Mbps</v>
      </c>
      <c r="BA57" s="158" t="str">
        <f>IFERROR(VLOOKUP(BA$8,'Info planes y paquetes'!$A$472:$BS$579,15,FALSE),"")</f>
        <v>50 Mbps</v>
      </c>
      <c r="BB57" s="158" t="str">
        <f>IFERROR(VLOOKUP(BB$8,'Info planes y paquetes'!$A$472:$BS$579,15,FALSE),"")</f>
        <v>50 Mbps</v>
      </c>
      <c r="BC57" s="158" t="str">
        <f>IFERROR(VLOOKUP(BC$8,'Info planes y paquetes'!$A$472:$BS$579,15,FALSE),"")</f>
        <v>60 Mbps</v>
      </c>
      <c r="BD57" s="158" t="str">
        <f>IFERROR(VLOOKUP(BD$8,'Info planes y paquetes'!$A$472:$BS$579,15,FALSE),"")</f>
        <v>60 Mbps</v>
      </c>
      <c r="BE57" s="158" t="str">
        <f>IFERROR(VLOOKUP(BE$8,'Info planes y paquetes'!$A$472:$BS$579,15,FALSE),"")</f>
        <v>200 Mbps</v>
      </c>
      <c r="BF57" s="158" t="str">
        <f>IFERROR(VLOOKUP(BF$8,'Info planes y paquetes'!$A$472:$BS$579,15,FALSE),"")</f>
        <v>200 Mbps</v>
      </c>
      <c r="BG57" s="158" t="str">
        <f>IFERROR(VLOOKUP(BG$8,'Info planes y paquetes'!$A$472:$BS$579,15,FALSE),"")</f>
        <v>500 Mbps</v>
      </c>
      <c r="BH57" s="158" t="str">
        <f>IFERROR(VLOOKUP(BH$8,'Info planes y paquetes'!$A$472:$BS$579,15,FALSE),"")</f>
        <v>500 Mbps</v>
      </c>
      <c r="BI57" s="158" t="str">
        <f>IFERROR(VLOOKUP(BI$8,'Info planes y paquetes'!$A$472:$BS$579,15,FALSE),"")</f>
        <v>20 Mbps</v>
      </c>
      <c r="BJ57" s="158" t="str">
        <f>IFERROR(VLOOKUP(BJ$8,'Info planes y paquetes'!$A$472:$BS$579,15,FALSE),"")</f>
        <v>20 Mbps</v>
      </c>
      <c r="BK57" s="158" t="str">
        <f>IFERROR(VLOOKUP(BK$8,'Info planes y paquetes'!$A$472:$BS$579,15,FALSE),"")</f>
        <v>20 Mbps</v>
      </c>
      <c r="BL57" s="158" t="str">
        <f>IFERROR(VLOOKUP(BL$8,'Info planes y paquetes'!$A$472:$BS$579,15,FALSE),"")</f>
        <v>100 Mbps</v>
      </c>
      <c r="BM57" s="158" t="str">
        <f>IFERROR(VLOOKUP(BM$8,'Info planes y paquetes'!$A$472:$BS$579,15,FALSE),"")</f>
        <v>100 Mbps</v>
      </c>
      <c r="BN57" s="158" t="str">
        <f>IFERROR(VLOOKUP(BN$8,'Info planes y paquetes'!$A$472:$BS$579,15,FALSE),"")</f>
        <v>200 Mbps</v>
      </c>
      <c r="BO57" s="158" t="str">
        <f>IFERROR(VLOOKUP(BO$8,'Info planes y paquetes'!$A$472:$BS$579,15,FALSE),"")</f>
        <v>200 Mbps</v>
      </c>
      <c r="BP57" s="158" t="str">
        <f>IFERROR(VLOOKUP(BP$8,'Info planes y paquetes'!$A$472:$BS$579,15,FALSE),"")</f>
        <v>50 Mbps</v>
      </c>
      <c r="BQ57" s="158" t="str">
        <f>IFERROR(VLOOKUP(BQ$8,'Info planes y paquetes'!$A$472:$BS$579,15,FALSE),"")</f>
        <v>50 Mbps</v>
      </c>
      <c r="BR57" s="158" t="str">
        <f>IFERROR(VLOOKUP(BR$8,'Info planes y paquetes'!$A$472:$BS$579,15,FALSE),"")</f>
        <v>50 Mbps</v>
      </c>
      <c r="BS57" s="158" t="str">
        <f>IFERROR(VLOOKUP(BS$8,'Info planes y paquetes'!$A$472:$BS$579,15,FALSE),"")</f>
        <v>60 Mbps</v>
      </c>
      <c r="BT57" s="158" t="str">
        <f>IFERROR(VLOOKUP(BT$8,'Info planes y paquetes'!$A$472:$BS$579,15,FALSE),"")</f>
        <v>60 Mbps</v>
      </c>
      <c r="BU57" s="158" t="str">
        <f>IFERROR(VLOOKUP(BU$8,'Info planes y paquetes'!$A$472:$BS$579,15,FALSE),"")</f>
        <v>200 Mbps</v>
      </c>
      <c r="BV57" s="158" t="str">
        <f>IFERROR(VLOOKUP(BV$8,'Info planes y paquetes'!$A$472:$BS$579,15,FALSE),"")</f>
        <v>200 Mbps</v>
      </c>
      <c r="BW57" s="158" t="str">
        <f>IFERROR(VLOOKUP(BW$8,'Info planes y paquetes'!$A$472:$BS$579,15,FALSE),"")</f>
        <v>500 Mbps</v>
      </c>
      <c r="BX57" s="158" t="str">
        <f>IFERROR(VLOOKUP(BX$8,'Info planes y paquetes'!$A$472:$BS$579,15,FALSE),"")</f>
        <v>500 Mbps</v>
      </c>
      <c r="BY57" s="158" t="str">
        <f>IFERROR(VLOOKUP(BY$8,'Info planes y paquetes'!$A$472:$BS$579,15,FALSE),"")</f>
        <v>30 Mbps</v>
      </c>
      <c r="BZ57" s="158" t="str">
        <f>IFERROR(VLOOKUP(BZ$8,'Info planes y paquetes'!$A$472:$BS$579,15,FALSE),"")</f>
        <v>40 Mbps</v>
      </c>
      <c r="CA57" s="158" t="str">
        <f>IFERROR(VLOOKUP(CA$8,'Info planes y paquetes'!$A$472:$BS$579,15,FALSE),"")</f>
        <v>50 Mbps</v>
      </c>
      <c r="CB57" s="158" t="str">
        <f>IFERROR(VLOOKUP(CB$8,'Info planes y paquetes'!$A$472:$BS$579,15,FALSE),"")</f>
        <v>250 Mbps</v>
      </c>
      <c r="CC57" s="158" t="str">
        <f>IFERROR(VLOOKUP(CC$8,'Info planes y paquetes'!$A$472:$BS$579,15,FALSE),"")</f>
        <v>500 Mbps</v>
      </c>
      <c r="CD57" s="158" t="str">
        <f>IFERROR(VLOOKUP(CD$8,'Info planes y paquetes'!$A$472:$BS$579,15,FALSE),"")</f>
        <v>30 Mbps</v>
      </c>
      <c r="CE57" s="158" t="str">
        <f>IFERROR(VLOOKUP(CE$8,'Info planes y paquetes'!$A$472:$BS$579,15,FALSE),"")</f>
        <v>40 Mbps</v>
      </c>
      <c r="CF57" s="158" t="str">
        <f>IFERROR(VLOOKUP(CF$8,'Info planes y paquetes'!$A$472:$BS$579,15,FALSE),"")</f>
        <v>200 Mbps</v>
      </c>
      <c r="CG57" s="158" t="str">
        <f>IFERROR(VLOOKUP(CG$8,'Info planes y paquetes'!$A$472:$BS$579,15,FALSE),"")</f>
        <v>500 Mbps</v>
      </c>
      <c r="CH57" s="158" t="str">
        <f>IFERROR(VLOOKUP(CH$8,'Info planes y paquetes'!$A$472:$BS$579,15,FALSE),"")</f>
        <v>30 Mbps</v>
      </c>
      <c r="CI57" s="158" t="str">
        <f>IFERROR(VLOOKUP(CI$8,'Info planes y paquetes'!$A$472:$BS$579,15,FALSE),"")</f>
        <v>30 Mbps</v>
      </c>
      <c r="CJ57" s="158" t="str">
        <f>IFERROR(VLOOKUP(CJ$8,'Info planes y paquetes'!$A$472:$BS$579,15,FALSE),"")</f>
        <v>30 Mbps</v>
      </c>
      <c r="CK57" s="158" t="str">
        <f>IFERROR(VLOOKUP(CK$8,'Info planes y paquetes'!$A$472:$BS$579,15,FALSE),"")</f>
        <v>70 Mbps</v>
      </c>
      <c r="CL57" s="158" t="str">
        <f>IFERROR(VLOOKUP(CL$8,'Info planes y paquetes'!$A$472:$BS$579,15,FALSE),"")</f>
        <v>70 Mbps</v>
      </c>
      <c r="CM57" s="158" t="str">
        <f>IFERROR(VLOOKUP(CM$8,'Info planes y paquetes'!$A$472:$BS$579,15,FALSE),"")</f>
        <v>120 Mbps</v>
      </c>
      <c r="CN57" s="158" t="str">
        <f>IFERROR(VLOOKUP(CN$8,'Info planes y paquetes'!$A$472:$BS$579,15,FALSE),"")</f>
        <v>120 Mbps</v>
      </c>
      <c r="CO57" s="158" t="str">
        <f>IFERROR(VLOOKUP(CO$8,'Info planes y paquetes'!$A$472:$BS$579,15,FALSE),"")</f>
        <v>200 Mbps</v>
      </c>
      <c r="CP57" s="158" t="str">
        <f>IFERROR(VLOOKUP(CP$8,'Info planes y paquetes'!$A$472:$BS$579,15,FALSE),"")</f>
        <v>200 Mbps</v>
      </c>
      <c r="CQ57" s="158" t="str">
        <f>IFERROR(VLOOKUP(CQ$8,'Info planes y paquetes'!$A$472:$BS$579,15,FALSE),"")</f>
        <v>500 Mbps</v>
      </c>
      <c r="CR57" s="158" t="str">
        <f>IFERROR(VLOOKUP(CR$8,'Info planes y paquetes'!$A$472:$BS$579,15,FALSE),"")</f>
        <v>500 Mbps</v>
      </c>
      <c r="CS57" s="158" t="str">
        <f>IFERROR(VLOOKUP(CS$8,'Info planes y paquetes'!$A$472:$BS$579,15,FALSE),"")</f>
        <v>30 Mbps</v>
      </c>
      <c r="CT57" s="158" t="str">
        <f>IFERROR(VLOOKUP(CT$8,'Info planes y paquetes'!$A$472:$BS$579,15,FALSE),"")</f>
        <v>30 Mbps</v>
      </c>
      <c r="CU57" s="158" t="str">
        <f>IFERROR(VLOOKUP(CU$8,'Info planes y paquetes'!$A$472:$BS$579,15,FALSE),"")</f>
        <v>30 Mbps</v>
      </c>
      <c r="CV57" s="158" t="str">
        <f>IFERROR(VLOOKUP(CV$8,'Info planes y paquetes'!$A$472:$BS$579,15,FALSE),"")</f>
        <v>70 Mbps</v>
      </c>
      <c r="CW57" s="158" t="str">
        <f>IFERROR(VLOOKUP(CW$8,'Info planes y paquetes'!$A$472:$BS$579,15,FALSE),"")</f>
        <v>70 Mbps</v>
      </c>
      <c r="CX57" s="158" t="str">
        <f>IFERROR(VLOOKUP(CX$8,'Info planes y paquetes'!$A$472:$BS$579,15,FALSE),"")</f>
        <v>250 Mbps</v>
      </c>
      <c r="CY57" s="158" t="str">
        <f>IFERROR(VLOOKUP(CY$8,'Info planes y paquetes'!$A$472:$BS$579,15,FALSE),"")</f>
        <v>250 Mbps</v>
      </c>
      <c r="CZ57" s="158" t="str">
        <f>IFERROR(VLOOKUP(CZ$8,'Info planes y paquetes'!$A$472:$BS$579,15,FALSE),"")</f>
        <v>500 Mbps</v>
      </c>
      <c r="DA57" s="158" t="str">
        <f>IFERROR(VLOOKUP(DA$8,'Info planes y paquetes'!$A$472:$BS$579,15,FALSE),"")</f>
        <v>500 Mbps</v>
      </c>
      <c r="DB57" s="158" t="str">
        <f>IFERROR(VLOOKUP(DB$8,'Info planes y paquetes'!$A$472:$BS$579,15,FALSE),"")</f>
        <v>20 Mbps/50 Mbps</v>
      </c>
      <c r="DC57" s="158" t="str">
        <f>IFERROR(VLOOKUP(DC$8,'Info planes y paquetes'!$A$472:$BS$579,15,FALSE),"")</f>
        <v>100 Mbps</v>
      </c>
      <c r="DD57" s="158" t="str">
        <f>IFERROR(VLOOKUP(DD$8,'Info planes y paquetes'!$A$472:$BS$579,15,FALSE),"")</f>
        <v>200 Mbps</v>
      </c>
      <c r="DE57" s="158" t="str">
        <f>IFERROR(VLOOKUP(DE$8,'Info planes y paquetes'!$A$472:$BS$579,15,FALSE),"")</f>
        <v>500 Mbps</v>
      </c>
      <c r="DF57" s="158" t="str">
        <f>IFERROR(VLOOKUP(DF$8,'Info planes y paquetes'!$A$472:$BS$579,15,FALSE),"")</f>
        <v>500 Mbps</v>
      </c>
      <c r="DG57" s="158" t="str">
        <f>IFERROR(VLOOKUP(DG$8,'Info planes y paquetes'!$A$472:$BS$579,15,FALSE),"")</f>
        <v>1000 Mbps</v>
      </c>
      <c r="DH57" s="158" t="str">
        <f>IFERROR(VLOOKUP(DH$8,'Info planes y paquetes'!$A$472:$BS$579,15,FALSE),"")</f>
        <v>20 Mbps/50 Mbps</v>
      </c>
      <c r="DI57" s="158" t="str">
        <f>IFERROR(VLOOKUP(DI$8,'Info planes y paquetes'!$A$472:$BS$579,15,FALSE),"")</f>
        <v>20 Mbps/50 Mbps</v>
      </c>
      <c r="DJ57" s="158" t="str">
        <f>IFERROR(VLOOKUP(DJ$8,'Info planes y paquetes'!$A$472:$BS$579,15,FALSE),"")</f>
        <v>20 Mbps/50 Mbps</v>
      </c>
      <c r="DK57" s="158" t="str">
        <f>IFERROR(VLOOKUP(DK$8,'Info planes y paquetes'!$A$472:$BS$579,15,FALSE),"")</f>
        <v>100 Mbps</v>
      </c>
      <c r="DL57" s="158" t="str">
        <f>IFERROR(VLOOKUP(DL$8,'Info planes y paquetes'!$A$472:$BS$579,15,FALSE),"")</f>
        <v>100 Mbps</v>
      </c>
      <c r="DM57" s="158" t="str">
        <f>IFERROR(VLOOKUP(DM$8,'Info planes y paquetes'!$A$472:$BS$579,15,FALSE),"")</f>
        <v>200 Mbps</v>
      </c>
      <c r="DN57" s="158" t="str">
        <f>IFERROR(VLOOKUP(DN$8,'Info planes y paquetes'!$A$472:$BS$579,15,FALSE),"")</f>
        <v>200 Mbps</v>
      </c>
      <c r="DO57" s="101"/>
      <c r="DP57" s="101"/>
      <c r="DQ57" s="101"/>
      <c r="DR57" s="101"/>
      <c r="DS57" s="101"/>
      <c r="DT57" s="101"/>
      <c r="DU57" s="101"/>
      <c r="DV57" s="101"/>
      <c r="DW57" s="101"/>
      <c r="DX57" s="101"/>
      <c r="DY57" s="101"/>
      <c r="DZ57" s="101"/>
      <c r="EA57" s="101"/>
      <c r="EB57" s="101"/>
      <c r="EC57" s="101"/>
      <c r="ED57" s="101"/>
      <c r="EE57" s="101"/>
      <c r="EF57" s="101"/>
      <c r="EG57" s="101"/>
      <c r="EH57" s="101"/>
      <c r="EI57" s="101"/>
      <c r="EJ57" s="101"/>
      <c r="EK57" s="101"/>
      <c r="EL57" s="101"/>
      <c r="EM57" s="101"/>
      <c r="EN57" s="101"/>
      <c r="EO57" s="101"/>
      <c r="EP57" s="101"/>
      <c r="EQ57" s="101"/>
      <c r="ER57" s="101"/>
      <c r="ES57" s="101"/>
      <c r="ET57" s="101"/>
      <c r="EU57" s="101"/>
      <c r="EV57" s="101"/>
      <c r="EW57" s="101"/>
      <c r="EX57" s="101"/>
      <c r="EY57" s="101"/>
      <c r="EZ57" s="101"/>
      <c r="FA57" s="101"/>
      <c r="FB57" s="101"/>
      <c r="FC57" s="101"/>
      <c r="FD57" s="101"/>
      <c r="FE57" s="101"/>
      <c r="FF57" s="101"/>
      <c r="FG57" s="101"/>
      <c r="FH57" s="101"/>
      <c r="FI57" s="101"/>
      <c r="FJ57" s="101"/>
      <c r="FK57" s="101"/>
      <c r="FL57" s="101"/>
      <c r="FM57" s="101"/>
      <c r="FN57" s="101"/>
      <c r="FO57" s="101"/>
      <c r="FP57" s="101"/>
      <c r="FQ57" s="101"/>
      <c r="FR57" s="101"/>
      <c r="FS57" s="101"/>
      <c r="FT57" s="101"/>
      <c r="FU57" s="101"/>
      <c r="FV57" s="101"/>
      <c r="FW57" s="101"/>
      <c r="FX57" s="101"/>
      <c r="FY57" s="101"/>
      <c r="FZ57" s="101"/>
      <c r="GA57" s="101"/>
      <c r="GB57" s="101"/>
      <c r="GC57" s="101"/>
      <c r="GD57" s="101"/>
      <c r="GE57" s="101"/>
      <c r="GF57" s="101"/>
      <c r="GG57" s="101"/>
      <c r="GH57" s="101"/>
      <c r="GI57" s="101"/>
      <c r="GJ57" s="101"/>
      <c r="GK57" s="101"/>
      <c r="GL57" s="101"/>
      <c r="GM57" s="101"/>
      <c r="GN57" s="101"/>
      <c r="GO57" s="101"/>
      <c r="GP57" s="101"/>
      <c r="GQ57" s="101"/>
      <c r="GR57" s="101"/>
      <c r="GS57" s="101"/>
      <c r="GT57" s="101"/>
      <c r="GU57" s="101"/>
      <c r="GV57" s="101"/>
      <c r="GW57" s="101"/>
      <c r="GX57" s="101"/>
      <c r="GY57" s="101"/>
      <c r="GZ57" s="101"/>
      <c r="HA57" s="101"/>
      <c r="HB57" s="101"/>
      <c r="HC57" s="101"/>
      <c r="HD57" s="101"/>
      <c r="HE57" s="101"/>
      <c r="HF57" s="101"/>
      <c r="HG57" s="101"/>
      <c r="HH57" s="101"/>
      <c r="HI57" s="101"/>
      <c r="HJ57" s="101"/>
      <c r="HK57" s="101"/>
      <c r="HL57" s="101"/>
    </row>
    <row r="58" spans="1:221" ht="12" x14ac:dyDescent="0.25">
      <c r="C58" s="289" t="s">
        <v>564</v>
      </c>
      <c r="G58" s="77" t="s">
        <v>566</v>
      </c>
      <c r="H58" t="s">
        <v>534</v>
      </c>
      <c r="I58" s="501">
        <v>0</v>
      </c>
      <c r="J58" s="501">
        <v>0</v>
      </c>
      <c r="K58" s="99" t="str">
        <f>IFERROR(MID(K57,1,FIND(" Mbps",K57)),0)</f>
        <v xml:space="preserve">50 </v>
      </c>
      <c r="L58" s="99" t="str">
        <f t="shared" ref="L58:BF58" si="65">IFERROR(MID(L57,1,FIND(" Mbps",L57)),0)</f>
        <v xml:space="preserve">500 </v>
      </c>
      <c r="M58" s="99" t="str">
        <f t="shared" si="65"/>
        <v xml:space="preserve">60 </v>
      </c>
      <c r="N58" s="99" t="str">
        <f t="shared" si="65"/>
        <v xml:space="preserve">100 </v>
      </c>
      <c r="O58" s="99" t="str">
        <f t="shared" si="65"/>
        <v xml:space="preserve">200 </v>
      </c>
      <c r="P58" s="99" t="str">
        <f t="shared" si="65"/>
        <v xml:space="preserve">30 </v>
      </c>
      <c r="Q58" s="99" t="str">
        <f t="shared" si="65"/>
        <v xml:space="preserve">40 </v>
      </c>
      <c r="R58" s="99" t="str">
        <f t="shared" si="65"/>
        <v xml:space="preserve">40 </v>
      </c>
      <c r="S58" s="269" t="str">
        <f t="shared" si="65"/>
        <v xml:space="preserve">20 </v>
      </c>
      <c r="T58" s="99" t="str">
        <f t="shared" si="65"/>
        <v xml:space="preserve">60 </v>
      </c>
      <c r="U58" s="99" t="str">
        <f t="shared" si="65"/>
        <v xml:space="preserve">200 </v>
      </c>
      <c r="V58" s="99" t="str">
        <f t="shared" si="65"/>
        <v xml:space="preserve">500 </v>
      </c>
      <c r="W58" s="99" t="str">
        <f t="shared" si="65"/>
        <v xml:space="preserve">5 </v>
      </c>
      <c r="X58" s="99" t="str">
        <f t="shared" si="65"/>
        <v xml:space="preserve">5 </v>
      </c>
      <c r="Y58" s="99" t="str">
        <f t="shared" si="65"/>
        <v xml:space="preserve">30 </v>
      </c>
      <c r="Z58" s="99" t="str">
        <f t="shared" si="65"/>
        <v xml:space="preserve">40 </v>
      </c>
      <c r="AA58" s="99" t="str">
        <f t="shared" si="65"/>
        <v xml:space="preserve">150 </v>
      </c>
      <c r="AB58" s="99" t="str">
        <f t="shared" si="65"/>
        <v xml:space="preserve">20 </v>
      </c>
      <c r="AC58" s="99" t="str">
        <f t="shared" si="65"/>
        <v xml:space="preserve">20 </v>
      </c>
      <c r="AD58" s="99" t="str">
        <f t="shared" si="65"/>
        <v xml:space="preserve">1000 </v>
      </c>
      <c r="AE58" s="99" t="str">
        <f t="shared" si="65"/>
        <v xml:space="preserve">5 </v>
      </c>
      <c r="AF58" s="99" t="str">
        <f t="shared" si="65"/>
        <v xml:space="preserve">100 </v>
      </c>
      <c r="AG58" s="99" t="str">
        <f t="shared" si="65"/>
        <v xml:space="preserve">200 </v>
      </c>
      <c r="AH58" s="99" t="str">
        <f t="shared" si="65"/>
        <v xml:space="preserve">500 </v>
      </c>
      <c r="AI58" s="99" t="str">
        <f t="shared" si="65"/>
        <v xml:space="preserve">500 </v>
      </c>
      <c r="AJ58" s="99" t="str">
        <f t="shared" si="65"/>
        <v xml:space="preserve">500 </v>
      </c>
      <c r="AK58" s="99" t="str">
        <f t="shared" si="65"/>
        <v xml:space="preserve">1000 </v>
      </c>
      <c r="AL58" s="99" t="str">
        <f t="shared" si="65"/>
        <v xml:space="preserve">30 </v>
      </c>
      <c r="AM58" s="99" t="str">
        <f t="shared" si="65"/>
        <v xml:space="preserve">50 </v>
      </c>
      <c r="AN58" s="99" t="str">
        <f t="shared" si="65"/>
        <v xml:space="preserve">100 </v>
      </c>
      <c r="AO58" s="99" t="str">
        <f t="shared" si="65"/>
        <v xml:space="preserve">20 </v>
      </c>
      <c r="AP58" s="99" t="str">
        <f t="shared" si="65"/>
        <v xml:space="preserve">20 </v>
      </c>
      <c r="AQ58" s="99" t="str">
        <f t="shared" si="65"/>
        <v xml:space="preserve">20 </v>
      </c>
      <c r="AR58" s="99" t="str">
        <f t="shared" si="65"/>
        <v xml:space="preserve">30 </v>
      </c>
      <c r="AS58" s="99" t="str">
        <f t="shared" si="65"/>
        <v xml:space="preserve">30 </v>
      </c>
      <c r="AT58" s="99" t="str">
        <f t="shared" si="65"/>
        <v xml:space="preserve">40 </v>
      </c>
      <c r="AU58" s="99" t="str">
        <f t="shared" si="65"/>
        <v xml:space="preserve">40 </v>
      </c>
      <c r="AV58" s="99" t="str">
        <f t="shared" si="65"/>
        <v xml:space="preserve">150 </v>
      </c>
      <c r="AW58" s="99" t="str">
        <f t="shared" si="65"/>
        <v xml:space="preserve">150 </v>
      </c>
      <c r="AX58" s="99" t="str">
        <f t="shared" si="65"/>
        <v xml:space="preserve">500 </v>
      </c>
      <c r="AY58" s="99" t="str">
        <f t="shared" si="65"/>
        <v xml:space="preserve">500 </v>
      </c>
      <c r="AZ58" s="99" t="str">
        <f t="shared" si="65"/>
        <v xml:space="preserve">50 </v>
      </c>
      <c r="BA58" s="99" t="str">
        <f t="shared" si="65"/>
        <v xml:space="preserve">50 </v>
      </c>
      <c r="BB58" s="99" t="str">
        <f t="shared" si="65"/>
        <v xml:space="preserve">50 </v>
      </c>
      <c r="BC58" s="99" t="str">
        <f t="shared" si="65"/>
        <v xml:space="preserve">60 </v>
      </c>
      <c r="BD58" s="99" t="str">
        <f t="shared" si="65"/>
        <v xml:space="preserve">60 </v>
      </c>
      <c r="BE58" s="99" t="str">
        <f t="shared" si="65"/>
        <v xml:space="preserve">200 </v>
      </c>
      <c r="BF58" s="99" t="str">
        <f t="shared" si="65"/>
        <v xml:space="preserve">200 </v>
      </c>
      <c r="BG58" s="99" t="str">
        <f t="shared" ref="BG58:BZ58" si="66">IFERROR(MID(BG57,1,FIND(" Mbps",BG57)),0)</f>
        <v xml:space="preserve">500 </v>
      </c>
      <c r="BH58" s="99" t="str">
        <f t="shared" si="66"/>
        <v xml:space="preserve">500 </v>
      </c>
      <c r="BI58" s="99" t="str">
        <f t="shared" si="66"/>
        <v xml:space="preserve">20 </v>
      </c>
      <c r="BJ58" s="99" t="str">
        <f t="shared" si="66"/>
        <v xml:space="preserve">20 </v>
      </c>
      <c r="BK58" s="99" t="str">
        <f t="shared" si="66"/>
        <v xml:space="preserve">20 </v>
      </c>
      <c r="BL58" s="99" t="str">
        <f t="shared" si="66"/>
        <v xml:space="preserve">100 </v>
      </c>
      <c r="BM58" s="99" t="str">
        <f t="shared" si="66"/>
        <v xml:space="preserve">100 </v>
      </c>
      <c r="BN58" s="99" t="str">
        <f t="shared" si="66"/>
        <v xml:space="preserve">200 </v>
      </c>
      <c r="BO58" s="99" t="str">
        <f t="shared" si="66"/>
        <v xml:space="preserve">200 </v>
      </c>
      <c r="BP58" s="99" t="str">
        <f t="shared" si="66"/>
        <v xml:space="preserve">50 </v>
      </c>
      <c r="BQ58" s="99" t="str">
        <f t="shared" si="66"/>
        <v xml:space="preserve">50 </v>
      </c>
      <c r="BR58" s="99" t="str">
        <f t="shared" si="66"/>
        <v xml:space="preserve">50 </v>
      </c>
      <c r="BS58" s="99" t="str">
        <f t="shared" si="66"/>
        <v xml:space="preserve">60 </v>
      </c>
      <c r="BT58" s="99" t="str">
        <f t="shared" si="66"/>
        <v xml:space="preserve">60 </v>
      </c>
      <c r="BU58" s="99" t="str">
        <f t="shared" si="66"/>
        <v xml:space="preserve">200 </v>
      </c>
      <c r="BV58" s="99" t="str">
        <f t="shared" si="66"/>
        <v xml:space="preserve">200 </v>
      </c>
      <c r="BW58" s="99" t="str">
        <f t="shared" si="66"/>
        <v xml:space="preserve">500 </v>
      </c>
      <c r="BX58" s="99" t="str">
        <f t="shared" si="66"/>
        <v xml:space="preserve">500 </v>
      </c>
      <c r="BY58" s="99" t="str">
        <f t="shared" si="66"/>
        <v xml:space="preserve">30 </v>
      </c>
      <c r="BZ58" s="99" t="str">
        <f t="shared" si="66"/>
        <v xml:space="preserve">40 </v>
      </c>
      <c r="CA58" s="99" t="str">
        <f t="shared" ref="CA58:DN58" si="67">IFERROR(MID(CA57,1,FIND(" Mbps",CA57)),0)</f>
        <v xml:space="preserve">50 </v>
      </c>
      <c r="CB58" s="99" t="str">
        <f t="shared" si="67"/>
        <v xml:space="preserve">250 </v>
      </c>
      <c r="CC58" s="99" t="str">
        <f t="shared" si="67"/>
        <v xml:space="preserve">500 </v>
      </c>
      <c r="CD58" s="99" t="str">
        <f t="shared" si="67"/>
        <v xml:space="preserve">30 </v>
      </c>
      <c r="CE58" s="99" t="str">
        <f t="shared" si="67"/>
        <v xml:space="preserve">40 </v>
      </c>
      <c r="CF58" s="99" t="str">
        <f t="shared" si="67"/>
        <v xml:space="preserve">200 </v>
      </c>
      <c r="CG58" s="99" t="str">
        <f t="shared" si="67"/>
        <v xml:space="preserve">500 </v>
      </c>
      <c r="CH58" s="99" t="str">
        <f t="shared" si="67"/>
        <v xml:space="preserve">30 </v>
      </c>
      <c r="CI58" s="99" t="str">
        <f t="shared" si="67"/>
        <v xml:space="preserve">30 </v>
      </c>
      <c r="CJ58" s="99" t="str">
        <f t="shared" si="67"/>
        <v xml:space="preserve">30 </v>
      </c>
      <c r="CK58" s="99" t="str">
        <f t="shared" si="67"/>
        <v xml:space="preserve">70 </v>
      </c>
      <c r="CL58" s="99" t="str">
        <f t="shared" si="67"/>
        <v xml:space="preserve">70 </v>
      </c>
      <c r="CM58" s="99" t="str">
        <f t="shared" si="67"/>
        <v xml:space="preserve">120 </v>
      </c>
      <c r="CN58" s="99" t="str">
        <f t="shared" si="67"/>
        <v xml:space="preserve">120 </v>
      </c>
      <c r="CO58" s="99" t="str">
        <f t="shared" si="67"/>
        <v xml:space="preserve">200 </v>
      </c>
      <c r="CP58" s="99" t="str">
        <f t="shared" si="67"/>
        <v xml:space="preserve">200 </v>
      </c>
      <c r="CQ58" s="99" t="str">
        <f t="shared" si="67"/>
        <v xml:space="preserve">500 </v>
      </c>
      <c r="CR58" s="99" t="str">
        <f t="shared" si="67"/>
        <v xml:space="preserve">500 </v>
      </c>
      <c r="CS58" s="99" t="str">
        <f t="shared" si="67"/>
        <v xml:space="preserve">30 </v>
      </c>
      <c r="CT58" s="99" t="str">
        <f t="shared" si="67"/>
        <v xml:space="preserve">30 </v>
      </c>
      <c r="CU58" s="99" t="str">
        <f t="shared" si="67"/>
        <v xml:space="preserve">30 </v>
      </c>
      <c r="CV58" s="99" t="str">
        <f t="shared" si="67"/>
        <v xml:space="preserve">70 </v>
      </c>
      <c r="CW58" s="99" t="str">
        <f t="shared" si="67"/>
        <v xml:space="preserve">70 </v>
      </c>
      <c r="CX58" s="99" t="str">
        <f t="shared" si="67"/>
        <v xml:space="preserve">250 </v>
      </c>
      <c r="CY58" s="99" t="str">
        <f t="shared" si="67"/>
        <v xml:space="preserve">250 </v>
      </c>
      <c r="CZ58" s="99" t="str">
        <f t="shared" si="67"/>
        <v xml:space="preserve">500 </v>
      </c>
      <c r="DA58" s="99" t="str">
        <f t="shared" si="67"/>
        <v xml:space="preserve">500 </v>
      </c>
      <c r="DB58" s="99" t="str">
        <f t="shared" si="67"/>
        <v xml:space="preserve">20 </v>
      </c>
      <c r="DC58" s="99" t="str">
        <f t="shared" si="67"/>
        <v xml:space="preserve">100 </v>
      </c>
      <c r="DD58" s="99" t="str">
        <f t="shared" si="67"/>
        <v xml:space="preserve">200 </v>
      </c>
      <c r="DE58" s="99" t="str">
        <f t="shared" si="67"/>
        <v xml:space="preserve">500 </v>
      </c>
      <c r="DF58" s="99" t="str">
        <f t="shared" si="67"/>
        <v xml:space="preserve">500 </v>
      </c>
      <c r="DG58" s="99" t="str">
        <f t="shared" si="67"/>
        <v xml:space="preserve">1000 </v>
      </c>
      <c r="DH58" s="99" t="str">
        <f t="shared" si="67"/>
        <v xml:space="preserve">20 </v>
      </c>
      <c r="DI58" s="99" t="str">
        <f t="shared" si="67"/>
        <v xml:space="preserve">20 </v>
      </c>
      <c r="DJ58" s="99" t="str">
        <f t="shared" si="67"/>
        <v xml:space="preserve">20 </v>
      </c>
      <c r="DK58" s="99" t="str">
        <f t="shared" si="67"/>
        <v xml:space="preserve">100 </v>
      </c>
      <c r="DL58" s="99" t="str">
        <f t="shared" si="67"/>
        <v xml:space="preserve">100 </v>
      </c>
      <c r="DM58" s="99" t="str">
        <f t="shared" si="67"/>
        <v xml:space="preserve">200 </v>
      </c>
      <c r="DN58" s="99" t="str">
        <f t="shared" si="67"/>
        <v xml:space="preserve">200 </v>
      </c>
      <c r="DO58" s="95"/>
      <c r="DP58" s="95"/>
      <c r="DQ58" s="95"/>
      <c r="DR58" s="95"/>
      <c r="DS58" s="95"/>
      <c r="DT58" s="95"/>
      <c r="DU58" s="95"/>
      <c r="DV58" s="95"/>
      <c r="DW58" s="95"/>
      <c r="DX58" s="95"/>
      <c r="DY58" s="95"/>
      <c r="DZ58" s="95"/>
      <c r="EA58" s="95"/>
      <c r="EB58" s="95"/>
      <c r="EC58" s="95"/>
      <c r="ED58" s="95"/>
      <c r="EE58" s="95"/>
      <c r="EF58" s="95"/>
      <c r="EG58" s="95"/>
      <c r="EH58" s="95"/>
      <c r="EI58" s="95"/>
      <c r="EJ58" s="95"/>
      <c r="EK58" s="95"/>
      <c r="EL58" s="95"/>
      <c r="EM58" s="95"/>
      <c r="EN58" s="95"/>
      <c r="EO58" s="95"/>
      <c r="EP58" s="95"/>
      <c r="EQ58" s="95"/>
      <c r="ER58" s="95"/>
      <c r="ES58" s="95"/>
      <c r="ET58" s="95"/>
      <c r="EU58" s="95"/>
      <c r="EV58" s="95"/>
      <c r="EW58" s="95"/>
      <c r="EX58" s="95"/>
      <c r="EY58" s="95"/>
      <c r="EZ58" s="95"/>
      <c r="FA58" s="95"/>
      <c r="FB58" s="95"/>
      <c r="FC58" s="95"/>
      <c r="FD58" s="95"/>
      <c r="FE58" s="95"/>
      <c r="FF58" s="95"/>
      <c r="FG58" s="95"/>
      <c r="FH58" s="95"/>
      <c r="FI58" s="95"/>
      <c r="FJ58" s="95"/>
      <c r="FK58" s="95"/>
      <c r="FL58" s="95"/>
      <c r="FM58" s="95"/>
      <c r="FN58" s="95"/>
      <c r="FO58" s="95"/>
      <c r="FP58" s="95"/>
      <c r="FQ58" s="95"/>
      <c r="FR58" s="95"/>
      <c r="FS58" s="95"/>
      <c r="FT58" s="95"/>
      <c r="FU58" s="95"/>
      <c r="FV58" s="95"/>
      <c r="FW58" s="95"/>
      <c r="FX58" s="95"/>
      <c r="FY58" s="95"/>
      <c r="FZ58" s="95"/>
      <c r="GA58" s="95"/>
      <c r="GB58" s="95"/>
      <c r="GC58" s="95"/>
      <c r="GD58" s="95"/>
      <c r="GE58" s="95"/>
      <c r="GF58" s="95"/>
      <c r="GG58" s="95"/>
      <c r="GH58" s="95"/>
      <c r="GI58" s="95"/>
      <c r="GJ58" s="95"/>
      <c r="GK58" s="95"/>
      <c r="GL58" s="95"/>
      <c r="GM58" s="95"/>
      <c r="GN58" s="95"/>
      <c r="GO58" s="95"/>
      <c r="GP58" s="95"/>
      <c r="GQ58" s="95"/>
      <c r="GR58" s="95"/>
      <c r="GS58" s="95"/>
      <c r="GT58" s="95"/>
      <c r="GU58" s="95"/>
      <c r="GV58" s="95"/>
      <c r="GW58" s="95"/>
      <c r="GX58" s="95"/>
      <c r="GY58" s="95"/>
      <c r="GZ58" s="95"/>
      <c r="HA58" s="95"/>
      <c r="HB58" s="95"/>
      <c r="HC58" s="95"/>
      <c r="HD58" s="95"/>
      <c r="HE58" s="95"/>
      <c r="HF58" s="95"/>
      <c r="HG58" s="95"/>
      <c r="HH58" s="95"/>
      <c r="HI58" s="95"/>
      <c r="HJ58" s="95"/>
      <c r="HK58" s="95"/>
      <c r="HL58" s="95"/>
      <c r="HM58" s="155" t="s">
        <v>575</v>
      </c>
    </row>
    <row r="59" spans="1:221" s="262" customFormat="1" ht="12" x14ac:dyDescent="0.25">
      <c r="C59" s="289" t="s">
        <v>1303</v>
      </c>
      <c r="G59" s="263" t="s">
        <v>565</v>
      </c>
      <c r="H59" s="102" t="s">
        <v>574</v>
      </c>
      <c r="I59" s="158" t="str">
        <f>IFERROR(VLOOKUP(I$8,'Info planes y paquetes'!$A$472:$BS$579,19,FALSE),"")</f>
        <v/>
      </c>
      <c r="J59" s="158" t="str">
        <f>IFERROR(VLOOKUP(J$8,'Info planes y paquetes'!$A$472:$BS$579,19,FALSE),"")</f>
        <v/>
      </c>
      <c r="K59" s="158">
        <f>IFERROR(VLOOKUP(K$8,'Info planes y paquetes'!$A$472:$BS$579,19,FALSE),"")</f>
        <v>0</v>
      </c>
      <c r="L59" s="158">
        <f>IFERROR(VLOOKUP(L$8,'Info planes y paquetes'!$A$472:$BS$579,19,FALSE),"")</f>
        <v>0</v>
      </c>
      <c r="M59" s="158">
        <f>IFERROR(VLOOKUP(M$8,'Info planes y paquetes'!$A$472:$BS$579,19,FALSE),"")</f>
        <v>0</v>
      </c>
      <c r="N59" s="158">
        <f>IFERROR(VLOOKUP(N$8,'Info planes y paquetes'!$A$472:$BS$579,19,FALSE),"")</f>
        <v>0</v>
      </c>
      <c r="O59" s="158">
        <f>IFERROR(VLOOKUP(O$8,'Info planes y paquetes'!$A$472:$BS$579,19,FALSE),"")</f>
        <v>0</v>
      </c>
      <c r="P59" s="158">
        <f>IFERROR(VLOOKUP(P$8,'Info planes y paquetes'!$A$472:$BS$579,19,FALSE),"")</f>
        <v>0</v>
      </c>
      <c r="Q59" s="158">
        <f>IFERROR(VLOOKUP(Q$8,'Info planes y paquetes'!$A$472:$BS$579,19,FALSE),"")</f>
        <v>0</v>
      </c>
      <c r="R59" s="158">
        <f>IFERROR(VLOOKUP(R$8,'Info planes y paquetes'!$A$472:$BS$579,19,FALSE),"")</f>
        <v>0</v>
      </c>
      <c r="S59" s="158" t="str">
        <f>IFERROR(VLOOKUP(S$8,'Info planes y paquetes'!$A$472:$BS$579,19,FALSE),"")</f>
        <v>50 Mbps</v>
      </c>
      <c r="T59" s="158">
        <f>IFERROR(VLOOKUP(T$8,'Info planes y paquetes'!$A$472:$BS$579,19,FALSE),"")</f>
        <v>0</v>
      </c>
      <c r="U59" s="158">
        <f>IFERROR(VLOOKUP(U$8,'Info planes y paquetes'!$A$472:$BS$579,19,FALSE),"")</f>
        <v>0</v>
      </c>
      <c r="V59" s="158">
        <f>IFERROR(VLOOKUP(V$8,'Info planes y paquetes'!$A$472:$BS$579,19,FALSE),"")</f>
        <v>0</v>
      </c>
      <c r="W59" s="158" t="str">
        <f>IFERROR(VLOOKUP(W$8,'Info planes y paquetes'!$A$472:$BS$579,19,FALSE),"")</f>
        <v>15 Mbps</v>
      </c>
      <c r="X59" s="158" t="str">
        <f>IFERROR(VLOOKUP(X$8,'Info planes y paquetes'!$A$472:$BS$579,19,FALSE),"")</f>
        <v>15 Mbps</v>
      </c>
      <c r="Y59" s="158" t="str">
        <f>IFERROR(VLOOKUP(Y$8,'Info planes y paquetes'!$A$472:$BS$579,19,FALSE),"")</f>
        <v>60 Mbps</v>
      </c>
      <c r="Z59" s="158" t="str">
        <f>IFERROR(VLOOKUP(Z$8,'Info planes y paquetes'!$A$472:$BS$579,19,FALSE),"")</f>
        <v>100 Mbps</v>
      </c>
      <c r="AA59" s="158">
        <f>IFERROR(VLOOKUP(AA$8,'Info planes y paquetes'!$A$472:$BS$579,19,FALSE),"")</f>
        <v>0</v>
      </c>
      <c r="AB59" s="158" t="str">
        <f>IFERROR(VLOOKUP(AB$8,'Info planes y paquetes'!$A$472:$BS$579,19,FALSE),"")</f>
        <v>50 Mbps</v>
      </c>
      <c r="AC59" s="158" t="str">
        <f>IFERROR(VLOOKUP(AC$8,'Info planes y paquetes'!$A$472:$BS$579,19,FALSE),"")</f>
        <v>50 Mbps</v>
      </c>
      <c r="AD59" s="158">
        <f>IFERROR(VLOOKUP(AD$8,'Info planes y paquetes'!$A$472:$BS$579,19,FALSE),"")</f>
        <v>0</v>
      </c>
      <c r="AE59" s="158" t="str">
        <f>IFERROR(VLOOKUP(AE$8,'Info planes y paquetes'!$A$472:$BS$579,19,FALSE),"")</f>
        <v>15 Mbps</v>
      </c>
      <c r="AF59" s="158">
        <f>IFERROR(VLOOKUP(AF$8,'Info planes y paquetes'!$A$472:$BS$579,19,FALSE),"")</f>
        <v>0</v>
      </c>
      <c r="AG59" s="158">
        <f>IFERROR(VLOOKUP(AG$8,'Info planes y paquetes'!$A$472:$BS$579,19,FALSE),"")</f>
        <v>0</v>
      </c>
      <c r="AH59" s="158">
        <f>IFERROR(VLOOKUP(AH$8,'Info planes y paquetes'!$A$472:$BS$579,19,FALSE),"")</f>
        <v>0</v>
      </c>
      <c r="AI59" s="158">
        <f>IFERROR(VLOOKUP(AI$8,'Info planes y paquetes'!$A$472:$BS$579,19,FALSE),"")</f>
        <v>0</v>
      </c>
      <c r="AJ59" s="158">
        <f>IFERROR(VLOOKUP(AJ$8,'Info planes y paquetes'!$A$472:$BS$579,19,FALSE),"")</f>
        <v>0</v>
      </c>
      <c r="AK59" s="158">
        <f>IFERROR(VLOOKUP(AK$8,'Info planes y paquetes'!$A$472:$BS$579,19,FALSE),"")</f>
        <v>0</v>
      </c>
      <c r="AL59" s="158">
        <f>IFERROR(VLOOKUP(AL$8,'Info planes y paquetes'!$A$472:$BS$579,19,FALSE),"")</f>
        <v>0</v>
      </c>
      <c r="AM59" s="158">
        <f>IFERROR(VLOOKUP(AM$8,'Info planes y paquetes'!$A$472:$BS$579,19,FALSE),"")</f>
        <v>0</v>
      </c>
      <c r="AN59" s="158">
        <f>IFERROR(VLOOKUP(AN$8,'Info planes y paquetes'!$A$472:$BS$579,19,FALSE),"")</f>
        <v>0</v>
      </c>
      <c r="AO59" s="158" t="str">
        <f>IFERROR(VLOOKUP(AO$8,'Info planes y paquetes'!$A$472:$BS$579,19,FALSE),"")</f>
        <v>50 Mbps</v>
      </c>
      <c r="AP59" s="158" t="str">
        <f>IFERROR(VLOOKUP(AP$8,'Info planes y paquetes'!$A$472:$BS$579,19,FALSE),"")</f>
        <v>50 Mbps</v>
      </c>
      <c r="AQ59" s="158" t="str">
        <f>IFERROR(VLOOKUP(AQ$8,'Info planes y paquetes'!$A$472:$BS$579,19,FALSE),"")</f>
        <v>50 Mbps</v>
      </c>
      <c r="AR59" s="158" t="str">
        <f>IFERROR(VLOOKUP(AR$8,'Info planes y paquetes'!$A$472:$BS$579,19,FALSE),"")</f>
        <v>60 Mbps</v>
      </c>
      <c r="AS59" s="158" t="str">
        <f>IFERROR(VLOOKUP(AS$8,'Info planes y paquetes'!$A$472:$BS$579,19,FALSE),"")</f>
        <v>60 Mbps</v>
      </c>
      <c r="AT59" s="158" t="str">
        <f>IFERROR(VLOOKUP(AT$8,'Info planes y paquetes'!$A$472:$BS$579,19,FALSE),"")</f>
        <v>100 Mbps</v>
      </c>
      <c r="AU59" s="158" t="str">
        <f>IFERROR(VLOOKUP(AU$8,'Info planes y paquetes'!$A$472:$BS$579,19,FALSE),"")</f>
        <v>100 Mbps</v>
      </c>
      <c r="AV59" s="158" t="str">
        <f>IFERROR(VLOOKUP(AV$8,'Info planes y paquetes'!$A$472:$BS$579,19,FALSE),"")</f>
        <v>200 Mbps</v>
      </c>
      <c r="AW59" s="158" t="str">
        <f>IFERROR(VLOOKUP(AW$8,'Info planes y paquetes'!$A$472:$BS$579,19,FALSE),"")</f>
        <v>200 Mbps</v>
      </c>
      <c r="AX59" s="158">
        <f>IFERROR(VLOOKUP(AX$8,'Info planes y paquetes'!$A$472:$BS$579,19,FALSE),"")</f>
        <v>0</v>
      </c>
      <c r="AY59" s="158">
        <f>IFERROR(VLOOKUP(AY$8,'Info planes y paquetes'!$A$472:$BS$579,19,FALSE),"")</f>
        <v>0</v>
      </c>
      <c r="AZ59" s="158">
        <f>IFERROR(VLOOKUP(AZ$8,'Info planes y paquetes'!$A$472:$BS$579,19,FALSE),"")</f>
        <v>0</v>
      </c>
      <c r="BA59" s="158">
        <f>IFERROR(VLOOKUP(BA$8,'Info planes y paquetes'!$A$472:$BS$579,19,FALSE),"")</f>
        <v>0</v>
      </c>
      <c r="BB59" s="158">
        <f>IFERROR(VLOOKUP(BB$8,'Info planes y paquetes'!$A$472:$BS$579,19,FALSE),"")</f>
        <v>0</v>
      </c>
      <c r="BC59" s="158">
        <f>IFERROR(VLOOKUP(BC$8,'Info planes y paquetes'!$A$472:$BS$579,19,FALSE),"")</f>
        <v>0</v>
      </c>
      <c r="BD59" s="158">
        <f>IFERROR(VLOOKUP(BD$8,'Info planes y paquetes'!$A$472:$BS$579,19,FALSE),"")</f>
        <v>0</v>
      </c>
      <c r="BE59" s="158">
        <f>IFERROR(VLOOKUP(BE$8,'Info planes y paquetes'!$A$472:$BS$579,19,FALSE),"")</f>
        <v>0</v>
      </c>
      <c r="BF59" s="158">
        <f>IFERROR(VLOOKUP(BF$8,'Info planes y paquetes'!$A$472:$BS$579,19,FALSE),"")</f>
        <v>0</v>
      </c>
      <c r="BG59" s="158">
        <f>IFERROR(VLOOKUP(BG$8,'Info planes y paquetes'!$A$472:$BS$579,19,FALSE),"")</f>
        <v>0</v>
      </c>
      <c r="BH59" s="158">
        <f>IFERROR(VLOOKUP(BH$8,'Info planes y paquetes'!$A$472:$BS$579,19,FALSE),"")</f>
        <v>0</v>
      </c>
      <c r="BI59" s="158">
        <f>IFERROR(VLOOKUP(BI$8,'Info planes y paquetes'!$A$472:$BS$579,19,FALSE),"")</f>
        <v>0</v>
      </c>
      <c r="BJ59" s="158">
        <f>IFERROR(VLOOKUP(BJ$8,'Info planes y paquetes'!$A$472:$BS$579,19,FALSE),"")</f>
        <v>0</v>
      </c>
      <c r="BK59" s="158">
        <f>IFERROR(VLOOKUP(BK$8,'Info planes y paquetes'!$A$472:$BS$579,19,FALSE),"")</f>
        <v>0</v>
      </c>
      <c r="BL59" s="158">
        <f>IFERROR(VLOOKUP(BL$8,'Info planes y paquetes'!$A$472:$BS$579,19,FALSE),"")</f>
        <v>0</v>
      </c>
      <c r="BM59" s="158">
        <f>IFERROR(VLOOKUP(BM$8,'Info planes y paquetes'!$A$472:$BS$579,19,FALSE),"")</f>
        <v>0</v>
      </c>
      <c r="BN59" s="158">
        <f>IFERROR(VLOOKUP(BN$8,'Info planes y paquetes'!$A$472:$BS$579,19,FALSE),"")</f>
        <v>0</v>
      </c>
      <c r="BO59" s="158">
        <f>IFERROR(VLOOKUP(BO$8,'Info planes y paquetes'!$A$472:$BS$579,19,FALSE),"")</f>
        <v>0</v>
      </c>
      <c r="BP59" s="158">
        <f>IFERROR(VLOOKUP(BP$8,'Info planes y paquetes'!$A$472:$BS$579,19,FALSE),"")</f>
        <v>0</v>
      </c>
      <c r="BQ59" s="158">
        <f>IFERROR(VLOOKUP(BQ$8,'Info planes y paquetes'!$A$472:$BS$579,19,FALSE),"")</f>
        <v>0</v>
      </c>
      <c r="BR59" s="158">
        <f>IFERROR(VLOOKUP(BR$8,'Info planes y paquetes'!$A$472:$BS$579,19,FALSE),"")</f>
        <v>0</v>
      </c>
      <c r="BS59" s="158">
        <f>IFERROR(VLOOKUP(BS$8,'Info planes y paquetes'!$A$472:$BS$579,19,FALSE),"")</f>
        <v>0</v>
      </c>
      <c r="BT59" s="158">
        <f>IFERROR(VLOOKUP(BT$8,'Info planes y paquetes'!$A$472:$BS$579,19,FALSE),"")</f>
        <v>0</v>
      </c>
      <c r="BU59" s="158">
        <f>IFERROR(VLOOKUP(BU$8,'Info planes y paquetes'!$A$472:$BS$579,19,FALSE),"")</f>
        <v>0</v>
      </c>
      <c r="BV59" s="158">
        <f>IFERROR(VLOOKUP(BV$8,'Info planes y paquetes'!$A$472:$BS$579,19,FALSE),"")</f>
        <v>0</v>
      </c>
      <c r="BW59" s="158">
        <f>IFERROR(VLOOKUP(BW$8,'Info planes y paquetes'!$A$472:$BS$579,19,FALSE),"")</f>
        <v>0</v>
      </c>
      <c r="BX59" s="158">
        <f>IFERROR(VLOOKUP(BX$8,'Info planes y paquetes'!$A$472:$BS$579,19,FALSE),"")</f>
        <v>0</v>
      </c>
      <c r="BY59" s="158" t="str">
        <f>IFERROR(VLOOKUP(BY$8,'Info planes y paquetes'!$A$472:$BS$579,19,FALSE),"")</f>
        <v>60 Mbps</v>
      </c>
      <c r="BZ59" s="158" t="str">
        <f>IFERROR(VLOOKUP(BZ$8,'Info planes y paquetes'!$A$472:$BS$579,19,FALSE),"")</f>
        <v>70 Mbps</v>
      </c>
      <c r="CA59" s="158" t="str">
        <f>IFERROR(VLOOKUP(CA$8,'Info planes y paquetes'!$A$472:$BS$579,19,FALSE),"")</f>
        <v>120 Mbps</v>
      </c>
      <c r="CB59" s="158">
        <f>IFERROR(VLOOKUP(CB$8,'Info planes y paquetes'!$A$472:$BS$579,19,FALSE),"")</f>
        <v>0</v>
      </c>
      <c r="CC59" s="158">
        <f>IFERROR(VLOOKUP(CC$8,'Info planes y paquetes'!$A$472:$BS$579,19,FALSE),"")</f>
        <v>0</v>
      </c>
      <c r="CD59" s="158" t="str">
        <f>IFERROR(VLOOKUP(CD$8,'Info planes y paquetes'!$A$472:$BS$579,19,FALSE),"")</f>
        <v>60 Mbps</v>
      </c>
      <c r="CE59" s="158" t="str">
        <f>IFERROR(VLOOKUP(CE$8,'Info planes y paquetes'!$A$472:$BS$579,19,FALSE),"")</f>
        <v>70 Mbps</v>
      </c>
      <c r="CF59" s="158" t="str">
        <f>IFERROR(VLOOKUP(CF$8,'Info planes y paquetes'!$A$472:$BS$579,19,FALSE),"")</f>
        <v>250 Mbps</v>
      </c>
      <c r="CG59" s="158">
        <f>IFERROR(VLOOKUP(CG$8,'Info planes y paquetes'!$A$472:$BS$579,19,FALSE),"")</f>
        <v>0</v>
      </c>
      <c r="CH59" s="158" t="str">
        <f>IFERROR(VLOOKUP(CH$8,'Info planes y paquetes'!$A$472:$BS$579,19,FALSE),"")</f>
        <v>60 Mbps</v>
      </c>
      <c r="CI59" s="158" t="str">
        <f>IFERROR(VLOOKUP(CI$8,'Info planes y paquetes'!$A$472:$BS$579,19,FALSE),"")</f>
        <v>60 Mbps</v>
      </c>
      <c r="CJ59" s="158" t="str">
        <f>IFERROR(VLOOKUP(CJ$8,'Info planes y paquetes'!$A$472:$BS$579,19,FALSE),"")</f>
        <v>60 Mbps</v>
      </c>
      <c r="CK59" s="158">
        <f>IFERROR(VLOOKUP(CK$8,'Info planes y paquetes'!$A$472:$BS$579,19,FALSE),"")</f>
        <v>0</v>
      </c>
      <c r="CL59" s="158">
        <f>IFERROR(VLOOKUP(CL$8,'Info planes y paquetes'!$A$472:$BS$579,19,FALSE),"")</f>
        <v>0</v>
      </c>
      <c r="CM59" s="158">
        <f>IFERROR(VLOOKUP(CM$8,'Info planes y paquetes'!$A$472:$BS$579,19,FALSE),"")</f>
        <v>0</v>
      </c>
      <c r="CN59" s="158">
        <f>IFERROR(VLOOKUP(CN$8,'Info planes y paquetes'!$A$472:$BS$579,19,FALSE),"")</f>
        <v>0</v>
      </c>
      <c r="CO59" s="158" t="str">
        <f>IFERROR(VLOOKUP(CO$8,'Info planes y paquetes'!$A$472:$BS$579,19,FALSE),"")</f>
        <v>250 Mbps</v>
      </c>
      <c r="CP59" s="158">
        <f>IFERROR(VLOOKUP(CP$8,'Info planes y paquetes'!$A$472:$BS$579,19,FALSE),"")</f>
        <v>0</v>
      </c>
      <c r="CQ59" s="158">
        <f>IFERROR(VLOOKUP(CQ$8,'Info planes y paquetes'!$A$472:$BS$579,19,FALSE),"")</f>
        <v>0</v>
      </c>
      <c r="CR59" s="158">
        <f>IFERROR(VLOOKUP(CR$8,'Info planes y paquetes'!$A$472:$BS$579,19,FALSE),"")</f>
        <v>0</v>
      </c>
      <c r="CS59" s="158" t="str">
        <f>IFERROR(VLOOKUP(CS$8,'Info planes y paquetes'!$A$472:$BS$579,19,FALSE),"")</f>
        <v>60 Mbps</v>
      </c>
      <c r="CT59" s="158" t="str">
        <f>IFERROR(VLOOKUP(CT$8,'Info planes y paquetes'!$A$472:$BS$579,19,FALSE),"")</f>
        <v>60 Mbps</v>
      </c>
      <c r="CU59" s="158" t="str">
        <f>IFERROR(VLOOKUP(CU$8,'Info planes y paquetes'!$A$472:$BS$579,19,FALSE),"")</f>
        <v>60 Mbps</v>
      </c>
      <c r="CV59" s="158">
        <f>IFERROR(VLOOKUP(CV$8,'Info planes y paquetes'!$A$472:$BS$579,19,FALSE),"")</f>
        <v>0</v>
      </c>
      <c r="CW59" s="158">
        <f>IFERROR(VLOOKUP(CW$8,'Info planes y paquetes'!$A$472:$BS$579,19,FALSE),"")</f>
        <v>0</v>
      </c>
      <c r="CX59" s="158">
        <f>IFERROR(VLOOKUP(CX$8,'Info planes y paquetes'!$A$472:$BS$579,19,FALSE),"")</f>
        <v>0</v>
      </c>
      <c r="CY59" s="158">
        <f>IFERROR(VLOOKUP(CY$8,'Info planes y paquetes'!$A$472:$BS$579,19,FALSE),"")</f>
        <v>0</v>
      </c>
      <c r="CZ59" s="158">
        <f>IFERROR(VLOOKUP(CZ$8,'Info planes y paquetes'!$A$472:$BS$579,19,FALSE),"")</f>
        <v>0</v>
      </c>
      <c r="DA59" s="158">
        <f>IFERROR(VLOOKUP(DA$8,'Info planes y paquetes'!$A$472:$BS$579,19,FALSE),"")</f>
        <v>0</v>
      </c>
      <c r="DB59" s="158">
        <f>IFERROR(VLOOKUP(DB$8,'Info planes y paquetes'!$A$472:$BS$579,19,FALSE),"")</f>
        <v>0</v>
      </c>
      <c r="DC59" s="158">
        <f>IFERROR(VLOOKUP(DC$8,'Info planes y paquetes'!$A$472:$BS$579,19,FALSE),"")</f>
        <v>0</v>
      </c>
      <c r="DD59" s="158">
        <f>IFERROR(VLOOKUP(DD$8,'Info planes y paquetes'!$A$472:$BS$579,19,FALSE),"")</f>
        <v>0</v>
      </c>
      <c r="DE59" s="158">
        <f>IFERROR(VLOOKUP(DE$8,'Info planes y paquetes'!$A$472:$BS$579,19,FALSE),"")</f>
        <v>0</v>
      </c>
      <c r="DF59" s="158">
        <f>IFERROR(VLOOKUP(DF$8,'Info planes y paquetes'!$A$472:$BS$579,19,FALSE),"")</f>
        <v>0</v>
      </c>
      <c r="DG59" s="158">
        <f>IFERROR(VLOOKUP(DG$8,'Info planes y paquetes'!$A$472:$BS$579,19,FALSE),"")</f>
        <v>0</v>
      </c>
      <c r="DH59" s="158">
        <f>IFERROR(VLOOKUP(DH$8,'Info planes y paquetes'!$A$472:$BS$579,19,FALSE),"")</f>
        <v>0</v>
      </c>
      <c r="DI59" s="158">
        <f>IFERROR(VLOOKUP(DI$8,'Info planes y paquetes'!$A$472:$BS$579,19,FALSE),"")</f>
        <v>0</v>
      </c>
      <c r="DJ59" s="158">
        <f>IFERROR(VLOOKUP(DJ$8,'Info planes y paquetes'!$A$472:$BS$579,19,FALSE),"")</f>
        <v>0</v>
      </c>
      <c r="DK59" s="158">
        <f>IFERROR(VLOOKUP(DK$8,'Info planes y paquetes'!$A$472:$BS$579,19,FALSE),"")</f>
        <v>0</v>
      </c>
      <c r="DL59" s="158">
        <f>IFERROR(VLOOKUP(DL$8,'Info planes y paquetes'!$A$472:$BS$579,19,FALSE),"")</f>
        <v>0</v>
      </c>
      <c r="DM59" s="158">
        <f>IFERROR(VLOOKUP(DM$8,'Info planes y paquetes'!$A$472:$BS$579,19,FALSE),"")</f>
        <v>0</v>
      </c>
      <c r="DN59" s="158">
        <f>IFERROR(VLOOKUP(DN$8,'Info planes y paquetes'!$A$472:$BS$579,19,FALSE),"")</f>
        <v>0</v>
      </c>
      <c r="DO59" s="95"/>
      <c r="DP59" s="95"/>
      <c r="DQ59" s="95"/>
      <c r="DR59" s="95"/>
      <c r="DS59" s="95"/>
      <c r="DT59" s="95"/>
      <c r="DU59" s="95"/>
      <c r="DV59" s="95"/>
      <c r="DW59" s="95"/>
      <c r="DX59" s="95"/>
      <c r="DY59" s="95"/>
      <c r="DZ59" s="95"/>
      <c r="EA59" s="95"/>
      <c r="EB59" s="95"/>
      <c r="EC59" s="95"/>
      <c r="ED59" s="95"/>
      <c r="EE59" s="95"/>
      <c r="EF59" s="95"/>
      <c r="EG59" s="95"/>
      <c r="EH59" s="95"/>
      <c r="EI59" s="95"/>
      <c r="EJ59" s="95"/>
      <c r="EK59" s="95"/>
      <c r="EL59" s="95"/>
      <c r="EM59" s="95"/>
      <c r="EN59" s="95"/>
      <c r="EO59" s="95"/>
      <c r="EP59" s="95"/>
      <c r="EQ59" s="95"/>
      <c r="ER59" s="95"/>
      <c r="ES59" s="95"/>
      <c r="ET59" s="95"/>
      <c r="EU59" s="95"/>
      <c r="EV59" s="95"/>
      <c r="EW59" s="95"/>
      <c r="EX59" s="95"/>
      <c r="EY59" s="95"/>
      <c r="EZ59" s="95"/>
      <c r="FA59" s="95"/>
      <c r="FB59" s="95"/>
      <c r="FC59" s="95"/>
      <c r="FD59" s="95"/>
      <c r="FE59" s="95"/>
      <c r="FF59" s="95"/>
      <c r="FG59" s="95"/>
      <c r="FH59" s="95"/>
      <c r="FI59" s="95"/>
      <c r="FJ59" s="95"/>
      <c r="FK59" s="95"/>
      <c r="FL59" s="95"/>
      <c r="FM59" s="95"/>
      <c r="FN59" s="95"/>
      <c r="FO59" s="95"/>
      <c r="FP59" s="95"/>
      <c r="FQ59" s="95"/>
      <c r="FR59" s="95"/>
      <c r="FS59" s="95"/>
      <c r="FT59" s="95"/>
      <c r="FU59" s="95"/>
      <c r="FV59" s="95"/>
      <c r="FW59" s="95"/>
      <c r="FX59" s="95"/>
      <c r="FY59" s="95"/>
      <c r="FZ59" s="95"/>
      <c r="GA59" s="95"/>
      <c r="GB59" s="95"/>
      <c r="GC59" s="95"/>
      <c r="GD59" s="95"/>
      <c r="GE59" s="95"/>
      <c r="GF59" s="95"/>
      <c r="GG59" s="95"/>
      <c r="GH59" s="95"/>
      <c r="GI59" s="95"/>
      <c r="GJ59" s="95"/>
      <c r="GK59" s="95"/>
      <c r="GL59" s="95"/>
      <c r="GM59" s="95"/>
      <c r="GN59" s="95"/>
      <c r="GO59" s="95"/>
      <c r="GP59" s="95"/>
      <c r="GQ59" s="95"/>
      <c r="GR59" s="95"/>
      <c r="GS59" s="95"/>
      <c r="GT59" s="95"/>
      <c r="GU59" s="95"/>
      <c r="GV59" s="95"/>
      <c r="GW59" s="95"/>
      <c r="GX59" s="95"/>
      <c r="GY59" s="95"/>
      <c r="GZ59" s="95"/>
      <c r="HA59" s="95"/>
      <c r="HB59" s="95"/>
      <c r="HC59" s="95"/>
      <c r="HD59" s="95"/>
      <c r="HE59" s="95"/>
      <c r="HF59" s="95"/>
      <c r="HG59" s="95"/>
      <c r="HH59" s="95"/>
      <c r="HI59" s="95"/>
      <c r="HJ59" s="95"/>
      <c r="HK59" s="95"/>
      <c r="HL59" s="95"/>
      <c r="HM59" s="155"/>
    </row>
    <row r="60" spans="1:221" s="289" customFormat="1" ht="12" x14ac:dyDescent="0.25">
      <c r="C60" s="289" t="s">
        <v>1303</v>
      </c>
      <c r="G60" s="263" t="s">
        <v>566</v>
      </c>
      <c r="H60" s="262" t="s">
        <v>534</v>
      </c>
      <c r="I60" s="99">
        <f t="shared" ref="I60:J60" si="68">IFERROR(MID(I59,1,FIND(" Mbps",I59)),0)</f>
        <v>0</v>
      </c>
      <c r="J60" s="99">
        <f t="shared" si="68"/>
        <v>0</v>
      </c>
      <c r="K60" s="99">
        <f>IFERROR(MID(K59,1,FIND(" Mbps",K59)),0)</f>
        <v>0</v>
      </c>
      <c r="L60" s="99">
        <f t="shared" ref="L60:BW60" si="69">IFERROR(MID(L59,1,FIND(" Mbps",L59)),0)</f>
        <v>0</v>
      </c>
      <c r="M60" s="99">
        <f t="shared" si="69"/>
        <v>0</v>
      </c>
      <c r="N60" s="99">
        <f t="shared" si="69"/>
        <v>0</v>
      </c>
      <c r="O60" s="99">
        <f t="shared" si="69"/>
        <v>0</v>
      </c>
      <c r="P60" s="99">
        <f t="shared" si="69"/>
        <v>0</v>
      </c>
      <c r="Q60" s="99">
        <f t="shared" si="69"/>
        <v>0</v>
      </c>
      <c r="R60" s="99">
        <f t="shared" si="69"/>
        <v>0</v>
      </c>
      <c r="S60" s="99" t="str">
        <f t="shared" si="69"/>
        <v xml:space="preserve">50 </v>
      </c>
      <c r="T60" s="99">
        <f t="shared" si="69"/>
        <v>0</v>
      </c>
      <c r="U60" s="99">
        <f t="shared" si="69"/>
        <v>0</v>
      </c>
      <c r="V60" s="99">
        <f t="shared" si="69"/>
        <v>0</v>
      </c>
      <c r="W60" s="99" t="str">
        <f t="shared" si="69"/>
        <v xml:space="preserve">15 </v>
      </c>
      <c r="X60" s="99" t="str">
        <f t="shared" si="69"/>
        <v xml:space="preserve">15 </v>
      </c>
      <c r="Y60" s="99" t="str">
        <f t="shared" si="69"/>
        <v xml:space="preserve">60 </v>
      </c>
      <c r="Z60" s="99" t="str">
        <f t="shared" si="69"/>
        <v xml:space="preserve">100 </v>
      </c>
      <c r="AA60" s="99">
        <f t="shared" si="69"/>
        <v>0</v>
      </c>
      <c r="AB60" s="99" t="str">
        <f t="shared" si="69"/>
        <v xml:space="preserve">50 </v>
      </c>
      <c r="AC60" s="99" t="str">
        <f t="shared" si="69"/>
        <v xml:space="preserve">50 </v>
      </c>
      <c r="AD60" s="99">
        <f t="shared" si="69"/>
        <v>0</v>
      </c>
      <c r="AE60" s="99" t="str">
        <f t="shared" si="69"/>
        <v xml:space="preserve">15 </v>
      </c>
      <c r="AF60" s="99">
        <f t="shared" si="69"/>
        <v>0</v>
      </c>
      <c r="AG60" s="99">
        <f t="shared" si="69"/>
        <v>0</v>
      </c>
      <c r="AH60" s="99">
        <f t="shared" si="69"/>
        <v>0</v>
      </c>
      <c r="AI60" s="99">
        <f t="shared" si="69"/>
        <v>0</v>
      </c>
      <c r="AJ60" s="99">
        <f t="shared" si="69"/>
        <v>0</v>
      </c>
      <c r="AK60" s="99">
        <f t="shared" si="69"/>
        <v>0</v>
      </c>
      <c r="AL60" s="99">
        <f t="shared" si="69"/>
        <v>0</v>
      </c>
      <c r="AM60" s="99">
        <f t="shared" si="69"/>
        <v>0</v>
      </c>
      <c r="AN60" s="99">
        <f t="shared" si="69"/>
        <v>0</v>
      </c>
      <c r="AO60" s="99" t="str">
        <f t="shared" si="69"/>
        <v xml:space="preserve">50 </v>
      </c>
      <c r="AP60" s="99" t="str">
        <f t="shared" si="69"/>
        <v xml:space="preserve">50 </v>
      </c>
      <c r="AQ60" s="99" t="str">
        <f t="shared" si="69"/>
        <v xml:space="preserve">50 </v>
      </c>
      <c r="AR60" s="99" t="str">
        <f t="shared" si="69"/>
        <v xml:space="preserve">60 </v>
      </c>
      <c r="AS60" s="99" t="str">
        <f t="shared" si="69"/>
        <v xml:space="preserve">60 </v>
      </c>
      <c r="AT60" s="99" t="str">
        <f t="shared" si="69"/>
        <v xml:space="preserve">100 </v>
      </c>
      <c r="AU60" s="99" t="str">
        <f t="shared" si="69"/>
        <v xml:space="preserve">100 </v>
      </c>
      <c r="AV60" s="99" t="str">
        <f t="shared" si="69"/>
        <v xml:space="preserve">200 </v>
      </c>
      <c r="AW60" s="99" t="str">
        <f t="shared" si="69"/>
        <v xml:space="preserve">200 </v>
      </c>
      <c r="AX60" s="99">
        <f t="shared" si="69"/>
        <v>0</v>
      </c>
      <c r="AY60" s="99">
        <f t="shared" si="69"/>
        <v>0</v>
      </c>
      <c r="AZ60" s="99">
        <f t="shared" si="69"/>
        <v>0</v>
      </c>
      <c r="BA60" s="99">
        <f t="shared" si="69"/>
        <v>0</v>
      </c>
      <c r="BB60" s="99">
        <f t="shared" si="69"/>
        <v>0</v>
      </c>
      <c r="BC60" s="99">
        <f t="shared" si="69"/>
        <v>0</v>
      </c>
      <c r="BD60" s="99">
        <f t="shared" si="69"/>
        <v>0</v>
      </c>
      <c r="BE60" s="99">
        <f t="shared" si="69"/>
        <v>0</v>
      </c>
      <c r="BF60" s="99">
        <f t="shared" si="69"/>
        <v>0</v>
      </c>
      <c r="BG60" s="99">
        <f t="shared" si="69"/>
        <v>0</v>
      </c>
      <c r="BH60" s="99">
        <f t="shared" si="69"/>
        <v>0</v>
      </c>
      <c r="BI60" s="99">
        <f t="shared" si="69"/>
        <v>0</v>
      </c>
      <c r="BJ60" s="99">
        <f t="shared" si="69"/>
        <v>0</v>
      </c>
      <c r="BK60" s="99">
        <f t="shared" si="69"/>
        <v>0</v>
      </c>
      <c r="BL60" s="99">
        <f t="shared" si="69"/>
        <v>0</v>
      </c>
      <c r="BM60" s="99">
        <f t="shared" si="69"/>
        <v>0</v>
      </c>
      <c r="BN60" s="99">
        <f t="shared" si="69"/>
        <v>0</v>
      </c>
      <c r="BO60" s="99">
        <f t="shared" si="69"/>
        <v>0</v>
      </c>
      <c r="BP60" s="99">
        <f t="shared" si="69"/>
        <v>0</v>
      </c>
      <c r="BQ60" s="99">
        <f t="shared" si="69"/>
        <v>0</v>
      </c>
      <c r="BR60" s="99">
        <f t="shared" si="69"/>
        <v>0</v>
      </c>
      <c r="BS60" s="99">
        <f t="shared" si="69"/>
        <v>0</v>
      </c>
      <c r="BT60" s="99">
        <f t="shared" si="69"/>
        <v>0</v>
      </c>
      <c r="BU60" s="99">
        <f t="shared" si="69"/>
        <v>0</v>
      </c>
      <c r="BV60" s="99">
        <f t="shared" si="69"/>
        <v>0</v>
      </c>
      <c r="BW60" s="99">
        <f t="shared" si="69"/>
        <v>0</v>
      </c>
      <c r="BX60" s="99">
        <f t="shared" ref="BX60:DN60" si="70">IFERROR(MID(BX59,1,FIND(" Mbps",BX59)),0)</f>
        <v>0</v>
      </c>
      <c r="BY60" s="99" t="str">
        <f t="shared" si="70"/>
        <v xml:space="preserve">60 </v>
      </c>
      <c r="BZ60" s="99" t="str">
        <f t="shared" si="70"/>
        <v xml:space="preserve">70 </v>
      </c>
      <c r="CA60" s="99" t="str">
        <f t="shared" si="70"/>
        <v xml:space="preserve">120 </v>
      </c>
      <c r="CB60" s="99">
        <f t="shared" si="70"/>
        <v>0</v>
      </c>
      <c r="CC60" s="99">
        <f t="shared" si="70"/>
        <v>0</v>
      </c>
      <c r="CD60" s="99" t="str">
        <f t="shared" si="70"/>
        <v xml:space="preserve">60 </v>
      </c>
      <c r="CE60" s="99" t="str">
        <f t="shared" si="70"/>
        <v xml:space="preserve">70 </v>
      </c>
      <c r="CF60" s="99" t="str">
        <f t="shared" si="70"/>
        <v xml:space="preserve">250 </v>
      </c>
      <c r="CG60" s="99">
        <f t="shared" si="70"/>
        <v>0</v>
      </c>
      <c r="CH60" s="99" t="str">
        <f t="shared" si="70"/>
        <v xml:space="preserve">60 </v>
      </c>
      <c r="CI60" s="99" t="str">
        <f t="shared" si="70"/>
        <v xml:space="preserve">60 </v>
      </c>
      <c r="CJ60" s="99" t="str">
        <f t="shared" si="70"/>
        <v xml:space="preserve">60 </v>
      </c>
      <c r="CK60" s="99">
        <f t="shared" si="70"/>
        <v>0</v>
      </c>
      <c r="CL60" s="99">
        <f t="shared" si="70"/>
        <v>0</v>
      </c>
      <c r="CM60" s="99">
        <f t="shared" si="70"/>
        <v>0</v>
      </c>
      <c r="CN60" s="99">
        <f t="shared" si="70"/>
        <v>0</v>
      </c>
      <c r="CO60" s="99" t="str">
        <f t="shared" si="70"/>
        <v xml:space="preserve">250 </v>
      </c>
      <c r="CP60" s="99">
        <f t="shared" si="70"/>
        <v>0</v>
      </c>
      <c r="CQ60" s="99">
        <f t="shared" si="70"/>
        <v>0</v>
      </c>
      <c r="CR60" s="99">
        <f t="shared" si="70"/>
        <v>0</v>
      </c>
      <c r="CS60" s="99" t="str">
        <f t="shared" si="70"/>
        <v xml:space="preserve">60 </v>
      </c>
      <c r="CT60" s="99" t="str">
        <f t="shared" si="70"/>
        <v xml:space="preserve">60 </v>
      </c>
      <c r="CU60" s="99" t="str">
        <f t="shared" si="70"/>
        <v xml:space="preserve">60 </v>
      </c>
      <c r="CV60" s="99">
        <f t="shared" si="70"/>
        <v>0</v>
      </c>
      <c r="CW60" s="99">
        <f t="shared" si="70"/>
        <v>0</v>
      </c>
      <c r="CX60" s="99">
        <f t="shared" si="70"/>
        <v>0</v>
      </c>
      <c r="CY60" s="99">
        <f t="shared" si="70"/>
        <v>0</v>
      </c>
      <c r="CZ60" s="99">
        <f t="shared" si="70"/>
        <v>0</v>
      </c>
      <c r="DA60" s="99">
        <f t="shared" si="70"/>
        <v>0</v>
      </c>
      <c r="DB60" s="99">
        <f t="shared" si="70"/>
        <v>0</v>
      </c>
      <c r="DC60" s="99">
        <f t="shared" si="70"/>
        <v>0</v>
      </c>
      <c r="DD60" s="99">
        <f t="shared" si="70"/>
        <v>0</v>
      </c>
      <c r="DE60" s="99">
        <f t="shared" si="70"/>
        <v>0</v>
      </c>
      <c r="DF60" s="99">
        <f t="shared" si="70"/>
        <v>0</v>
      </c>
      <c r="DG60" s="99">
        <f t="shared" si="70"/>
        <v>0</v>
      </c>
      <c r="DH60" s="99">
        <f t="shared" si="70"/>
        <v>0</v>
      </c>
      <c r="DI60" s="99">
        <f t="shared" si="70"/>
        <v>0</v>
      </c>
      <c r="DJ60" s="99">
        <f t="shared" si="70"/>
        <v>0</v>
      </c>
      <c r="DK60" s="99">
        <f t="shared" si="70"/>
        <v>0</v>
      </c>
      <c r="DL60" s="99">
        <f t="shared" si="70"/>
        <v>0</v>
      </c>
      <c r="DM60" s="99">
        <f t="shared" si="70"/>
        <v>0</v>
      </c>
      <c r="DN60" s="99">
        <f t="shared" si="70"/>
        <v>0</v>
      </c>
      <c r="DO60" s="647"/>
      <c r="DP60" s="647"/>
      <c r="DQ60" s="647"/>
      <c r="DR60" s="647"/>
      <c r="DS60" s="647"/>
      <c r="DT60" s="647"/>
      <c r="DU60" s="647"/>
      <c r="DV60" s="647"/>
      <c r="DW60" s="647"/>
      <c r="DX60" s="647"/>
      <c r="DY60" s="647"/>
      <c r="DZ60" s="647"/>
      <c r="EA60" s="647"/>
      <c r="EB60" s="647"/>
      <c r="EC60" s="647"/>
      <c r="ED60" s="647"/>
      <c r="EE60" s="647"/>
      <c r="EF60" s="647"/>
      <c r="EG60" s="647"/>
      <c r="EH60" s="647"/>
      <c r="EI60" s="647"/>
      <c r="EJ60" s="647"/>
      <c r="EK60" s="647"/>
      <c r="EL60" s="647"/>
      <c r="EM60" s="647"/>
      <c r="EN60" s="647"/>
      <c r="EO60" s="647"/>
      <c r="EP60" s="647"/>
      <c r="EQ60" s="647"/>
      <c r="ER60" s="647"/>
      <c r="ES60" s="647"/>
      <c r="ET60" s="647"/>
      <c r="EU60" s="647"/>
      <c r="EV60" s="647"/>
      <c r="EW60" s="647"/>
      <c r="EX60" s="647"/>
      <c r="EY60" s="647"/>
      <c r="EZ60" s="647"/>
      <c r="FA60" s="647"/>
      <c r="FB60" s="647"/>
      <c r="FC60" s="647"/>
      <c r="FD60" s="647"/>
      <c r="FE60" s="647"/>
      <c r="FF60" s="647"/>
      <c r="FG60" s="647"/>
      <c r="FH60" s="647"/>
      <c r="FI60" s="647"/>
      <c r="FJ60" s="647"/>
      <c r="FK60" s="647"/>
      <c r="FL60" s="647"/>
      <c r="FM60" s="647"/>
      <c r="FN60" s="647"/>
      <c r="FO60" s="647"/>
      <c r="FP60" s="647"/>
      <c r="FQ60" s="647"/>
      <c r="FR60" s="647"/>
      <c r="FS60" s="647"/>
      <c r="FT60" s="647"/>
      <c r="FU60" s="647"/>
      <c r="FV60" s="647"/>
      <c r="FW60" s="647"/>
      <c r="FX60" s="647"/>
      <c r="FY60" s="647"/>
      <c r="FZ60" s="647"/>
      <c r="GA60" s="647"/>
      <c r="GB60" s="647"/>
      <c r="GC60" s="647"/>
      <c r="GD60" s="647"/>
      <c r="GE60" s="647"/>
      <c r="GF60" s="647"/>
      <c r="GG60" s="647"/>
      <c r="GH60" s="647"/>
      <c r="GI60" s="647"/>
      <c r="GJ60" s="647"/>
      <c r="GK60" s="647"/>
      <c r="GL60" s="647"/>
      <c r="GM60" s="647"/>
      <c r="GN60" s="647"/>
      <c r="GO60" s="647"/>
      <c r="GP60" s="647"/>
      <c r="GQ60" s="647"/>
      <c r="GR60" s="647"/>
      <c r="GS60" s="647"/>
      <c r="GT60" s="647"/>
      <c r="GU60" s="647"/>
      <c r="GV60" s="647"/>
      <c r="GW60" s="647"/>
      <c r="GX60" s="647"/>
      <c r="GY60" s="647"/>
      <c r="GZ60" s="647"/>
      <c r="HA60" s="647"/>
      <c r="HB60" s="647"/>
      <c r="HC60" s="647"/>
      <c r="HD60" s="647"/>
      <c r="HE60" s="647"/>
      <c r="HF60" s="647"/>
      <c r="HG60" s="647"/>
      <c r="HH60" s="647"/>
      <c r="HI60" s="647"/>
      <c r="HJ60" s="647"/>
      <c r="HK60" s="647"/>
      <c r="HL60" s="647"/>
      <c r="HM60" s="648"/>
    </row>
    <row r="61" spans="1:221" s="289" customFormat="1" ht="12" x14ac:dyDescent="0.25">
      <c r="C61" s="289" t="s">
        <v>1312</v>
      </c>
      <c r="G61" s="263"/>
      <c r="H61" s="262"/>
      <c r="I61" s="131"/>
      <c r="J61" s="131"/>
      <c r="K61" s="131">
        <f>IF(VLOOKUP(K$8,'Info planes y paquetes'!$A$472:$BS$579,17,FALSE)="Si",1,0)</f>
        <v>0</v>
      </c>
      <c r="L61" s="131">
        <f>IF(VLOOKUP(L$8,'Info planes y paquetes'!$A$472:$BS$579,17,FALSE)="Si",1,0)</f>
        <v>0</v>
      </c>
      <c r="M61" s="131">
        <f>IF(VLOOKUP(M$8,'Info planes y paquetes'!$A$472:$BS$579,17,FALSE)="Si",1,0)</f>
        <v>0</v>
      </c>
      <c r="N61" s="131">
        <f>IF(VLOOKUP(N$8,'Info planes y paquetes'!$A$472:$BS$579,17,FALSE)="Si",1,0)</f>
        <v>0</v>
      </c>
      <c r="O61" s="131">
        <f>IF(VLOOKUP(O$8,'Info planes y paquetes'!$A$472:$BS$579,17,FALSE)="Si",1,0)</f>
        <v>0</v>
      </c>
      <c r="P61" s="131">
        <f>IF(VLOOKUP(P$8,'Info planes y paquetes'!$A$472:$BS$579,17,FALSE)="Si",1,0)</f>
        <v>0</v>
      </c>
      <c r="Q61" s="131">
        <f>IF(VLOOKUP(Q$8,'Info planes y paquetes'!$A$472:$BS$579,17,FALSE)="Si",1,0)</f>
        <v>0</v>
      </c>
      <c r="R61" s="131">
        <f>IF(VLOOKUP(R$8,'Info planes y paquetes'!$A$472:$BS$579,17,FALSE)="Si",1,0)</f>
        <v>0</v>
      </c>
      <c r="S61" s="131">
        <f>IF(VLOOKUP(S$8,'Info planes y paquetes'!$A$472:$BS$579,17,FALSE)="Si",1,0)</f>
        <v>1</v>
      </c>
      <c r="T61" s="131">
        <f>IF(VLOOKUP(T$8,'Info planes y paquetes'!$A$472:$BS$579,17,FALSE)="Si",1,0)</f>
        <v>0</v>
      </c>
      <c r="U61" s="131">
        <f>IF(VLOOKUP(U$8,'Info planes y paquetes'!$A$472:$BS$579,17,FALSE)="Si",1,0)</f>
        <v>0</v>
      </c>
      <c r="V61" s="131">
        <f>IF(VLOOKUP(V$8,'Info planes y paquetes'!$A$472:$BS$579,17,FALSE)="Si",1,0)</f>
        <v>0</v>
      </c>
      <c r="W61" s="131">
        <f>IF(VLOOKUP(W$8,'Info planes y paquetes'!$A$472:$BS$579,17,FALSE)="Si",1,0)</f>
        <v>1</v>
      </c>
      <c r="X61" s="131">
        <f>IF(VLOOKUP(X$8,'Info planes y paquetes'!$A$472:$BS$579,17,FALSE)="Si",1,0)</f>
        <v>1</v>
      </c>
      <c r="Y61" s="131">
        <f>IF(VLOOKUP(Y$8,'Info planes y paquetes'!$A$472:$BS$579,17,FALSE)="Si",1,0)</f>
        <v>1</v>
      </c>
      <c r="Z61" s="131">
        <f>IF(VLOOKUP(Z$8,'Info planes y paquetes'!$A$472:$BS$579,17,FALSE)="Si",1,0)</f>
        <v>1</v>
      </c>
      <c r="AA61" s="131">
        <f>IF(VLOOKUP(AA$8,'Info planes y paquetes'!$A$472:$BS$579,17,FALSE)="Si",1,0)</f>
        <v>0</v>
      </c>
      <c r="AB61" s="131">
        <f>IF(VLOOKUP(AB$8,'Info planes y paquetes'!$A$472:$BS$579,17,FALSE)="Si",1,0)</f>
        <v>1</v>
      </c>
      <c r="AC61" s="131">
        <f>IF(VLOOKUP(AC$8,'Info planes y paquetes'!$A$472:$BS$579,17,FALSE)="Si",1,0)</f>
        <v>1</v>
      </c>
      <c r="AD61" s="131">
        <f>IF(VLOOKUP(AD$8,'Info planes y paquetes'!$A$472:$BS$579,17,FALSE)="Si",1,0)</f>
        <v>0</v>
      </c>
      <c r="AE61" s="131">
        <f>IF(VLOOKUP(AE$8,'Info planes y paquetes'!$A$472:$BS$579,17,FALSE)="Si",1,0)</f>
        <v>1</v>
      </c>
      <c r="AF61" s="131">
        <f>IF(VLOOKUP(AF$8,'Info planes y paquetes'!$A$472:$BS$579,17,FALSE)="Si",1,0)</f>
        <v>0</v>
      </c>
      <c r="AG61" s="131">
        <f>IF(VLOOKUP(AG$8,'Info planes y paquetes'!$A$472:$BS$579,17,FALSE)="Si",1,0)</f>
        <v>0</v>
      </c>
      <c r="AH61" s="131">
        <f>IF(VLOOKUP(AH$8,'Info planes y paquetes'!$A$472:$BS$579,17,FALSE)="Si",1,0)</f>
        <v>0</v>
      </c>
      <c r="AI61" s="131">
        <f>IF(VLOOKUP(AI$8,'Info planes y paquetes'!$A$472:$BS$579,17,FALSE)="Si",1,0)</f>
        <v>0</v>
      </c>
      <c r="AJ61" s="131">
        <f>IF(VLOOKUP(AJ$8,'Info planes y paquetes'!$A$472:$BS$579,17,FALSE)="Si",1,0)</f>
        <v>0</v>
      </c>
      <c r="AK61" s="131">
        <f>IF(VLOOKUP(AK$8,'Info planes y paquetes'!$A$472:$BS$579,17,FALSE)="Si",1,0)</f>
        <v>0</v>
      </c>
      <c r="AL61" s="131">
        <f>IF(VLOOKUP(AL$8,'Info planes y paquetes'!$A$472:$BS$579,17,FALSE)="Si",1,0)</f>
        <v>0</v>
      </c>
      <c r="AM61" s="131">
        <f>IF(VLOOKUP(AM$8,'Info planes y paquetes'!$A$472:$BS$579,17,FALSE)="Si",1,0)</f>
        <v>0</v>
      </c>
      <c r="AN61" s="131">
        <f>IF(VLOOKUP(AN$8,'Info planes y paquetes'!$A$472:$BS$579,17,FALSE)="Si",1,0)</f>
        <v>0</v>
      </c>
      <c r="AO61" s="131">
        <f>IF(VLOOKUP(AO$8,'Info planes y paquetes'!$A$472:$BS$579,17,FALSE)="Si",1,0)</f>
        <v>1</v>
      </c>
      <c r="AP61" s="131">
        <f>IF(VLOOKUP(AP$8,'Info planes y paquetes'!$A$472:$BS$579,17,FALSE)="Si",1,0)</f>
        <v>1</v>
      </c>
      <c r="AQ61" s="131">
        <f>IF(VLOOKUP(AQ$8,'Info planes y paquetes'!$A$472:$BS$579,17,FALSE)="Si",1,0)</f>
        <v>1</v>
      </c>
      <c r="AR61" s="131">
        <f>IF(VLOOKUP(AR$8,'Info planes y paquetes'!$A$472:$BS$579,17,FALSE)="Si",1,0)</f>
        <v>1</v>
      </c>
      <c r="AS61" s="131">
        <f>IF(VLOOKUP(AS$8,'Info planes y paquetes'!$A$472:$BS$579,17,FALSE)="Si",1,0)</f>
        <v>1</v>
      </c>
      <c r="AT61" s="131">
        <f>IF(VLOOKUP(AT$8,'Info planes y paquetes'!$A$472:$BS$579,17,FALSE)="Si",1,0)</f>
        <v>1</v>
      </c>
      <c r="AU61" s="131">
        <f>IF(VLOOKUP(AU$8,'Info planes y paquetes'!$A$472:$BS$579,17,FALSE)="Si",1,0)</f>
        <v>1</v>
      </c>
      <c r="AV61" s="131">
        <f>IF(VLOOKUP(AV$8,'Info planes y paquetes'!$A$472:$BS$579,17,FALSE)="Si",1,0)</f>
        <v>1</v>
      </c>
      <c r="AW61" s="131">
        <f>IF(VLOOKUP(AW$8,'Info planes y paquetes'!$A$472:$BS$579,17,FALSE)="Si",1,0)</f>
        <v>1</v>
      </c>
      <c r="AX61" s="131">
        <f>IF(VLOOKUP(AX$8,'Info planes y paquetes'!$A$472:$BS$579,17,FALSE)="Si",1,0)</f>
        <v>0</v>
      </c>
      <c r="AY61" s="131">
        <f>IF(VLOOKUP(AY$8,'Info planes y paquetes'!$A$472:$BS$579,17,FALSE)="Si",1,0)</f>
        <v>0</v>
      </c>
      <c r="AZ61" s="131">
        <f>IF(VLOOKUP(AZ$8,'Info planes y paquetes'!$A$472:$BS$579,17,FALSE)="Si",1,0)</f>
        <v>0</v>
      </c>
      <c r="BA61" s="131">
        <f>IF(VLOOKUP(BA$8,'Info planes y paquetes'!$A$472:$BS$579,17,FALSE)="Si",1,0)</f>
        <v>0</v>
      </c>
      <c r="BB61" s="131">
        <f>IF(VLOOKUP(BB$8,'Info planes y paquetes'!$A$472:$BS$579,17,FALSE)="Si",1,0)</f>
        <v>0</v>
      </c>
      <c r="BC61" s="131">
        <f>IF(VLOOKUP(BC$8,'Info planes y paquetes'!$A$472:$BS$579,17,FALSE)="Si",1,0)</f>
        <v>0</v>
      </c>
      <c r="BD61" s="131">
        <f>IF(VLOOKUP(BD$8,'Info planes y paquetes'!$A$472:$BS$579,17,FALSE)="Si",1,0)</f>
        <v>0</v>
      </c>
      <c r="BE61" s="131">
        <f>IF(VLOOKUP(BE$8,'Info planes y paquetes'!$A$472:$BS$579,17,FALSE)="Si",1,0)</f>
        <v>0</v>
      </c>
      <c r="BF61" s="131">
        <f>IF(VLOOKUP(BF$8,'Info planes y paquetes'!$A$472:$BS$579,17,FALSE)="Si",1,0)</f>
        <v>0</v>
      </c>
      <c r="BG61" s="131">
        <f>IF(VLOOKUP(BG$8,'Info planes y paquetes'!$A$472:$BS$579,17,FALSE)="Si",1,0)</f>
        <v>0</v>
      </c>
      <c r="BH61" s="131">
        <f>IF(VLOOKUP(BH$8,'Info planes y paquetes'!$A$472:$BS$579,17,FALSE)="Si",1,0)</f>
        <v>0</v>
      </c>
      <c r="BI61" s="131">
        <f>IF(VLOOKUP(BI$8,'Info planes y paquetes'!$A$472:$BS$579,17,FALSE)="Si",1,0)</f>
        <v>0</v>
      </c>
      <c r="BJ61" s="131">
        <f>IF(VLOOKUP(BJ$8,'Info planes y paquetes'!$A$472:$BS$579,17,FALSE)="Si",1,0)</f>
        <v>0</v>
      </c>
      <c r="BK61" s="131">
        <f>IF(VLOOKUP(BK$8,'Info planes y paquetes'!$A$472:$BS$579,17,FALSE)="Si",1,0)</f>
        <v>0</v>
      </c>
      <c r="BL61" s="131">
        <f>IF(VLOOKUP(BL$8,'Info planes y paquetes'!$A$472:$BS$579,17,FALSE)="Si",1,0)</f>
        <v>0</v>
      </c>
      <c r="BM61" s="131">
        <f>IF(VLOOKUP(BM$8,'Info planes y paquetes'!$A$472:$BS$579,17,FALSE)="Si",1,0)</f>
        <v>0</v>
      </c>
      <c r="BN61" s="131">
        <f>IF(VLOOKUP(BN$8,'Info planes y paquetes'!$A$472:$BS$579,17,FALSE)="Si",1,0)</f>
        <v>0</v>
      </c>
      <c r="BO61" s="131">
        <f>IF(VLOOKUP(BO$8,'Info planes y paquetes'!$A$472:$BS$579,17,FALSE)="Si",1,0)</f>
        <v>0</v>
      </c>
      <c r="BP61" s="131">
        <f>IF(VLOOKUP(BP$8,'Info planes y paquetes'!$A$472:$BS$579,17,FALSE)="Si",1,0)</f>
        <v>0</v>
      </c>
      <c r="BQ61" s="131">
        <f>IF(VLOOKUP(BQ$8,'Info planes y paquetes'!$A$472:$BS$579,17,FALSE)="Si",1,0)</f>
        <v>0</v>
      </c>
      <c r="BR61" s="131">
        <f>IF(VLOOKUP(BR$8,'Info planes y paquetes'!$A$472:$BS$579,17,FALSE)="Si",1,0)</f>
        <v>0</v>
      </c>
      <c r="BS61" s="131">
        <f>IF(VLOOKUP(BS$8,'Info planes y paquetes'!$A$472:$BS$579,17,FALSE)="Si",1,0)</f>
        <v>0</v>
      </c>
      <c r="BT61" s="131">
        <f>IF(VLOOKUP(BT$8,'Info planes y paquetes'!$A$472:$BS$579,17,FALSE)="Si",1,0)</f>
        <v>0</v>
      </c>
      <c r="BU61" s="131">
        <f>IF(VLOOKUP(BU$8,'Info planes y paquetes'!$A$472:$BS$579,17,FALSE)="Si",1,0)</f>
        <v>0</v>
      </c>
      <c r="BV61" s="131">
        <f>IF(VLOOKUP(BV$8,'Info planes y paquetes'!$A$472:$BS$579,17,FALSE)="Si",1,0)</f>
        <v>0</v>
      </c>
      <c r="BW61" s="131">
        <f>IF(VLOOKUP(BW$8,'Info planes y paquetes'!$A$472:$BS$579,17,FALSE)="Si",1,0)</f>
        <v>0</v>
      </c>
      <c r="BX61" s="131">
        <f>IF(VLOOKUP(BX$8,'Info planes y paquetes'!$A$472:$BS$579,17,FALSE)="Si",1,0)</f>
        <v>0</v>
      </c>
      <c r="BY61" s="131">
        <f>IF(VLOOKUP(BY$8,'Info planes y paquetes'!$A$472:$BS$579,17,FALSE)="Si",1,0)</f>
        <v>1</v>
      </c>
      <c r="BZ61" s="131">
        <f>IF(VLOOKUP(BZ$8,'Info planes y paquetes'!$A$472:$BS$579,17,FALSE)="Si",1,0)</f>
        <v>1</v>
      </c>
      <c r="CA61" s="131">
        <f>IF(VLOOKUP(CA$8,'Info planes y paquetes'!$A$472:$BS$579,17,FALSE)="Si",1,0)</f>
        <v>1</v>
      </c>
      <c r="CB61" s="131">
        <f>IF(VLOOKUP(CB$8,'Info planes y paquetes'!$A$472:$BS$579,17,FALSE)="Si",1,0)</f>
        <v>0</v>
      </c>
      <c r="CC61" s="131">
        <f>IF(VLOOKUP(CC$8,'Info planes y paquetes'!$A$472:$BS$579,17,FALSE)="Si",1,0)</f>
        <v>0</v>
      </c>
      <c r="CD61" s="131">
        <f>IF(VLOOKUP(CD$8,'Info planes y paquetes'!$A$472:$BS$579,17,FALSE)="Si",1,0)</f>
        <v>1</v>
      </c>
      <c r="CE61" s="131">
        <f>IF(VLOOKUP(CE$8,'Info planes y paquetes'!$A$472:$BS$579,17,FALSE)="Si",1,0)</f>
        <v>1</v>
      </c>
      <c r="CF61" s="131">
        <f>IF(VLOOKUP(CF$8,'Info planes y paquetes'!$A$472:$BS$579,17,FALSE)="Si",1,0)</f>
        <v>1</v>
      </c>
      <c r="CG61" s="131">
        <f>IF(VLOOKUP(CG$8,'Info planes y paquetes'!$A$472:$BS$579,17,FALSE)="Si",1,0)</f>
        <v>0</v>
      </c>
      <c r="CH61" s="131">
        <f>IF(VLOOKUP(CH$8,'Info planes y paquetes'!$A$472:$BS$579,17,FALSE)="Si",1,0)</f>
        <v>1</v>
      </c>
      <c r="CI61" s="131">
        <f>IF(VLOOKUP(CI$8,'Info planes y paquetes'!$A$472:$BS$579,17,FALSE)="Si",1,0)</f>
        <v>1</v>
      </c>
      <c r="CJ61" s="131">
        <f>IF(VLOOKUP(CJ$8,'Info planes y paquetes'!$A$472:$BS$579,17,FALSE)="Si",1,0)</f>
        <v>1</v>
      </c>
      <c r="CK61" s="131">
        <f>IF(VLOOKUP(CK$8,'Info planes y paquetes'!$A$472:$BS$579,17,FALSE)="Si",1,0)</f>
        <v>0</v>
      </c>
      <c r="CL61" s="131">
        <f>IF(VLOOKUP(CL$8,'Info planes y paquetes'!$A$472:$BS$579,17,FALSE)="Si",1,0)</f>
        <v>0</v>
      </c>
      <c r="CM61" s="131">
        <f>IF(VLOOKUP(CM$8,'Info planes y paquetes'!$A$472:$BS$579,17,FALSE)="Si",1,0)</f>
        <v>0</v>
      </c>
      <c r="CN61" s="131">
        <f>IF(VLOOKUP(CN$8,'Info planes y paquetes'!$A$472:$BS$579,17,FALSE)="Si",1,0)</f>
        <v>0</v>
      </c>
      <c r="CO61" s="131">
        <f>IF(VLOOKUP(CO$8,'Info planes y paquetes'!$A$472:$BS$579,17,FALSE)="Si",1,0)</f>
        <v>1</v>
      </c>
      <c r="CP61" s="131">
        <f>IF(VLOOKUP(CP$8,'Info planes y paquetes'!$A$472:$BS$579,17,FALSE)="Si",1,0)</f>
        <v>0</v>
      </c>
      <c r="CQ61" s="131">
        <f>IF(VLOOKUP(CQ$8,'Info planes y paquetes'!$A$472:$BS$579,17,FALSE)="Si",1,0)</f>
        <v>0</v>
      </c>
      <c r="CR61" s="131">
        <f>IF(VLOOKUP(CR$8,'Info planes y paquetes'!$A$472:$BS$579,17,FALSE)="Si",1,0)</f>
        <v>0</v>
      </c>
      <c r="CS61" s="131">
        <f>IF(VLOOKUP(CS$8,'Info planes y paquetes'!$A$472:$BS$579,17,FALSE)="Si",1,0)</f>
        <v>1</v>
      </c>
      <c r="CT61" s="131">
        <f>IF(VLOOKUP(CT$8,'Info planes y paquetes'!$A$472:$BS$579,17,FALSE)="Si",1,0)</f>
        <v>1</v>
      </c>
      <c r="CU61" s="131">
        <f>IF(VLOOKUP(CU$8,'Info planes y paquetes'!$A$472:$BS$579,17,FALSE)="Si",1,0)</f>
        <v>1</v>
      </c>
      <c r="CV61" s="131">
        <f>IF(VLOOKUP(CV$8,'Info planes y paquetes'!$A$472:$BS$579,17,FALSE)="Si",1,0)</f>
        <v>0</v>
      </c>
      <c r="CW61" s="131">
        <f>IF(VLOOKUP(CW$8,'Info planes y paquetes'!$A$472:$BS$579,17,FALSE)="Si",1,0)</f>
        <v>0</v>
      </c>
      <c r="CX61" s="131">
        <f>IF(VLOOKUP(CX$8,'Info planes y paquetes'!$A$472:$BS$579,17,FALSE)="Si",1,0)</f>
        <v>0</v>
      </c>
      <c r="CY61" s="131">
        <f>IF(VLOOKUP(CY$8,'Info planes y paquetes'!$A$472:$BS$579,17,FALSE)="Si",1,0)</f>
        <v>0</v>
      </c>
      <c r="CZ61" s="131">
        <f>IF(VLOOKUP(CZ$8,'Info planes y paquetes'!$A$472:$BS$579,17,FALSE)="Si",1,0)</f>
        <v>0</v>
      </c>
      <c r="DA61" s="131">
        <f>IF(VLOOKUP(DA$8,'Info planes y paquetes'!$A$472:$BS$579,17,FALSE)="Si",1,0)</f>
        <v>0</v>
      </c>
      <c r="DB61" s="131">
        <f>IF(VLOOKUP(DB$8,'Info planes y paquetes'!$A$472:$BS$579,17,FALSE)="Si",1,0)</f>
        <v>0</v>
      </c>
      <c r="DC61" s="131">
        <f>IF(VLOOKUP(DC$8,'Info planes y paquetes'!$A$472:$BS$579,17,FALSE)="Si",1,0)</f>
        <v>0</v>
      </c>
      <c r="DD61" s="131">
        <f>IF(VLOOKUP(DD$8,'Info planes y paquetes'!$A$472:$BS$579,17,FALSE)="Si",1,0)</f>
        <v>0</v>
      </c>
      <c r="DE61" s="131">
        <f>IF(VLOOKUP(DE$8,'Info planes y paquetes'!$A$472:$BS$579,17,FALSE)="Si",1,0)</f>
        <v>0</v>
      </c>
      <c r="DF61" s="131">
        <f>IF(VLOOKUP(DF$8,'Info planes y paquetes'!$A$472:$BS$579,17,FALSE)="Si",1,0)</f>
        <v>0</v>
      </c>
      <c r="DG61" s="131">
        <f>IF(VLOOKUP(DG$8,'Info planes y paquetes'!$A$472:$BS$579,17,FALSE)="Si",1,0)</f>
        <v>0</v>
      </c>
      <c r="DH61" s="131">
        <f>IF(VLOOKUP(DH$8,'Info planes y paquetes'!$A$472:$BS$579,17,FALSE)="Si",1,0)</f>
        <v>0</v>
      </c>
      <c r="DI61" s="131">
        <f>IF(VLOOKUP(DI$8,'Info planes y paquetes'!$A$472:$BS$579,17,FALSE)="Si",1,0)</f>
        <v>0</v>
      </c>
      <c r="DJ61" s="131">
        <f>IF(VLOOKUP(DJ$8,'Info planes y paquetes'!$A$472:$BS$579,17,FALSE)="Si",1,0)</f>
        <v>0</v>
      </c>
      <c r="DK61" s="131">
        <f>IF(VLOOKUP(DK$8,'Info planes y paquetes'!$A$472:$BS$579,17,FALSE)="Si",1,0)</f>
        <v>0</v>
      </c>
      <c r="DL61" s="131">
        <f>IF(VLOOKUP(DL$8,'Info planes y paquetes'!$A$472:$BS$579,17,FALSE)="Si",1,0)</f>
        <v>0</v>
      </c>
      <c r="DM61" s="131">
        <f>IF(VLOOKUP(DM$8,'Info planes y paquetes'!$A$472:$BS$579,17,FALSE)="Si",1,0)</f>
        <v>0</v>
      </c>
      <c r="DN61" s="131">
        <f>IF(VLOOKUP(DN$8,'Info planes y paquetes'!$A$472:$BS$579,17,FALSE)="Si",1,0)</f>
        <v>0</v>
      </c>
      <c r="DO61" s="647"/>
      <c r="DP61" s="647"/>
      <c r="DQ61" s="647"/>
      <c r="DR61" s="647"/>
      <c r="DS61" s="647"/>
      <c r="DT61" s="647"/>
      <c r="DU61" s="647"/>
      <c r="DV61" s="647"/>
      <c r="DW61" s="647"/>
      <c r="DX61" s="647"/>
      <c r="DY61" s="647"/>
      <c r="DZ61" s="647"/>
      <c r="EA61" s="647"/>
      <c r="EB61" s="647"/>
      <c r="EC61" s="647"/>
      <c r="ED61" s="647"/>
      <c r="EE61" s="647"/>
      <c r="EF61" s="647"/>
      <c r="EG61" s="647"/>
      <c r="EH61" s="647"/>
      <c r="EI61" s="647"/>
      <c r="EJ61" s="647"/>
      <c r="EK61" s="647"/>
      <c r="EL61" s="647"/>
      <c r="EM61" s="647"/>
      <c r="EN61" s="647"/>
      <c r="EO61" s="647"/>
      <c r="EP61" s="647"/>
      <c r="EQ61" s="647"/>
      <c r="ER61" s="647"/>
      <c r="ES61" s="647"/>
      <c r="ET61" s="647"/>
      <c r="EU61" s="647"/>
      <c r="EV61" s="647"/>
      <c r="EW61" s="647"/>
      <c r="EX61" s="647"/>
      <c r="EY61" s="647"/>
      <c r="EZ61" s="647"/>
      <c r="FA61" s="647"/>
      <c r="FB61" s="647"/>
      <c r="FC61" s="647"/>
      <c r="FD61" s="647"/>
      <c r="FE61" s="647"/>
      <c r="FF61" s="647"/>
      <c r="FG61" s="647"/>
      <c r="FH61" s="647"/>
      <c r="FI61" s="647"/>
      <c r="FJ61" s="647"/>
      <c r="FK61" s="647"/>
      <c r="FL61" s="647"/>
      <c r="FM61" s="647"/>
      <c r="FN61" s="647"/>
      <c r="FO61" s="647"/>
      <c r="FP61" s="647"/>
      <c r="FQ61" s="647"/>
      <c r="FR61" s="647"/>
      <c r="FS61" s="647"/>
      <c r="FT61" s="647"/>
      <c r="FU61" s="647"/>
      <c r="FV61" s="647"/>
      <c r="FW61" s="647"/>
      <c r="FX61" s="647"/>
      <c r="FY61" s="647"/>
      <c r="FZ61" s="647"/>
      <c r="GA61" s="647"/>
      <c r="GB61" s="647"/>
      <c r="GC61" s="647"/>
      <c r="GD61" s="647"/>
      <c r="GE61" s="647"/>
      <c r="GF61" s="647"/>
      <c r="GG61" s="647"/>
      <c r="GH61" s="647"/>
      <c r="GI61" s="647"/>
      <c r="GJ61" s="647"/>
      <c r="GK61" s="647"/>
      <c r="GL61" s="647"/>
      <c r="GM61" s="647"/>
      <c r="GN61" s="647"/>
      <c r="GO61" s="647"/>
      <c r="GP61" s="647"/>
      <c r="GQ61" s="647"/>
      <c r="GR61" s="647"/>
      <c r="GS61" s="647"/>
      <c r="GT61" s="647"/>
      <c r="GU61" s="647"/>
      <c r="GV61" s="647"/>
      <c r="GW61" s="647"/>
      <c r="GX61" s="647"/>
      <c r="GY61" s="647"/>
      <c r="GZ61" s="647"/>
      <c r="HA61" s="647"/>
      <c r="HB61" s="647"/>
      <c r="HC61" s="647"/>
      <c r="HD61" s="647"/>
      <c r="HE61" s="647"/>
      <c r="HF61" s="647"/>
      <c r="HG61" s="647"/>
      <c r="HH61" s="647"/>
      <c r="HI61" s="647"/>
      <c r="HJ61" s="647"/>
      <c r="HK61" s="647"/>
      <c r="HL61" s="647"/>
      <c r="HM61" s="648"/>
    </row>
    <row r="62" spans="1:221" s="289" customFormat="1" ht="12" x14ac:dyDescent="0.25">
      <c r="C62" s="289" t="s">
        <v>1304</v>
      </c>
      <c r="G62" s="263" t="s">
        <v>565</v>
      </c>
      <c r="H62" s="102" t="s">
        <v>574</v>
      </c>
      <c r="I62" s="158" t="str">
        <f>IFERROR(VLOOKUP(I$8,'Info planes y paquetes'!$A$472:$BS$579,18,FALSE),"")</f>
        <v/>
      </c>
      <c r="J62" s="158" t="str">
        <f>IFERROR(VLOOKUP(J$8,'Info planes y paquetes'!$A$472:$BS$579,18,FALSE),"")</f>
        <v/>
      </c>
      <c r="K62" s="158">
        <f>IFERROR(VLOOKUP(K$8,'Info planes y paquetes'!$A$472:$BS$579,18,FALSE),"")</f>
        <v>0</v>
      </c>
      <c r="L62" s="158">
        <f>IFERROR(VLOOKUP(L$8,'Info planes y paquetes'!$A$472:$BS$579,18,FALSE),"")</f>
        <v>0</v>
      </c>
      <c r="M62" s="158">
        <f>IFERROR(VLOOKUP(M$8,'Info planes y paquetes'!$A$472:$BS$579,18,FALSE),"")</f>
        <v>0</v>
      </c>
      <c r="N62" s="158">
        <f>IFERROR(VLOOKUP(N$8,'Info planes y paquetes'!$A$472:$BS$579,18,FALSE),"")</f>
        <v>0</v>
      </c>
      <c r="O62" s="158">
        <f>IFERROR(VLOOKUP(O$8,'Info planes y paquetes'!$A$472:$BS$579,18,FALSE),"")</f>
        <v>0</v>
      </c>
      <c r="P62" s="158">
        <f>IFERROR(VLOOKUP(P$8,'Info planes y paquetes'!$A$472:$BS$579,18,FALSE),"")</f>
        <v>0</v>
      </c>
      <c r="Q62" s="158">
        <f>IFERROR(VLOOKUP(Q$8,'Info planes y paquetes'!$A$472:$BS$579,18,FALSE),"")</f>
        <v>0</v>
      </c>
      <c r="R62" s="158">
        <f>IFERROR(VLOOKUP(R$8,'Info planes y paquetes'!$A$472:$BS$579,18,FALSE),"")</f>
        <v>0</v>
      </c>
      <c r="S62" s="158" t="str">
        <f>IFERROR(VLOOKUP(S$8,'Info planes y paquetes'!$A$472:$BS$579,18,FALSE),"")</f>
        <v>18 Meses</v>
      </c>
      <c r="T62" s="158">
        <f>IFERROR(VLOOKUP(T$8,'Info planes y paquetes'!$A$472:$BS$579,18,FALSE),"")</f>
        <v>0</v>
      </c>
      <c r="U62" s="158">
        <f>IFERROR(VLOOKUP(U$8,'Info planes y paquetes'!$A$472:$BS$579,18,FALSE),"")</f>
        <v>0</v>
      </c>
      <c r="V62" s="158">
        <f>IFERROR(VLOOKUP(V$8,'Info planes y paquetes'!$A$472:$BS$579,18,FALSE),"")</f>
        <v>0</v>
      </c>
      <c r="W62" s="158" t="str">
        <f>IFERROR(VLOOKUP(W$8,'Info planes y paquetes'!$A$472:$BS$579,18,FALSE),"")</f>
        <v>12 Meses</v>
      </c>
      <c r="X62" s="158" t="str">
        <f>IFERROR(VLOOKUP(X$8,'Info planes y paquetes'!$A$472:$BS$579,18,FALSE),"")</f>
        <v>3 Meses</v>
      </c>
      <c r="Y62" s="158" t="str">
        <f>IFERROR(VLOOKUP(Y$8,'Info planes y paquetes'!$A$472:$BS$579,18,FALSE),"")</f>
        <v>18 Meses</v>
      </c>
      <c r="Z62" s="158" t="str">
        <f>IFERROR(VLOOKUP(Z$8,'Info planes y paquetes'!$A$472:$BS$579,18,FALSE),"")</f>
        <v>18 Meses</v>
      </c>
      <c r="AA62" s="158">
        <f>IFERROR(VLOOKUP(AA$8,'Info planes y paquetes'!$A$472:$BS$579,18,FALSE),"")</f>
        <v>0</v>
      </c>
      <c r="AB62" s="158" t="str">
        <f>IFERROR(VLOOKUP(AB$8,'Info planes y paquetes'!$A$472:$BS$579,18,FALSE),"")</f>
        <v>18 Meses</v>
      </c>
      <c r="AC62" s="158" t="str">
        <f>IFERROR(VLOOKUP(AC$8,'Info planes y paquetes'!$A$472:$BS$579,18,FALSE),"")</f>
        <v>18 Meses</v>
      </c>
      <c r="AD62" s="158">
        <f>IFERROR(VLOOKUP(AD$8,'Info planes y paquetes'!$A$472:$BS$579,18,FALSE),"")</f>
        <v>0</v>
      </c>
      <c r="AE62" s="158" t="str">
        <f>IFERROR(VLOOKUP(AE$8,'Info planes y paquetes'!$A$472:$BS$579,18,FALSE),"")</f>
        <v>18 Meses</v>
      </c>
      <c r="AF62" s="158">
        <f>IFERROR(VLOOKUP(AF$8,'Info planes y paquetes'!$A$472:$BS$579,18,FALSE),"")</f>
        <v>0</v>
      </c>
      <c r="AG62" s="158">
        <f>IFERROR(VLOOKUP(AG$8,'Info planes y paquetes'!$A$472:$BS$579,18,FALSE),"")</f>
        <v>0</v>
      </c>
      <c r="AH62" s="158">
        <f>IFERROR(VLOOKUP(AH$8,'Info planes y paquetes'!$A$472:$BS$579,18,FALSE),"")</f>
        <v>0</v>
      </c>
      <c r="AI62" s="158">
        <f>IFERROR(VLOOKUP(AI$8,'Info planes y paquetes'!$A$472:$BS$579,18,FALSE),"")</f>
        <v>0</v>
      </c>
      <c r="AJ62" s="158">
        <f>IFERROR(VLOOKUP(AJ$8,'Info planes y paquetes'!$A$472:$BS$579,18,FALSE),"")</f>
        <v>0</v>
      </c>
      <c r="AK62" s="158">
        <f>IFERROR(VLOOKUP(AK$8,'Info planes y paquetes'!$A$472:$BS$579,18,FALSE),"")</f>
        <v>0</v>
      </c>
      <c r="AL62" s="158">
        <f>IFERROR(VLOOKUP(AL$8,'Info planes y paquetes'!$A$472:$BS$579,18,FALSE),"")</f>
        <v>0</v>
      </c>
      <c r="AM62" s="158">
        <f>IFERROR(VLOOKUP(AM$8,'Info planes y paquetes'!$A$472:$BS$579,18,FALSE),"")</f>
        <v>0</v>
      </c>
      <c r="AN62" s="158">
        <f>IFERROR(VLOOKUP(AN$8,'Info planes y paquetes'!$A$472:$BS$579,18,FALSE),"")</f>
        <v>0</v>
      </c>
      <c r="AO62" s="158" t="str">
        <f>IFERROR(VLOOKUP(AO$8,'Info planes y paquetes'!$A$472:$BS$579,18,FALSE),"")</f>
        <v>18 Meses</v>
      </c>
      <c r="AP62" s="158" t="str">
        <f>IFERROR(VLOOKUP(AP$8,'Info planes y paquetes'!$A$472:$BS$579,18,FALSE),"")</f>
        <v>18 Meses</v>
      </c>
      <c r="AQ62" s="158" t="str">
        <f>IFERROR(VLOOKUP(AQ$8,'Info planes y paquetes'!$A$472:$BS$579,18,FALSE),"")</f>
        <v>18 Meses</v>
      </c>
      <c r="AR62" s="158" t="str">
        <f>IFERROR(VLOOKUP(AR$8,'Info planes y paquetes'!$A$472:$BS$579,18,FALSE),"")</f>
        <v>18 Meses</v>
      </c>
      <c r="AS62" s="158" t="str">
        <f>IFERROR(VLOOKUP(AS$8,'Info planes y paquetes'!$A$472:$BS$579,18,FALSE),"")</f>
        <v>18 Meses</v>
      </c>
      <c r="AT62" s="158" t="str">
        <f>IFERROR(VLOOKUP(AT$8,'Info planes y paquetes'!$A$472:$BS$579,18,FALSE),"")</f>
        <v>18 Meses</v>
      </c>
      <c r="AU62" s="158" t="str">
        <f>IFERROR(VLOOKUP(AU$8,'Info planes y paquetes'!$A$472:$BS$579,18,FALSE),"")</f>
        <v>18 Meses</v>
      </c>
      <c r="AV62" s="158" t="str">
        <f>IFERROR(VLOOKUP(AV$8,'Info planes y paquetes'!$A$472:$BS$579,18,FALSE),"")</f>
        <v>6 Meses</v>
      </c>
      <c r="AW62" s="158" t="str">
        <f>IFERROR(VLOOKUP(AW$8,'Info planes y paquetes'!$A$472:$BS$579,18,FALSE),"")</f>
        <v>6 Meses</v>
      </c>
      <c r="AX62" s="158">
        <f>IFERROR(VLOOKUP(AX$8,'Info planes y paquetes'!$A$472:$BS$579,18,FALSE),"")</f>
        <v>0</v>
      </c>
      <c r="AY62" s="158">
        <f>IFERROR(VLOOKUP(AY$8,'Info planes y paquetes'!$A$472:$BS$579,18,FALSE),"")</f>
        <v>0</v>
      </c>
      <c r="AZ62" s="158">
        <f>IFERROR(VLOOKUP(AZ$8,'Info planes y paquetes'!$A$472:$BS$579,18,FALSE),"")</f>
        <v>0</v>
      </c>
      <c r="BA62" s="158">
        <f>IFERROR(VLOOKUP(BA$8,'Info planes y paquetes'!$A$472:$BS$579,18,FALSE),"")</f>
        <v>0</v>
      </c>
      <c r="BB62" s="158">
        <f>IFERROR(VLOOKUP(BB$8,'Info planes y paquetes'!$A$472:$BS$579,18,FALSE),"")</f>
        <v>0</v>
      </c>
      <c r="BC62" s="158">
        <f>IFERROR(VLOOKUP(BC$8,'Info planes y paquetes'!$A$472:$BS$579,18,FALSE),"")</f>
        <v>0</v>
      </c>
      <c r="BD62" s="158">
        <f>IFERROR(VLOOKUP(BD$8,'Info planes y paquetes'!$A$472:$BS$579,18,FALSE),"")</f>
        <v>0</v>
      </c>
      <c r="BE62" s="158">
        <f>IFERROR(VLOOKUP(BE$8,'Info planes y paquetes'!$A$472:$BS$579,18,FALSE),"")</f>
        <v>0</v>
      </c>
      <c r="BF62" s="158">
        <f>IFERROR(VLOOKUP(BF$8,'Info planes y paquetes'!$A$472:$BS$579,18,FALSE),"")</f>
        <v>0</v>
      </c>
      <c r="BG62" s="158">
        <f>IFERROR(VLOOKUP(BG$8,'Info planes y paquetes'!$A$472:$BS$579,18,FALSE),"")</f>
        <v>0</v>
      </c>
      <c r="BH62" s="158">
        <f>IFERROR(VLOOKUP(BH$8,'Info planes y paquetes'!$A$472:$BS$579,18,FALSE),"")</f>
        <v>0</v>
      </c>
      <c r="BI62" s="158">
        <f>IFERROR(VLOOKUP(BI$8,'Info planes y paquetes'!$A$472:$BS$579,18,FALSE),"")</f>
        <v>0</v>
      </c>
      <c r="BJ62" s="158">
        <f>IFERROR(VLOOKUP(BJ$8,'Info planes y paquetes'!$A$472:$BS$579,18,FALSE),"")</f>
        <v>0</v>
      </c>
      <c r="BK62" s="158">
        <f>IFERROR(VLOOKUP(BK$8,'Info planes y paquetes'!$A$472:$BS$579,18,FALSE),"")</f>
        <v>0</v>
      </c>
      <c r="BL62" s="158">
        <f>IFERROR(VLOOKUP(BL$8,'Info planes y paquetes'!$A$472:$BS$579,18,FALSE),"")</f>
        <v>0</v>
      </c>
      <c r="BM62" s="158">
        <f>IFERROR(VLOOKUP(BM$8,'Info planes y paquetes'!$A$472:$BS$579,18,FALSE),"")</f>
        <v>0</v>
      </c>
      <c r="BN62" s="158">
        <f>IFERROR(VLOOKUP(BN$8,'Info planes y paquetes'!$A$472:$BS$579,18,FALSE),"")</f>
        <v>0</v>
      </c>
      <c r="BO62" s="158">
        <f>IFERROR(VLOOKUP(BO$8,'Info planes y paquetes'!$A$472:$BS$579,18,FALSE),"")</f>
        <v>0</v>
      </c>
      <c r="BP62" s="158">
        <f>IFERROR(VLOOKUP(BP$8,'Info planes y paquetes'!$A$472:$BS$579,18,FALSE),"")</f>
        <v>0</v>
      </c>
      <c r="BQ62" s="158">
        <f>IFERROR(VLOOKUP(BQ$8,'Info planes y paquetes'!$A$472:$BS$579,18,FALSE),"")</f>
        <v>0</v>
      </c>
      <c r="BR62" s="158">
        <f>IFERROR(VLOOKUP(BR$8,'Info planes y paquetes'!$A$472:$BS$579,18,FALSE),"")</f>
        <v>0</v>
      </c>
      <c r="BS62" s="158">
        <f>IFERROR(VLOOKUP(BS$8,'Info planes y paquetes'!$A$472:$BS$579,18,FALSE),"")</f>
        <v>0</v>
      </c>
      <c r="BT62" s="158">
        <f>IFERROR(VLOOKUP(BT$8,'Info planes y paquetes'!$A$472:$BS$579,18,FALSE),"")</f>
        <v>0</v>
      </c>
      <c r="BU62" s="158">
        <f>IFERROR(VLOOKUP(BU$8,'Info planes y paquetes'!$A$472:$BS$579,18,FALSE),"")</f>
        <v>0</v>
      </c>
      <c r="BV62" s="158">
        <f>IFERROR(VLOOKUP(BV$8,'Info planes y paquetes'!$A$472:$BS$579,18,FALSE),"")</f>
        <v>0</v>
      </c>
      <c r="BW62" s="158">
        <f>IFERROR(VLOOKUP(BW$8,'Info planes y paquetes'!$A$472:$BS$579,18,FALSE),"")</f>
        <v>0</v>
      </c>
      <c r="BX62" s="158">
        <f>IFERROR(VLOOKUP(BX$8,'Info planes y paquetes'!$A$472:$BS$579,18,FALSE),"")</f>
        <v>0</v>
      </c>
      <c r="BY62" s="158" t="str">
        <f>IFERROR(VLOOKUP(BY$8,'Info planes y paquetes'!$A$472:$BS$579,18,FALSE),"")</f>
        <v>6 Meses</v>
      </c>
      <c r="BZ62" s="158" t="str">
        <f>IFERROR(VLOOKUP(BZ$8,'Info planes y paquetes'!$A$472:$BS$579,18,FALSE),"")</f>
        <v>24 Meses</v>
      </c>
      <c r="CA62" s="158" t="str">
        <f>IFERROR(VLOOKUP(CA$8,'Info planes y paquetes'!$A$472:$BS$579,18,FALSE),"")</f>
        <v>24 Meses</v>
      </c>
      <c r="CB62" s="158">
        <f>IFERROR(VLOOKUP(CB$8,'Info planes y paquetes'!$A$472:$BS$579,18,FALSE),"")</f>
        <v>0</v>
      </c>
      <c r="CC62" s="158">
        <f>IFERROR(VLOOKUP(CC$8,'Info planes y paquetes'!$A$472:$BS$579,18,FALSE),"")</f>
        <v>0</v>
      </c>
      <c r="CD62" s="158" t="str">
        <f>IFERROR(VLOOKUP(CD$8,'Info planes y paquetes'!$A$472:$BS$579,18,FALSE),"")</f>
        <v>12 Meses</v>
      </c>
      <c r="CE62" s="158" t="str">
        <f>IFERROR(VLOOKUP(CE$8,'Info planes y paquetes'!$A$472:$BS$579,18,FALSE),"")</f>
        <v>24 Meses</v>
      </c>
      <c r="CF62" s="158" t="str">
        <f>IFERROR(VLOOKUP(CF$8,'Info planes y paquetes'!$A$472:$BS$579,18,FALSE),"")</f>
        <v>6 Meses</v>
      </c>
      <c r="CG62" s="158">
        <f>IFERROR(VLOOKUP(CG$8,'Info planes y paquetes'!$A$472:$BS$579,18,FALSE),"")</f>
        <v>0</v>
      </c>
      <c r="CH62" s="158" t="str">
        <f>IFERROR(VLOOKUP(CH$8,'Info planes y paquetes'!$A$472:$BS$579,18,FALSE),"")</f>
        <v>6 Meses</v>
      </c>
      <c r="CI62" s="158" t="str">
        <f>IFERROR(VLOOKUP(CI$8,'Info planes y paquetes'!$A$472:$BS$579,18,FALSE),"")</f>
        <v>6 Meses</v>
      </c>
      <c r="CJ62" s="158" t="str">
        <f>IFERROR(VLOOKUP(CJ$8,'Info planes y paquetes'!$A$472:$BS$579,18,FALSE),"")</f>
        <v>6 Meses</v>
      </c>
      <c r="CK62" s="158">
        <f>IFERROR(VLOOKUP(CK$8,'Info planes y paquetes'!$A$472:$BS$579,18,FALSE),"")</f>
        <v>0</v>
      </c>
      <c r="CL62" s="158">
        <f>IFERROR(VLOOKUP(CL$8,'Info planes y paquetes'!$A$472:$BS$579,18,FALSE),"")</f>
        <v>0</v>
      </c>
      <c r="CM62" s="158">
        <f>IFERROR(VLOOKUP(CM$8,'Info planes y paquetes'!$A$472:$BS$579,18,FALSE),"")</f>
        <v>0</v>
      </c>
      <c r="CN62" s="158">
        <f>IFERROR(VLOOKUP(CN$8,'Info planes y paquetes'!$A$472:$BS$579,18,FALSE),"")</f>
        <v>0</v>
      </c>
      <c r="CO62" s="158" t="str">
        <f>IFERROR(VLOOKUP(CO$8,'Info planes y paquetes'!$A$472:$BS$579,18,FALSE),"")</f>
        <v>6 Meses</v>
      </c>
      <c r="CP62" s="158">
        <f>IFERROR(VLOOKUP(CP$8,'Info planes y paquetes'!$A$472:$BS$579,18,FALSE),"")</f>
        <v>0</v>
      </c>
      <c r="CQ62" s="158">
        <f>IFERROR(VLOOKUP(CQ$8,'Info planes y paquetes'!$A$472:$BS$579,18,FALSE),"")</f>
        <v>0</v>
      </c>
      <c r="CR62" s="158">
        <f>IFERROR(VLOOKUP(CR$8,'Info planes y paquetes'!$A$472:$BS$579,18,FALSE),"")</f>
        <v>0</v>
      </c>
      <c r="CS62" s="158" t="str">
        <f>IFERROR(VLOOKUP(CS$8,'Info planes y paquetes'!$A$472:$BS$579,18,FALSE),"")</f>
        <v>18 Meses</v>
      </c>
      <c r="CT62" s="158" t="str">
        <f>IFERROR(VLOOKUP(CT$8,'Info planes y paquetes'!$A$472:$BS$579,18,FALSE),"")</f>
        <v>18 Meses</v>
      </c>
      <c r="CU62" s="158" t="str">
        <f>IFERROR(VLOOKUP(CU$8,'Info planes y paquetes'!$A$472:$BS$579,18,FALSE),"")</f>
        <v>18 Meses</v>
      </c>
      <c r="CV62" s="158">
        <f>IFERROR(VLOOKUP(CV$8,'Info planes y paquetes'!$A$472:$BS$579,18,FALSE),"")</f>
        <v>0</v>
      </c>
      <c r="CW62" s="158">
        <f>IFERROR(VLOOKUP(CW$8,'Info planes y paquetes'!$A$472:$BS$579,18,FALSE),"")</f>
        <v>0</v>
      </c>
      <c r="CX62" s="158">
        <f>IFERROR(VLOOKUP(CX$8,'Info planes y paquetes'!$A$472:$BS$579,18,FALSE),"")</f>
        <v>0</v>
      </c>
      <c r="CY62" s="158">
        <f>IFERROR(VLOOKUP(CY$8,'Info planes y paquetes'!$A$472:$BS$579,18,FALSE),"")</f>
        <v>0</v>
      </c>
      <c r="CZ62" s="158">
        <f>IFERROR(VLOOKUP(CZ$8,'Info planes y paquetes'!$A$472:$BS$579,18,FALSE),"")</f>
        <v>0</v>
      </c>
      <c r="DA62" s="158">
        <f>IFERROR(VLOOKUP(DA$8,'Info planes y paquetes'!$A$472:$BS$579,18,FALSE),"")</f>
        <v>0</v>
      </c>
      <c r="DB62" s="158">
        <f>IFERROR(VLOOKUP(DB$8,'Info planes y paquetes'!$A$472:$BS$579,18,FALSE),"")</f>
        <v>0</v>
      </c>
      <c r="DC62" s="158">
        <f>IFERROR(VLOOKUP(DC$8,'Info planes y paquetes'!$A$472:$BS$579,18,FALSE),"")</f>
        <v>0</v>
      </c>
      <c r="DD62" s="158">
        <f>IFERROR(VLOOKUP(DD$8,'Info planes y paquetes'!$A$472:$BS$579,18,FALSE),"")</f>
        <v>0</v>
      </c>
      <c r="DE62" s="158">
        <f>IFERROR(VLOOKUP(DE$8,'Info planes y paquetes'!$A$472:$BS$579,18,FALSE),"")</f>
        <v>0</v>
      </c>
      <c r="DF62" s="158">
        <f>IFERROR(VLOOKUP(DF$8,'Info planes y paquetes'!$A$472:$BS$579,18,FALSE),"")</f>
        <v>0</v>
      </c>
      <c r="DG62" s="158">
        <f>IFERROR(VLOOKUP(DG$8,'Info planes y paquetes'!$A$472:$BS$579,18,FALSE),"")</f>
        <v>0</v>
      </c>
      <c r="DH62" s="158">
        <f>IFERROR(VLOOKUP(DH$8,'Info planes y paquetes'!$A$472:$BS$579,18,FALSE),"")</f>
        <v>0</v>
      </c>
      <c r="DI62" s="158">
        <f>IFERROR(VLOOKUP(DI$8,'Info planes y paquetes'!$A$472:$BS$579,18,FALSE),"")</f>
        <v>0</v>
      </c>
      <c r="DJ62" s="158">
        <f>IFERROR(VLOOKUP(DJ$8,'Info planes y paquetes'!$A$472:$BS$579,18,FALSE),"")</f>
        <v>0</v>
      </c>
      <c r="DK62" s="158">
        <f>IFERROR(VLOOKUP(DK$8,'Info planes y paquetes'!$A$472:$BS$579,18,FALSE),"")</f>
        <v>0</v>
      </c>
      <c r="DL62" s="158">
        <f>IFERROR(VLOOKUP(DL$8,'Info planes y paquetes'!$A$472:$BS$579,18,FALSE),"")</f>
        <v>0</v>
      </c>
      <c r="DM62" s="158">
        <f>IFERROR(VLOOKUP(DM$8,'Info planes y paquetes'!$A$472:$BS$579,18,FALSE),"")</f>
        <v>0</v>
      </c>
      <c r="DN62" s="158">
        <f>IFERROR(VLOOKUP(DN$8,'Info planes y paquetes'!$A$472:$BS$579,18,FALSE),"")</f>
        <v>0</v>
      </c>
      <c r="DO62" s="647"/>
      <c r="DP62" s="647"/>
      <c r="DQ62" s="647"/>
      <c r="DR62" s="647"/>
      <c r="DS62" s="647"/>
      <c r="DT62" s="647"/>
      <c r="DU62" s="647"/>
      <c r="DV62" s="647"/>
      <c r="DW62" s="647"/>
      <c r="DX62" s="647"/>
      <c r="DY62" s="647"/>
      <c r="DZ62" s="647"/>
      <c r="EA62" s="647"/>
      <c r="EB62" s="647"/>
      <c r="EC62" s="647"/>
      <c r="ED62" s="647"/>
      <c r="EE62" s="647"/>
      <c r="EF62" s="647"/>
      <c r="EG62" s="647"/>
      <c r="EH62" s="647"/>
      <c r="EI62" s="647"/>
      <c r="EJ62" s="647"/>
      <c r="EK62" s="647"/>
      <c r="EL62" s="647"/>
      <c r="EM62" s="647"/>
      <c r="EN62" s="647"/>
      <c r="EO62" s="647"/>
      <c r="EP62" s="647"/>
      <c r="EQ62" s="647"/>
      <c r="ER62" s="647"/>
      <c r="ES62" s="647"/>
      <c r="ET62" s="647"/>
      <c r="EU62" s="647"/>
      <c r="EV62" s="647"/>
      <c r="EW62" s="647"/>
      <c r="EX62" s="647"/>
      <c r="EY62" s="647"/>
      <c r="EZ62" s="647"/>
      <c r="FA62" s="647"/>
      <c r="FB62" s="647"/>
      <c r="FC62" s="647"/>
      <c r="FD62" s="647"/>
      <c r="FE62" s="647"/>
      <c r="FF62" s="647"/>
      <c r="FG62" s="647"/>
      <c r="FH62" s="647"/>
      <c r="FI62" s="647"/>
      <c r="FJ62" s="647"/>
      <c r="FK62" s="647"/>
      <c r="FL62" s="647"/>
      <c r="FM62" s="647"/>
      <c r="FN62" s="647"/>
      <c r="FO62" s="647"/>
      <c r="FP62" s="647"/>
      <c r="FQ62" s="647"/>
      <c r="FR62" s="647"/>
      <c r="FS62" s="647"/>
      <c r="FT62" s="647"/>
      <c r="FU62" s="647"/>
      <c r="FV62" s="647"/>
      <c r="FW62" s="647"/>
      <c r="FX62" s="647"/>
      <c r="FY62" s="647"/>
      <c r="FZ62" s="647"/>
      <c r="GA62" s="647"/>
      <c r="GB62" s="647"/>
      <c r="GC62" s="647"/>
      <c r="GD62" s="647"/>
      <c r="GE62" s="647"/>
      <c r="GF62" s="647"/>
      <c r="GG62" s="647"/>
      <c r="GH62" s="647"/>
      <c r="GI62" s="647"/>
      <c r="GJ62" s="647"/>
      <c r="GK62" s="647"/>
      <c r="GL62" s="647"/>
      <c r="GM62" s="647"/>
      <c r="GN62" s="647"/>
      <c r="GO62" s="647"/>
      <c r="GP62" s="647"/>
      <c r="GQ62" s="647"/>
      <c r="GR62" s="647"/>
      <c r="GS62" s="647"/>
      <c r="GT62" s="647"/>
      <c r="GU62" s="647"/>
      <c r="GV62" s="647"/>
      <c r="GW62" s="647"/>
      <c r="GX62" s="647"/>
      <c r="GY62" s="647"/>
      <c r="GZ62" s="647"/>
      <c r="HA62" s="647"/>
      <c r="HB62" s="647"/>
      <c r="HC62" s="647"/>
      <c r="HD62" s="647"/>
      <c r="HE62" s="647"/>
      <c r="HF62" s="647"/>
      <c r="HG62" s="647"/>
      <c r="HH62" s="647"/>
      <c r="HI62" s="647"/>
      <c r="HJ62" s="647"/>
      <c r="HK62" s="647"/>
      <c r="HL62" s="647"/>
      <c r="HM62" s="648"/>
    </row>
    <row r="63" spans="1:221" s="289" customFormat="1" ht="12" x14ac:dyDescent="0.25">
      <c r="C63" s="289" t="s">
        <v>1304</v>
      </c>
      <c r="G63" s="263" t="s">
        <v>1305</v>
      </c>
      <c r="H63" s="262" t="s">
        <v>534</v>
      </c>
      <c r="I63" s="99">
        <f t="shared" ref="I63:J63" si="71">IFERROR(MID(I62,1,FIND(" Meses",I62)),0)</f>
        <v>0</v>
      </c>
      <c r="J63" s="99">
        <f t="shared" si="71"/>
        <v>0</v>
      </c>
      <c r="K63" s="99">
        <f>IFERROR(MID(K62,1,FIND(" Meses",K62)),0)</f>
        <v>0</v>
      </c>
      <c r="L63" s="99">
        <f t="shared" ref="L63:BW63" si="72">IFERROR(MID(L62,1,FIND(" Meses",L62)),0)</f>
        <v>0</v>
      </c>
      <c r="M63" s="99">
        <f t="shared" si="72"/>
        <v>0</v>
      </c>
      <c r="N63" s="99">
        <f t="shared" si="72"/>
        <v>0</v>
      </c>
      <c r="O63" s="99">
        <f t="shared" si="72"/>
        <v>0</v>
      </c>
      <c r="P63" s="99">
        <f t="shared" si="72"/>
        <v>0</v>
      </c>
      <c r="Q63" s="99">
        <f t="shared" si="72"/>
        <v>0</v>
      </c>
      <c r="R63" s="99">
        <f t="shared" si="72"/>
        <v>0</v>
      </c>
      <c r="S63" s="99" t="str">
        <f t="shared" si="72"/>
        <v xml:space="preserve">18 </v>
      </c>
      <c r="T63" s="99">
        <f t="shared" si="72"/>
        <v>0</v>
      </c>
      <c r="U63" s="99">
        <f t="shared" si="72"/>
        <v>0</v>
      </c>
      <c r="V63" s="99">
        <f t="shared" si="72"/>
        <v>0</v>
      </c>
      <c r="W63" s="99" t="str">
        <f t="shared" si="72"/>
        <v xml:space="preserve">12 </v>
      </c>
      <c r="X63" s="99" t="str">
        <f t="shared" si="72"/>
        <v xml:space="preserve">3 </v>
      </c>
      <c r="Y63" s="99" t="str">
        <f t="shared" si="72"/>
        <v xml:space="preserve">18 </v>
      </c>
      <c r="Z63" s="99" t="str">
        <f t="shared" si="72"/>
        <v xml:space="preserve">18 </v>
      </c>
      <c r="AA63" s="99">
        <f t="shared" si="72"/>
        <v>0</v>
      </c>
      <c r="AB63" s="99" t="str">
        <f t="shared" si="72"/>
        <v xml:space="preserve">18 </v>
      </c>
      <c r="AC63" s="99" t="str">
        <f t="shared" si="72"/>
        <v xml:space="preserve">18 </v>
      </c>
      <c r="AD63" s="99">
        <f t="shared" si="72"/>
        <v>0</v>
      </c>
      <c r="AE63" s="99" t="str">
        <f t="shared" si="72"/>
        <v xml:space="preserve">18 </v>
      </c>
      <c r="AF63" s="99">
        <f t="shared" si="72"/>
        <v>0</v>
      </c>
      <c r="AG63" s="99">
        <f t="shared" si="72"/>
        <v>0</v>
      </c>
      <c r="AH63" s="99">
        <f t="shared" si="72"/>
        <v>0</v>
      </c>
      <c r="AI63" s="99">
        <f t="shared" si="72"/>
        <v>0</v>
      </c>
      <c r="AJ63" s="99">
        <f t="shared" si="72"/>
        <v>0</v>
      </c>
      <c r="AK63" s="99">
        <f t="shared" si="72"/>
        <v>0</v>
      </c>
      <c r="AL63" s="99">
        <f t="shared" si="72"/>
        <v>0</v>
      </c>
      <c r="AM63" s="99">
        <f t="shared" si="72"/>
        <v>0</v>
      </c>
      <c r="AN63" s="99">
        <f t="shared" si="72"/>
        <v>0</v>
      </c>
      <c r="AO63" s="99" t="str">
        <f t="shared" si="72"/>
        <v xml:space="preserve">18 </v>
      </c>
      <c r="AP63" s="99" t="str">
        <f t="shared" si="72"/>
        <v xml:space="preserve">18 </v>
      </c>
      <c r="AQ63" s="99" t="str">
        <f t="shared" si="72"/>
        <v xml:space="preserve">18 </v>
      </c>
      <c r="AR63" s="99" t="str">
        <f t="shared" si="72"/>
        <v xml:space="preserve">18 </v>
      </c>
      <c r="AS63" s="99" t="str">
        <f t="shared" si="72"/>
        <v xml:space="preserve">18 </v>
      </c>
      <c r="AT63" s="99" t="str">
        <f t="shared" si="72"/>
        <v xml:space="preserve">18 </v>
      </c>
      <c r="AU63" s="99" t="str">
        <f t="shared" si="72"/>
        <v xml:space="preserve">18 </v>
      </c>
      <c r="AV63" s="99" t="str">
        <f t="shared" si="72"/>
        <v xml:space="preserve">6 </v>
      </c>
      <c r="AW63" s="99" t="str">
        <f t="shared" si="72"/>
        <v xml:space="preserve">6 </v>
      </c>
      <c r="AX63" s="99">
        <f t="shared" si="72"/>
        <v>0</v>
      </c>
      <c r="AY63" s="99">
        <f t="shared" si="72"/>
        <v>0</v>
      </c>
      <c r="AZ63" s="99">
        <f t="shared" si="72"/>
        <v>0</v>
      </c>
      <c r="BA63" s="99">
        <f t="shared" si="72"/>
        <v>0</v>
      </c>
      <c r="BB63" s="99">
        <f t="shared" si="72"/>
        <v>0</v>
      </c>
      <c r="BC63" s="99">
        <f t="shared" si="72"/>
        <v>0</v>
      </c>
      <c r="BD63" s="99">
        <f t="shared" si="72"/>
        <v>0</v>
      </c>
      <c r="BE63" s="99">
        <f t="shared" si="72"/>
        <v>0</v>
      </c>
      <c r="BF63" s="99">
        <f t="shared" si="72"/>
        <v>0</v>
      </c>
      <c r="BG63" s="99">
        <f t="shared" si="72"/>
        <v>0</v>
      </c>
      <c r="BH63" s="99">
        <f t="shared" si="72"/>
        <v>0</v>
      </c>
      <c r="BI63" s="99">
        <f t="shared" si="72"/>
        <v>0</v>
      </c>
      <c r="BJ63" s="99">
        <f t="shared" si="72"/>
        <v>0</v>
      </c>
      <c r="BK63" s="99">
        <f t="shared" si="72"/>
        <v>0</v>
      </c>
      <c r="BL63" s="99">
        <f t="shared" si="72"/>
        <v>0</v>
      </c>
      <c r="BM63" s="99">
        <f t="shared" si="72"/>
        <v>0</v>
      </c>
      <c r="BN63" s="99">
        <f t="shared" si="72"/>
        <v>0</v>
      </c>
      <c r="BO63" s="99">
        <f t="shared" si="72"/>
        <v>0</v>
      </c>
      <c r="BP63" s="99">
        <f t="shared" si="72"/>
        <v>0</v>
      </c>
      <c r="BQ63" s="99">
        <f t="shared" si="72"/>
        <v>0</v>
      </c>
      <c r="BR63" s="99">
        <f t="shared" si="72"/>
        <v>0</v>
      </c>
      <c r="BS63" s="99">
        <f t="shared" si="72"/>
        <v>0</v>
      </c>
      <c r="BT63" s="99">
        <f t="shared" si="72"/>
        <v>0</v>
      </c>
      <c r="BU63" s="99">
        <f t="shared" si="72"/>
        <v>0</v>
      </c>
      <c r="BV63" s="99">
        <f t="shared" si="72"/>
        <v>0</v>
      </c>
      <c r="BW63" s="99">
        <f t="shared" si="72"/>
        <v>0</v>
      </c>
      <c r="BX63" s="99">
        <f t="shared" ref="BX63:DN63" si="73">IFERROR(MID(BX62,1,FIND(" Meses",BX62)),0)</f>
        <v>0</v>
      </c>
      <c r="BY63" s="99" t="str">
        <f t="shared" si="73"/>
        <v xml:space="preserve">6 </v>
      </c>
      <c r="BZ63" s="99" t="str">
        <f t="shared" si="73"/>
        <v xml:space="preserve">24 </v>
      </c>
      <c r="CA63" s="99" t="str">
        <f t="shared" si="73"/>
        <v xml:space="preserve">24 </v>
      </c>
      <c r="CB63" s="99">
        <f t="shared" si="73"/>
        <v>0</v>
      </c>
      <c r="CC63" s="99">
        <f t="shared" si="73"/>
        <v>0</v>
      </c>
      <c r="CD63" s="99" t="str">
        <f t="shared" si="73"/>
        <v xml:space="preserve">12 </v>
      </c>
      <c r="CE63" s="99" t="str">
        <f t="shared" si="73"/>
        <v xml:space="preserve">24 </v>
      </c>
      <c r="CF63" s="99" t="str">
        <f t="shared" si="73"/>
        <v xml:space="preserve">6 </v>
      </c>
      <c r="CG63" s="99">
        <f t="shared" si="73"/>
        <v>0</v>
      </c>
      <c r="CH63" s="99" t="str">
        <f t="shared" si="73"/>
        <v xml:space="preserve">6 </v>
      </c>
      <c r="CI63" s="99" t="str">
        <f t="shared" si="73"/>
        <v xml:space="preserve">6 </v>
      </c>
      <c r="CJ63" s="99" t="str">
        <f t="shared" si="73"/>
        <v xml:space="preserve">6 </v>
      </c>
      <c r="CK63" s="99">
        <f t="shared" si="73"/>
        <v>0</v>
      </c>
      <c r="CL63" s="99">
        <f t="shared" si="73"/>
        <v>0</v>
      </c>
      <c r="CM63" s="99">
        <f t="shared" si="73"/>
        <v>0</v>
      </c>
      <c r="CN63" s="99">
        <f t="shared" si="73"/>
        <v>0</v>
      </c>
      <c r="CO63" s="99" t="str">
        <f t="shared" si="73"/>
        <v xml:space="preserve">6 </v>
      </c>
      <c r="CP63" s="99">
        <f t="shared" si="73"/>
        <v>0</v>
      </c>
      <c r="CQ63" s="99">
        <f t="shared" si="73"/>
        <v>0</v>
      </c>
      <c r="CR63" s="99">
        <f t="shared" si="73"/>
        <v>0</v>
      </c>
      <c r="CS63" s="99" t="str">
        <f t="shared" si="73"/>
        <v xml:space="preserve">18 </v>
      </c>
      <c r="CT63" s="99" t="str">
        <f t="shared" si="73"/>
        <v xml:space="preserve">18 </v>
      </c>
      <c r="CU63" s="99" t="str">
        <f t="shared" si="73"/>
        <v xml:space="preserve">18 </v>
      </c>
      <c r="CV63" s="99">
        <f t="shared" si="73"/>
        <v>0</v>
      </c>
      <c r="CW63" s="99">
        <f t="shared" si="73"/>
        <v>0</v>
      </c>
      <c r="CX63" s="99">
        <f t="shared" si="73"/>
        <v>0</v>
      </c>
      <c r="CY63" s="99">
        <f t="shared" si="73"/>
        <v>0</v>
      </c>
      <c r="CZ63" s="99">
        <f t="shared" si="73"/>
        <v>0</v>
      </c>
      <c r="DA63" s="99">
        <f t="shared" si="73"/>
        <v>0</v>
      </c>
      <c r="DB63" s="99">
        <f t="shared" si="73"/>
        <v>0</v>
      </c>
      <c r="DC63" s="99">
        <f t="shared" si="73"/>
        <v>0</v>
      </c>
      <c r="DD63" s="99">
        <f t="shared" si="73"/>
        <v>0</v>
      </c>
      <c r="DE63" s="99">
        <f t="shared" si="73"/>
        <v>0</v>
      </c>
      <c r="DF63" s="99">
        <f t="shared" si="73"/>
        <v>0</v>
      </c>
      <c r="DG63" s="99">
        <f t="shared" si="73"/>
        <v>0</v>
      </c>
      <c r="DH63" s="99">
        <f t="shared" si="73"/>
        <v>0</v>
      </c>
      <c r="DI63" s="99">
        <f t="shared" si="73"/>
        <v>0</v>
      </c>
      <c r="DJ63" s="99">
        <f t="shared" si="73"/>
        <v>0</v>
      </c>
      <c r="DK63" s="99">
        <f t="shared" si="73"/>
        <v>0</v>
      </c>
      <c r="DL63" s="99">
        <f t="shared" si="73"/>
        <v>0</v>
      </c>
      <c r="DM63" s="99">
        <f t="shared" si="73"/>
        <v>0</v>
      </c>
      <c r="DN63" s="99">
        <f t="shared" si="73"/>
        <v>0</v>
      </c>
      <c r="DO63" s="647"/>
      <c r="DP63" s="647"/>
      <c r="DQ63" s="647"/>
      <c r="DR63" s="647"/>
      <c r="DS63" s="647"/>
      <c r="DT63" s="647"/>
      <c r="DU63" s="647"/>
      <c r="DV63" s="647"/>
      <c r="DW63" s="647"/>
      <c r="DX63" s="647"/>
      <c r="DY63" s="647"/>
      <c r="DZ63" s="647"/>
      <c r="EA63" s="647"/>
      <c r="EB63" s="647"/>
      <c r="EC63" s="647"/>
      <c r="ED63" s="647"/>
      <c r="EE63" s="647"/>
      <c r="EF63" s="647"/>
      <c r="EG63" s="647"/>
      <c r="EH63" s="647"/>
      <c r="EI63" s="647"/>
      <c r="EJ63" s="647"/>
      <c r="EK63" s="647"/>
      <c r="EL63" s="647"/>
      <c r="EM63" s="647"/>
      <c r="EN63" s="647"/>
      <c r="EO63" s="647"/>
      <c r="EP63" s="647"/>
      <c r="EQ63" s="647"/>
      <c r="ER63" s="647"/>
      <c r="ES63" s="647"/>
      <c r="ET63" s="647"/>
      <c r="EU63" s="647"/>
      <c r="EV63" s="647"/>
      <c r="EW63" s="647"/>
      <c r="EX63" s="647"/>
      <c r="EY63" s="647"/>
      <c r="EZ63" s="647"/>
      <c r="FA63" s="647"/>
      <c r="FB63" s="647"/>
      <c r="FC63" s="647"/>
      <c r="FD63" s="647"/>
      <c r="FE63" s="647"/>
      <c r="FF63" s="647"/>
      <c r="FG63" s="647"/>
      <c r="FH63" s="647"/>
      <c r="FI63" s="647"/>
      <c r="FJ63" s="647"/>
      <c r="FK63" s="647"/>
      <c r="FL63" s="647"/>
      <c r="FM63" s="647"/>
      <c r="FN63" s="647"/>
      <c r="FO63" s="647"/>
      <c r="FP63" s="647"/>
      <c r="FQ63" s="647"/>
      <c r="FR63" s="647"/>
      <c r="FS63" s="647"/>
      <c r="FT63" s="647"/>
      <c r="FU63" s="647"/>
      <c r="FV63" s="647"/>
      <c r="FW63" s="647"/>
      <c r="FX63" s="647"/>
      <c r="FY63" s="647"/>
      <c r="FZ63" s="647"/>
      <c r="GA63" s="647"/>
      <c r="GB63" s="647"/>
      <c r="GC63" s="647"/>
      <c r="GD63" s="647"/>
      <c r="GE63" s="647"/>
      <c r="GF63" s="647"/>
      <c r="GG63" s="647"/>
      <c r="GH63" s="647"/>
      <c r="GI63" s="647"/>
      <c r="GJ63" s="647"/>
      <c r="GK63" s="647"/>
      <c r="GL63" s="647"/>
      <c r="GM63" s="647"/>
      <c r="GN63" s="647"/>
      <c r="GO63" s="647"/>
      <c r="GP63" s="647"/>
      <c r="GQ63" s="647"/>
      <c r="GR63" s="647"/>
      <c r="GS63" s="647"/>
      <c r="GT63" s="647"/>
      <c r="GU63" s="647"/>
      <c r="GV63" s="647"/>
      <c r="GW63" s="647"/>
      <c r="GX63" s="647"/>
      <c r="GY63" s="647"/>
      <c r="GZ63" s="647"/>
      <c r="HA63" s="647"/>
      <c r="HB63" s="647"/>
      <c r="HC63" s="647"/>
      <c r="HD63" s="647"/>
      <c r="HE63" s="647"/>
      <c r="HF63" s="647"/>
      <c r="HG63" s="647"/>
      <c r="HH63" s="647"/>
      <c r="HI63" s="647"/>
      <c r="HJ63" s="647"/>
      <c r="HK63" s="647"/>
      <c r="HL63" s="647"/>
      <c r="HM63" s="648"/>
    </row>
    <row r="64" spans="1:221" x14ac:dyDescent="0.25">
      <c r="G64" s="77"/>
      <c r="K64" s="44"/>
      <c r="L64" s="44"/>
      <c r="M64" s="44"/>
      <c r="N64" s="44"/>
      <c r="O64" s="44"/>
      <c r="P64" s="44"/>
      <c r="Q64" s="44"/>
      <c r="R64" s="44"/>
      <c r="S64" s="44"/>
      <c r="T64" s="44"/>
      <c r="U64" s="44"/>
      <c r="V64" s="44"/>
      <c r="W64" s="44"/>
    </row>
    <row r="65" spans="2:221" x14ac:dyDescent="0.25">
      <c r="C65" s="102" t="s">
        <v>567</v>
      </c>
      <c r="G65" s="77" t="s">
        <v>427</v>
      </c>
      <c r="H65" t="s">
        <v>94</v>
      </c>
      <c r="I65" s="161">
        <f>SUM(I66:I72)</f>
        <v>0</v>
      </c>
      <c r="J65" s="161">
        <f t="shared" ref="J65" si="74">SUM(J66:J72)</f>
        <v>0</v>
      </c>
      <c r="K65" s="161">
        <f>SUM(K66:K67)</f>
        <v>394.50862068965517</v>
      </c>
      <c r="L65" s="161">
        <f t="shared" ref="L65:BW65" si="75">SUM(L66:L67)</f>
        <v>773.50862068965512</v>
      </c>
      <c r="M65" s="161">
        <f t="shared" si="75"/>
        <v>413.50862068965517</v>
      </c>
      <c r="N65" s="161">
        <f t="shared" si="75"/>
        <v>334.50862068965517</v>
      </c>
      <c r="O65" s="161">
        <f t="shared" si="75"/>
        <v>476.50862068965517</v>
      </c>
      <c r="P65" s="161">
        <f t="shared" si="75"/>
        <v>177</v>
      </c>
      <c r="Q65" s="161">
        <f t="shared" si="75"/>
        <v>243</v>
      </c>
      <c r="R65" s="161">
        <f t="shared" si="75"/>
        <v>243</v>
      </c>
      <c r="S65" s="161">
        <f t="shared" si="75"/>
        <v>310</v>
      </c>
      <c r="T65" s="161">
        <f t="shared" si="75"/>
        <v>302</v>
      </c>
      <c r="U65" s="161">
        <f t="shared" si="75"/>
        <v>559</v>
      </c>
      <c r="V65" s="161">
        <f t="shared" si="75"/>
        <v>738</v>
      </c>
      <c r="W65" s="161">
        <f t="shared" si="75"/>
        <v>46</v>
      </c>
      <c r="X65" s="161">
        <f t="shared" si="75"/>
        <v>81</v>
      </c>
      <c r="Y65" s="161">
        <f t="shared" si="75"/>
        <v>215.50862068965517</v>
      </c>
      <c r="Z65" s="161">
        <f t="shared" si="75"/>
        <v>226.50862068965517</v>
      </c>
      <c r="AA65" s="161">
        <f t="shared" si="75"/>
        <v>296.50862068965517</v>
      </c>
      <c r="AB65" s="161">
        <f t="shared" si="75"/>
        <v>151.50862068965517</v>
      </c>
      <c r="AC65" s="161">
        <f t="shared" si="75"/>
        <v>91</v>
      </c>
      <c r="AD65" s="161">
        <f t="shared" si="75"/>
        <v>1069.5086206896551</v>
      </c>
      <c r="AE65" s="161">
        <f t="shared" si="75"/>
        <v>137</v>
      </c>
      <c r="AF65" s="161">
        <f t="shared" si="75"/>
        <v>183</v>
      </c>
      <c r="AG65" s="161">
        <f t="shared" si="75"/>
        <v>435</v>
      </c>
      <c r="AH65" s="161">
        <f t="shared" si="75"/>
        <v>803.50862068965512</v>
      </c>
      <c r="AI65" s="161">
        <f t="shared" si="75"/>
        <v>943</v>
      </c>
      <c r="AJ65" s="161">
        <f t="shared" si="75"/>
        <v>791</v>
      </c>
      <c r="AK65" s="161">
        <f t="shared" si="75"/>
        <v>1247</v>
      </c>
      <c r="AL65" s="161">
        <f t="shared" si="75"/>
        <v>274</v>
      </c>
      <c r="AM65" s="161">
        <f t="shared" si="75"/>
        <v>743</v>
      </c>
      <c r="AN65" s="161">
        <f t="shared" si="75"/>
        <v>1273</v>
      </c>
      <c r="AO65" s="161">
        <f t="shared" si="75"/>
        <v>122.50862068965517</v>
      </c>
      <c r="AP65" s="161">
        <f t="shared" si="75"/>
        <v>120.50862068965517</v>
      </c>
      <c r="AQ65" s="161">
        <f t="shared" si="75"/>
        <v>133.50862068965517</v>
      </c>
      <c r="AR65" s="161">
        <f t="shared" si="75"/>
        <v>188.50862068965517</v>
      </c>
      <c r="AS65" s="161">
        <f t="shared" si="75"/>
        <v>145.50862068965517</v>
      </c>
      <c r="AT65" s="161">
        <f t="shared" si="75"/>
        <v>220.50862068965517</v>
      </c>
      <c r="AU65" s="161">
        <f t="shared" si="75"/>
        <v>263.50862068965517</v>
      </c>
      <c r="AV65" s="161">
        <f t="shared" si="75"/>
        <v>224.50862068965517</v>
      </c>
      <c r="AW65" s="161">
        <f t="shared" si="75"/>
        <v>343.50862068965517</v>
      </c>
      <c r="AX65" s="161">
        <f t="shared" si="75"/>
        <v>572.50862068965512</v>
      </c>
      <c r="AY65" s="161">
        <f t="shared" si="75"/>
        <v>735.50862068965512</v>
      </c>
      <c r="AZ65" s="161">
        <f t="shared" si="75"/>
        <v>248.50862068965517</v>
      </c>
      <c r="BA65" s="161">
        <f t="shared" si="75"/>
        <v>344.50862068965517</v>
      </c>
      <c r="BB65" s="161">
        <f t="shared" si="75"/>
        <v>253.50862068965517</v>
      </c>
      <c r="BC65" s="161">
        <f t="shared" si="75"/>
        <v>391.50862068965517</v>
      </c>
      <c r="BD65" s="161">
        <f t="shared" si="75"/>
        <v>368.50862068965517</v>
      </c>
      <c r="BE65" s="161">
        <f t="shared" si="75"/>
        <v>483.50862068965517</v>
      </c>
      <c r="BF65" s="161">
        <f t="shared" si="75"/>
        <v>483.50862068965517</v>
      </c>
      <c r="BG65" s="161">
        <f t="shared" si="75"/>
        <v>856.50862068965512</v>
      </c>
      <c r="BH65" s="161">
        <f t="shared" si="75"/>
        <v>700.50862068965512</v>
      </c>
      <c r="BI65" s="161">
        <f t="shared" si="75"/>
        <v>81</v>
      </c>
      <c r="BJ65" s="161">
        <f t="shared" si="75"/>
        <v>109</v>
      </c>
      <c r="BK65" s="161">
        <f t="shared" si="75"/>
        <v>96</v>
      </c>
      <c r="BL65" s="161">
        <f t="shared" si="75"/>
        <v>191</v>
      </c>
      <c r="BM65" s="161">
        <f t="shared" si="75"/>
        <v>187</v>
      </c>
      <c r="BN65" s="161">
        <f t="shared" si="75"/>
        <v>456</v>
      </c>
      <c r="BO65" s="161">
        <f t="shared" si="75"/>
        <v>428</v>
      </c>
      <c r="BP65" s="161">
        <f t="shared" si="75"/>
        <v>329</v>
      </c>
      <c r="BQ65" s="161">
        <f t="shared" si="75"/>
        <v>312</v>
      </c>
      <c r="BR65" s="161">
        <f t="shared" si="75"/>
        <v>295</v>
      </c>
      <c r="BS65" s="161">
        <f t="shared" si="75"/>
        <v>390</v>
      </c>
      <c r="BT65" s="161">
        <f t="shared" si="75"/>
        <v>247</v>
      </c>
      <c r="BU65" s="161">
        <f t="shared" si="75"/>
        <v>395</v>
      </c>
      <c r="BV65" s="161">
        <f t="shared" si="75"/>
        <v>455</v>
      </c>
      <c r="BW65" s="161">
        <f t="shared" si="75"/>
        <v>609</v>
      </c>
      <c r="BX65" s="161">
        <f t="shared" ref="BX65:DN65" si="76">SUM(BX66:BX67)</f>
        <v>887</v>
      </c>
      <c r="BY65" s="161">
        <f t="shared" si="76"/>
        <v>212.50862068965517</v>
      </c>
      <c r="BZ65" s="161">
        <f t="shared" si="76"/>
        <v>183.50862068965517</v>
      </c>
      <c r="CA65" s="161">
        <f t="shared" si="76"/>
        <v>355.50862068965517</v>
      </c>
      <c r="CB65" s="161">
        <f t="shared" si="76"/>
        <v>461.50862068965517</v>
      </c>
      <c r="CC65" s="161">
        <f t="shared" si="76"/>
        <v>809.50862068965512</v>
      </c>
      <c r="CD65" s="161">
        <f t="shared" si="76"/>
        <v>338.50862068965517</v>
      </c>
      <c r="CE65" s="161">
        <f t="shared" si="76"/>
        <v>367.50862068965517</v>
      </c>
      <c r="CF65" s="161">
        <f t="shared" si="76"/>
        <v>597.50862068965512</v>
      </c>
      <c r="CG65" s="161">
        <f t="shared" si="76"/>
        <v>803.50862068965512</v>
      </c>
      <c r="CH65" s="161">
        <f t="shared" si="76"/>
        <v>170.50862068965517</v>
      </c>
      <c r="CI65" s="161">
        <f t="shared" si="76"/>
        <v>163.50862068965517</v>
      </c>
      <c r="CJ65" s="161">
        <f t="shared" si="76"/>
        <v>154.50862068965517</v>
      </c>
      <c r="CK65" s="161">
        <f t="shared" si="76"/>
        <v>171.50862068965517</v>
      </c>
      <c r="CL65" s="161">
        <f t="shared" si="76"/>
        <v>204.50862068965517</v>
      </c>
      <c r="CM65" s="161">
        <f t="shared" si="76"/>
        <v>311.50862068965517</v>
      </c>
      <c r="CN65" s="161">
        <f t="shared" si="76"/>
        <v>191.50862068965517</v>
      </c>
      <c r="CO65" s="161">
        <f t="shared" si="76"/>
        <v>343.50862068965517</v>
      </c>
      <c r="CP65" s="161">
        <f t="shared" si="76"/>
        <v>394.50862068965517</v>
      </c>
      <c r="CQ65" s="161">
        <f t="shared" si="76"/>
        <v>657.50862068965512</v>
      </c>
      <c r="CR65" s="161">
        <f t="shared" si="76"/>
        <v>995.50862068965512</v>
      </c>
      <c r="CS65" s="161">
        <f t="shared" si="76"/>
        <v>406.50862068965517</v>
      </c>
      <c r="CT65" s="161">
        <f t="shared" si="76"/>
        <v>358.50862068965517</v>
      </c>
      <c r="CU65" s="161">
        <f t="shared" si="76"/>
        <v>354.50862068965517</v>
      </c>
      <c r="CV65" s="161">
        <f t="shared" si="76"/>
        <v>282.50862068965517</v>
      </c>
      <c r="CW65" s="161">
        <f t="shared" si="76"/>
        <v>275.50862068965517</v>
      </c>
      <c r="CX65" s="161">
        <f t="shared" si="76"/>
        <v>491.50862068965517</v>
      </c>
      <c r="CY65" s="161">
        <f t="shared" si="76"/>
        <v>693.50862068965512</v>
      </c>
      <c r="CZ65" s="161">
        <f t="shared" si="76"/>
        <v>794.50862068965512</v>
      </c>
      <c r="DA65" s="161">
        <f t="shared" si="76"/>
        <v>999.50862068965512</v>
      </c>
      <c r="DB65" s="161">
        <f t="shared" si="76"/>
        <v>94</v>
      </c>
      <c r="DC65" s="161">
        <f t="shared" si="76"/>
        <v>262</v>
      </c>
      <c r="DD65" s="161">
        <f t="shared" si="76"/>
        <v>258</v>
      </c>
      <c r="DE65" s="161">
        <f t="shared" si="76"/>
        <v>445</v>
      </c>
      <c r="DF65" s="161">
        <f t="shared" si="76"/>
        <v>295</v>
      </c>
      <c r="DG65" s="161">
        <f t="shared" si="76"/>
        <v>552</v>
      </c>
      <c r="DH65" s="161">
        <f t="shared" si="76"/>
        <v>78</v>
      </c>
      <c r="DI65" s="161">
        <f t="shared" si="76"/>
        <v>63</v>
      </c>
      <c r="DJ65" s="161">
        <f t="shared" si="76"/>
        <v>82</v>
      </c>
      <c r="DK65" s="161">
        <f t="shared" si="76"/>
        <v>272</v>
      </c>
      <c r="DL65" s="161">
        <f t="shared" si="76"/>
        <v>180</v>
      </c>
      <c r="DM65" s="161">
        <f t="shared" si="76"/>
        <v>214</v>
      </c>
      <c r="DN65" s="161">
        <f t="shared" si="76"/>
        <v>308</v>
      </c>
      <c r="DO65" s="161"/>
      <c r="DP65" s="161"/>
      <c r="DQ65" s="161"/>
      <c r="DR65" s="161"/>
      <c r="DS65" s="161"/>
      <c r="DT65" s="161"/>
      <c r="DU65" s="161"/>
      <c r="DV65" s="161"/>
      <c r="DW65" s="161"/>
      <c r="DX65" s="161"/>
      <c r="DY65" s="161"/>
      <c r="DZ65" s="161"/>
      <c r="EA65" s="161"/>
      <c r="EB65" s="161"/>
      <c r="EC65" s="161"/>
      <c r="ED65" s="161"/>
      <c r="EE65" s="161"/>
      <c r="EF65" s="161"/>
      <c r="EG65" s="161"/>
      <c r="EH65" s="161"/>
      <c r="EI65" s="161"/>
      <c r="EJ65" s="161"/>
      <c r="EK65" s="161"/>
      <c r="EL65" s="161"/>
      <c r="EM65" s="161"/>
      <c r="EN65" s="161"/>
      <c r="EO65" s="161"/>
      <c r="EP65" s="161"/>
      <c r="EQ65" s="161"/>
      <c r="ER65" s="161"/>
      <c r="ES65" s="161"/>
      <c r="ET65" s="161"/>
      <c r="EU65" s="161"/>
      <c r="EV65" s="161"/>
      <c r="EW65" s="161"/>
      <c r="EX65" s="161"/>
      <c r="EY65" s="161"/>
      <c r="EZ65" s="161"/>
      <c r="FA65" s="161"/>
      <c r="FB65" s="161"/>
      <c r="FC65" s="161"/>
      <c r="FD65" s="161"/>
      <c r="FE65" s="161"/>
      <c r="FF65" s="161"/>
      <c r="FG65" s="161"/>
      <c r="FH65" s="161"/>
      <c r="FI65" s="161"/>
      <c r="FJ65" s="161"/>
      <c r="FK65" s="161"/>
      <c r="FL65" s="161"/>
      <c r="FM65" s="161"/>
      <c r="FN65" s="161"/>
      <c r="FO65" s="161"/>
      <c r="FP65" s="161"/>
      <c r="FQ65" s="161"/>
      <c r="FR65" s="161"/>
      <c r="FS65" s="161"/>
      <c r="FT65" s="161"/>
      <c r="FU65" s="161"/>
      <c r="FV65" s="161"/>
      <c r="FW65" s="161"/>
      <c r="FX65" s="161"/>
      <c r="FY65" s="161"/>
      <c r="FZ65" s="161"/>
      <c r="GA65" s="161"/>
      <c r="GB65" s="161"/>
      <c r="GC65" s="161"/>
      <c r="GD65" s="161"/>
      <c r="GE65" s="161"/>
      <c r="GF65" s="161"/>
      <c r="GG65" s="161"/>
      <c r="GH65" s="161"/>
      <c r="GI65" s="161"/>
      <c r="GJ65" s="161"/>
      <c r="GK65" s="161"/>
      <c r="GL65" s="161"/>
      <c r="GM65" s="161"/>
      <c r="GN65" s="161"/>
      <c r="GO65" s="161"/>
      <c r="GP65" s="161"/>
      <c r="GQ65" s="161"/>
      <c r="GR65" s="161"/>
      <c r="GS65" s="161"/>
      <c r="GT65" s="161"/>
      <c r="GU65" s="161"/>
      <c r="GV65" s="161"/>
      <c r="GW65" s="161"/>
      <c r="GX65" s="161"/>
      <c r="GY65" s="161"/>
      <c r="GZ65" s="161"/>
      <c r="HA65" s="161"/>
      <c r="HB65" s="161"/>
      <c r="HC65" s="161"/>
      <c r="HD65" s="161"/>
      <c r="HE65" s="161"/>
      <c r="HF65" s="161"/>
      <c r="HG65" s="161"/>
      <c r="HH65" s="161"/>
      <c r="HI65" s="161"/>
      <c r="HJ65" s="161"/>
      <c r="HK65" s="161"/>
      <c r="HL65" s="161"/>
    </row>
    <row r="66" spans="2:221" ht="12" x14ac:dyDescent="0.25">
      <c r="C66" t="s">
        <v>568</v>
      </c>
      <c r="G66" s="77" t="s">
        <v>427</v>
      </c>
      <c r="H66" s="102" t="s">
        <v>574</v>
      </c>
      <c r="I66" s="167">
        <f>IFERROR(VLOOKUP(I$3,'Datos precios'!$D$360:$Y$480,8,FALSE),0)</f>
        <v>0</v>
      </c>
      <c r="J66" s="167">
        <f>IFERROR(VLOOKUP(J$3,'Datos precios'!$D$360:$Y$480,8,FALSE),0)</f>
        <v>0</v>
      </c>
      <c r="K66" s="167">
        <f>IFERROR(VLOOKUP(K$3,'Datos precios'!$D$360:$Y$480,8,FALSE),0)</f>
        <v>378</v>
      </c>
      <c r="L66" s="167">
        <f>IFERROR(VLOOKUP(L$3,'Datos precios'!$D$360:$Y$480,8,FALSE),0)</f>
        <v>757</v>
      </c>
      <c r="M66" s="167">
        <f>IFERROR(VLOOKUP(M$3,'Datos precios'!$D$360:$Y$480,8,FALSE),0)</f>
        <v>397</v>
      </c>
      <c r="N66" s="167">
        <f>IFERROR(VLOOKUP(N$3,'Datos precios'!$D$360:$Y$480,8,FALSE),0)</f>
        <v>318</v>
      </c>
      <c r="O66" s="167">
        <f>IFERROR(VLOOKUP(O$3,'Datos precios'!$D$360:$Y$480,8,FALSE),0)</f>
        <v>460</v>
      </c>
      <c r="P66" s="167">
        <f>IFERROR(VLOOKUP(P$3,'Datos precios'!$D$360:$Y$480,8,FALSE),0)</f>
        <v>177</v>
      </c>
      <c r="Q66" s="167">
        <f>IFERROR(VLOOKUP(Q$3,'Datos precios'!$D$360:$Y$480,8,FALSE),0)</f>
        <v>243</v>
      </c>
      <c r="R66" s="167">
        <f>IFERROR(VLOOKUP(R$3,'Datos precios'!$D$360:$Y$480,8,FALSE),0)</f>
        <v>243</v>
      </c>
      <c r="S66" s="167">
        <f>IFERROR(VLOOKUP(S$3,'Datos precios'!$D$360:$Y$480,8,FALSE),0)</f>
        <v>310</v>
      </c>
      <c r="T66" s="167">
        <f>IFERROR(VLOOKUP(T$3,'Datos precios'!$D$360:$Y$480,8,FALSE),0)</f>
        <v>302</v>
      </c>
      <c r="U66" s="167">
        <f>IFERROR(VLOOKUP(U$3,'Datos precios'!$D$360:$Y$480,8,FALSE),0)</f>
        <v>559</v>
      </c>
      <c r="V66" s="167">
        <f>IFERROR(VLOOKUP(V$3,'Datos precios'!$D$360:$Y$480,8,FALSE),0)</f>
        <v>738</v>
      </c>
      <c r="W66" s="167">
        <f>IFERROR(VLOOKUP(W$3,'Datos precios'!$D$360:$Y$480,8,FALSE),0)</f>
        <v>46</v>
      </c>
      <c r="X66" s="167">
        <f>IFERROR(VLOOKUP(X$3,'Datos precios'!$D$360:$Y$480,8,FALSE),0)</f>
        <v>81</v>
      </c>
      <c r="Y66" s="167">
        <f>IFERROR(VLOOKUP(Y$3,'Datos precios'!$D$360:$Y$480,8,FALSE),0)</f>
        <v>199</v>
      </c>
      <c r="Z66" s="167">
        <f>IFERROR(VLOOKUP(Z$3,'Datos precios'!$D$360:$Y$480,8,FALSE),0)</f>
        <v>210</v>
      </c>
      <c r="AA66" s="167">
        <f>IFERROR(VLOOKUP(AA$3,'Datos precios'!$D$360:$Y$480,8,FALSE),0)</f>
        <v>280</v>
      </c>
      <c r="AB66" s="167">
        <f>IFERROR(VLOOKUP(AB$3,'Datos precios'!$D$360:$Y$480,8,FALSE),0)</f>
        <v>135</v>
      </c>
      <c r="AC66" s="167">
        <f>IFERROR(VLOOKUP(AC$3,'Datos precios'!$D$360:$Y$480,8,FALSE),0)</f>
        <v>91</v>
      </c>
      <c r="AD66" s="167">
        <f>IFERROR(VLOOKUP(AD$3,'Datos precios'!$D$360:$Y$480,8,FALSE),0)</f>
        <v>1053</v>
      </c>
      <c r="AE66" s="167">
        <f>IFERROR(VLOOKUP(AE$3,'Datos precios'!$D$360:$Y$480,8,FALSE),0)</f>
        <v>137</v>
      </c>
      <c r="AF66" s="167">
        <f>IFERROR(VLOOKUP(AF$3,'Datos precios'!$D$360:$Y$480,8,FALSE),0)</f>
        <v>183</v>
      </c>
      <c r="AG66" s="167">
        <f>IFERROR(VLOOKUP(AG$3,'Datos precios'!$D$360:$Y$480,8,FALSE),0)</f>
        <v>435</v>
      </c>
      <c r="AH66" s="167">
        <f>IFERROR(VLOOKUP(AH$3,'Datos precios'!$D$360:$Y$480,8,FALSE),0)</f>
        <v>787</v>
      </c>
      <c r="AI66" s="167">
        <f>IFERROR(VLOOKUP(AI$3,'Datos precios'!$D$360:$Y$480,8,FALSE),0)</f>
        <v>943</v>
      </c>
      <c r="AJ66" s="167">
        <f>IFERROR(VLOOKUP(AJ$3,'Datos precios'!$D$360:$Y$480,8,FALSE),0)</f>
        <v>791</v>
      </c>
      <c r="AK66" s="167">
        <f>IFERROR(VLOOKUP(AK$3,'Datos precios'!$D$360:$Y$480,8,FALSE),0)</f>
        <v>1247</v>
      </c>
      <c r="AL66" s="167">
        <f>IFERROR(VLOOKUP(AL$3,'Datos precios'!$D$360:$Y$480,8,FALSE),0)</f>
        <v>274</v>
      </c>
      <c r="AM66" s="167">
        <f>IFERROR(VLOOKUP(AM$3,'Datos precios'!$D$360:$Y$480,8,FALSE),0)</f>
        <v>743</v>
      </c>
      <c r="AN66" s="167">
        <f>IFERROR(VLOOKUP(AN$3,'Datos precios'!$D$360:$Y$480,8,FALSE),0)</f>
        <v>1273</v>
      </c>
      <c r="AO66" s="167">
        <f>IFERROR(VLOOKUP(AO$3,'Datos precios'!$D$360:$Y$480,8,FALSE),0)</f>
        <v>106</v>
      </c>
      <c r="AP66" s="167">
        <f>IFERROR(VLOOKUP(AP$3,'Datos precios'!$D$360:$Y$480,8,FALSE),0)</f>
        <v>104</v>
      </c>
      <c r="AQ66" s="167">
        <f>IFERROR(VLOOKUP(AQ$3,'Datos precios'!$D$360:$Y$480,8,FALSE),0)</f>
        <v>117</v>
      </c>
      <c r="AR66" s="167">
        <f>IFERROR(VLOOKUP(AR$3,'Datos precios'!$D$360:$Y$480,8,FALSE),0)</f>
        <v>172</v>
      </c>
      <c r="AS66" s="167">
        <f>IFERROR(VLOOKUP(AS$3,'Datos precios'!$D$360:$Y$480,8,FALSE),0)</f>
        <v>129</v>
      </c>
      <c r="AT66" s="167">
        <f>IFERROR(VLOOKUP(AT$3,'Datos precios'!$D$360:$Y$480,8,FALSE),0)</f>
        <v>204</v>
      </c>
      <c r="AU66" s="167">
        <f>IFERROR(VLOOKUP(AU$3,'Datos precios'!$D$360:$Y$480,8,FALSE),0)</f>
        <v>247</v>
      </c>
      <c r="AV66" s="167">
        <f>IFERROR(VLOOKUP(AV$3,'Datos precios'!$D$360:$Y$480,8,FALSE),0)</f>
        <v>208</v>
      </c>
      <c r="AW66" s="167">
        <f>IFERROR(VLOOKUP(AW$3,'Datos precios'!$D$360:$Y$480,8,FALSE),0)</f>
        <v>327</v>
      </c>
      <c r="AX66" s="167">
        <f>IFERROR(VLOOKUP(AX$3,'Datos precios'!$D$360:$Y$480,8,FALSE),0)</f>
        <v>556</v>
      </c>
      <c r="AY66" s="167">
        <f>IFERROR(VLOOKUP(AY$3,'Datos precios'!$D$360:$Y$480,8,FALSE),0)</f>
        <v>719</v>
      </c>
      <c r="AZ66" s="167">
        <f>IFERROR(VLOOKUP(AZ$3,'Datos precios'!$D$360:$Y$480,8,FALSE),0)</f>
        <v>232</v>
      </c>
      <c r="BA66" s="167">
        <f>IFERROR(VLOOKUP(BA$3,'Datos precios'!$D$360:$Y$480,8,FALSE),0)</f>
        <v>328</v>
      </c>
      <c r="BB66" s="167">
        <f>IFERROR(VLOOKUP(BB$3,'Datos precios'!$D$360:$Y$480,8,FALSE),0)</f>
        <v>237</v>
      </c>
      <c r="BC66" s="167">
        <f>IFERROR(VLOOKUP(BC$3,'Datos precios'!$D$360:$Y$480,8,FALSE),0)</f>
        <v>375</v>
      </c>
      <c r="BD66" s="167">
        <f>IFERROR(VLOOKUP(BD$3,'Datos precios'!$D$360:$Y$480,8,FALSE),0)</f>
        <v>352</v>
      </c>
      <c r="BE66" s="167">
        <f>IFERROR(VLOOKUP(BE$3,'Datos precios'!$D$360:$Y$480,8,FALSE),0)</f>
        <v>467</v>
      </c>
      <c r="BF66" s="167">
        <f>IFERROR(VLOOKUP(BF$3,'Datos precios'!$D$360:$Y$480,8,FALSE),0)</f>
        <v>467</v>
      </c>
      <c r="BG66" s="167">
        <f>IFERROR(VLOOKUP(BG$3,'Datos precios'!$D$360:$Y$480,8,FALSE),0)</f>
        <v>840</v>
      </c>
      <c r="BH66" s="167">
        <f>IFERROR(VLOOKUP(BH$3,'Datos precios'!$D$360:$Y$480,8,FALSE),0)</f>
        <v>684</v>
      </c>
      <c r="BI66" s="167">
        <f>IFERROR(VLOOKUP(BI$3,'Datos precios'!$D$360:$Y$480,8,FALSE),0)</f>
        <v>81</v>
      </c>
      <c r="BJ66" s="167">
        <f>IFERROR(VLOOKUP(BJ$3,'Datos precios'!$D$360:$Y$480,8,FALSE),0)</f>
        <v>109</v>
      </c>
      <c r="BK66" s="167">
        <f>IFERROR(VLOOKUP(BK$3,'Datos precios'!$D$360:$Y$480,8,FALSE),0)</f>
        <v>96</v>
      </c>
      <c r="BL66" s="167">
        <f>IFERROR(VLOOKUP(BL$3,'Datos precios'!$D$360:$Y$480,8,FALSE),0)</f>
        <v>191</v>
      </c>
      <c r="BM66" s="167">
        <f>IFERROR(VLOOKUP(BM$3,'Datos precios'!$D$360:$Y$480,8,FALSE),0)</f>
        <v>187</v>
      </c>
      <c r="BN66" s="167">
        <f>IFERROR(VLOOKUP(BN$3,'Datos precios'!$D$360:$Y$480,8,FALSE),0)</f>
        <v>456</v>
      </c>
      <c r="BO66" s="167">
        <f>IFERROR(VLOOKUP(BO$3,'Datos precios'!$D$360:$Y$480,8,FALSE),0)</f>
        <v>428</v>
      </c>
      <c r="BP66" s="167">
        <f>IFERROR(VLOOKUP(BP$3,'Datos precios'!$D$360:$Y$480,8,FALSE),0)</f>
        <v>329</v>
      </c>
      <c r="BQ66" s="167">
        <f>IFERROR(VLOOKUP(BQ$3,'Datos precios'!$D$360:$Y$480,8,FALSE),0)</f>
        <v>312</v>
      </c>
      <c r="BR66" s="167">
        <f>IFERROR(VLOOKUP(BR$3,'Datos precios'!$D$360:$Y$480,8,FALSE),0)</f>
        <v>295</v>
      </c>
      <c r="BS66" s="167">
        <f>IFERROR(VLOOKUP(BS$3,'Datos precios'!$D$360:$Y$480,8,FALSE),0)</f>
        <v>390</v>
      </c>
      <c r="BT66" s="167">
        <f>IFERROR(VLOOKUP(BT$3,'Datos precios'!$D$360:$Y$480,8,FALSE),0)</f>
        <v>247</v>
      </c>
      <c r="BU66" s="167">
        <f>IFERROR(VLOOKUP(BU$3,'Datos precios'!$D$360:$Y$480,8,FALSE),0)</f>
        <v>395</v>
      </c>
      <c r="BV66" s="167">
        <f>IFERROR(VLOOKUP(BV$3,'Datos precios'!$D$360:$Y$480,8,FALSE),0)</f>
        <v>455</v>
      </c>
      <c r="BW66" s="167">
        <f>IFERROR(VLOOKUP(BW$3,'Datos precios'!$D$360:$Y$480,8,FALSE),0)</f>
        <v>609</v>
      </c>
      <c r="BX66" s="167">
        <f>IFERROR(VLOOKUP(BX$3,'Datos precios'!$D$360:$Y$480,8,FALSE),0)</f>
        <v>887</v>
      </c>
      <c r="BY66" s="167">
        <f>IFERROR(VLOOKUP(BY$3,'Datos precios'!$D$360:$Y$480,8,FALSE),0)</f>
        <v>196</v>
      </c>
      <c r="BZ66" s="167">
        <f>IFERROR(VLOOKUP(BZ$3,'Datos precios'!$D$360:$Y$480,8,FALSE),0)</f>
        <v>167</v>
      </c>
      <c r="CA66" s="167">
        <f>IFERROR(VLOOKUP(CA$3,'Datos precios'!$D$360:$Y$480,8,FALSE),0)</f>
        <v>339</v>
      </c>
      <c r="CB66" s="167">
        <f>IFERROR(VLOOKUP(CB$3,'Datos precios'!$D$360:$Y$480,8,FALSE),0)</f>
        <v>445</v>
      </c>
      <c r="CC66" s="167">
        <f>IFERROR(VLOOKUP(CC$3,'Datos precios'!$D$360:$Y$480,8,FALSE),0)</f>
        <v>793</v>
      </c>
      <c r="CD66" s="167">
        <f>IFERROR(VLOOKUP(CD$3,'Datos precios'!$D$360:$Y$480,8,FALSE),0)</f>
        <v>322</v>
      </c>
      <c r="CE66" s="167">
        <f>IFERROR(VLOOKUP(CE$3,'Datos precios'!$D$360:$Y$480,8,FALSE),0)</f>
        <v>351</v>
      </c>
      <c r="CF66" s="167">
        <f>IFERROR(VLOOKUP(CF$3,'Datos precios'!$D$360:$Y$480,8,FALSE),0)</f>
        <v>581</v>
      </c>
      <c r="CG66" s="167">
        <f>IFERROR(VLOOKUP(CG$3,'Datos precios'!$D$360:$Y$480,8,FALSE),0)</f>
        <v>787</v>
      </c>
      <c r="CH66" s="167">
        <f>IFERROR(VLOOKUP(CH$3,'Datos precios'!$D$360:$Y$480,8,FALSE),0)</f>
        <v>154</v>
      </c>
      <c r="CI66" s="167">
        <f>IFERROR(VLOOKUP(CI$3,'Datos precios'!$D$360:$Y$480,8,FALSE),0)</f>
        <v>147</v>
      </c>
      <c r="CJ66" s="167">
        <f>IFERROR(VLOOKUP(CJ$3,'Datos precios'!$D$360:$Y$480,8,FALSE),0)</f>
        <v>138</v>
      </c>
      <c r="CK66" s="167">
        <f>IFERROR(VLOOKUP(CK$3,'Datos precios'!$D$360:$Y$480,8,FALSE),0)</f>
        <v>155</v>
      </c>
      <c r="CL66" s="167">
        <f>IFERROR(VLOOKUP(CL$3,'Datos precios'!$D$360:$Y$480,8,FALSE),0)</f>
        <v>188</v>
      </c>
      <c r="CM66" s="167">
        <f>IFERROR(VLOOKUP(CM$3,'Datos precios'!$D$360:$Y$480,8,FALSE),0)</f>
        <v>295</v>
      </c>
      <c r="CN66" s="167">
        <f>IFERROR(VLOOKUP(CN$3,'Datos precios'!$D$360:$Y$480,8,FALSE),0)</f>
        <v>175</v>
      </c>
      <c r="CO66" s="167">
        <f>IFERROR(VLOOKUP(CO$3,'Datos precios'!$D$360:$Y$480,8,FALSE),0)</f>
        <v>327</v>
      </c>
      <c r="CP66" s="167">
        <f>IFERROR(VLOOKUP(CP$3,'Datos precios'!$D$360:$Y$480,8,FALSE),0)</f>
        <v>378</v>
      </c>
      <c r="CQ66" s="167">
        <f>IFERROR(VLOOKUP(CQ$3,'Datos precios'!$D$360:$Y$480,8,FALSE),0)</f>
        <v>641</v>
      </c>
      <c r="CR66" s="167">
        <f>IFERROR(VLOOKUP(CR$3,'Datos precios'!$D$360:$Y$480,8,FALSE),0)</f>
        <v>979</v>
      </c>
      <c r="CS66" s="167">
        <f>IFERROR(VLOOKUP(CS$3,'Datos precios'!$D$360:$Y$480,8,FALSE),0)</f>
        <v>390</v>
      </c>
      <c r="CT66" s="167">
        <f>IFERROR(VLOOKUP(CT$3,'Datos precios'!$D$360:$Y$480,8,FALSE),0)</f>
        <v>342</v>
      </c>
      <c r="CU66" s="167">
        <f>IFERROR(VLOOKUP(CU$3,'Datos precios'!$D$360:$Y$480,8,FALSE),0)</f>
        <v>338</v>
      </c>
      <c r="CV66" s="167">
        <f>IFERROR(VLOOKUP(CV$3,'Datos precios'!$D$360:$Y$480,8,FALSE),0)</f>
        <v>266</v>
      </c>
      <c r="CW66" s="167">
        <f>IFERROR(VLOOKUP(CW$3,'Datos precios'!$D$360:$Y$480,8,FALSE),0)</f>
        <v>259</v>
      </c>
      <c r="CX66" s="167">
        <f>IFERROR(VLOOKUP(CX$3,'Datos precios'!$D$360:$Y$480,8,FALSE),0)</f>
        <v>475</v>
      </c>
      <c r="CY66" s="167">
        <f>IFERROR(VLOOKUP(CY$3,'Datos precios'!$D$360:$Y$480,8,FALSE),0)</f>
        <v>677</v>
      </c>
      <c r="CZ66" s="167">
        <f>IFERROR(VLOOKUP(CZ$3,'Datos precios'!$D$360:$Y$480,8,FALSE),0)</f>
        <v>778</v>
      </c>
      <c r="DA66" s="167">
        <f>IFERROR(VLOOKUP(DA$3,'Datos precios'!$D$360:$Y$480,8,FALSE),0)</f>
        <v>983</v>
      </c>
      <c r="DB66" s="167">
        <f>IFERROR(VLOOKUP(DB$3,'Datos precios'!$D$360:$Y$480,8,FALSE),0)</f>
        <v>94</v>
      </c>
      <c r="DC66" s="167">
        <f>IFERROR(VLOOKUP(DC$3,'Datos precios'!$D$360:$Y$480,8,FALSE),0)</f>
        <v>262</v>
      </c>
      <c r="DD66" s="167">
        <f>IFERROR(VLOOKUP(DD$3,'Datos precios'!$D$360:$Y$480,8,FALSE),0)</f>
        <v>258</v>
      </c>
      <c r="DE66" s="167">
        <f>IFERROR(VLOOKUP(DE$3,'Datos precios'!$D$360:$Y$480,8,FALSE),0)</f>
        <v>445</v>
      </c>
      <c r="DF66" s="167">
        <f>IFERROR(VLOOKUP(DF$3,'Datos precios'!$D$360:$Y$480,8,FALSE),0)</f>
        <v>295</v>
      </c>
      <c r="DG66" s="167">
        <f>IFERROR(VLOOKUP(DG$3,'Datos precios'!$D$360:$Y$480,8,FALSE),0)</f>
        <v>552</v>
      </c>
      <c r="DH66" s="167">
        <f>IFERROR(VLOOKUP(DH$3,'Datos precios'!$D$360:$Y$480,8,FALSE),0)</f>
        <v>78</v>
      </c>
      <c r="DI66" s="167">
        <f>IFERROR(VLOOKUP(DI$3,'Datos precios'!$D$360:$Y$480,8,FALSE),0)</f>
        <v>63</v>
      </c>
      <c r="DJ66" s="167">
        <f>IFERROR(VLOOKUP(DJ$3,'Datos precios'!$D$360:$Y$480,8,FALSE),0)</f>
        <v>82</v>
      </c>
      <c r="DK66" s="167">
        <f>IFERROR(VLOOKUP(DK$3,'Datos precios'!$D$360:$Y$480,8,FALSE),0)</f>
        <v>272</v>
      </c>
      <c r="DL66" s="167">
        <f>IFERROR(VLOOKUP(DL$3,'Datos precios'!$D$360:$Y$480,8,FALSE),0)</f>
        <v>180</v>
      </c>
      <c r="DM66" s="167">
        <f>IFERROR(VLOOKUP(DM$3,'Datos precios'!$D$360:$Y$480,8,FALSE),0)</f>
        <v>214</v>
      </c>
      <c r="DN66" s="167">
        <f>IFERROR(VLOOKUP(DN$3,'Datos precios'!$D$360:$Y$480,8,FALSE),0)</f>
        <v>308</v>
      </c>
      <c r="DO66" s="167"/>
      <c r="DP66" s="167"/>
      <c r="DQ66" s="167"/>
      <c r="DR66" s="167"/>
      <c r="DS66" s="167"/>
      <c r="DT66" s="167"/>
      <c r="DU66" s="167"/>
      <c r="DV66" s="167"/>
      <c r="DW66" s="167"/>
      <c r="DX66" s="167"/>
      <c r="DY66" s="167"/>
      <c r="DZ66" s="167"/>
      <c r="EA66" s="167"/>
      <c r="EB66" s="167"/>
      <c r="EC66" s="167"/>
      <c r="ED66" s="167"/>
      <c r="EE66" s="167"/>
      <c r="EF66" s="167"/>
      <c r="EG66" s="167"/>
      <c r="EH66" s="167"/>
      <c r="EI66" s="167"/>
      <c r="EJ66" s="167"/>
      <c r="EK66" s="167"/>
      <c r="EL66" s="167"/>
      <c r="EM66" s="167"/>
      <c r="EN66" s="167"/>
      <c r="EO66" s="167"/>
      <c r="EP66" s="167"/>
      <c r="EQ66" s="167"/>
      <c r="ER66" s="167"/>
      <c r="ES66" s="167"/>
      <c r="ET66" s="167"/>
      <c r="EU66" s="167"/>
      <c r="EV66" s="167"/>
      <c r="EW66" s="167"/>
      <c r="EX66" s="167"/>
      <c r="EY66" s="167"/>
      <c r="EZ66" s="167"/>
      <c r="FA66" s="167"/>
      <c r="FB66" s="167"/>
      <c r="FC66" s="167"/>
      <c r="FD66" s="167"/>
      <c r="FE66" s="167"/>
      <c r="FF66" s="167"/>
      <c r="FG66" s="167"/>
      <c r="FH66" s="167"/>
      <c r="FI66" s="167"/>
      <c r="FJ66" s="167"/>
      <c r="FK66" s="167"/>
      <c r="FL66" s="167"/>
      <c r="FM66" s="167"/>
      <c r="FN66" s="167"/>
      <c r="FO66" s="167"/>
      <c r="FP66" s="167"/>
      <c r="FQ66" s="167"/>
      <c r="FR66" s="167"/>
      <c r="FS66" s="167"/>
      <c r="FT66" s="167"/>
      <c r="FU66" s="167"/>
      <c r="FV66" s="167"/>
      <c r="FW66" s="167"/>
      <c r="FX66" s="167"/>
      <c r="FY66" s="167"/>
      <c r="FZ66" s="167"/>
      <c r="GA66" s="167"/>
      <c r="GB66" s="167"/>
      <c r="GC66" s="167"/>
      <c r="GD66" s="167"/>
      <c r="GE66" s="167"/>
      <c r="GF66" s="167"/>
      <c r="GG66" s="167"/>
      <c r="GH66" s="167"/>
      <c r="GI66" s="167"/>
      <c r="GJ66" s="167"/>
      <c r="GK66" s="167"/>
      <c r="GL66" s="167"/>
      <c r="GM66" s="167"/>
      <c r="GN66" s="167"/>
      <c r="GO66" s="167"/>
      <c r="GP66" s="167"/>
      <c r="GQ66" s="167"/>
      <c r="GR66" s="167"/>
      <c r="GS66" s="167"/>
      <c r="GT66" s="167"/>
      <c r="GU66" s="167"/>
      <c r="GV66" s="167"/>
      <c r="GW66" s="167"/>
      <c r="GX66" s="167"/>
      <c r="GY66" s="167"/>
      <c r="GZ66" s="167"/>
      <c r="HA66" s="167"/>
      <c r="HB66" s="167"/>
      <c r="HC66" s="167"/>
      <c r="HD66" s="167"/>
      <c r="HE66" s="167"/>
      <c r="HF66" s="167"/>
      <c r="HG66" s="167"/>
      <c r="HH66" s="167"/>
      <c r="HI66" s="167"/>
      <c r="HJ66" s="167"/>
      <c r="HK66" s="167"/>
      <c r="HL66" s="167"/>
      <c r="HM66" s="155" t="s">
        <v>579</v>
      </c>
    </row>
    <row r="67" spans="2:221" x14ac:dyDescent="0.25">
      <c r="C67" t="s">
        <v>728</v>
      </c>
      <c r="G67" s="77" t="s">
        <v>427</v>
      </c>
      <c r="H67" s="44" t="s">
        <v>534</v>
      </c>
      <c r="I67" s="160">
        <f t="shared" ref="I67:AN67" si="77">IF(I76&gt;0,clarovideo.rental.without.taxes*I77/(years.client.retention*12),0)</f>
        <v>0</v>
      </c>
      <c r="J67" s="160">
        <f t="shared" si="77"/>
        <v>0</v>
      </c>
      <c r="K67" s="160">
        <f t="shared" si="77"/>
        <v>16.508620689655174</v>
      </c>
      <c r="L67" s="160">
        <f t="shared" si="77"/>
        <v>16.508620689655174</v>
      </c>
      <c r="M67" s="160">
        <f t="shared" si="77"/>
        <v>16.508620689655174</v>
      </c>
      <c r="N67" s="160">
        <f t="shared" si="77"/>
        <v>16.508620689655174</v>
      </c>
      <c r="O67" s="160">
        <f t="shared" si="77"/>
        <v>16.508620689655174</v>
      </c>
      <c r="P67" s="160">
        <f t="shared" si="77"/>
        <v>0</v>
      </c>
      <c r="Q67" s="160">
        <f t="shared" si="77"/>
        <v>0</v>
      </c>
      <c r="R67" s="160">
        <f t="shared" si="77"/>
        <v>0</v>
      </c>
      <c r="S67" s="160">
        <f t="shared" si="77"/>
        <v>0</v>
      </c>
      <c r="T67" s="160">
        <f t="shared" si="77"/>
        <v>0</v>
      </c>
      <c r="U67" s="160">
        <f t="shared" si="77"/>
        <v>0</v>
      </c>
      <c r="V67" s="160">
        <f t="shared" si="77"/>
        <v>0</v>
      </c>
      <c r="W67" s="160">
        <f t="shared" si="77"/>
        <v>0</v>
      </c>
      <c r="X67" s="160">
        <f t="shared" si="77"/>
        <v>0</v>
      </c>
      <c r="Y67" s="160">
        <f t="shared" si="77"/>
        <v>16.508620689655174</v>
      </c>
      <c r="Z67" s="160">
        <f t="shared" si="77"/>
        <v>16.508620689655174</v>
      </c>
      <c r="AA67" s="160">
        <f t="shared" si="77"/>
        <v>16.508620689655174</v>
      </c>
      <c r="AB67" s="160">
        <f t="shared" si="77"/>
        <v>16.508620689655174</v>
      </c>
      <c r="AC67" s="160">
        <f t="shared" si="77"/>
        <v>0</v>
      </c>
      <c r="AD67" s="160">
        <f t="shared" si="77"/>
        <v>16.508620689655174</v>
      </c>
      <c r="AE67" s="160">
        <f t="shared" si="77"/>
        <v>0</v>
      </c>
      <c r="AF67" s="160">
        <f t="shared" si="77"/>
        <v>0</v>
      </c>
      <c r="AG67" s="160">
        <f t="shared" si="77"/>
        <v>0</v>
      </c>
      <c r="AH67" s="160">
        <f t="shared" si="77"/>
        <v>16.508620689655174</v>
      </c>
      <c r="AI67" s="160">
        <f t="shared" si="77"/>
        <v>0</v>
      </c>
      <c r="AJ67" s="160">
        <f t="shared" si="77"/>
        <v>0</v>
      </c>
      <c r="AK67" s="160">
        <f t="shared" si="77"/>
        <v>0</v>
      </c>
      <c r="AL67" s="160">
        <f t="shared" si="77"/>
        <v>0</v>
      </c>
      <c r="AM67" s="160">
        <f t="shared" si="77"/>
        <v>0</v>
      </c>
      <c r="AN67" s="160">
        <f t="shared" si="77"/>
        <v>0</v>
      </c>
      <c r="AO67" s="160">
        <f t="shared" ref="AO67:BT67" si="78">IF(AO76&gt;0,clarovideo.rental.without.taxes*AO77/(years.client.retention*12),0)</f>
        <v>16.508620689655174</v>
      </c>
      <c r="AP67" s="160">
        <f t="shared" si="78"/>
        <v>16.508620689655174</v>
      </c>
      <c r="AQ67" s="160">
        <f t="shared" si="78"/>
        <v>16.508620689655174</v>
      </c>
      <c r="AR67" s="160">
        <f t="shared" si="78"/>
        <v>16.508620689655174</v>
      </c>
      <c r="AS67" s="160">
        <f t="shared" si="78"/>
        <v>16.508620689655174</v>
      </c>
      <c r="AT67" s="160">
        <f t="shared" si="78"/>
        <v>16.508620689655174</v>
      </c>
      <c r="AU67" s="160">
        <f t="shared" si="78"/>
        <v>16.508620689655174</v>
      </c>
      <c r="AV67" s="160">
        <f t="shared" si="78"/>
        <v>16.508620689655174</v>
      </c>
      <c r="AW67" s="160">
        <f t="shared" si="78"/>
        <v>16.508620689655174</v>
      </c>
      <c r="AX67" s="160">
        <f t="shared" si="78"/>
        <v>16.508620689655174</v>
      </c>
      <c r="AY67" s="160">
        <f t="shared" si="78"/>
        <v>16.508620689655174</v>
      </c>
      <c r="AZ67" s="160">
        <f t="shared" si="78"/>
        <v>16.508620689655174</v>
      </c>
      <c r="BA67" s="160">
        <f t="shared" si="78"/>
        <v>16.508620689655174</v>
      </c>
      <c r="BB67" s="160">
        <f t="shared" si="78"/>
        <v>16.508620689655174</v>
      </c>
      <c r="BC67" s="160">
        <f t="shared" si="78"/>
        <v>16.508620689655174</v>
      </c>
      <c r="BD67" s="160">
        <f t="shared" si="78"/>
        <v>16.508620689655174</v>
      </c>
      <c r="BE67" s="160">
        <f t="shared" si="78"/>
        <v>16.508620689655174</v>
      </c>
      <c r="BF67" s="160">
        <f t="shared" si="78"/>
        <v>16.508620689655174</v>
      </c>
      <c r="BG67" s="160">
        <f t="shared" si="78"/>
        <v>16.508620689655174</v>
      </c>
      <c r="BH67" s="160">
        <f t="shared" si="78"/>
        <v>16.508620689655174</v>
      </c>
      <c r="BI67" s="160">
        <f t="shared" si="78"/>
        <v>0</v>
      </c>
      <c r="BJ67" s="160">
        <f t="shared" si="78"/>
        <v>0</v>
      </c>
      <c r="BK67" s="160">
        <f t="shared" si="78"/>
        <v>0</v>
      </c>
      <c r="BL67" s="160">
        <f t="shared" si="78"/>
        <v>0</v>
      </c>
      <c r="BM67" s="160">
        <f t="shared" si="78"/>
        <v>0</v>
      </c>
      <c r="BN67" s="160">
        <f t="shared" si="78"/>
        <v>0</v>
      </c>
      <c r="BO67" s="160">
        <f t="shared" si="78"/>
        <v>0</v>
      </c>
      <c r="BP67" s="160">
        <f t="shared" si="78"/>
        <v>0</v>
      </c>
      <c r="BQ67" s="160">
        <f t="shared" si="78"/>
        <v>0</v>
      </c>
      <c r="BR67" s="160">
        <f t="shared" si="78"/>
        <v>0</v>
      </c>
      <c r="BS67" s="160">
        <f t="shared" si="78"/>
        <v>0</v>
      </c>
      <c r="BT67" s="160">
        <f t="shared" si="78"/>
        <v>0</v>
      </c>
      <c r="BU67" s="160">
        <f t="shared" ref="BU67:CZ67" si="79">IF(BU76&gt;0,clarovideo.rental.without.taxes*BU77/(years.client.retention*12),0)</f>
        <v>0</v>
      </c>
      <c r="BV67" s="160">
        <f t="shared" si="79"/>
        <v>0</v>
      </c>
      <c r="BW67" s="160">
        <f t="shared" si="79"/>
        <v>0</v>
      </c>
      <c r="BX67" s="160">
        <f t="shared" si="79"/>
        <v>0</v>
      </c>
      <c r="BY67" s="160">
        <f t="shared" si="79"/>
        <v>16.508620689655174</v>
      </c>
      <c r="BZ67" s="160">
        <f t="shared" si="79"/>
        <v>16.508620689655174</v>
      </c>
      <c r="CA67" s="160">
        <f t="shared" si="79"/>
        <v>16.508620689655174</v>
      </c>
      <c r="CB67" s="160">
        <f t="shared" si="79"/>
        <v>16.508620689655174</v>
      </c>
      <c r="CC67" s="160">
        <f t="shared" si="79"/>
        <v>16.508620689655174</v>
      </c>
      <c r="CD67" s="160">
        <f t="shared" si="79"/>
        <v>16.508620689655174</v>
      </c>
      <c r="CE67" s="160">
        <f t="shared" si="79"/>
        <v>16.508620689655174</v>
      </c>
      <c r="CF67" s="160">
        <f t="shared" si="79"/>
        <v>16.508620689655174</v>
      </c>
      <c r="CG67" s="160">
        <f t="shared" si="79"/>
        <v>16.508620689655174</v>
      </c>
      <c r="CH67" s="160">
        <f t="shared" si="79"/>
        <v>16.508620689655174</v>
      </c>
      <c r="CI67" s="160">
        <f t="shared" si="79"/>
        <v>16.508620689655174</v>
      </c>
      <c r="CJ67" s="160">
        <f t="shared" si="79"/>
        <v>16.508620689655174</v>
      </c>
      <c r="CK67" s="160">
        <f t="shared" si="79"/>
        <v>16.508620689655174</v>
      </c>
      <c r="CL67" s="160">
        <f t="shared" si="79"/>
        <v>16.508620689655174</v>
      </c>
      <c r="CM67" s="160">
        <f t="shared" si="79"/>
        <v>16.508620689655174</v>
      </c>
      <c r="CN67" s="160">
        <f t="shared" si="79"/>
        <v>16.508620689655174</v>
      </c>
      <c r="CO67" s="160">
        <f t="shared" si="79"/>
        <v>16.508620689655174</v>
      </c>
      <c r="CP67" s="160">
        <f t="shared" si="79"/>
        <v>16.508620689655174</v>
      </c>
      <c r="CQ67" s="160">
        <f t="shared" si="79"/>
        <v>16.508620689655174</v>
      </c>
      <c r="CR67" s="160">
        <f t="shared" si="79"/>
        <v>16.508620689655174</v>
      </c>
      <c r="CS67" s="160">
        <f t="shared" si="79"/>
        <v>16.508620689655174</v>
      </c>
      <c r="CT67" s="160">
        <f t="shared" si="79"/>
        <v>16.508620689655174</v>
      </c>
      <c r="CU67" s="160">
        <f t="shared" si="79"/>
        <v>16.508620689655174</v>
      </c>
      <c r="CV67" s="160">
        <f t="shared" si="79"/>
        <v>16.508620689655174</v>
      </c>
      <c r="CW67" s="160">
        <f t="shared" si="79"/>
        <v>16.508620689655174</v>
      </c>
      <c r="CX67" s="160">
        <f t="shared" si="79"/>
        <v>16.508620689655174</v>
      </c>
      <c r="CY67" s="160">
        <f t="shared" si="79"/>
        <v>16.508620689655174</v>
      </c>
      <c r="CZ67" s="160">
        <f t="shared" si="79"/>
        <v>16.508620689655174</v>
      </c>
      <c r="DA67" s="160">
        <f t="shared" ref="DA67:DN67" si="80">IF(DA76&gt;0,clarovideo.rental.without.taxes*DA77/(years.client.retention*12),0)</f>
        <v>16.508620689655174</v>
      </c>
      <c r="DB67" s="160">
        <f t="shared" si="80"/>
        <v>0</v>
      </c>
      <c r="DC67" s="160">
        <f t="shared" si="80"/>
        <v>0</v>
      </c>
      <c r="DD67" s="160">
        <f t="shared" si="80"/>
        <v>0</v>
      </c>
      <c r="DE67" s="160">
        <f t="shared" si="80"/>
        <v>0</v>
      </c>
      <c r="DF67" s="160">
        <f t="shared" si="80"/>
        <v>0</v>
      </c>
      <c r="DG67" s="160">
        <f t="shared" si="80"/>
        <v>0</v>
      </c>
      <c r="DH67" s="160">
        <f t="shared" si="80"/>
        <v>0</v>
      </c>
      <c r="DI67" s="160">
        <f t="shared" si="80"/>
        <v>0</v>
      </c>
      <c r="DJ67" s="160">
        <f t="shared" si="80"/>
        <v>0</v>
      </c>
      <c r="DK67" s="160">
        <f t="shared" si="80"/>
        <v>0</v>
      </c>
      <c r="DL67" s="160">
        <f t="shared" si="80"/>
        <v>0</v>
      </c>
      <c r="DM67" s="160">
        <f t="shared" si="80"/>
        <v>0</v>
      </c>
      <c r="DN67" s="160">
        <f t="shared" si="80"/>
        <v>0</v>
      </c>
      <c r="DO67" s="160"/>
      <c r="DP67" s="160"/>
      <c r="DQ67" s="160"/>
      <c r="DR67" s="160"/>
      <c r="DS67" s="160"/>
      <c r="DT67" s="160"/>
      <c r="DU67" s="160"/>
      <c r="DV67" s="160"/>
      <c r="DW67" s="160"/>
      <c r="DX67" s="160"/>
      <c r="DY67" s="160"/>
      <c r="DZ67" s="160"/>
      <c r="EA67" s="160"/>
      <c r="EB67" s="160"/>
      <c r="EC67" s="160"/>
      <c r="ED67" s="160"/>
      <c r="EE67" s="160"/>
      <c r="EF67" s="160"/>
      <c r="EG67" s="160"/>
      <c r="EH67" s="160"/>
      <c r="EI67" s="160"/>
      <c r="EJ67" s="160"/>
      <c r="EK67" s="160"/>
      <c r="EL67" s="160"/>
      <c r="EM67" s="160"/>
      <c r="EN67" s="160"/>
      <c r="EO67" s="160"/>
      <c r="EP67" s="160"/>
      <c r="EQ67" s="160"/>
      <c r="ER67" s="160"/>
      <c r="ES67" s="160"/>
      <c r="ET67" s="160"/>
      <c r="EU67" s="160"/>
      <c r="EV67" s="160"/>
      <c r="EW67" s="160"/>
      <c r="EX67" s="160"/>
      <c r="EY67" s="160"/>
      <c r="EZ67" s="160"/>
      <c r="FA67" s="160"/>
      <c r="FB67" s="160"/>
      <c r="FC67" s="160"/>
      <c r="FD67" s="160"/>
      <c r="FE67" s="160"/>
      <c r="FF67" s="160"/>
      <c r="FG67" s="160"/>
      <c r="FH67" s="160"/>
      <c r="FI67" s="160"/>
      <c r="FJ67" s="160"/>
      <c r="FK67" s="160"/>
      <c r="FL67" s="160"/>
      <c r="FM67" s="160"/>
      <c r="FN67" s="160"/>
      <c r="FO67" s="160"/>
      <c r="FP67" s="160"/>
      <c r="FQ67" s="160"/>
      <c r="FR67" s="160"/>
      <c r="FS67" s="160"/>
      <c r="FT67" s="160"/>
      <c r="FU67" s="160"/>
      <c r="FV67" s="160"/>
      <c r="FW67" s="160"/>
      <c r="FX67" s="160"/>
      <c r="FY67" s="160"/>
      <c r="FZ67" s="160"/>
      <c r="GA67" s="160"/>
      <c r="GB67" s="160"/>
      <c r="GC67" s="160"/>
      <c r="GD67" s="160"/>
      <c r="GE67" s="160"/>
      <c r="GF67" s="160"/>
      <c r="GG67" s="160"/>
      <c r="GH67" s="160"/>
      <c r="GI67" s="160"/>
      <c r="GJ67" s="160"/>
      <c r="GK67" s="160"/>
      <c r="GL67" s="160"/>
      <c r="GM67" s="160"/>
      <c r="GN67" s="160"/>
      <c r="GO67" s="160"/>
      <c r="GP67" s="160"/>
      <c r="GQ67" s="160"/>
      <c r="GR67" s="160"/>
      <c r="GS67" s="160"/>
      <c r="GT67" s="160"/>
      <c r="GU67" s="160"/>
      <c r="GV67" s="160"/>
      <c r="GW67" s="160"/>
      <c r="GX67" s="160"/>
      <c r="GY67" s="160"/>
      <c r="GZ67" s="160"/>
      <c r="HA67" s="160"/>
      <c r="HB67" s="160"/>
      <c r="HC67" s="160"/>
      <c r="HD67" s="160"/>
      <c r="HE67" s="160"/>
      <c r="HF67" s="160"/>
      <c r="HG67" s="160"/>
      <c r="HH67" s="160"/>
      <c r="HI67" s="160"/>
      <c r="HJ67" s="160"/>
      <c r="HK67" s="160"/>
      <c r="HL67" s="160"/>
    </row>
    <row r="68" spans="2:221" s="44" customFormat="1" x14ac:dyDescent="0.25">
      <c r="C68" s="649" t="s">
        <v>1308</v>
      </c>
      <c r="G68" s="77"/>
      <c r="I68" s="669"/>
      <c r="J68" s="669"/>
      <c r="K68" s="669"/>
      <c r="L68" s="669"/>
      <c r="M68" s="669"/>
      <c r="N68" s="669"/>
      <c r="O68" s="669"/>
      <c r="P68" s="669"/>
      <c r="Q68" s="669"/>
      <c r="R68" s="669"/>
      <c r="S68" s="669"/>
      <c r="T68" s="669"/>
      <c r="U68" s="669"/>
      <c r="V68" s="669"/>
      <c r="W68" s="669"/>
      <c r="X68" s="669"/>
      <c r="Y68" s="669"/>
      <c r="Z68" s="669"/>
      <c r="AA68" s="669"/>
      <c r="AB68" s="669"/>
      <c r="AC68" s="669"/>
      <c r="AD68" s="669"/>
      <c r="AE68" s="669"/>
      <c r="AF68" s="669"/>
      <c r="AG68" s="669"/>
      <c r="AH68" s="669"/>
      <c r="AI68" s="669"/>
      <c r="AJ68" s="669"/>
      <c r="AK68" s="669"/>
      <c r="AL68" s="669"/>
      <c r="AM68" s="669"/>
      <c r="AN68" s="669"/>
      <c r="AO68" s="669"/>
      <c r="AP68" s="669"/>
      <c r="AQ68" s="669"/>
      <c r="AR68" s="669"/>
      <c r="AS68" s="669"/>
      <c r="AT68" s="669"/>
      <c r="AU68" s="669"/>
      <c r="AV68" s="669"/>
      <c r="AW68" s="669"/>
      <c r="AX68" s="669"/>
      <c r="AY68" s="669"/>
      <c r="AZ68" s="669"/>
      <c r="BA68" s="669"/>
      <c r="BB68" s="669"/>
      <c r="BC68" s="669"/>
      <c r="BD68" s="669"/>
      <c r="BE68" s="669"/>
      <c r="BF68" s="669"/>
      <c r="BG68" s="669"/>
      <c r="BH68" s="669"/>
      <c r="BI68" s="669"/>
      <c r="BJ68" s="669"/>
      <c r="BK68" s="669"/>
      <c r="BL68" s="669"/>
      <c r="BM68" s="669"/>
      <c r="BN68" s="669"/>
      <c r="BO68" s="669"/>
      <c r="BP68" s="669"/>
      <c r="BQ68" s="669"/>
      <c r="BR68" s="669"/>
      <c r="BS68" s="669"/>
      <c r="BT68" s="669"/>
      <c r="BU68" s="669"/>
      <c r="BV68" s="669"/>
      <c r="BW68" s="669"/>
      <c r="BX68" s="669"/>
      <c r="BY68" s="669"/>
      <c r="BZ68" s="669"/>
      <c r="CA68" s="669"/>
      <c r="CB68" s="669"/>
      <c r="CC68" s="669"/>
      <c r="CD68" s="669"/>
      <c r="CE68" s="669"/>
      <c r="CF68" s="669"/>
      <c r="CG68" s="669"/>
      <c r="CH68" s="669"/>
      <c r="CI68" s="669"/>
      <c r="CJ68" s="669"/>
      <c r="CK68" s="669"/>
      <c r="CL68" s="669"/>
      <c r="CM68" s="669"/>
      <c r="CN68" s="669"/>
      <c r="CO68" s="669"/>
      <c r="CP68" s="669"/>
      <c r="CQ68" s="669"/>
      <c r="CR68" s="669"/>
      <c r="CS68" s="669"/>
      <c r="CT68" s="669"/>
      <c r="CU68" s="669"/>
      <c r="CV68" s="669"/>
      <c r="CW68" s="669"/>
      <c r="CX68" s="669"/>
      <c r="CY68" s="669"/>
      <c r="CZ68" s="669"/>
      <c r="DA68" s="669"/>
      <c r="DB68" s="669"/>
      <c r="DC68" s="669"/>
      <c r="DD68" s="669"/>
      <c r="DE68" s="669"/>
      <c r="DF68" s="669"/>
      <c r="DG68" s="669"/>
      <c r="DH68" s="669"/>
      <c r="DI68" s="669"/>
      <c r="DJ68" s="669"/>
      <c r="DK68" s="669"/>
      <c r="DL68" s="669"/>
      <c r="DM68" s="669"/>
      <c r="DN68" s="669"/>
      <c r="DO68" s="668"/>
      <c r="DP68" s="160"/>
      <c r="DQ68" s="160"/>
      <c r="DR68" s="160"/>
      <c r="DS68" s="160"/>
      <c r="DT68" s="160"/>
      <c r="DU68" s="160"/>
      <c r="DV68" s="160"/>
      <c r="DW68" s="160"/>
      <c r="DX68" s="160"/>
      <c r="DY68" s="160"/>
      <c r="DZ68" s="160"/>
      <c r="EA68" s="160"/>
      <c r="EB68" s="160"/>
      <c r="EC68" s="160"/>
      <c r="ED68" s="160"/>
      <c r="EE68" s="160"/>
      <c r="EF68" s="160"/>
      <c r="EG68" s="160"/>
      <c r="EH68" s="160"/>
      <c r="EI68" s="160"/>
      <c r="EJ68" s="160"/>
      <c r="EK68" s="160"/>
      <c r="EL68" s="160"/>
      <c r="EM68" s="160"/>
      <c r="EN68" s="160"/>
      <c r="EO68" s="160"/>
      <c r="EP68" s="160"/>
      <c r="EQ68" s="160"/>
      <c r="ER68" s="160"/>
      <c r="ES68" s="160"/>
      <c r="ET68" s="160"/>
      <c r="EU68" s="160"/>
      <c r="EV68" s="160"/>
      <c r="EW68" s="160"/>
      <c r="EX68" s="160"/>
      <c r="EY68" s="160"/>
      <c r="EZ68" s="160"/>
      <c r="FA68" s="160"/>
      <c r="FB68" s="160"/>
      <c r="FC68" s="160"/>
      <c r="FD68" s="160"/>
      <c r="FE68" s="160"/>
      <c r="FF68" s="160"/>
      <c r="FG68" s="160"/>
      <c r="FH68" s="160"/>
      <c r="FI68" s="160"/>
      <c r="FJ68" s="160"/>
      <c r="FK68" s="160"/>
      <c r="FL68" s="160"/>
      <c r="FM68" s="160"/>
      <c r="FN68" s="160"/>
      <c r="FO68" s="160"/>
      <c r="FP68" s="160"/>
      <c r="FQ68" s="160"/>
      <c r="FR68" s="160"/>
      <c r="FS68" s="160"/>
      <c r="FT68" s="160"/>
      <c r="FU68" s="160"/>
      <c r="FV68" s="160"/>
      <c r="FW68" s="160"/>
      <c r="FX68" s="160"/>
      <c r="FY68" s="160"/>
      <c r="FZ68" s="160"/>
      <c r="GA68" s="160"/>
      <c r="GB68" s="160"/>
      <c r="GC68" s="160"/>
      <c r="GD68" s="160"/>
      <c r="GE68" s="160"/>
      <c r="GF68" s="160"/>
      <c r="GG68" s="160"/>
      <c r="GH68" s="160"/>
      <c r="GI68" s="160"/>
      <c r="GJ68" s="160"/>
      <c r="GK68" s="160"/>
      <c r="GL68" s="160"/>
      <c r="GM68" s="160"/>
      <c r="GN68" s="160"/>
      <c r="GO68" s="160"/>
      <c r="GP68" s="160"/>
      <c r="GQ68" s="160"/>
      <c r="GR68" s="160"/>
      <c r="GS68" s="160"/>
      <c r="GT68" s="160"/>
      <c r="GU68" s="160"/>
      <c r="GV68" s="160"/>
      <c r="GW68" s="160"/>
      <c r="GX68" s="160"/>
      <c r="GY68" s="160"/>
      <c r="GZ68" s="160"/>
      <c r="HA68" s="160"/>
      <c r="HB68" s="160"/>
      <c r="HC68" s="160"/>
      <c r="HD68" s="160"/>
      <c r="HE68" s="160"/>
      <c r="HF68" s="160"/>
      <c r="HG68" s="160"/>
      <c r="HH68" s="160"/>
      <c r="HI68" s="160"/>
      <c r="HJ68" s="160"/>
      <c r="HK68" s="160"/>
      <c r="HL68" s="160"/>
    </row>
    <row r="69" spans="2:221" s="44" customFormat="1" x14ac:dyDescent="0.25">
      <c r="B69" s="652" t="s">
        <v>1310</v>
      </c>
      <c r="C69" s="103" t="s">
        <v>1306</v>
      </c>
      <c r="G69" s="77" t="s">
        <v>427</v>
      </c>
      <c r="H69" s="44" t="s">
        <v>463</v>
      </c>
      <c r="I69" s="167">
        <f>IFERROR(VLOOKUP(I$3,'Datos precios'!$D$488:$K$519,8,FALSE),0)</f>
        <v>0</v>
      </c>
      <c r="J69" s="167">
        <f>IFERROR(VLOOKUP(J$3,'Datos precios'!$D$488:$K$519,8,FALSE),0)</f>
        <v>0</v>
      </c>
      <c r="K69" s="167">
        <f>IFERROR(VLOOKUP(K$3,'Datos precios'!$D$488:$K$519,8,FALSE),0)</f>
        <v>0</v>
      </c>
      <c r="L69" s="167">
        <f>IFERROR(VLOOKUP(L$3,'Datos precios'!$D$488:$K$519,8,FALSE),0)</f>
        <v>0</v>
      </c>
      <c r="M69" s="167">
        <f>IFERROR(VLOOKUP(M$3,'Datos precios'!$D$488:$K$519,8,FALSE),0)</f>
        <v>0</v>
      </c>
      <c r="N69" s="167">
        <f>IFERROR(VLOOKUP(N$3,'Datos precios'!$D$488:$K$519,8,FALSE),0)</f>
        <v>0</v>
      </c>
      <c r="O69" s="167">
        <f>IFERROR(VLOOKUP(O$3,'Datos precios'!$D$488:$K$519,8,FALSE),0)</f>
        <v>0</v>
      </c>
      <c r="P69" s="167">
        <f>IFERROR(VLOOKUP(P$3,'Datos precios'!$D$488:$K$519,8,FALSE),0)</f>
        <v>0</v>
      </c>
      <c r="Q69" s="167">
        <f>IFERROR(VLOOKUP(Q$3,'Datos precios'!$D$488:$K$519,8,FALSE),0)</f>
        <v>0</v>
      </c>
      <c r="R69" s="167">
        <f>IFERROR(VLOOKUP(R$3,'Datos precios'!$D$488:$K$519,8,FALSE),0)</f>
        <v>0</v>
      </c>
      <c r="S69" s="167">
        <f>IFERROR(VLOOKUP(S$3,'Datos precios'!$D$488:$K$519,8,FALSE),0)</f>
        <v>0</v>
      </c>
      <c r="T69" s="167">
        <f>IFERROR(VLOOKUP(T$3,'Datos precios'!$D$488:$K$519,8,FALSE),0)</f>
        <v>0</v>
      </c>
      <c r="U69" s="167">
        <f>IFERROR(VLOOKUP(U$3,'Datos precios'!$D$488:$K$519,8,FALSE),0)</f>
        <v>0</v>
      </c>
      <c r="V69" s="167">
        <f>IFERROR(VLOOKUP(V$3,'Datos precios'!$D$488:$K$519,8,FALSE),0)</f>
        <v>0</v>
      </c>
      <c r="W69" s="167">
        <f>IFERROR(VLOOKUP(W$3,'Datos precios'!$D$488:$K$519,8,FALSE),0)</f>
        <v>0</v>
      </c>
      <c r="X69" s="167">
        <f>IFERROR(VLOOKUP(X$3,'Datos precios'!$D$488:$K$519,8,FALSE),0)</f>
        <v>0</v>
      </c>
      <c r="Y69" s="167">
        <f>IFERROR(VLOOKUP(Y$3,'Datos precios'!$D$488:$K$519,8,FALSE),0)</f>
        <v>0</v>
      </c>
      <c r="Z69" s="167">
        <f>IFERROR(VLOOKUP(Z$3,'Datos precios'!$D$488:$K$519,8,FALSE),0)</f>
        <v>0</v>
      </c>
      <c r="AA69" s="167">
        <f>IFERROR(VLOOKUP(AA$3,'Datos precios'!$D$488:$K$519,8,FALSE),0)</f>
        <v>0</v>
      </c>
      <c r="AB69" s="167">
        <f>IFERROR(VLOOKUP(AB$3,'Datos precios'!$D$488:$K$519,8,FALSE),0)</f>
        <v>0</v>
      </c>
      <c r="AC69" s="167">
        <f>IFERROR(VLOOKUP(AC$3,'Datos precios'!$D$488:$K$519,8,FALSE),0)</f>
        <v>0</v>
      </c>
      <c r="AD69" s="167">
        <f>IFERROR(VLOOKUP(AD$3,'Datos precios'!$D$488:$K$519,8,FALSE),0)</f>
        <v>0</v>
      </c>
      <c r="AE69" s="167">
        <f>IFERROR(VLOOKUP(AE$3,'Datos precios'!$D$488:$K$519,8,FALSE),0)</f>
        <v>0</v>
      </c>
      <c r="AF69" s="167">
        <f>IFERROR(VLOOKUP(AF$3,'Datos precios'!$D$488:$K$519,8,FALSE),0)</f>
        <v>0</v>
      </c>
      <c r="AG69" s="167">
        <f>IFERROR(VLOOKUP(AG$3,'Datos precios'!$D$488:$K$519,8,FALSE),0)</f>
        <v>0</v>
      </c>
      <c r="AH69" s="167">
        <f>IFERROR(VLOOKUP(AH$3,'Datos precios'!$D$488:$K$519,8,FALSE),0)</f>
        <v>0</v>
      </c>
      <c r="AI69" s="167">
        <f>IFERROR(VLOOKUP(AI$3,'Datos precios'!$D$488:$K$519,8,FALSE),0)</f>
        <v>0</v>
      </c>
      <c r="AJ69" s="167">
        <f>IFERROR(VLOOKUP(AJ$3,'Datos precios'!$D$488:$K$519,8,FALSE),0)</f>
        <v>0</v>
      </c>
      <c r="AK69" s="167">
        <f>IFERROR(VLOOKUP(AK$3,'Datos precios'!$D$488:$K$519,8,FALSE),0)</f>
        <v>0</v>
      </c>
      <c r="AL69" s="167">
        <f>IFERROR(VLOOKUP(AL$3,'Datos precios'!$D$488:$K$519,8,FALSE),0)</f>
        <v>0</v>
      </c>
      <c r="AM69" s="167">
        <f>IFERROR(VLOOKUP(AM$3,'Datos precios'!$D$488:$K$519,8,FALSE),0)</f>
        <v>0</v>
      </c>
      <c r="AN69" s="167">
        <f>IFERROR(VLOOKUP(AN$3,'Datos precios'!$D$488:$K$519,8,FALSE),0)</f>
        <v>0</v>
      </c>
      <c r="AO69" s="167">
        <f>IFERROR(VLOOKUP(AO$3,'Datos precios'!$D$488:$K$519,8,FALSE),0)</f>
        <v>0</v>
      </c>
      <c r="AP69" s="167">
        <f>IFERROR(VLOOKUP(AP$3,'Datos precios'!$D$488:$K$519,8,FALSE),0)</f>
        <v>0</v>
      </c>
      <c r="AQ69" s="167">
        <f>IFERROR(VLOOKUP(AQ$3,'Datos precios'!$D$488:$K$519,8,FALSE),0)</f>
        <v>0</v>
      </c>
      <c r="AR69" s="167">
        <f>IFERROR(VLOOKUP(AR$3,'Datos precios'!$D$488:$K$519,8,FALSE),0)</f>
        <v>0</v>
      </c>
      <c r="AS69" s="167">
        <f>IFERROR(VLOOKUP(AS$3,'Datos precios'!$D$488:$K$519,8,FALSE),0)</f>
        <v>0</v>
      </c>
      <c r="AT69" s="167">
        <f>IFERROR(VLOOKUP(AT$3,'Datos precios'!$D$488:$K$519,8,FALSE),0)</f>
        <v>0</v>
      </c>
      <c r="AU69" s="167">
        <f>IFERROR(VLOOKUP(AU$3,'Datos precios'!$D$488:$K$519,8,FALSE),0)</f>
        <v>0</v>
      </c>
      <c r="AV69" s="167">
        <f>IFERROR(VLOOKUP(AV$3,'Datos precios'!$D$488:$K$519,8,FALSE),0)</f>
        <v>0</v>
      </c>
      <c r="AW69" s="167">
        <f>IFERROR(VLOOKUP(AW$3,'Datos precios'!$D$488:$K$519,8,FALSE),0)</f>
        <v>0</v>
      </c>
      <c r="AX69" s="167">
        <f>IFERROR(VLOOKUP(AX$3,'Datos precios'!$D$488:$K$519,8,FALSE),0)</f>
        <v>0</v>
      </c>
      <c r="AY69" s="167">
        <f>IFERROR(VLOOKUP(AY$3,'Datos precios'!$D$488:$K$519,8,FALSE),0)</f>
        <v>0</v>
      </c>
      <c r="AZ69" s="167">
        <f>IFERROR(VLOOKUP(AZ$3,'Datos precios'!$D$488:$K$519,8,FALSE),0)</f>
        <v>0</v>
      </c>
      <c r="BA69" s="167">
        <f>IFERROR(VLOOKUP(BA$3,'Datos precios'!$D$488:$K$519,8,FALSE),0)</f>
        <v>0</v>
      </c>
      <c r="BB69" s="167">
        <f>IFERROR(VLOOKUP(BB$3,'Datos precios'!$D$488:$K$519,8,FALSE),0)</f>
        <v>0</v>
      </c>
      <c r="BC69" s="167">
        <f>IFERROR(VLOOKUP(BC$3,'Datos precios'!$D$488:$K$519,8,FALSE),0)</f>
        <v>0</v>
      </c>
      <c r="BD69" s="167">
        <f>IFERROR(VLOOKUP(BD$3,'Datos precios'!$D$488:$K$519,8,FALSE),0)</f>
        <v>0</v>
      </c>
      <c r="BE69" s="167">
        <f>IFERROR(VLOOKUP(BE$3,'Datos precios'!$D$488:$K$519,8,FALSE),0)</f>
        <v>0</v>
      </c>
      <c r="BF69" s="167">
        <f>IFERROR(VLOOKUP(BF$3,'Datos precios'!$D$488:$K$519,8,FALSE),0)</f>
        <v>0</v>
      </c>
      <c r="BG69" s="167">
        <f>IFERROR(VLOOKUP(BG$3,'Datos precios'!$D$488:$K$519,8,FALSE),0)</f>
        <v>0</v>
      </c>
      <c r="BH69" s="167">
        <f>IFERROR(VLOOKUP(BH$3,'Datos precios'!$D$488:$K$519,8,FALSE),0)</f>
        <v>0</v>
      </c>
      <c r="BI69" s="167">
        <f>IFERROR(VLOOKUP(BI$3,'Datos precios'!$D$488:$K$519,8,FALSE),0)</f>
        <v>0</v>
      </c>
      <c r="BJ69" s="167">
        <f>IFERROR(VLOOKUP(BJ$3,'Datos precios'!$D$488:$K$519,8,FALSE),0)</f>
        <v>0</v>
      </c>
      <c r="BK69" s="167">
        <f>IFERROR(VLOOKUP(BK$3,'Datos precios'!$D$488:$K$519,8,FALSE),0)</f>
        <v>0</v>
      </c>
      <c r="BL69" s="167">
        <f>IFERROR(VLOOKUP(BL$3,'Datos precios'!$D$488:$K$519,8,FALSE),0)</f>
        <v>0</v>
      </c>
      <c r="BM69" s="167">
        <f>IFERROR(VLOOKUP(BM$3,'Datos precios'!$D$488:$K$519,8,FALSE),0)</f>
        <v>0</v>
      </c>
      <c r="BN69" s="167">
        <f>IFERROR(VLOOKUP(BN$3,'Datos precios'!$D$488:$K$519,8,FALSE),0)</f>
        <v>0</v>
      </c>
      <c r="BO69" s="167">
        <f>IFERROR(VLOOKUP(BO$3,'Datos precios'!$D$488:$K$519,8,FALSE),0)</f>
        <v>0</v>
      </c>
      <c r="BP69" s="167">
        <f>IFERROR(VLOOKUP(BP$3,'Datos precios'!$D$488:$K$519,8,FALSE),0)</f>
        <v>0</v>
      </c>
      <c r="BQ69" s="167">
        <f>IFERROR(VLOOKUP(BQ$3,'Datos precios'!$D$488:$K$519,8,FALSE),0)</f>
        <v>0</v>
      </c>
      <c r="BR69" s="167">
        <f>IFERROR(VLOOKUP(BR$3,'Datos precios'!$D$488:$K$519,8,FALSE),0)</f>
        <v>0</v>
      </c>
      <c r="BS69" s="167">
        <f>IFERROR(VLOOKUP(BS$3,'Datos precios'!$D$488:$K$519,8,FALSE),0)</f>
        <v>0</v>
      </c>
      <c r="BT69" s="167">
        <f>IFERROR(VLOOKUP(BT$3,'Datos precios'!$D$488:$K$519,8,FALSE),0)</f>
        <v>0</v>
      </c>
      <c r="BU69" s="167">
        <f>IFERROR(VLOOKUP(BU$3,'Datos precios'!$D$488:$K$519,8,FALSE),0)</f>
        <v>0</v>
      </c>
      <c r="BV69" s="167">
        <f>IFERROR(VLOOKUP(BV$3,'Datos precios'!$D$488:$K$519,8,FALSE),0)</f>
        <v>0</v>
      </c>
      <c r="BW69" s="167">
        <f>IFERROR(VLOOKUP(BW$3,'Datos precios'!$D$488:$K$519,8,FALSE),0)</f>
        <v>0</v>
      </c>
      <c r="BX69" s="167">
        <f>IFERROR(VLOOKUP(BX$3,'Datos precios'!$D$488:$K$519,8,FALSE),0)</f>
        <v>0</v>
      </c>
      <c r="BY69" s="167">
        <f>IFERROR(VLOOKUP(BY$3,'Datos precios'!$D$488:$K$519,8,FALSE),0)</f>
        <v>144</v>
      </c>
      <c r="BZ69" s="167">
        <f>IFERROR(VLOOKUP(BZ$3,'Datos precios'!$D$488:$K$519,8,FALSE),0)</f>
        <v>190</v>
      </c>
      <c r="CA69" s="167">
        <f>IFERROR(VLOOKUP(CA$3,'Datos precios'!$D$488:$K$519,8,FALSE),0)</f>
        <v>273</v>
      </c>
      <c r="CB69" s="167">
        <f>IFERROR(VLOOKUP(CB$3,'Datos precios'!$D$488:$K$519,8,FALSE),0)</f>
        <v>254</v>
      </c>
      <c r="CC69" s="167">
        <f>IFERROR(VLOOKUP(CC$3,'Datos precios'!$D$488:$K$519,8,FALSE),0)</f>
        <v>678</v>
      </c>
      <c r="CD69" s="167">
        <f>IFERROR(VLOOKUP(CD$3,'Datos precios'!$D$488:$K$519,8,FALSE),0)</f>
        <v>308</v>
      </c>
      <c r="CE69" s="167">
        <f>IFERROR(VLOOKUP(CE$3,'Datos precios'!$D$488:$K$519,8,FALSE),0)</f>
        <v>260</v>
      </c>
      <c r="CF69" s="167">
        <f>IFERROR(VLOOKUP(CF$3,'Datos precios'!$D$488:$K$519,8,FALSE),0)</f>
        <v>475</v>
      </c>
      <c r="CG69" s="167">
        <f>IFERROR(VLOOKUP(CG$3,'Datos precios'!$D$488:$K$519,8,FALSE),0)</f>
        <v>841</v>
      </c>
      <c r="CH69" s="167">
        <f>IFERROR(VLOOKUP(CH$3,'Datos precios'!$D$488:$K$519,8,FALSE),0)</f>
        <v>105</v>
      </c>
      <c r="CI69" s="167">
        <f>IFERROR(VLOOKUP(CI$3,'Datos precios'!$D$488:$K$519,8,FALSE),0)</f>
        <v>131</v>
      </c>
      <c r="CJ69" s="167">
        <f>IFERROR(VLOOKUP(CJ$3,'Datos precios'!$D$488:$K$519,8,FALSE),0)</f>
        <v>105</v>
      </c>
      <c r="CK69" s="167">
        <f>IFERROR(VLOOKUP(CK$3,'Datos precios'!$D$488:$K$519,8,FALSE),0)</f>
        <v>225</v>
      </c>
      <c r="CL69" s="167">
        <f>IFERROR(VLOOKUP(CL$3,'Datos precios'!$D$488:$K$519,8,FALSE),0)</f>
        <v>211</v>
      </c>
      <c r="CM69" s="167">
        <f>IFERROR(VLOOKUP(CM$3,'Datos precios'!$D$488:$K$519,8,FALSE),0)</f>
        <v>192</v>
      </c>
      <c r="CN69" s="167">
        <f>IFERROR(VLOOKUP(CN$3,'Datos precios'!$D$488:$K$519,8,FALSE),0)</f>
        <v>259</v>
      </c>
      <c r="CO69" s="167">
        <f>IFERROR(VLOOKUP(CO$3,'Datos precios'!$D$488:$K$519,8,FALSE),0)</f>
        <v>303</v>
      </c>
      <c r="CP69" s="167">
        <f>IFERROR(VLOOKUP(CP$3,'Datos precios'!$D$488:$K$519,8,FALSE),0)</f>
        <v>223</v>
      </c>
      <c r="CQ69" s="167">
        <f>IFERROR(VLOOKUP(CQ$3,'Datos precios'!$D$488:$K$519,8,FALSE),0)</f>
        <v>606</v>
      </c>
      <c r="CR69" s="167">
        <f>IFERROR(VLOOKUP(CR$3,'Datos precios'!$D$488:$K$519,8,FALSE),0)</f>
        <v>747</v>
      </c>
      <c r="CS69" s="167">
        <f>IFERROR(VLOOKUP(CS$3,'Datos precios'!$D$488:$K$519,8,FALSE),0)</f>
        <v>380</v>
      </c>
      <c r="CT69" s="167">
        <f>IFERROR(VLOOKUP(CT$3,'Datos precios'!$D$488:$K$519,8,FALSE),0)</f>
        <v>259</v>
      </c>
      <c r="CU69" s="167">
        <f>IFERROR(VLOOKUP(CU$3,'Datos precios'!$D$488:$K$519,8,FALSE),0)</f>
        <v>230</v>
      </c>
      <c r="CV69" s="167">
        <f>IFERROR(VLOOKUP(CV$3,'Datos precios'!$D$488:$K$519,8,FALSE),0)</f>
        <v>302</v>
      </c>
      <c r="CW69" s="167">
        <f>IFERROR(VLOOKUP(CW$3,'Datos precios'!$D$488:$K$519,8,FALSE),0)</f>
        <v>447</v>
      </c>
      <c r="CX69" s="167">
        <f>IFERROR(VLOOKUP(CX$3,'Datos precios'!$D$488:$K$519,8,FALSE),0)</f>
        <v>404</v>
      </c>
      <c r="CY69" s="167">
        <f>IFERROR(VLOOKUP(CY$3,'Datos precios'!$D$488:$K$519,8,FALSE),0)</f>
        <v>589</v>
      </c>
      <c r="CZ69" s="167">
        <f>IFERROR(VLOOKUP(CZ$3,'Datos precios'!$D$488:$K$519,8,FALSE),0)</f>
        <v>947</v>
      </c>
      <c r="DA69" s="167">
        <f>IFERROR(VLOOKUP(DA$3,'Datos precios'!$D$488:$K$519,8,FALSE),0)</f>
        <v>545</v>
      </c>
      <c r="DB69" s="167">
        <f>IFERROR(VLOOKUP(DB$3,'Datos precios'!$D$488:$K$519,8,FALSE),0)</f>
        <v>0</v>
      </c>
      <c r="DC69" s="167">
        <f>IFERROR(VLOOKUP(DC$3,'Datos precios'!$D$488:$K$519,8,FALSE),0)</f>
        <v>0</v>
      </c>
      <c r="DD69" s="167">
        <f>IFERROR(VLOOKUP(DD$3,'Datos precios'!$D$488:$K$519,8,FALSE),0)</f>
        <v>0</v>
      </c>
      <c r="DE69" s="167">
        <f>IFERROR(VLOOKUP(DE$3,'Datos precios'!$D$488:$K$519,8,FALSE),0)</f>
        <v>0</v>
      </c>
      <c r="DF69" s="167">
        <f>IFERROR(VLOOKUP(DF$3,'Datos precios'!$D$488:$K$519,8,FALSE),0)</f>
        <v>0</v>
      </c>
      <c r="DG69" s="167">
        <f>IFERROR(VLOOKUP(DG$3,'Datos precios'!$D$488:$K$519,8,FALSE),0)</f>
        <v>0</v>
      </c>
      <c r="DH69" s="167">
        <f>IFERROR(VLOOKUP(DH$3,'Datos precios'!$D$488:$K$519,8,FALSE),0)</f>
        <v>0</v>
      </c>
      <c r="DI69" s="167">
        <f>IFERROR(VLOOKUP(DI$3,'Datos precios'!$D$488:$K$519,8,FALSE),0)</f>
        <v>0</v>
      </c>
      <c r="DJ69" s="167">
        <f>IFERROR(VLOOKUP(DJ$3,'Datos precios'!$D$488:$K$519,8,FALSE),0)</f>
        <v>0</v>
      </c>
      <c r="DK69" s="167">
        <f>IFERROR(VLOOKUP(DK$3,'Datos precios'!$D$488:$K$519,8,FALSE),0)</f>
        <v>0</v>
      </c>
      <c r="DL69" s="167">
        <f>IFERROR(VLOOKUP(DL$3,'Datos precios'!$D$488:$K$519,8,FALSE),0)</f>
        <v>0</v>
      </c>
      <c r="DM69" s="167">
        <f>IFERROR(VLOOKUP(DM$3,'Datos precios'!$D$488:$K$519,8,FALSE),0)</f>
        <v>0</v>
      </c>
      <c r="DN69" s="167">
        <f>IFERROR(VLOOKUP(DN$3,'Datos precios'!$D$488:$K$519,8,FALSE),0)</f>
        <v>0</v>
      </c>
      <c r="DO69" s="160"/>
      <c r="DP69" s="160"/>
      <c r="DQ69" s="160"/>
      <c r="DR69" s="160"/>
      <c r="DS69" s="160"/>
      <c r="DT69" s="160"/>
      <c r="DU69" s="160"/>
      <c r="DV69" s="160"/>
      <c r="DW69" s="160"/>
      <c r="DX69" s="160"/>
      <c r="DY69" s="160"/>
      <c r="DZ69" s="160"/>
      <c r="EA69" s="160"/>
      <c r="EB69" s="160"/>
      <c r="EC69" s="160"/>
      <c r="ED69" s="160"/>
      <c r="EE69" s="160"/>
      <c r="EF69" s="160"/>
      <c r="EG69" s="160"/>
      <c r="EH69" s="160"/>
      <c r="EI69" s="160"/>
      <c r="EJ69" s="160"/>
      <c r="EK69" s="160"/>
      <c r="EL69" s="160"/>
      <c r="EM69" s="160"/>
      <c r="EN69" s="160"/>
      <c r="EO69" s="160"/>
      <c r="EP69" s="160"/>
      <c r="EQ69" s="160"/>
      <c r="ER69" s="160"/>
      <c r="ES69" s="160"/>
      <c r="ET69" s="160"/>
      <c r="EU69" s="160"/>
      <c r="EV69" s="160"/>
      <c r="EW69" s="160"/>
      <c r="EX69" s="160"/>
      <c r="EY69" s="160"/>
      <c r="EZ69" s="160"/>
      <c r="FA69" s="160"/>
      <c r="FB69" s="160"/>
      <c r="FC69" s="160"/>
      <c r="FD69" s="160"/>
      <c r="FE69" s="160"/>
      <c r="FF69" s="160"/>
      <c r="FG69" s="160"/>
      <c r="FH69" s="160"/>
      <c r="FI69" s="160"/>
      <c r="FJ69" s="160"/>
      <c r="FK69" s="160"/>
      <c r="FL69" s="160"/>
      <c r="FM69" s="160"/>
      <c r="FN69" s="160"/>
      <c r="FO69" s="160"/>
      <c r="FP69" s="160"/>
      <c r="FQ69" s="160"/>
      <c r="FR69" s="160"/>
      <c r="FS69" s="160"/>
      <c r="FT69" s="160"/>
      <c r="FU69" s="160"/>
      <c r="FV69" s="160"/>
      <c r="FW69" s="160"/>
      <c r="FX69" s="160"/>
      <c r="FY69" s="160"/>
      <c r="FZ69" s="160"/>
      <c r="GA69" s="160"/>
      <c r="GB69" s="160"/>
      <c r="GC69" s="160"/>
      <c r="GD69" s="160"/>
      <c r="GE69" s="160"/>
      <c r="GF69" s="160"/>
      <c r="GG69" s="160"/>
      <c r="GH69" s="160"/>
      <c r="GI69" s="160"/>
      <c r="GJ69" s="160"/>
      <c r="GK69" s="160"/>
      <c r="GL69" s="160"/>
      <c r="GM69" s="160"/>
      <c r="GN69" s="160"/>
      <c r="GO69" s="160"/>
      <c r="GP69" s="160"/>
      <c r="GQ69" s="160"/>
      <c r="GR69" s="160"/>
      <c r="GS69" s="160"/>
      <c r="GT69" s="160"/>
      <c r="GU69" s="160"/>
      <c r="GV69" s="160"/>
      <c r="GW69" s="160"/>
      <c r="GX69" s="160"/>
      <c r="GY69" s="160"/>
      <c r="GZ69" s="160"/>
      <c r="HA69" s="160"/>
      <c r="HB69" s="160"/>
      <c r="HC69" s="160"/>
      <c r="HD69" s="160"/>
      <c r="HE69" s="160"/>
      <c r="HF69" s="160"/>
      <c r="HG69" s="160"/>
      <c r="HH69" s="160"/>
      <c r="HI69" s="160"/>
      <c r="HJ69" s="160"/>
      <c r="HK69" s="160"/>
      <c r="HL69" s="160"/>
    </row>
    <row r="70" spans="2:221" s="289" customFormat="1" x14ac:dyDescent="0.25">
      <c r="C70" s="650" t="s">
        <v>1323</v>
      </c>
      <c r="G70" s="263" t="s">
        <v>427</v>
      </c>
      <c r="H70" s="262" t="s">
        <v>534</v>
      </c>
      <c r="I70" s="643"/>
      <c r="J70" s="643"/>
      <c r="K70" s="643"/>
      <c r="L70" s="643"/>
      <c r="M70" s="643"/>
      <c r="N70" s="643"/>
      <c r="O70" s="643"/>
      <c r="P70" s="643"/>
      <c r="Q70" s="643"/>
      <c r="R70" s="643"/>
      <c r="S70" s="643"/>
      <c r="T70" s="643"/>
      <c r="U70" s="643"/>
      <c r="V70" s="643"/>
      <c r="W70" s="643"/>
      <c r="X70" s="643"/>
      <c r="Y70" s="643"/>
      <c r="Z70" s="643"/>
      <c r="AA70" s="643"/>
      <c r="AB70" s="643"/>
      <c r="AC70" s="643"/>
      <c r="AD70" s="643"/>
      <c r="AE70" s="643"/>
      <c r="AF70" s="643"/>
      <c r="AG70" s="643"/>
      <c r="AH70" s="643"/>
      <c r="AI70" s="643"/>
      <c r="AJ70" s="643"/>
      <c r="AK70" s="643"/>
      <c r="AL70" s="643"/>
      <c r="AM70" s="643"/>
      <c r="AN70" s="643"/>
      <c r="AO70" s="643"/>
      <c r="AP70" s="643"/>
      <c r="AQ70" s="643"/>
      <c r="AR70" s="643"/>
      <c r="AS70" s="643"/>
      <c r="AT70" s="643"/>
      <c r="AU70" s="643"/>
      <c r="AV70" s="643"/>
      <c r="AW70" s="643"/>
      <c r="AX70" s="643"/>
      <c r="AY70" s="643"/>
      <c r="AZ70" s="643"/>
      <c r="BA70" s="643"/>
      <c r="BB70" s="643"/>
      <c r="BC70" s="643"/>
      <c r="BD70" s="643"/>
      <c r="BE70" s="643"/>
      <c r="BF70" s="643"/>
      <c r="BG70" s="643"/>
      <c r="BH70" s="643"/>
      <c r="BI70" s="643"/>
      <c r="BJ70" s="643"/>
      <c r="BK70" s="643"/>
      <c r="BL70" s="643"/>
      <c r="BM70" s="643"/>
      <c r="BN70" s="643"/>
      <c r="BO70" s="643"/>
      <c r="BP70" s="643"/>
      <c r="BQ70" s="643"/>
      <c r="BR70" s="643"/>
      <c r="BS70" s="643"/>
      <c r="BT70" s="643"/>
      <c r="BU70" s="643"/>
      <c r="BV70" s="643"/>
      <c r="BW70" s="643"/>
      <c r="BX70" s="643"/>
      <c r="BY70" s="644">
        <f>BY66-BY69</f>
        <v>52</v>
      </c>
      <c r="BZ70" s="644">
        <f t="shared" ref="BZ70:DA70" si="81">BZ66-BZ69</f>
        <v>-23</v>
      </c>
      <c r="CA70" s="644">
        <f t="shared" si="81"/>
        <v>66</v>
      </c>
      <c r="CB70" s="644">
        <f t="shared" si="81"/>
        <v>191</v>
      </c>
      <c r="CC70" s="644">
        <f t="shared" si="81"/>
        <v>115</v>
      </c>
      <c r="CD70" s="644">
        <f t="shared" si="81"/>
        <v>14</v>
      </c>
      <c r="CE70" s="644">
        <f t="shared" si="81"/>
        <v>91</v>
      </c>
      <c r="CF70" s="644">
        <f t="shared" si="81"/>
        <v>106</v>
      </c>
      <c r="CG70" s="644">
        <f t="shared" si="81"/>
        <v>-54</v>
      </c>
      <c r="CH70" s="644">
        <f t="shared" si="81"/>
        <v>49</v>
      </c>
      <c r="CI70" s="644">
        <f t="shared" si="81"/>
        <v>16</v>
      </c>
      <c r="CJ70" s="644">
        <f t="shared" si="81"/>
        <v>33</v>
      </c>
      <c r="CK70" s="644">
        <f t="shared" si="81"/>
        <v>-70</v>
      </c>
      <c r="CL70" s="644">
        <f t="shared" si="81"/>
        <v>-23</v>
      </c>
      <c r="CM70" s="644">
        <f t="shared" si="81"/>
        <v>103</v>
      </c>
      <c r="CN70" s="644">
        <f t="shared" si="81"/>
        <v>-84</v>
      </c>
      <c r="CO70" s="644">
        <f t="shared" si="81"/>
        <v>24</v>
      </c>
      <c r="CP70" s="644">
        <f t="shared" si="81"/>
        <v>155</v>
      </c>
      <c r="CQ70" s="644">
        <f t="shared" si="81"/>
        <v>35</v>
      </c>
      <c r="CR70" s="644">
        <f t="shared" si="81"/>
        <v>232</v>
      </c>
      <c r="CS70" s="644">
        <f t="shared" si="81"/>
        <v>10</v>
      </c>
      <c r="CT70" s="644">
        <f t="shared" si="81"/>
        <v>83</v>
      </c>
      <c r="CU70" s="644">
        <f t="shared" si="81"/>
        <v>108</v>
      </c>
      <c r="CV70" s="644">
        <f t="shared" si="81"/>
        <v>-36</v>
      </c>
      <c r="CW70" s="644">
        <f t="shared" si="81"/>
        <v>-188</v>
      </c>
      <c r="CX70" s="644">
        <f t="shared" si="81"/>
        <v>71</v>
      </c>
      <c r="CY70" s="644">
        <f t="shared" si="81"/>
        <v>88</v>
      </c>
      <c r="CZ70" s="644">
        <f t="shared" si="81"/>
        <v>-169</v>
      </c>
      <c r="DA70" s="644">
        <f t="shared" si="81"/>
        <v>438</v>
      </c>
      <c r="DB70" s="643"/>
      <c r="DC70" s="643"/>
      <c r="DD70" s="643"/>
      <c r="DE70" s="643"/>
      <c r="DF70" s="643"/>
      <c r="DG70" s="643"/>
      <c r="DH70" s="643"/>
      <c r="DI70" s="643"/>
      <c r="DJ70" s="643"/>
      <c r="DK70" s="643"/>
      <c r="DL70" s="643"/>
      <c r="DM70" s="643"/>
      <c r="DN70" s="643"/>
      <c r="DO70" s="651"/>
      <c r="DP70" s="651"/>
      <c r="DQ70" s="651"/>
      <c r="DR70" s="651"/>
      <c r="DS70" s="651"/>
      <c r="DT70" s="651"/>
      <c r="DU70" s="651"/>
      <c r="DV70" s="651"/>
      <c r="DW70" s="651"/>
      <c r="DX70" s="651"/>
      <c r="DY70" s="651"/>
      <c r="DZ70" s="651"/>
      <c r="EA70" s="651"/>
      <c r="EB70" s="651"/>
      <c r="EC70" s="651"/>
      <c r="ED70" s="651"/>
      <c r="EE70" s="651"/>
      <c r="EF70" s="651"/>
      <c r="EG70" s="651"/>
      <c r="EH70" s="651"/>
      <c r="EI70" s="651"/>
      <c r="EJ70" s="651"/>
      <c r="EK70" s="651"/>
      <c r="EL70" s="651"/>
      <c r="EM70" s="651"/>
      <c r="EN70" s="651"/>
      <c r="EO70" s="651"/>
      <c r="EP70" s="651"/>
      <c r="EQ70" s="651"/>
      <c r="ER70" s="651"/>
      <c r="ES70" s="651"/>
      <c r="ET70" s="651"/>
      <c r="EU70" s="651"/>
      <c r="EV70" s="651"/>
      <c r="EW70" s="651"/>
      <c r="EX70" s="651"/>
      <c r="EY70" s="651"/>
      <c r="EZ70" s="651"/>
      <c r="FA70" s="651"/>
      <c r="FB70" s="651"/>
      <c r="FC70" s="651"/>
      <c r="FD70" s="651"/>
      <c r="FE70" s="651"/>
      <c r="FF70" s="651"/>
      <c r="FG70" s="651"/>
      <c r="FH70" s="651"/>
      <c r="FI70" s="651"/>
      <c r="FJ70" s="651"/>
      <c r="FK70" s="651"/>
      <c r="FL70" s="651"/>
      <c r="FM70" s="651"/>
      <c r="FN70" s="651"/>
      <c r="FO70" s="651"/>
      <c r="FP70" s="651"/>
      <c r="FQ70" s="651"/>
      <c r="FR70" s="651"/>
      <c r="FS70" s="651"/>
      <c r="FT70" s="651"/>
      <c r="FU70" s="651"/>
      <c r="FV70" s="651"/>
      <c r="FW70" s="651"/>
      <c r="FX70" s="651"/>
      <c r="FY70" s="651"/>
      <c r="FZ70" s="651"/>
      <c r="GA70" s="651"/>
      <c r="GB70" s="651"/>
      <c r="GC70" s="651"/>
      <c r="GD70" s="651"/>
      <c r="GE70" s="651"/>
      <c r="GF70" s="651"/>
      <c r="GG70" s="651"/>
      <c r="GH70" s="651"/>
      <c r="GI70" s="651"/>
      <c r="GJ70" s="651"/>
      <c r="GK70" s="651"/>
      <c r="GL70" s="651"/>
      <c r="GM70" s="651"/>
      <c r="GN70" s="651"/>
      <c r="GO70" s="651"/>
      <c r="GP70" s="651"/>
      <c r="GQ70" s="651"/>
      <c r="GR70" s="651"/>
      <c r="GS70" s="651"/>
      <c r="GT70" s="651"/>
      <c r="GU70" s="651"/>
      <c r="GV70" s="651"/>
      <c r="GW70" s="651"/>
      <c r="GX70" s="651"/>
      <c r="GY70" s="651"/>
      <c r="GZ70" s="651"/>
      <c r="HA70" s="651"/>
      <c r="HB70" s="651"/>
      <c r="HC70" s="651"/>
      <c r="HD70" s="651"/>
      <c r="HE70" s="651"/>
      <c r="HF70" s="651"/>
      <c r="HG70" s="651"/>
      <c r="HH70" s="651"/>
      <c r="HI70" s="651"/>
      <c r="HJ70" s="651"/>
      <c r="HK70" s="651"/>
      <c r="HL70" s="651"/>
    </row>
    <row r="71" spans="2:221" s="44" customFormat="1" x14ac:dyDescent="0.25">
      <c r="B71" s="652" t="s">
        <v>1311</v>
      </c>
      <c r="C71" s="103" t="s">
        <v>1307</v>
      </c>
      <c r="G71" s="263" t="s">
        <v>427</v>
      </c>
      <c r="H71" s="44" t="s">
        <v>463</v>
      </c>
      <c r="I71" s="167">
        <f>IFERROR(VLOOKUP(I$3,'Datos precios'!$D$575:$K$577,8,FALSE),0)</f>
        <v>0</v>
      </c>
      <c r="J71" s="167">
        <f>IFERROR(VLOOKUP(J$3,'Datos precios'!$D$575:$K$577,8,FALSE),0)</f>
        <v>0</v>
      </c>
      <c r="K71" s="167">
        <f>IFERROR(VLOOKUP(K$3,'Datos precios'!$D$575:$K$577,8,FALSE),0)</f>
        <v>0</v>
      </c>
      <c r="L71" s="167">
        <f>IFERROR(VLOOKUP(L$3,'Datos precios'!$D$575:$K$577,8,FALSE),0)</f>
        <v>0</v>
      </c>
      <c r="M71" s="167">
        <f>IFERROR(VLOOKUP(M$3,'Datos precios'!$D$575:$K$577,8,FALSE),0)</f>
        <v>0</v>
      </c>
      <c r="N71" s="167">
        <f>IFERROR(VLOOKUP(N$3,'Datos precios'!$D$575:$K$577,8,FALSE),0)</f>
        <v>0</v>
      </c>
      <c r="O71" s="167">
        <f>IFERROR(VLOOKUP(O$3,'Datos precios'!$D$575:$K$577,8,FALSE),0)</f>
        <v>0</v>
      </c>
      <c r="P71" s="167">
        <f>IFERROR(VLOOKUP(P$3,'Datos precios'!$D$575:$K$577,8,FALSE),0)</f>
        <v>0</v>
      </c>
      <c r="Q71" s="167">
        <f>IFERROR(VLOOKUP(Q$3,'Datos precios'!$D$575:$K$577,8,FALSE),0)</f>
        <v>0</v>
      </c>
      <c r="R71" s="167">
        <f>IFERROR(VLOOKUP(R$3,'Datos precios'!$D$575:$K$577,8,FALSE),0)</f>
        <v>0</v>
      </c>
      <c r="S71" s="167">
        <f>IFERROR(VLOOKUP(S$3,'Datos precios'!$D$575:$K$577,8,FALSE),0)</f>
        <v>0</v>
      </c>
      <c r="T71" s="167">
        <f>IFERROR(VLOOKUP(T$3,'Datos precios'!$D$575:$K$577,8,FALSE),0)</f>
        <v>0</v>
      </c>
      <c r="U71" s="167">
        <f>IFERROR(VLOOKUP(U$3,'Datos precios'!$D$575:$K$577,8,FALSE),0)</f>
        <v>0</v>
      </c>
      <c r="V71" s="167">
        <f>IFERROR(VLOOKUP(V$3,'Datos precios'!$D$575:$K$577,8,FALSE),0)</f>
        <v>0</v>
      </c>
      <c r="W71" s="167">
        <f>IFERROR(VLOOKUP(W$3,'Datos precios'!$D$575:$K$577,8,FALSE),0)</f>
        <v>0</v>
      </c>
      <c r="X71" s="167">
        <f>IFERROR(VLOOKUP(X$3,'Datos precios'!$D$575:$K$577,8,FALSE),0)</f>
        <v>0</v>
      </c>
      <c r="Y71" s="167">
        <f>IFERROR(VLOOKUP(Y$3,'Datos precios'!$D$575:$K$577,8,FALSE),0)</f>
        <v>174</v>
      </c>
      <c r="Z71" s="167">
        <f>IFERROR(VLOOKUP(Z$3,'Datos precios'!$D$575:$K$577,8,FALSE),0)</f>
        <v>198</v>
      </c>
      <c r="AA71" s="167">
        <f>IFERROR(VLOOKUP(AA$3,'Datos precios'!$D$575:$K$577,8,FALSE),0)</f>
        <v>243</v>
      </c>
      <c r="AB71" s="167">
        <f>IFERROR(VLOOKUP(AB$3,'Datos precios'!$D$575:$K$577,8,FALSE),0)</f>
        <v>0</v>
      </c>
      <c r="AC71" s="167">
        <f>IFERROR(VLOOKUP(AC$3,'Datos precios'!$D$575:$K$577,8,FALSE),0)</f>
        <v>0</v>
      </c>
      <c r="AD71" s="167">
        <f>IFERROR(VLOOKUP(AD$3,'Datos precios'!$D$575:$K$577,8,FALSE),0)</f>
        <v>0</v>
      </c>
      <c r="AE71" s="167">
        <f>IFERROR(VLOOKUP(AE$3,'Datos precios'!$D$575:$K$577,8,FALSE),0)</f>
        <v>0</v>
      </c>
      <c r="AF71" s="167">
        <f>IFERROR(VLOOKUP(AF$3,'Datos precios'!$D$575:$K$577,8,FALSE),0)</f>
        <v>0</v>
      </c>
      <c r="AG71" s="167">
        <f>IFERROR(VLOOKUP(AG$3,'Datos precios'!$D$575:$K$577,8,FALSE),0)</f>
        <v>0</v>
      </c>
      <c r="AH71" s="167">
        <f>IFERROR(VLOOKUP(AH$3,'Datos precios'!$D$575:$K$577,8,FALSE),0)</f>
        <v>0</v>
      </c>
      <c r="AI71" s="167">
        <f>IFERROR(VLOOKUP(AI$3,'Datos precios'!$D$575:$K$577,8,FALSE),0)</f>
        <v>0</v>
      </c>
      <c r="AJ71" s="167">
        <f>IFERROR(VLOOKUP(AJ$3,'Datos precios'!$D$575:$K$577,8,FALSE),0)</f>
        <v>0</v>
      </c>
      <c r="AK71" s="167">
        <f>IFERROR(VLOOKUP(AK$3,'Datos precios'!$D$575:$K$577,8,FALSE),0)</f>
        <v>0</v>
      </c>
      <c r="AL71" s="167">
        <f>IFERROR(VLOOKUP(AL$3,'Datos precios'!$D$575:$K$577,8,FALSE),0)</f>
        <v>0</v>
      </c>
      <c r="AM71" s="167">
        <f>IFERROR(VLOOKUP(AM$3,'Datos precios'!$D$575:$K$577,8,FALSE),0)</f>
        <v>0</v>
      </c>
      <c r="AN71" s="167">
        <f>IFERROR(VLOOKUP(AN$3,'Datos precios'!$D$575:$K$577,8,FALSE),0)</f>
        <v>0</v>
      </c>
      <c r="AO71" s="167">
        <f>IFERROR(VLOOKUP(AO$3,'Datos precios'!$D$575:$K$577,8,FALSE),0)</f>
        <v>0</v>
      </c>
      <c r="AP71" s="167">
        <f>IFERROR(VLOOKUP(AP$3,'Datos precios'!$D$575:$K$577,8,FALSE),0)</f>
        <v>0</v>
      </c>
      <c r="AQ71" s="167">
        <f>IFERROR(VLOOKUP(AQ$3,'Datos precios'!$D$575:$K$577,8,FALSE),0)</f>
        <v>0</v>
      </c>
      <c r="AR71" s="167">
        <f>IFERROR(VLOOKUP(AR$3,'Datos precios'!$D$575:$K$577,8,FALSE),0)</f>
        <v>0</v>
      </c>
      <c r="AS71" s="167">
        <f>IFERROR(VLOOKUP(AS$3,'Datos precios'!$D$575:$K$577,8,FALSE),0)</f>
        <v>0</v>
      </c>
      <c r="AT71" s="167">
        <f>IFERROR(VLOOKUP(AT$3,'Datos precios'!$D$575:$K$577,8,FALSE),0)</f>
        <v>0</v>
      </c>
      <c r="AU71" s="167">
        <f>IFERROR(VLOOKUP(AU$3,'Datos precios'!$D$575:$K$577,8,FALSE),0)</f>
        <v>0</v>
      </c>
      <c r="AV71" s="167">
        <f>IFERROR(VLOOKUP(AV$3,'Datos precios'!$D$575:$K$577,8,FALSE),0)</f>
        <v>0</v>
      </c>
      <c r="AW71" s="167">
        <f>IFERROR(VLOOKUP(AW$3,'Datos precios'!$D$575:$K$577,8,FALSE),0)</f>
        <v>0</v>
      </c>
      <c r="AX71" s="167">
        <f>IFERROR(VLOOKUP(AX$3,'Datos precios'!$D$575:$K$577,8,FALSE),0)</f>
        <v>0</v>
      </c>
      <c r="AY71" s="167">
        <f>IFERROR(VLOOKUP(AY$3,'Datos precios'!$D$575:$K$577,8,FALSE),0)</f>
        <v>0</v>
      </c>
      <c r="AZ71" s="167">
        <f>IFERROR(VLOOKUP(AZ$3,'Datos precios'!$D$575:$K$577,8,FALSE),0)</f>
        <v>0</v>
      </c>
      <c r="BA71" s="167">
        <f>IFERROR(VLOOKUP(BA$3,'Datos precios'!$D$575:$K$577,8,FALSE),0)</f>
        <v>0</v>
      </c>
      <c r="BB71" s="167">
        <f>IFERROR(VLOOKUP(BB$3,'Datos precios'!$D$575:$K$577,8,FALSE),0)</f>
        <v>0</v>
      </c>
      <c r="BC71" s="167">
        <f>IFERROR(VLOOKUP(BC$3,'Datos precios'!$D$575:$K$577,8,FALSE),0)</f>
        <v>0</v>
      </c>
      <c r="BD71" s="167">
        <f>IFERROR(VLOOKUP(BD$3,'Datos precios'!$D$575:$K$577,8,FALSE),0)</f>
        <v>0</v>
      </c>
      <c r="BE71" s="167">
        <f>IFERROR(VLOOKUP(BE$3,'Datos precios'!$D$575:$K$577,8,FALSE),0)</f>
        <v>0</v>
      </c>
      <c r="BF71" s="167">
        <f>IFERROR(VLOOKUP(BF$3,'Datos precios'!$D$575:$K$577,8,FALSE),0)</f>
        <v>0</v>
      </c>
      <c r="BG71" s="167">
        <f>IFERROR(VLOOKUP(BG$3,'Datos precios'!$D$575:$K$577,8,FALSE),0)</f>
        <v>0</v>
      </c>
      <c r="BH71" s="167">
        <f>IFERROR(VLOOKUP(BH$3,'Datos precios'!$D$575:$K$577,8,FALSE),0)</f>
        <v>0</v>
      </c>
      <c r="BI71" s="167">
        <f>IFERROR(VLOOKUP(BI$3,'Datos precios'!$D$575:$K$577,8,FALSE),0)</f>
        <v>0</v>
      </c>
      <c r="BJ71" s="167">
        <f>IFERROR(VLOOKUP(BJ$3,'Datos precios'!$D$575:$K$577,8,FALSE),0)</f>
        <v>0</v>
      </c>
      <c r="BK71" s="167">
        <f>IFERROR(VLOOKUP(BK$3,'Datos precios'!$D$575:$K$577,8,FALSE),0)</f>
        <v>0</v>
      </c>
      <c r="BL71" s="167">
        <f>IFERROR(VLOOKUP(BL$3,'Datos precios'!$D$575:$K$577,8,FALSE),0)</f>
        <v>0</v>
      </c>
      <c r="BM71" s="167">
        <f>IFERROR(VLOOKUP(BM$3,'Datos precios'!$D$575:$K$577,8,FALSE),0)</f>
        <v>0</v>
      </c>
      <c r="BN71" s="167">
        <f>IFERROR(VLOOKUP(BN$3,'Datos precios'!$D$575:$K$577,8,FALSE),0)</f>
        <v>0</v>
      </c>
      <c r="BO71" s="167">
        <f>IFERROR(VLOOKUP(BO$3,'Datos precios'!$D$575:$K$577,8,FALSE),0)</f>
        <v>0</v>
      </c>
      <c r="BP71" s="167">
        <f>IFERROR(VLOOKUP(BP$3,'Datos precios'!$D$575:$K$577,8,FALSE),0)</f>
        <v>0</v>
      </c>
      <c r="BQ71" s="167">
        <f>IFERROR(VLOOKUP(BQ$3,'Datos precios'!$D$575:$K$577,8,FALSE),0)</f>
        <v>0</v>
      </c>
      <c r="BR71" s="167">
        <f>IFERROR(VLOOKUP(BR$3,'Datos precios'!$D$575:$K$577,8,FALSE),0)</f>
        <v>0</v>
      </c>
      <c r="BS71" s="167">
        <f>IFERROR(VLOOKUP(BS$3,'Datos precios'!$D$575:$K$577,8,FALSE),0)</f>
        <v>0</v>
      </c>
      <c r="BT71" s="167">
        <f>IFERROR(VLOOKUP(BT$3,'Datos precios'!$D$575:$K$577,8,FALSE),0)</f>
        <v>0</v>
      </c>
      <c r="BU71" s="167">
        <f>IFERROR(VLOOKUP(BU$3,'Datos precios'!$D$575:$K$577,8,FALSE),0)</f>
        <v>0</v>
      </c>
      <c r="BV71" s="167">
        <f>IFERROR(VLOOKUP(BV$3,'Datos precios'!$D$575:$K$577,8,FALSE),0)</f>
        <v>0</v>
      </c>
      <c r="BW71" s="167">
        <f>IFERROR(VLOOKUP(BW$3,'Datos precios'!$D$575:$K$577,8,FALSE),0)</f>
        <v>0</v>
      </c>
      <c r="BX71" s="167">
        <f>IFERROR(VLOOKUP(BX$3,'Datos precios'!$D$575:$K$577,8,FALSE),0)</f>
        <v>0</v>
      </c>
      <c r="BY71" s="167">
        <f>IFERROR(VLOOKUP(BY$3,'Datos precios'!$D$575:$K$577,8,FALSE),0)</f>
        <v>0</v>
      </c>
      <c r="BZ71" s="167">
        <f>IFERROR(VLOOKUP(BZ$3,'Datos precios'!$D$575:$K$577,8,FALSE),0)</f>
        <v>0</v>
      </c>
      <c r="CA71" s="167">
        <f>IFERROR(VLOOKUP(CA$3,'Datos precios'!$D$575:$K$577,8,FALSE),0)</f>
        <v>0</v>
      </c>
      <c r="CB71" s="167">
        <f>IFERROR(VLOOKUP(CB$3,'Datos precios'!$D$575:$K$577,8,FALSE),0)</f>
        <v>0</v>
      </c>
      <c r="CC71" s="167">
        <f>IFERROR(VLOOKUP(CC$3,'Datos precios'!$D$575:$K$577,8,FALSE),0)</f>
        <v>0</v>
      </c>
      <c r="CD71" s="167">
        <f>IFERROR(VLOOKUP(CD$3,'Datos precios'!$D$575:$K$577,8,FALSE),0)</f>
        <v>0</v>
      </c>
      <c r="CE71" s="167">
        <f>IFERROR(VLOOKUP(CE$3,'Datos precios'!$D$575:$K$577,8,FALSE),0)</f>
        <v>0</v>
      </c>
      <c r="CF71" s="167">
        <f>IFERROR(VLOOKUP(CF$3,'Datos precios'!$D$575:$K$577,8,FALSE),0)</f>
        <v>0</v>
      </c>
      <c r="CG71" s="167">
        <f>IFERROR(VLOOKUP(CG$3,'Datos precios'!$D$575:$K$577,8,FALSE),0)</f>
        <v>0</v>
      </c>
      <c r="CH71" s="167">
        <f>IFERROR(VLOOKUP(CH$3,'Datos precios'!$D$575:$K$577,8,FALSE),0)</f>
        <v>0</v>
      </c>
      <c r="CI71" s="167">
        <f>IFERROR(VLOOKUP(CI$3,'Datos precios'!$D$575:$K$577,8,FALSE),0)</f>
        <v>0</v>
      </c>
      <c r="CJ71" s="167">
        <f>IFERROR(VLOOKUP(CJ$3,'Datos precios'!$D$575:$K$577,8,FALSE),0)</f>
        <v>0</v>
      </c>
      <c r="CK71" s="167">
        <f>IFERROR(VLOOKUP(CK$3,'Datos precios'!$D$575:$K$577,8,FALSE),0)</f>
        <v>0</v>
      </c>
      <c r="CL71" s="167">
        <f>IFERROR(VLOOKUP(CL$3,'Datos precios'!$D$575:$K$577,8,FALSE),0)</f>
        <v>0</v>
      </c>
      <c r="CM71" s="167">
        <f>IFERROR(VLOOKUP(CM$3,'Datos precios'!$D$575:$K$577,8,FALSE),0)</f>
        <v>0</v>
      </c>
      <c r="CN71" s="167">
        <f>IFERROR(VLOOKUP(CN$3,'Datos precios'!$D$575:$K$577,8,FALSE),0)</f>
        <v>0</v>
      </c>
      <c r="CO71" s="167">
        <f>IFERROR(VLOOKUP(CO$3,'Datos precios'!$D$575:$K$577,8,FALSE),0)</f>
        <v>0</v>
      </c>
      <c r="CP71" s="167">
        <f>IFERROR(VLOOKUP(CP$3,'Datos precios'!$D$575:$K$577,8,FALSE),0)</f>
        <v>0</v>
      </c>
      <c r="CQ71" s="167">
        <f>IFERROR(VLOOKUP(CQ$3,'Datos precios'!$D$575:$K$577,8,FALSE),0)</f>
        <v>0</v>
      </c>
      <c r="CR71" s="167">
        <f>IFERROR(VLOOKUP(CR$3,'Datos precios'!$D$575:$K$577,8,FALSE),0)</f>
        <v>0</v>
      </c>
      <c r="CS71" s="167">
        <f>IFERROR(VLOOKUP(CS$3,'Datos precios'!$D$575:$K$577,8,FALSE),0)</f>
        <v>0</v>
      </c>
      <c r="CT71" s="167">
        <f>IFERROR(VLOOKUP(CT$3,'Datos precios'!$D$575:$K$577,8,FALSE),0)</f>
        <v>0</v>
      </c>
      <c r="CU71" s="167">
        <f>IFERROR(VLOOKUP(CU$3,'Datos precios'!$D$575:$K$577,8,FALSE),0)</f>
        <v>0</v>
      </c>
      <c r="CV71" s="167">
        <f>IFERROR(VLOOKUP(CV$3,'Datos precios'!$D$575:$K$577,8,FALSE),0)</f>
        <v>0</v>
      </c>
      <c r="CW71" s="167">
        <f>IFERROR(VLOOKUP(CW$3,'Datos precios'!$D$575:$K$577,8,FALSE),0)</f>
        <v>0</v>
      </c>
      <c r="CX71" s="167">
        <f>IFERROR(VLOOKUP(CX$3,'Datos precios'!$D$575:$K$577,8,FALSE),0)</f>
        <v>0</v>
      </c>
      <c r="CY71" s="167">
        <f>IFERROR(VLOOKUP(CY$3,'Datos precios'!$D$575:$K$577,8,FALSE),0)</f>
        <v>0</v>
      </c>
      <c r="CZ71" s="167">
        <f>IFERROR(VLOOKUP(CZ$3,'Datos precios'!$D$575:$K$577,8,FALSE),0)</f>
        <v>0</v>
      </c>
      <c r="DA71" s="167">
        <f>IFERROR(VLOOKUP(DA$3,'Datos precios'!$D$575:$K$577,8,FALSE),0)</f>
        <v>0</v>
      </c>
      <c r="DB71" s="167">
        <f>IFERROR(VLOOKUP(DB$3,'Datos precios'!$D$575:$K$577,8,FALSE),0)</f>
        <v>0</v>
      </c>
      <c r="DC71" s="167">
        <f>IFERROR(VLOOKUP(DC$3,'Datos precios'!$D$575:$K$577,8,FALSE),0)</f>
        <v>0</v>
      </c>
      <c r="DD71" s="167">
        <f>IFERROR(VLOOKUP(DD$3,'Datos precios'!$D$575:$K$577,8,FALSE),0)</f>
        <v>0</v>
      </c>
      <c r="DE71" s="167">
        <f>IFERROR(VLOOKUP(DE$3,'Datos precios'!$D$575:$K$577,8,FALSE),0)</f>
        <v>0</v>
      </c>
      <c r="DF71" s="167">
        <f>IFERROR(VLOOKUP(DF$3,'Datos precios'!$D$575:$K$577,8,FALSE),0)</f>
        <v>0</v>
      </c>
      <c r="DG71" s="167">
        <f>IFERROR(VLOOKUP(DG$3,'Datos precios'!$D$575:$K$577,8,FALSE),0)</f>
        <v>0</v>
      </c>
      <c r="DH71" s="167">
        <f>IFERROR(VLOOKUP(DH$3,'Datos precios'!$D$575:$K$577,8,FALSE),0)</f>
        <v>0</v>
      </c>
      <c r="DI71" s="167">
        <f>IFERROR(VLOOKUP(DI$3,'Datos precios'!$D$575:$K$577,8,FALSE),0)</f>
        <v>0</v>
      </c>
      <c r="DJ71" s="167">
        <f>IFERROR(VLOOKUP(DJ$3,'Datos precios'!$D$575:$K$577,8,FALSE),0)</f>
        <v>0</v>
      </c>
      <c r="DK71" s="167">
        <f>IFERROR(VLOOKUP(DK$3,'Datos precios'!$D$575:$K$577,8,FALSE),0)</f>
        <v>0</v>
      </c>
      <c r="DL71" s="167">
        <f>IFERROR(VLOOKUP(DL$3,'Datos precios'!$D$575:$K$577,8,FALSE),0)</f>
        <v>0</v>
      </c>
      <c r="DM71" s="167">
        <f>IFERROR(VLOOKUP(DM$3,'Datos precios'!$D$575:$K$577,8,FALSE),0)</f>
        <v>0</v>
      </c>
      <c r="DN71" s="167">
        <f>IFERROR(VLOOKUP(DN$3,'Datos precios'!$D$575:$K$577,8,FALSE),0)</f>
        <v>0</v>
      </c>
      <c r="DO71" s="160"/>
      <c r="DP71" s="160"/>
      <c r="DQ71" s="160"/>
      <c r="DR71" s="160"/>
      <c r="DS71" s="160"/>
      <c r="DT71" s="160"/>
      <c r="DU71" s="160"/>
      <c r="DV71" s="160"/>
      <c r="DW71" s="160"/>
      <c r="DX71" s="160"/>
      <c r="DY71" s="160"/>
      <c r="DZ71" s="160"/>
      <c r="EA71" s="160"/>
      <c r="EB71" s="160"/>
      <c r="EC71" s="160"/>
      <c r="ED71" s="160"/>
      <c r="EE71" s="160"/>
      <c r="EF71" s="160"/>
      <c r="EG71" s="160"/>
      <c r="EH71" s="160"/>
      <c r="EI71" s="160"/>
      <c r="EJ71" s="160"/>
      <c r="EK71" s="160"/>
      <c r="EL71" s="160"/>
      <c r="EM71" s="160"/>
      <c r="EN71" s="160"/>
      <c r="EO71" s="160"/>
      <c r="EP71" s="160"/>
      <c r="EQ71" s="160"/>
      <c r="ER71" s="160"/>
      <c r="ES71" s="160"/>
      <c r="ET71" s="160"/>
      <c r="EU71" s="160"/>
      <c r="EV71" s="160"/>
      <c r="EW71" s="160"/>
      <c r="EX71" s="160"/>
      <c r="EY71" s="160"/>
      <c r="EZ71" s="160"/>
      <c r="FA71" s="160"/>
      <c r="FB71" s="160"/>
      <c r="FC71" s="160"/>
      <c r="FD71" s="160"/>
      <c r="FE71" s="160"/>
      <c r="FF71" s="160"/>
      <c r="FG71" s="160"/>
      <c r="FH71" s="160"/>
      <c r="FI71" s="160"/>
      <c r="FJ71" s="160"/>
      <c r="FK71" s="160"/>
      <c r="FL71" s="160"/>
      <c r="FM71" s="160"/>
      <c r="FN71" s="160"/>
      <c r="FO71" s="160"/>
      <c r="FP71" s="160"/>
      <c r="FQ71" s="160"/>
      <c r="FR71" s="160"/>
      <c r="FS71" s="160"/>
      <c r="FT71" s="160"/>
      <c r="FU71" s="160"/>
      <c r="FV71" s="160"/>
      <c r="FW71" s="160"/>
      <c r="FX71" s="160"/>
      <c r="FY71" s="160"/>
      <c r="FZ71" s="160"/>
      <c r="GA71" s="160"/>
      <c r="GB71" s="160"/>
      <c r="GC71" s="160"/>
      <c r="GD71" s="160"/>
      <c r="GE71" s="160"/>
      <c r="GF71" s="160"/>
      <c r="GG71" s="160"/>
      <c r="GH71" s="160"/>
      <c r="GI71" s="160"/>
      <c r="GJ71" s="160"/>
      <c r="GK71" s="160"/>
      <c r="GL71" s="160"/>
      <c r="GM71" s="160"/>
      <c r="GN71" s="160"/>
      <c r="GO71" s="160"/>
      <c r="GP71" s="160"/>
      <c r="GQ71" s="160"/>
      <c r="GR71" s="160"/>
      <c r="GS71" s="160"/>
      <c r="GT71" s="160"/>
      <c r="GU71" s="160"/>
      <c r="GV71" s="160"/>
      <c r="GW71" s="160"/>
      <c r="GX71" s="160"/>
      <c r="GY71" s="160"/>
      <c r="GZ71" s="160"/>
      <c r="HA71" s="160"/>
      <c r="HB71" s="160"/>
      <c r="HC71" s="160"/>
      <c r="HD71" s="160"/>
      <c r="HE71" s="160"/>
      <c r="HF71" s="160"/>
      <c r="HG71" s="160"/>
      <c r="HH71" s="160"/>
      <c r="HI71" s="160"/>
      <c r="HJ71" s="160"/>
      <c r="HK71" s="160"/>
      <c r="HL71" s="160"/>
    </row>
    <row r="72" spans="2:221" s="262" customFormat="1" x14ac:dyDescent="0.25">
      <c r="C72" s="103" t="s">
        <v>1309</v>
      </c>
      <c r="G72" s="263" t="s">
        <v>427</v>
      </c>
      <c r="H72" s="262" t="s">
        <v>534</v>
      </c>
      <c r="I72" s="653">
        <f>IFERROR(MID(VLOOKUP(I$8,'Info planes y paquetes'!$A$472:$BS$579,61,FALSE),1,FIND("m",VLOOKUP(I$8,'Info planes y paquetes'!$A$472:$BS$579,61,FALSE),1)-1),0)</f>
        <v>0</v>
      </c>
      <c r="J72" s="653">
        <f>IFERROR(MID(VLOOKUP(J$8,'Info planes y paquetes'!$A$472:$BS$579,61,FALSE),1,FIND("m",VLOOKUP(J$8,'Info planes y paquetes'!$A$472:$BS$579,61,FALSE),1)-1),0)</f>
        <v>0</v>
      </c>
      <c r="K72" s="653">
        <f>IFERROR(MID(VLOOKUP(K$8,'Info planes y paquetes'!$A$472:$BS$579,61,FALSE),1,FIND("m",VLOOKUP(K$8,'Info planes y paquetes'!$A$472:$BS$579,61,FALSE),1)-1),0)</f>
        <v>0</v>
      </c>
      <c r="L72" s="653">
        <f>IFERROR(MID(VLOOKUP(L$8,'Info planes y paquetes'!$A$472:$BS$579,61,FALSE),1,FIND("m",VLOOKUP(L$8,'Info planes y paquetes'!$A$472:$BS$579,61,FALSE),1)-1),0)</f>
        <v>0</v>
      </c>
      <c r="M72" s="653">
        <f>IFERROR(MID(VLOOKUP(M$8,'Info planes y paquetes'!$A$472:$BS$579,61,FALSE),1,FIND("m",VLOOKUP(M$8,'Info planes y paquetes'!$A$472:$BS$579,61,FALSE),1)-1),0)</f>
        <v>0</v>
      </c>
      <c r="N72" s="653">
        <f>IFERROR(MID(VLOOKUP(N$8,'Info planes y paquetes'!$A$472:$BS$579,61,FALSE),1,FIND("m",VLOOKUP(N$8,'Info planes y paquetes'!$A$472:$BS$579,61,FALSE),1)-1),0)</f>
        <v>0</v>
      </c>
      <c r="O72" s="653">
        <f>IFERROR(MID(VLOOKUP(O$8,'Info planes y paquetes'!$A$472:$BS$579,61,FALSE),1,FIND("m",VLOOKUP(O$8,'Info planes y paquetes'!$A$472:$BS$579,61,FALSE),1)-1),0)</f>
        <v>0</v>
      </c>
      <c r="P72" s="653">
        <f>IFERROR(MID(VLOOKUP(P$8,'Info planes y paquetes'!$A$472:$BS$579,61,FALSE),1,FIND("m",VLOOKUP(P$8,'Info planes y paquetes'!$A$472:$BS$579,61,FALSE),1)-1),0)</f>
        <v>0</v>
      </c>
      <c r="Q72" s="653">
        <f>IFERROR(MID(VLOOKUP(Q$8,'Info planes y paquetes'!$A$472:$BS$579,61,FALSE),1,FIND("m",VLOOKUP(Q$8,'Info planes y paquetes'!$A$472:$BS$579,61,FALSE),1)-1),0)</f>
        <v>0</v>
      </c>
      <c r="R72" s="653">
        <f>IFERROR(MID(VLOOKUP(R$8,'Info planes y paquetes'!$A$472:$BS$579,61,FALSE),1,FIND("m",VLOOKUP(R$8,'Info planes y paquetes'!$A$472:$BS$579,61,FALSE),1)-1),0)</f>
        <v>0</v>
      </c>
      <c r="S72" s="653">
        <f>IFERROR(MID(VLOOKUP(S$8,'Info planes y paquetes'!$A$472:$BS$579,61,FALSE),1,FIND("m",VLOOKUP(S$8,'Info planes y paquetes'!$A$472:$BS$579,61,FALSE),1)-1),0)</f>
        <v>0</v>
      </c>
      <c r="T72" s="653">
        <f>IFERROR(MID(VLOOKUP(T$8,'Info planes y paquetes'!$A$472:$BS$579,61,FALSE),1,FIND("m",VLOOKUP(T$8,'Info planes y paquetes'!$A$472:$BS$579,61,FALSE),1)-1),0)</f>
        <v>0</v>
      </c>
      <c r="U72" s="653">
        <f>IFERROR(MID(VLOOKUP(U$8,'Info planes y paquetes'!$A$472:$BS$579,61,FALSE),1,FIND("m",VLOOKUP(U$8,'Info planes y paquetes'!$A$472:$BS$579,61,FALSE),1)-1),0)</f>
        <v>0</v>
      </c>
      <c r="V72" s="653">
        <f>IFERROR(MID(VLOOKUP(V$8,'Info planes y paquetes'!$A$472:$BS$579,61,FALSE),1,FIND("m",VLOOKUP(V$8,'Info planes y paquetes'!$A$472:$BS$579,61,FALSE),1)-1),0)</f>
        <v>0</v>
      </c>
      <c r="W72" s="653">
        <f>IFERROR(MID(VLOOKUP(W$8,'Info planes y paquetes'!$A$472:$BS$579,61,FALSE),1,FIND("m",VLOOKUP(W$8,'Info planes y paquetes'!$A$472:$BS$579,61,FALSE),1)-1),0)</f>
        <v>0</v>
      </c>
      <c r="X72" s="653">
        <f>IFERROR(MID(VLOOKUP(X$8,'Info planes y paquetes'!$A$472:$BS$579,61,FALSE),1,FIND("m",VLOOKUP(X$8,'Info planes y paquetes'!$A$472:$BS$579,61,FALSE),1)-1),0)</f>
        <v>0</v>
      </c>
      <c r="Y72" s="653" t="str">
        <f>IFERROR(MID(VLOOKUP(Y$8,'Info planes y paquetes'!$A$472:$BS$579,61,FALSE),1,FIND("m",VLOOKUP(Y$8,'Info planes y paquetes'!$A$472:$BS$579,61,FALSE),1)-1),0)</f>
        <v xml:space="preserve">3 </v>
      </c>
      <c r="Z72" s="653" t="str">
        <f>IFERROR(MID(VLOOKUP(Z$8,'Info planes y paquetes'!$A$472:$BS$579,61,FALSE),1,FIND("m",VLOOKUP(Z$8,'Info planes y paquetes'!$A$472:$BS$579,61,FALSE),1)-1),0)</f>
        <v xml:space="preserve">3 </v>
      </c>
      <c r="AA72" s="653" t="str">
        <f>IFERROR(MID(VLOOKUP(AA$8,'Info planes y paquetes'!$A$472:$BS$579,61,FALSE),1,FIND("m",VLOOKUP(AA$8,'Info planes y paquetes'!$A$472:$BS$579,61,FALSE),1)-1),0)</f>
        <v xml:space="preserve">3 </v>
      </c>
      <c r="AB72" s="653">
        <f>IFERROR(MID(VLOOKUP(AB$8,'Info planes y paquetes'!$A$472:$BS$579,61,FALSE),1,FIND("m",VLOOKUP(AB$8,'Info planes y paquetes'!$A$472:$BS$579,61,FALSE),1)-1),0)</f>
        <v>0</v>
      </c>
      <c r="AC72" s="653">
        <f>IFERROR(MID(VLOOKUP(AC$8,'Info planes y paquetes'!$A$472:$BS$579,61,FALSE),1,FIND("m",VLOOKUP(AC$8,'Info planes y paquetes'!$A$472:$BS$579,61,FALSE),1)-1),0)</f>
        <v>0</v>
      </c>
      <c r="AD72" s="653">
        <f>IFERROR(MID(VLOOKUP(AD$8,'Info planes y paquetes'!$A$472:$BS$579,61,FALSE),1,FIND("m",VLOOKUP(AD$8,'Info planes y paquetes'!$A$472:$BS$579,61,FALSE),1)-1),0)</f>
        <v>0</v>
      </c>
      <c r="AE72" s="653">
        <f>IFERROR(MID(VLOOKUP(AE$8,'Info planes y paquetes'!$A$472:$BS$579,61,FALSE),1,FIND("m",VLOOKUP(AE$8,'Info planes y paquetes'!$A$472:$BS$579,61,FALSE),1)-1),0)</f>
        <v>0</v>
      </c>
      <c r="AF72" s="653">
        <f>IFERROR(MID(VLOOKUP(AF$8,'Info planes y paquetes'!$A$472:$BS$579,61,FALSE),1,FIND("m",VLOOKUP(AF$8,'Info planes y paquetes'!$A$472:$BS$579,61,FALSE),1)-1),0)</f>
        <v>0</v>
      </c>
      <c r="AG72" s="653">
        <f>IFERROR(MID(VLOOKUP(AG$8,'Info planes y paquetes'!$A$472:$BS$579,61,FALSE),1,FIND("m",VLOOKUP(AG$8,'Info planes y paquetes'!$A$472:$BS$579,61,FALSE),1)-1),0)</f>
        <v>0</v>
      </c>
      <c r="AH72" s="653">
        <f>IFERROR(MID(VLOOKUP(AH$8,'Info planes y paquetes'!$A$472:$BS$579,61,FALSE),1,FIND("m",VLOOKUP(AH$8,'Info planes y paquetes'!$A$472:$BS$579,61,FALSE),1)-1),0)</f>
        <v>0</v>
      </c>
      <c r="AI72" s="653">
        <f>IFERROR(MID(VLOOKUP(AI$8,'Info planes y paquetes'!$A$472:$BS$579,61,FALSE),1,FIND("m",VLOOKUP(AI$8,'Info planes y paquetes'!$A$472:$BS$579,61,FALSE),1)-1),0)</f>
        <v>0</v>
      </c>
      <c r="AJ72" s="653">
        <f>IFERROR(MID(VLOOKUP(AJ$8,'Info planes y paquetes'!$A$472:$BS$579,61,FALSE),1,FIND("m",VLOOKUP(AJ$8,'Info planes y paquetes'!$A$472:$BS$579,61,FALSE),1)-1),0)</f>
        <v>0</v>
      </c>
      <c r="AK72" s="653">
        <f>IFERROR(MID(VLOOKUP(AK$8,'Info planes y paquetes'!$A$472:$BS$579,61,FALSE),1,FIND("m",VLOOKUP(AK$8,'Info planes y paquetes'!$A$472:$BS$579,61,FALSE),1)-1),0)</f>
        <v>0</v>
      </c>
      <c r="AL72" s="653">
        <f>IFERROR(MID(VLOOKUP(AL$8,'Info planes y paquetes'!$A$472:$BS$579,61,FALSE),1,FIND("m",VLOOKUP(AL$8,'Info planes y paquetes'!$A$472:$BS$579,61,FALSE),1)-1),0)</f>
        <v>0</v>
      </c>
      <c r="AM72" s="653">
        <f>IFERROR(MID(VLOOKUP(AM$8,'Info planes y paquetes'!$A$472:$BS$579,61,FALSE),1,FIND("m",VLOOKUP(AM$8,'Info planes y paquetes'!$A$472:$BS$579,61,FALSE),1)-1),0)</f>
        <v>0</v>
      </c>
      <c r="AN72" s="653">
        <f>IFERROR(MID(VLOOKUP(AN$8,'Info planes y paquetes'!$A$472:$BS$579,61,FALSE),1,FIND("m",VLOOKUP(AN$8,'Info planes y paquetes'!$A$472:$BS$579,61,FALSE),1)-1),0)</f>
        <v>0</v>
      </c>
      <c r="AO72" s="653">
        <f>IFERROR(MID(VLOOKUP(AO$8,'Info planes y paquetes'!$A$472:$BS$579,61,FALSE),1,FIND("m",VLOOKUP(AO$8,'Info planes y paquetes'!$A$472:$BS$579,61,FALSE),1)-1),0)</f>
        <v>0</v>
      </c>
      <c r="AP72" s="653">
        <f>IFERROR(MID(VLOOKUP(AP$8,'Info planes y paquetes'!$A$472:$BS$579,61,FALSE),1,FIND("m",VLOOKUP(AP$8,'Info planes y paquetes'!$A$472:$BS$579,61,FALSE),1)-1),0)</f>
        <v>0</v>
      </c>
      <c r="AQ72" s="653">
        <f>IFERROR(MID(VLOOKUP(AQ$8,'Info planes y paquetes'!$A$472:$BS$579,61,FALSE),1,FIND("m",VLOOKUP(AQ$8,'Info planes y paquetes'!$A$472:$BS$579,61,FALSE),1)-1),0)</f>
        <v>0</v>
      </c>
      <c r="AR72" s="653">
        <f>IFERROR(MID(VLOOKUP(AR$8,'Info planes y paquetes'!$A$472:$BS$579,61,FALSE),1,FIND("m",VLOOKUP(AR$8,'Info planes y paquetes'!$A$472:$BS$579,61,FALSE),1)-1),0)</f>
        <v>0</v>
      </c>
      <c r="AS72" s="653">
        <f>IFERROR(MID(VLOOKUP(AS$8,'Info planes y paquetes'!$A$472:$BS$579,61,FALSE),1,FIND("m",VLOOKUP(AS$8,'Info planes y paquetes'!$A$472:$BS$579,61,FALSE),1)-1),0)</f>
        <v>0</v>
      </c>
      <c r="AT72" s="653">
        <f>IFERROR(MID(VLOOKUP(AT$8,'Info planes y paquetes'!$A$472:$BS$579,61,FALSE),1,FIND("m",VLOOKUP(AT$8,'Info planes y paquetes'!$A$472:$BS$579,61,FALSE),1)-1),0)</f>
        <v>0</v>
      </c>
      <c r="AU72" s="653">
        <f>IFERROR(MID(VLOOKUP(AU$8,'Info planes y paquetes'!$A$472:$BS$579,61,FALSE),1,FIND("m",VLOOKUP(AU$8,'Info planes y paquetes'!$A$472:$BS$579,61,FALSE),1)-1),0)</f>
        <v>0</v>
      </c>
      <c r="AV72" s="653">
        <f>IFERROR(MID(VLOOKUP(AV$8,'Info planes y paquetes'!$A$472:$BS$579,61,FALSE),1,FIND("m",VLOOKUP(AV$8,'Info planes y paquetes'!$A$472:$BS$579,61,FALSE),1)-1),0)</f>
        <v>0</v>
      </c>
      <c r="AW72" s="653">
        <f>IFERROR(MID(VLOOKUP(AW$8,'Info planes y paquetes'!$A$472:$BS$579,61,FALSE),1,FIND("m",VLOOKUP(AW$8,'Info planes y paquetes'!$A$472:$BS$579,61,FALSE),1)-1),0)</f>
        <v>0</v>
      </c>
      <c r="AX72" s="653">
        <f>IFERROR(MID(VLOOKUP(AX$8,'Info planes y paquetes'!$A$472:$BS$579,61,FALSE),1,FIND("m",VLOOKUP(AX$8,'Info planes y paquetes'!$A$472:$BS$579,61,FALSE),1)-1),0)</f>
        <v>0</v>
      </c>
      <c r="AY72" s="653">
        <f>IFERROR(MID(VLOOKUP(AY$8,'Info planes y paquetes'!$A$472:$BS$579,61,FALSE),1,FIND("m",VLOOKUP(AY$8,'Info planes y paquetes'!$A$472:$BS$579,61,FALSE),1)-1),0)</f>
        <v>0</v>
      </c>
      <c r="AZ72" s="653">
        <f>IFERROR(MID(VLOOKUP(AZ$8,'Info planes y paquetes'!$A$472:$BS$579,61,FALSE),1,FIND("m",VLOOKUP(AZ$8,'Info planes y paquetes'!$A$472:$BS$579,61,FALSE),1)-1),0)</f>
        <v>0</v>
      </c>
      <c r="BA72" s="653">
        <f>IFERROR(MID(VLOOKUP(BA$8,'Info planes y paquetes'!$A$472:$BS$579,61,FALSE),1,FIND("m",VLOOKUP(BA$8,'Info planes y paquetes'!$A$472:$BS$579,61,FALSE),1)-1),0)</f>
        <v>0</v>
      </c>
      <c r="BB72" s="653">
        <f>IFERROR(MID(VLOOKUP(BB$8,'Info planes y paquetes'!$A$472:$BS$579,61,FALSE),1,FIND("m",VLOOKUP(BB$8,'Info planes y paquetes'!$A$472:$BS$579,61,FALSE),1)-1),0)</f>
        <v>0</v>
      </c>
      <c r="BC72" s="653">
        <f>IFERROR(MID(VLOOKUP(BC$8,'Info planes y paquetes'!$A$472:$BS$579,61,FALSE),1,FIND("m",VLOOKUP(BC$8,'Info planes y paquetes'!$A$472:$BS$579,61,FALSE),1)-1),0)</f>
        <v>0</v>
      </c>
      <c r="BD72" s="653">
        <f>IFERROR(MID(VLOOKUP(BD$8,'Info planes y paquetes'!$A$472:$BS$579,61,FALSE),1,FIND("m",VLOOKUP(BD$8,'Info planes y paquetes'!$A$472:$BS$579,61,FALSE),1)-1),0)</f>
        <v>0</v>
      </c>
      <c r="BE72" s="653">
        <f>IFERROR(MID(VLOOKUP(BE$8,'Info planes y paquetes'!$A$472:$BS$579,61,FALSE),1,FIND("m",VLOOKUP(BE$8,'Info planes y paquetes'!$A$472:$BS$579,61,FALSE),1)-1),0)</f>
        <v>0</v>
      </c>
      <c r="BF72" s="653">
        <f>IFERROR(MID(VLOOKUP(BF$8,'Info planes y paquetes'!$A$472:$BS$579,61,FALSE),1,FIND("m",VLOOKUP(BF$8,'Info planes y paquetes'!$A$472:$BS$579,61,FALSE),1)-1),0)</f>
        <v>0</v>
      </c>
      <c r="BG72" s="653">
        <f>IFERROR(MID(VLOOKUP(BG$8,'Info planes y paquetes'!$A$472:$BS$579,61,FALSE),1,FIND("m",VLOOKUP(BG$8,'Info planes y paquetes'!$A$472:$BS$579,61,FALSE),1)-1),0)</f>
        <v>0</v>
      </c>
      <c r="BH72" s="653">
        <f>IFERROR(MID(VLOOKUP(BH$8,'Info planes y paquetes'!$A$472:$BS$579,61,FALSE),1,FIND("m",VLOOKUP(BH$8,'Info planes y paquetes'!$A$472:$BS$579,61,FALSE),1)-1),0)</f>
        <v>0</v>
      </c>
      <c r="BI72" s="653">
        <f>IFERROR(MID(VLOOKUP(BI$8,'Info planes y paquetes'!$A$472:$BS$579,61,FALSE),1,FIND("m",VLOOKUP(BI$8,'Info planes y paquetes'!$A$472:$BS$579,61,FALSE),1)-1),0)</f>
        <v>0</v>
      </c>
      <c r="BJ72" s="653">
        <f>IFERROR(MID(VLOOKUP(BJ$8,'Info planes y paquetes'!$A$472:$BS$579,61,FALSE),1,FIND("m",VLOOKUP(BJ$8,'Info planes y paquetes'!$A$472:$BS$579,61,FALSE),1)-1),0)</f>
        <v>0</v>
      </c>
      <c r="BK72" s="653">
        <f>IFERROR(MID(VLOOKUP(BK$8,'Info planes y paquetes'!$A$472:$BS$579,61,FALSE),1,FIND("m",VLOOKUP(BK$8,'Info planes y paquetes'!$A$472:$BS$579,61,FALSE),1)-1),0)</f>
        <v>0</v>
      </c>
      <c r="BL72" s="653">
        <f>IFERROR(MID(VLOOKUP(BL$8,'Info planes y paquetes'!$A$472:$BS$579,61,FALSE),1,FIND("m",VLOOKUP(BL$8,'Info planes y paquetes'!$A$472:$BS$579,61,FALSE),1)-1),0)</f>
        <v>0</v>
      </c>
      <c r="BM72" s="653">
        <f>IFERROR(MID(VLOOKUP(BM$8,'Info planes y paquetes'!$A$472:$BS$579,61,FALSE),1,FIND("m",VLOOKUP(BM$8,'Info planes y paquetes'!$A$472:$BS$579,61,FALSE),1)-1),0)</f>
        <v>0</v>
      </c>
      <c r="BN72" s="653">
        <f>IFERROR(MID(VLOOKUP(BN$8,'Info planes y paquetes'!$A$472:$BS$579,61,FALSE),1,FIND("m",VLOOKUP(BN$8,'Info planes y paquetes'!$A$472:$BS$579,61,FALSE),1)-1),0)</f>
        <v>0</v>
      </c>
      <c r="BO72" s="653">
        <f>IFERROR(MID(VLOOKUP(BO$8,'Info planes y paquetes'!$A$472:$BS$579,61,FALSE),1,FIND("m",VLOOKUP(BO$8,'Info planes y paquetes'!$A$472:$BS$579,61,FALSE),1)-1),0)</f>
        <v>0</v>
      </c>
      <c r="BP72" s="653">
        <f>IFERROR(MID(VLOOKUP(BP$8,'Info planes y paquetes'!$A$472:$BS$579,61,FALSE),1,FIND("m",VLOOKUP(BP$8,'Info planes y paquetes'!$A$472:$BS$579,61,FALSE),1)-1),0)</f>
        <v>0</v>
      </c>
      <c r="BQ72" s="653">
        <f>IFERROR(MID(VLOOKUP(BQ$8,'Info planes y paquetes'!$A$472:$BS$579,61,FALSE),1,FIND("m",VLOOKUP(BQ$8,'Info planes y paquetes'!$A$472:$BS$579,61,FALSE),1)-1),0)</f>
        <v>0</v>
      </c>
      <c r="BR72" s="653">
        <f>IFERROR(MID(VLOOKUP(BR$8,'Info planes y paquetes'!$A$472:$BS$579,61,FALSE),1,FIND("m",VLOOKUP(BR$8,'Info planes y paquetes'!$A$472:$BS$579,61,FALSE),1)-1),0)</f>
        <v>0</v>
      </c>
      <c r="BS72" s="653">
        <f>IFERROR(MID(VLOOKUP(BS$8,'Info planes y paquetes'!$A$472:$BS$579,61,FALSE),1,FIND("m",VLOOKUP(BS$8,'Info planes y paquetes'!$A$472:$BS$579,61,FALSE),1)-1),0)</f>
        <v>0</v>
      </c>
      <c r="BT72" s="653">
        <f>IFERROR(MID(VLOOKUP(BT$8,'Info planes y paquetes'!$A$472:$BS$579,61,FALSE),1,FIND("m",VLOOKUP(BT$8,'Info planes y paquetes'!$A$472:$BS$579,61,FALSE),1)-1),0)</f>
        <v>0</v>
      </c>
      <c r="BU72" s="653">
        <f>IFERROR(MID(VLOOKUP(BU$8,'Info planes y paquetes'!$A$472:$BS$579,61,FALSE),1,FIND("m",VLOOKUP(BU$8,'Info planes y paquetes'!$A$472:$BS$579,61,FALSE),1)-1),0)</f>
        <v>0</v>
      </c>
      <c r="BV72" s="653">
        <f>IFERROR(MID(VLOOKUP(BV$8,'Info planes y paquetes'!$A$472:$BS$579,61,FALSE),1,FIND("m",VLOOKUP(BV$8,'Info planes y paquetes'!$A$472:$BS$579,61,FALSE),1)-1),0)</f>
        <v>0</v>
      </c>
      <c r="BW72" s="653">
        <f>IFERROR(MID(VLOOKUP(BW$8,'Info planes y paquetes'!$A$472:$BS$579,61,FALSE),1,FIND("m",VLOOKUP(BW$8,'Info planes y paquetes'!$A$472:$BS$579,61,FALSE),1)-1),0)</f>
        <v>0</v>
      </c>
      <c r="BX72" s="653">
        <f>IFERROR(MID(VLOOKUP(BX$8,'Info planes y paquetes'!$A$472:$BS$579,61,FALSE),1,FIND("m",VLOOKUP(BX$8,'Info planes y paquetes'!$A$472:$BS$579,61,FALSE),1)-1),0)</f>
        <v>0</v>
      </c>
      <c r="BY72" s="653">
        <f>IFERROR(MID(VLOOKUP(BY$8,'Info planes y paquetes'!$A$472:$BS$579,61,FALSE),1,FIND("m",VLOOKUP(BY$8,'Info planes y paquetes'!$A$472:$BS$579,61,FALSE),1)-1),0)</f>
        <v>0</v>
      </c>
      <c r="BZ72" s="653">
        <f>IFERROR(MID(VLOOKUP(BZ$8,'Info planes y paquetes'!$A$472:$BS$579,61,FALSE),1,FIND("m",VLOOKUP(BZ$8,'Info planes y paquetes'!$A$472:$BS$579,61,FALSE),1)-1),0)</f>
        <v>0</v>
      </c>
      <c r="CA72" s="653">
        <f>IFERROR(MID(VLOOKUP(CA$8,'Info planes y paquetes'!$A$472:$BS$579,61,FALSE),1,FIND("m",VLOOKUP(CA$8,'Info planes y paquetes'!$A$472:$BS$579,61,FALSE),1)-1),0)</f>
        <v>0</v>
      </c>
      <c r="CB72" s="653">
        <f>IFERROR(MID(VLOOKUP(CB$8,'Info planes y paquetes'!$A$472:$BS$579,61,FALSE),1,FIND("m",VLOOKUP(CB$8,'Info planes y paquetes'!$A$472:$BS$579,61,FALSE),1)-1),0)</f>
        <v>0</v>
      </c>
      <c r="CC72" s="653">
        <f>IFERROR(MID(VLOOKUP(CC$8,'Info planes y paquetes'!$A$472:$BS$579,61,FALSE),1,FIND("m",VLOOKUP(CC$8,'Info planes y paquetes'!$A$472:$BS$579,61,FALSE),1)-1),0)</f>
        <v>0</v>
      </c>
      <c r="CD72" s="653">
        <f>IFERROR(MID(VLOOKUP(CD$8,'Info planes y paquetes'!$A$472:$BS$579,61,FALSE),1,FIND("m",VLOOKUP(CD$8,'Info planes y paquetes'!$A$472:$BS$579,61,FALSE),1)-1),0)</f>
        <v>0</v>
      </c>
      <c r="CE72" s="653">
        <f>IFERROR(MID(VLOOKUP(CE$8,'Info planes y paquetes'!$A$472:$BS$579,61,FALSE),1,FIND("m",VLOOKUP(CE$8,'Info planes y paquetes'!$A$472:$BS$579,61,FALSE),1)-1),0)</f>
        <v>0</v>
      </c>
      <c r="CF72" s="653">
        <f>IFERROR(MID(VLOOKUP(CF$8,'Info planes y paquetes'!$A$472:$BS$579,61,FALSE),1,FIND("m",VLOOKUP(CF$8,'Info planes y paquetes'!$A$472:$BS$579,61,FALSE),1)-1),0)</f>
        <v>0</v>
      </c>
      <c r="CG72" s="653">
        <f>IFERROR(MID(VLOOKUP(CG$8,'Info planes y paquetes'!$A$472:$BS$579,61,FALSE),1,FIND("m",VLOOKUP(CG$8,'Info planes y paquetes'!$A$472:$BS$579,61,FALSE),1)-1),0)</f>
        <v>0</v>
      </c>
      <c r="CH72" s="653">
        <f>IFERROR(MID(VLOOKUP(CH$8,'Info planes y paquetes'!$A$472:$BS$579,61,FALSE),1,FIND("m",VLOOKUP(CH$8,'Info planes y paquetes'!$A$472:$BS$579,61,FALSE),1)-1),0)</f>
        <v>0</v>
      </c>
      <c r="CI72" s="653">
        <f>IFERROR(MID(VLOOKUP(CI$8,'Info planes y paquetes'!$A$472:$BS$579,61,FALSE),1,FIND("m",VLOOKUP(CI$8,'Info planes y paquetes'!$A$472:$BS$579,61,FALSE),1)-1),0)</f>
        <v>0</v>
      </c>
      <c r="CJ72" s="653">
        <f>IFERROR(MID(VLOOKUP(CJ$8,'Info planes y paquetes'!$A$472:$BS$579,61,FALSE),1,FIND("m",VLOOKUP(CJ$8,'Info planes y paquetes'!$A$472:$BS$579,61,FALSE),1)-1),0)</f>
        <v>0</v>
      </c>
      <c r="CK72" s="653">
        <f>IFERROR(MID(VLOOKUP(CK$8,'Info planes y paquetes'!$A$472:$BS$579,61,FALSE),1,FIND("m",VLOOKUP(CK$8,'Info planes y paquetes'!$A$472:$BS$579,61,FALSE),1)-1),0)</f>
        <v>0</v>
      </c>
      <c r="CL72" s="653">
        <f>IFERROR(MID(VLOOKUP(CL$8,'Info planes y paquetes'!$A$472:$BS$579,61,FALSE),1,FIND("m",VLOOKUP(CL$8,'Info planes y paquetes'!$A$472:$BS$579,61,FALSE),1)-1),0)</f>
        <v>0</v>
      </c>
      <c r="CM72" s="653">
        <f>IFERROR(MID(VLOOKUP(CM$8,'Info planes y paquetes'!$A$472:$BS$579,61,FALSE),1,FIND("m",VLOOKUP(CM$8,'Info planes y paquetes'!$A$472:$BS$579,61,FALSE),1)-1),0)</f>
        <v>0</v>
      </c>
      <c r="CN72" s="653">
        <f>IFERROR(MID(VLOOKUP(CN$8,'Info planes y paquetes'!$A$472:$BS$579,61,FALSE),1,FIND("m",VLOOKUP(CN$8,'Info planes y paquetes'!$A$472:$BS$579,61,FALSE),1)-1),0)</f>
        <v>0</v>
      </c>
      <c r="CO72" s="653">
        <f>IFERROR(MID(VLOOKUP(CO$8,'Info planes y paquetes'!$A$472:$BS$579,61,FALSE),1,FIND("m",VLOOKUP(CO$8,'Info planes y paquetes'!$A$472:$BS$579,61,FALSE),1)-1),0)</f>
        <v>0</v>
      </c>
      <c r="CP72" s="653">
        <f>IFERROR(MID(VLOOKUP(CP$8,'Info planes y paquetes'!$A$472:$BS$579,61,FALSE),1,FIND("m",VLOOKUP(CP$8,'Info planes y paquetes'!$A$472:$BS$579,61,FALSE),1)-1),0)</f>
        <v>0</v>
      </c>
      <c r="CQ72" s="653">
        <f>IFERROR(MID(VLOOKUP(CQ$8,'Info planes y paquetes'!$A$472:$BS$579,61,FALSE),1,FIND("m",VLOOKUP(CQ$8,'Info planes y paquetes'!$A$472:$BS$579,61,FALSE),1)-1),0)</f>
        <v>0</v>
      </c>
      <c r="CR72" s="653">
        <f>IFERROR(MID(VLOOKUP(CR$8,'Info planes y paquetes'!$A$472:$BS$579,61,FALSE),1,FIND("m",VLOOKUP(CR$8,'Info planes y paquetes'!$A$472:$BS$579,61,FALSE),1)-1),0)</f>
        <v>0</v>
      </c>
      <c r="CS72" s="653">
        <f>IFERROR(MID(VLOOKUP(CS$8,'Info planes y paquetes'!$A$472:$BS$579,61,FALSE),1,FIND("m",VLOOKUP(CS$8,'Info planes y paquetes'!$A$472:$BS$579,61,FALSE),1)-1),0)</f>
        <v>0</v>
      </c>
      <c r="CT72" s="653">
        <f>IFERROR(MID(VLOOKUP(CT$8,'Info planes y paquetes'!$A$472:$BS$579,61,FALSE),1,FIND("m",VLOOKUP(CT$8,'Info planes y paquetes'!$A$472:$BS$579,61,FALSE),1)-1),0)</f>
        <v>0</v>
      </c>
      <c r="CU72" s="653">
        <f>IFERROR(MID(VLOOKUP(CU$8,'Info planes y paquetes'!$A$472:$BS$579,61,FALSE),1,FIND("m",VLOOKUP(CU$8,'Info planes y paquetes'!$A$472:$BS$579,61,FALSE),1)-1),0)</f>
        <v>0</v>
      </c>
      <c r="CV72" s="653">
        <f>IFERROR(MID(VLOOKUP(CV$8,'Info planes y paquetes'!$A$472:$BS$579,61,FALSE),1,FIND("m",VLOOKUP(CV$8,'Info planes y paquetes'!$A$472:$BS$579,61,FALSE),1)-1),0)</f>
        <v>0</v>
      </c>
      <c r="CW72" s="653">
        <f>IFERROR(MID(VLOOKUP(CW$8,'Info planes y paquetes'!$A$472:$BS$579,61,FALSE),1,FIND("m",VLOOKUP(CW$8,'Info planes y paquetes'!$A$472:$BS$579,61,FALSE),1)-1),0)</f>
        <v>0</v>
      </c>
      <c r="CX72" s="653">
        <f>IFERROR(MID(VLOOKUP(CX$8,'Info planes y paquetes'!$A$472:$BS$579,61,FALSE),1,FIND("m",VLOOKUP(CX$8,'Info planes y paquetes'!$A$472:$BS$579,61,FALSE),1)-1),0)</f>
        <v>0</v>
      </c>
      <c r="CY72" s="653">
        <f>IFERROR(MID(VLOOKUP(CY$8,'Info planes y paquetes'!$A$472:$BS$579,61,FALSE),1,FIND("m",VLOOKUP(CY$8,'Info planes y paquetes'!$A$472:$BS$579,61,FALSE),1)-1),0)</f>
        <v>0</v>
      </c>
      <c r="CZ72" s="653">
        <f>IFERROR(MID(VLOOKUP(CZ$8,'Info planes y paquetes'!$A$472:$BS$579,61,FALSE),1,FIND("m",VLOOKUP(CZ$8,'Info planes y paquetes'!$A$472:$BS$579,61,FALSE),1)-1),0)</f>
        <v>0</v>
      </c>
      <c r="DA72" s="653">
        <f>IFERROR(MID(VLOOKUP(DA$8,'Info planes y paquetes'!$A$472:$BS$579,61,FALSE),1,FIND("m",VLOOKUP(DA$8,'Info planes y paquetes'!$A$472:$BS$579,61,FALSE),1)-1),0)</f>
        <v>0</v>
      </c>
      <c r="DB72" s="653">
        <f>IFERROR(MID(VLOOKUP(DB$8,'Info planes y paquetes'!$A$472:$BS$579,61,FALSE),1,FIND("m",VLOOKUP(DB$8,'Info planes y paquetes'!$A$472:$BS$579,61,FALSE),1)-1),0)</f>
        <v>0</v>
      </c>
      <c r="DC72" s="653">
        <f>IFERROR(MID(VLOOKUP(DC$8,'Info planes y paquetes'!$A$472:$BS$579,61,FALSE),1,FIND("m",VLOOKUP(DC$8,'Info planes y paquetes'!$A$472:$BS$579,61,FALSE),1)-1),0)</f>
        <v>0</v>
      </c>
      <c r="DD72" s="653">
        <f>IFERROR(MID(VLOOKUP(DD$8,'Info planes y paquetes'!$A$472:$BS$579,61,FALSE),1,FIND("m",VLOOKUP(DD$8,'Info planes y paquetes'!$A$472:$BS$579,61,FALSE),1)-1),0)</f>
        <v>0</v>
      </c>
      <c r="DE72" s="653">
        <f>IFERROR(MID(VLOOKUP(DE$8,'Info planes y paquetes'!$A$472:$BS$579,61,FALSE),1,FIND("m",VLOOKUP(DE$8,'Info planes y paquetes'!$A$472:$BS$579,61,FALSE),1)-1),0)</f>
        <v>0</v>
      </c>
      <c r="DF72" s="653">
        <f>IFERROR(MID(VLOOKUP(DF$8,'Info planes y paquetes'!$A$472:$BS$579,61,FALSE),1,FIND("m",VLOOKUP(DF$8,'Info planes y paquetes'!$A$472:$BS$579,61,FALSE),1)-1),0)</f>
        <v>0</v>
      </c>
      <c r="DG72" s="653">
        <f>IFERROR(MID(VLOOKUP(DG$8,'Info planes y paquetes'!$A$472:$BS$579,61,FALSE),1,FIND("m",VLOOKUP(DG$8,'Info planes y paquetes'!$A$472:$BS$579,61,FALSE),1)-1),0)</f>
        <v>0</v>
      </c>
      <c r="DH72" s="653">
        <f>IFERROR(MID(VLOOKUP(DH$8,'Info planes y paquetes'!$A$472:$BS$579,61,FALSE),1,FIND("m",VLOOKUP(DH$8,'Info planes y paquetes'!$A$472:$BS$579,61,FALSE),1)-1),0)</f>
        <v>0</v>
      </c>
      <c r="DI72" s="653">
        <f>IFERROR(MID(VLOOKUP(DI$8,'Info planes y paquetes'!$A$472:$BS$579,61,FALSE),1,FIND("m",VLOOKUP(DI$8,'Info planes y paquetes'!$A$472:$BS$579,61,FALSE),1)-1),0)</f>
        <v>0</v>
      </c>
      <c r="DJ72" s="653">
        <f>IFERROR(MID(VLOOKUP(DJ$8,'Info planes y paquetes'!$A$472:$BS$579,61,FALSE),1,FIND("m",VLOOKUP(DJ$8,'Info planes y paquetes'!$A$472:$BS$579,61,FALSE),1)-1),0)</f>
        <v>0</v>
      </c>
      <c r="DK72" s="653">
        <f>IFERROR(MID(VLOOKUP(DK$8,'Info planes y paquetes'!$A$472:$BS$579,61,FALSE),1,FIND("m",VLOOKUP(DK$8,'Info planes y paquetes'!$A$472:$BS$579,61,FALSE),1)-1),0)</f>
        <v>0</v>
      </c>
      <c r="DL72" s="653">
        <f>IFERROR(MID(VLOOKUP(DL$8,'Info planes y paquetes'!$A$472:$BS$579,61,FALSE),1,FIND("m",VLOOKUP(DL$8,'Info planes y paquetes'!$A$472:$BS$579,61,FALSE),1)-1),0)</f>
        <v>0</v>
      </c>
      <c r="DM72" s="653">
        <f>IFERROR(MID(VLOOKUP(DM$8,'Info planes y paquetes'!$A$472:$BS$579,61,FALSE),1,FIND("m",VLOOKUP(DM$8,'Info planes y paquetes'!$A$472:$BS$579,61,FALSE),1)-1),0)</f>
        <v>0</v>
      </c>
      <c r="DN72" s="653">
        <f>IFERROR(MID(VLOOKUP(DN$8,'Info planes y paquetes'!$A$472:$BS$579,61,FALSE),1,FIND("m",VLOOKUP(DN$8,'Info planes y paquetes'!$A$472:$BS$579,61,FALSE),1)-1),0)</f>
        <v>0</v>
      </c>
      <c r="DO72" s="160"/>
      <c r="DP72" s="160"/>
      <c r="DQ72" s="160"/>
      <c r="DR72" s="160"/>
      <c r="DS72" s="160"/>
      <c r="DT72" s="160"/>
      <c r="DU72" s="160"/>
      <c r="DV72" s="160"/>
      <c r="DW72" s="160"/>
      <c r="DX72" s="160"/>
      <c r="DY72" s="160"/>
      <c r="DZ72" s="160"/>
      <c r="EA72" s="160"/>
      <c r="EB72" s="160"/>
      <c r="EC72" s="160"/>
      <c r="ED72" s="160"/>
      <c r="EE72" s="160"/>
      <c r="EF72" s="160"/>
      <c r="EG72" s="160"/>
      <c r="EH72" s="160"/>
      <c r="EI72" s="160"/>
      <c r="EJ72" s="160"/>
      <c r="EK72" s="160"/>
      <c r="EL72" s="160"/>
      <c r="EM72" s="160"/>
      <c r="EN72" s="160"/>
      <c r="EO72" s="160"/>
      <c r="EP72" s="160"/>
      <c r="EQ72" s="160"/>
      <c r="ER72" s="160"/>
      <c r="ES72" s="160"/>
      <c r="ET72" s="160"/>
      <c r="EU72" s="160"/>
      <c r="EV72" s="160"/>
      <c r="EW72" s="160"/>
      <c r="EX72" s="160"/>
      <c r="EY72" s="160"/>
      <c r="EZ72" s="160"/>
      <c r="FA72" s="160"/>
      <c r="FB72" s="160"/>
      <c r="FC72" s="160"/>
      <c r="FD72" s="160"/>
      <c r="FE72" s="160"/>
      <c r="FF72" s="160"/>
      <c r="FG72" s="160"/>
      <c r="FH72" s="160"/>
      <c r="FI72" s="160"/>
      <c r="FJ72" s="160"/>
      <c r="FK72" s="160"/>
      <c r="FL72" s="160"/>
      <c r="FM72" s="160"/>
      <c r="FN72" s="160"/>
      <c r="FO72" s="160"/>
      <c r="FP72" s="160"/>
      <c r="FQ72" s="160"/>
      <c r="FR72" s="160"/>
      <c r="FS72" s="160"/>
      <c r="FT72" s="160"/>
      <c r="FU72" s="160"/>
      <c r="FV72" s="160"/>
      <c r="FW72" s="160"/>
      <c r="FX72" s="160"/>
      <c r="FY72" s="160"/>
      <c r="FZ72" s="160"/>
      <c r="GA72" s="160"/>
      <c r="GB72" s="160"/>
      <c r="GC72" s="160"/>
      <c r="GD72" s="160"/>
      <c r="GE72" s="160"/>
      <c r="GF72" s="160"/>
      <c r="GG72" s="160"/>
      <c r="GH72" s="160"/>
      <c r="GI72" s="160"/>
      <c r="GJ72" s="160"/>
      <c r="GK72" s="160"/>
      <c r="GL72" s="160"/>
      <c r="GM72" s="160"/>
      <c r="GN72" s="160"/>
      <c r="GO72" s="160"/>
      <c r="GP72" s="160"/>
      <c r="GQ72" s="160"/>
      <c r="GR72" s="160"/>
      <c r="GS72" s="160"/>
      <c r="GT72" s="160"/>
      <c r="GU72" s="160"/>
      <c r="GV72" s="160"/>
      <c r="GW72" s="160"/>
      <c r="GX72" s="160"/>
      <c r="GY72" s="160"/>
      <c r="GZ72" s="160"/>
      <c r="HA72" s="160"/>
      <c r="HB72" s="160"/>
      <c r="HC72" s="160"/>
      <c r="HD72" s="160"/>
      <c r="HE72" s="160"/>
      <c r="HF72" s="160"/>
      <c r="HG72" s="160"/>
      <c r="HH72" s="160"/>
      <c r="HI72" s="160"/>
      <c r="HJ72" s="160"/>
      <c r="HK72" s="160"/>
      <c r="HL72" s="160"/>
    </row>
    <row r="73" spans="2:221" x14ac:dyDescent="0.25">
      <c r="B73"/>
      <c r="C73" s="103" t="s">
        <v>1324</v>
      </c>
      <c r="G73" s="77"/>
      <c r="I73" s="297"/>
      <c r="J73" s="297"/>
      <c r="K73" s="297"/>
      <c r="L73" s="297"/>
      <c r="M73" s="297"/>
      <c r="N73" s="297"/>
      <c r="O73" s="297"/>
      <c r="P73" s="297"/>
      <c r="Q73" s="297"/>
      <c r="R73" s="297"/>
      <c r="S73" s="297"/>
      <c r="T73" s="297"/>
      <c r="U73" s="297"/>
      <c r="V73" s="297"/>
      <c r="W73" s="297"/>
      <c r="X73" s="670"/>
      <c r="Y73" s="671">
        <f>(Y71*Y72)/(years.client.retention*12)</f>
        <v>8.6999999999999993</v>
      </c>
      <c r="Z73" s="671">
        <f>(Z71*Z72)/(years.client.retention*12)</f>
        <v>9.9</v>
      </c>
      <c r="AA73" s="671">
        <f>(AA71*AA72)/(years.client.retention*12)</f>
        <v>12.15</v>
      </c>
      <c r="AB73" s="297"/>
      <c r="AC73" s="297"/>
      <c r="AD73" s="297"/>
      <c r="AE73" s="297"/>
      <c r="AF73" s="297"/>
      <c r="AG73" s="297"/>
      <c r="AH73" s="297"/>
      <c r="AI73" s="297"/>
      <c r="AJ73" s="297"/>
      <c r="AK73" s="297"/>
      <c r="AL73" s="297"/>
      <c r="AM73" s="297"/>
      <c r="AN73" s="297"/>
      <c r="AO73" s="297"/>
      <c r="AP73" s="297"/>
      <c r="AQ73" s="297"/>
      <c r="AR73" s="297"/>
      <c r="AS73" s="297"/>
      <c r="AT73" s="297"/>
      <c r="AU73" s="297"/>
      <c r="AV73" s="297"/>
      <c r="AW73" s="297"/>
      <c r="AX73" s="297"/>
      <c r="AY73" s="297"/>
      <c r="AZ73" s="297"/>
      <c r="BA73" s="297"/>
      <c r="BB73" s="297"/>
      <c r="BC73" s="297"/>
      <c r="BD73" s="297"/>
      <c r="BE73" s="297"/>
      <c r="BF73" s="297"/>
      <c r="BG73" s="297"/>
      <c r="BH73" s="297"/>
      <c r="BI73" s="297"/>
      <c r="BJ73" s="297"/>
      <c r="BK73" s="297"/>
      <c r="BL73" s="297"/>
      <c r="BM73" s="297"/>
      <c r="BN73" s="297"/>
      <c r="BO73" s="297"/>
      <c r="BP73" s="297"/>
      <c r="BQ73" s="297"/>
      <c r="BR73" s="297"/>
      <c r="BS73" s="297"/>
      <c r="BT73" s="297"/>
      <c r="BU73" s="297"/>
      <c r="BV73" s="297"/>
      <c r="BW73" s="297"/>
      <c r="BX73" s="297"/>
      <c r="BY73" s="297"/>
      <c r="BZ73" s="297"/>
      <c r="CA73" s="297"/>
      <c r="CB73" s="297"/>
      <c r="CC73" s="297"/>
      <c r="CD73" s="297"/>
      <c r="CE73" s="297"/>
      <c r="CF73" s="297"/>
      <c r="CG73" s="297"/>
      <c r="CH73" s="297"/>
      <c r="CI73" s="297"/>
      <c r="CJ73" s="297"/>
      <c r="CK73" s="297"/>
      <c r="CL73" s="297"/>
      <c r="CM73" s="297"/>
      <c r="CN73" s="297"/>
      <c r="CO73" s="297"/>
      <c r="CP73" s="297"/>
      <c r="CQ73" s="297"/>
      <c r="CR73" s="297"/>
      <c r="CS73" s="297"/>
      <c r="CT73" s="297"/>
      <c r="CU73" s="297"/>
      <c r="CV73" s="297"/>
      <c r="CW73" s="297"/>
      <c r="CX73" s="297"/>
      <c r="CY73" s="297"/>
      <c r="CZ73" s="297"/>
      <c r="DA73" s="297"/>
      <c r="DB73" s="297"/>
      <c r="DC73" s="297"/>
      <c r="DD73" s="297"/>
      <c r="DE73" s="297"/>
      <c r="DF73" s="297"/>
      <c r="DG73" s="297"/>
      <c r="DH73" s="297"/>
      <c r="DI73" s="297"/>
      <c r="DJ73" s="297"/>
      <c r="DK73" s="297"/>
      <c r="DL73" s="297"/>
      <c r="DM73" s="297"/>
      <c r="DN73" s="297"/>
    </row>
    <row r="74" spans="2:221" s="262" customFormat="1" x14ac:dyDescent="0.25">
      <c r="G74" s="263"/>
      <c r="X74" s="643"/>
      <c r="Y74" s="646"/>
      <c r="Z74" s="646"/>
      <c r="AA74" s="646"/>
    </row>
    <row r="75" spans="2:221" x14ac:dyDescent="0.25">
      <c r="B75"/>
      <c r="C75" s="102" t="s">
        <v>729</v>
      </c>
      <c r="G75" s="77"/>
      <c r="I75" s="262"/>
      <c r="J75" s="262"/>
      <c r="K75" s="262"/>
      <c r="L75" s="262"/>
      <c r="M75" s="262"/>
      <c r="N75" s="262"/>
      <c r="O75" s="262"/>
      <c r="P75" s="262"/>
      <c r="Q75" s="262"/>
      <c r="R75" s="262"/>
      <c r="S75" s="262"/>
      <c r="T75" s="44"/>
      <c r="U75" s="262"/>
      <c r="V75" s="262"/>
      <c r="W75" s="262"/>
      <c r="X75" s="289"/>
      <c r="Y75" s="643"/>
      <c r="Z75" s="643"/>
      <c r="AA75" s="643"/>
      <c r="AB75" s="262"/>
      <c r="AC75" s="262"/>
      <c r="AD75" s="262"/>
      <c r="AE75" s="262"/>
      <c r="AF75" s="262"/>
      <c r="AG75" s="262"/>
      <c r="AH75" s="262"/>
      <c r="AI75" s="262"/>
      <c r="AJ75" s="262"/>
      <c r="AK75" s="262"/>
      <c r="AL75" s="262"/>
      <c r="AM75" s="262"/>
      <c r="AN75" s="262"/>
      <c r="AO75" s="262"/>
      <c r="AP75" s="262"/>
      <c r="AQ75" s="262"/>
      <c r="AR75" s="262"/>
      <c r="AS75" s="262"/>
      <c r="AT75" s="262"/>
      <c r="AU75" s="262"/>
      <c r="AV75" s="262"/>
      <c r="AW75" s="262"/>
      <c r="AX75" s="262"/>
      <c r="AY75" s="262"/>
      <c r="AZ75" s="262"/>
      <c r="BA75" s="262"/>
      <c r="BB75" s="262"/>
      <c r="BC75" s="262"/>
      <c r="BD75" s="262"/>
      <c r="BE75" s="262"/>
      <c r="BF75" s="262"/>
    </row>
    <row r="76" spans="2:221" s="2" customFormat="1" x14ac:dyDescent="0.25">
      <c r="C76" s="2" t="s">
        <v>730</v>
      </c>
      <c r="G76" s="459" t="s">
        <v>569</v>
      </c>
      <c r="H76" s="2" t="s">
        <v>534</v>
      </c>
      <c r="I76" s="656">
        <f t="shared" ref="I76:BU76" si="82">IF(I77&gt;0,1,0)</f>
        <v>0</v>
      </c>
      <c r="J76" s="656">
        <f t="shared" si="82"/>
        <v>0</v>
      </c>
      <c r="K76" s="656">
        <f t="shared" si="82"/>
        <v>1</v>
      </c>
      <c r="L76" s="656">
        <f t="shared" si="82"/>
        <v>1</v>
      </c>
      <c r="M76" s="656">
        <f t="shared" si="82"/>
        <v>1</v>
      </c>
      <c r="N76" s="656">
        <f t="shared" si="82"/>
        <v>1</v>
      </c>
      <c r="O76" s="656">
        <f t="shared" si="82"/>
        <v>1</v>
      </c>
      <c r="P76" s="656">
        <f t="shared" si="82"/>
        <v>0</v>
      </c>
      <c r="Q76" s="656">
        <f t="shared" si="82"/>
        <v>0</v>
      </c>
      <c r="R76" s="656">
        <f t="shared" si="82"/>
        <v>0</v>
      </c>
      <c r="S76" s="656">
        <f t="shared" si="82"/>
        <v>0</v>
      </c>
      <c r="T76" s="656">
        <f t="shared" si="82"/>
        <v>0</v>
      </c>
      <c r="U76" s="656">
        <f t="shared" si="82"/>
        <v>0</v>
      </c>
      <c r="V76" s="656">
        <f t="shared" si="82"/>
        <v>0</v>
      </c>
      <c r="W76" s="656">
        <f t="shared" si="82"/>
        <v>0</v>
      </c>
      <c r="X76" s="656">
        <f t="shared" si="82"/>
        <v>0</v>
      </c>
      <c r="Y76" s="656">
        <f t="shared" si="82"/>
        <v>1</v>
      </c>
      <c r="Z76" s="656">
        <f t="shared" si="82"/>
        <v>1</v>
      </c>
      <c r="AA76" s="656">
        <f t="shared" si="82"/>
        <v>1</v>
      </c>
      <c r="AB76" s="656">
        <f t="shared" si="82"/>
        <v>1</v>
      </c>
      <c r="AC76" s="656">
        <f t="shared" si="82"/>
        <v>0</v>
      </c>
      <c r="AD76" s="656">
        <f t="shared" si="82"/>
        <v>1</v>
      </c>
      <c r="AE76" s="656">
        <f t="shared" si="82"/>
        <v>0</v>
      </c>
      <c r="AF76" s="656">
        <f t="shared" si="82"/>
        <v>0</v>
      </c>
      <c r="AG76" s="656">
        <f t="shared" si="82"/>
        <v>0</v>
      </c>
      <c r="AH76" s="656">
        <f t="shared" si="82"/>
        <v>1</v>
      </c>
      <c r="AI76" s="656">
        <f t="shared" si="82"/>
        <v>0</v>
      </c>
      <c r="AJ76" s="656">
        <f t="shared" si="82"/>
        <v>0</v>
      </c>
      <c r="AK76" s="656">
        <f t="shared" si="82"/>
        <v>0</v>
      </c>
      <c r="AL76" s="656">
        <f t="shared" si="82"/>
        <v>0</v>
      </c>
      <c r="AM76" s="656">
        <f t="shared" si="82"/>
        <v>0</v>
      </c>
      <c r="AN76" s="656">
        <f t="shared" si="82"/>
        <v>0</v>
      </c>
      <c r="AO76" s="656">
        <f t="shared" si="82"/>
        <v>1</v>
      </c>
      <c r="AP76" s="656">
        <f t="shared" si="82"/>
        <v>1</v>
      </c>
      <c r="AQ76" s="656">
        <f t="shared" si="82"/>
        <v>1</v>
      </c>
      <c r="AR76" s="656">
        <f t="shared" si="82"/>
        <v>1</v>
      </c>
      <c r="AS76" s="656">
        <f t="shared" si="82"/>
        <v>1</v>
      </c>
      <c r="AT76" s="656">
        <f t="shared" si="82"/>
        <v>1</v>
      </c>
      <c r="AU76" s="656">
        <f t="shared" si="82"/>
        <v>1</v>
      </c>
      <c r="AV76" s="656">
        <f t="shared" si="82"/>
        <v>1</v>
      </c>
      <c r="AW76" s="656">
        <f t="shared" si="82"/>
        <v>1</v>
      </c>
      <c r="AX76" s="656">
        <f t="shared" si="82"/>
        <v>1</v>
      </c>
      <c r="AY76" s="656">
        <f t="shared" si="82"/>
        <v>1</v>
      </c>
      <c r="AZ76" s="656">
        <f t="shared" si="82"/>
        <v>1</v>
      </c>
      <c r="BA76" s="656">
        <f t="shared" si="82"/>
        <v>1</v>
      </c>
      <c r="BB76" s="656">
        <f t="shared" si="82"/>
        <v>1</v>
      </c>
      <c r="BC76" s="656">
        <f t="shared" si="82"/>
        <v>1</v>
      </c>
      <c r="BD76" s="656">
        <f t="shared" si="82"/>
        <v>1</v>
      </c>
      <c r="BE76" s="656">
        <f t="shared" si="82"/>
        <v>1</v>
      </c>
      <c r="BF76" s="656">
        <f t="shared" si="82"/>
        <v>1</v>
      </c>
      <c r="BG76" s="656">
        <f t="shared" si="82"/>
        <v>1</v>
      </c>
      <c r="BH76" s="656">
        <f t="shared" si="82"/>
        <v>1</v>
      </c>
      <c r="BI76" s="656">
        <f t="shared" si="82"/>
        <v>0</v>
      </c>
      <c r="BJ76" s="656">
        <f t="shared" si="82"/>
        <v>0</v>
      </c>
      <c r="BK76" s="656">
        <f t="shared" si="82"/>
        <v>0</v>
      </c>
      <c r="BL76" s="656">
        <f t="shared" si="82"/>
        <v>0</v>
      </c>
      <c r="BM76" s="656">
        <f t="shared" si="82"/>
        <v>0</v>
      </c>
      <c r="BN76" s="656">
        <f t="shared" si="82"/>
        <v>0</v>
      </c>
      <c r="BO76" s="656">
        <f t="shared" si="82"/>
        <v>0</v>
      </c>
      <c r="BP76" s="656">
        <f t="shared" si="82"/>
        <v>0</v>
      </c>
      <c r="BQ76" s="656">
        <f t="shared" si="82"/>
        <v>0</v>
      </c>
      <c r="BR76" s="656">
        <f t="shared" si="82"/>
        <v>0</v>
      </c>
      <c r="BS76" s="656">
        <f t="shared" si="82"/>
        <v>0</v>
      </c>
      <c r="BT76" s="656">
        <f t="shared" si="82"/>
        <v>0</v>
      </c>
      <c r="BU76" s="656">
        <f t="shared" si="82"/>
        <v>0</v>
      </c>
      <c r="BV76" s="656">
        <f t="shared" ref="BV76:DN76" si="83">IF(BV77&gt;0,1,0)</f>
        <v>0</v>
      </c>
      <c r="BW76" s="656">
        <f t="shared" si="83"/>
        <v>0</v>
      </c>
      <c r="BX76" s="656">
        <f t="shared" si="83"/>
        <v>0</v>
      </c>
      <c r="BY76" s="656">
        <f t="shared" si="83"/>
        <v>1</v>
      </c>
      <c r="BZ76" s="656">
        <f t="shared" si="83"/>
        <v>1</v>
      </c>
      <c r="CA76" s="656">
        <f t="shared" si="83"/>
        <v>1</v>
      </c>
      <c r="CB76" s="656">
        <f t="shared" si="83"/>
        <v>1</v>
      </c>
      <c r="CC76" s="656">
        <f t="shared" si="83"/>
        <v>1</v>
      </c>
      <c r="CD76" s="656">
        <f t="shared" si="83"/>
        <v>1</v>
      </c>
      <c r="CE76" s="656">
        <f t="shared" si="83"/>
        <v>1</v>
      </c>
      <c r="CF76" s="656">
        <f t="shared" si="83"/>
        <v>1</v>
      </c>
      <c r="CG76" s="656">
        <f t="shared" si="83"/>
        <v>1</v>
      </c>
      <c r="CH76" s="656">
        <f t="shared" si="83"/>
        <v>1</v>
      </c>
      <c r="CI76" s="656">
        <f t="shared" si="83"/>
        <v>1</v>
      </c>
      <c r="CJ76" s="656">
        <f t="shared" si="83"/>
        <v>1</v>
      </c>
      <c r="CK76" s="656">
        <f t="shared" si="83"/>
        <v>1</v>
      </c>
      <c r="CL76" s="656">
        <f t="shared" si="83"/>
        <v>1</v>
      </c>
      <c r="CM76" s="656">
        <f t="shared" si="83"/>
        <v>1</v>
      </c>
      <c r="CN76" s="656">
        <f t="shared" si="83"/>
        <v>1</v>
      </c>
      <c r="CO76" s="656">
        <f t="shared" si="83"/>
        <v>1</v>
      </c>
      <c r="CP76" s="656">
        <f t="shared" si="83"/>
        <v>1</v>
      </c>
      <c r="CQ76" s="656">
        <f t="shared" si="83"/>
        <v>1</v>
      </c>
      <c r="CR76" s="656">
        <f t="shared" si="83"/>
        <v>1</v>
      </c>
      <c r="CS76" s="656">
        <f t="shared" si="83"/>
        <v>1</v>
      </c>
      <c r="CT76" s="656">
        <f t="shared" si="83"/>
        <v>1</v>
      </c>
      <c r="CU76" s="656">
        <f t="shared" si="83"/>
        <v>1</v>
      </c>
      <c r="CV76" s="656">
        <f t="shared" si="83"/>
        <v>1</v>
      </c>
      <c r="CW76" s="656">
        <f t="shared" si="83"/>
        <v>1</v>
      </c>
      <c r="CX76" s="656">
        <f t="shared" si="83"/>
        <v>1</v>
      </c>
      <c r="CY76" s="656">
        <f t="shared" si="83"/>
        <v>1</v>
      </c>
      <c r="CZ76" s="656">
        <f t="shared" si="83"/>
        <v>1</v>
      </c>
      <c r="DA76" s="656">
        <f t="shared" si="83"/>
        <v>1</v>
      </c>
      <c r="DB76" s="656">
        <f t="shared" si="83"/>
        <v>0</v>
      </c>
      <c r="DC76" s="656">
        <f t="shared" si="83"/>
        <v>0</v>
      </c>
      <c r="DD76" s="656">
        <f t="shared" si="83"/>
        <v>0</v>
      </c>
      <c r="DE76" s="656">
        <f t="shared" si="83"/>
        <v>0</v>
      </c>
      <c r="DF76" s="656">
        <f t="shared" si="83"/>
        <v>0</v>
      </c>
      <c r="DG76" s="656">
        <f t="shared" si="83"/>
        <v>0</v>
      </c>
      <c r="DH76" s="656">
        <f t="shared" si="83"/>
        <v>0</v>
      </c>
      <c r="DI76" s="656">
        <f t="shared" si="83"/>
        <v>0</v>
      </c>
      <c r="DJ76" s="656">
        <f t="shared" si="83"/>
        <v>0</v>
      </c>
      <c r="DK76" s="656">
        <f t="shared" si="83"/>
        <v>0</v>
      </c>
      <c r="DL76" s="656">
        <f t="shared" si="83"/>
        <v>0</v>
      </c>
      <c r="DM76" s="656">
        <f t="shared" si="83"/>
        <v>0</v>
      </c>
      <c r="DN76" s="656">
        <f t="shared" si="83"/>
        <v>0</v>
      </c>
      <c r="DO76" s="351"/>
      <c r="DP76" s="351"/>
      <c r="DQ76" s="351"/>
      <c r="DR76" s="351"/>
      <c r="DS76" s="351"/>
      <c r="DT76" s="351"/>
      <c r="DU76" s="351"/>
      <c r="DV76" s="351"/>
      <c r="DW76" s="351"/>
      <c r="DX76" s="351"/>
      <c r="DY76" s="351"/>
      <c r="DZ76" s="351"/>
      <c r="EA76" s="351"/>
      <c r="EB76" s="351"/>
      <c r="EC76" s="351"/>
      <c r="ED76" s="351"/>
      <c r="EE76" s="351"/>
      <c r="EF76" s="351"/>
      <c r="EG76" s="351"/>
      <c r="EH76" s="351"/>
      <c r="EI76" s="351"/>
      <c r="EJ76" s="351"/>
      <c r="EK76" s="351"/>
      <c r="EL76" s="351"/>
      <c r="EM76" s="351"/>
      <c r="EN76" s="351"/>
      <c r="EO76" s="351"/>
      <c r="EP76" s="351"/>
      <c r="EQ76" s="351"/>
      <c r="ER76" s="351"/>
      <c r="ES76" s="351"/>
      <c r="ET76" s="351"/>
      <c r="EU76" s="351"/>
      <c r="EV76" s="351"/>
      <c r="EW76" s="351"/>
      <c r="EX76" s="351"/>
      <c r="EY76" s="351"/>
      <c r="EZ76" s="351"/>
      <c r="FA76" s="351"/>
      <c r="FB76" s="351"/>
      <c r="FC76" s="351"/>
      <c r="FD76" s="351"/>
      <c r="FE76" s="351"/>
      <c r="FF76" s="351"/>
      <c r="FG76" s="351"/>
      <c r="FH76" s="351"/>
      <c r="FI76" s="351"/>
      <c r="FJ76" s="351"/>
      <c r="FK76" s="351"/>
      <c r="FL76" s="351"/>
      <c r="FM76" s="351"/>
      <c r="FN76" s="351"/>
      <c r="FO76" s="351"/>
      <c r="FP76" s="351"/>
      <c r="FQ76" s="351"/>
      <c r="FR76" s="351"/>
      <c r="FS76" s="351"/>
      <c r="FT76" s="351"/>
      <c r="FU76" s="351"/>
      <c r="FV76" s="351"/>
      <c r="FW76" s="351"/>
      <c r="FX76" s="351"/>
      <c r="FY76" s="351"/>
      <c r="FZ76" s="351"/>
      <c r="GA76" s="351"/>
      <c r="GB76" s="351"/>
      <c r="GC76" s="351"/>
      <c r="GD76" s="351"/>
      <c r="GE76" s="351"/>
      <c r="GF76" s="351"/>
      <c r="GG76" s="351"/>
      <c r="GH76" s="351"/>
      <c r="GI76" s="351"/>
      <c r="GJ76" s="351"/>
      <c r="GK76" s="351"/>
      <c r="GL76" s="351"/>
      <c r="GM76" s="351"/>
      <c r="GN76" s="351"/>
      <c r="GO76" s="351"/>
      <c r="GP76" s="351"/>
      <c r="GQ76" s="351"/>
      <c r="GR76" s="351"/>
      <c r="GS76" s="351"/>
      <c r="GT76" s="351"/>
      <c r="GU76" s="351"/>
      <c r="GV76" s="351"/>
      <c r="GW76" s="351"/>
      <c r="GX76" s="351"/>
      <c r="GY76" s="351"/>
      <c r="GZ76" s="351"/>
      <c r="HA76" s="351"/>
      <c r="HB76" s="351"/>
      <c r="HC76" s="351"/>
      <c r="HD76" s="351"/>
      <c r="HE76" s="351"/>
      <c r="HF76" s="351"/>
      <c r="HG76" s="351"/>
      <c r="HH76" s="351"/>
      <c r="HI76" s="351"/>
      <c r="HJ76" s="351"/>
      <c r="HK76" s="351"/>
      <c r="HL76" s="351"/>
    </row>
    <row r="77" spans="2:221" s="2" customFormat="1" x14ac:dyDescent="0.25">
      <c r="C77" s="2" t="s">
        <v>570</v>
      </c>
      <c r="G77" s="459" t="s">
        <v>526</v>
      </c>
      <c r="H77" s="352" t="s">
        <v>463</v>
      </c>
      <c r="I77" s="653">
        <f>IFERROR(MID(VLOOKUP(I$8,'Info planes y paquetes'!$A$472:$BS$579,26,FALSE),1,FIND("m",VLOOKUP(I$8,'Info planes y paquetes'!$A$472:$BS$579,26,FALSE),1)-1),0)</f>
        <v>0</v>
      </c>
      <c r="J77" s="653">
        <f>IFERROR(MID(VLOOKUP(J$8,'Info planes y paquetes'!$A$472:$BS$579,26,FALSE),1,FIND("m",VLOOKUP(J$8,'Info planes y paquetes'!$A$472:$BS$579,26,FALSE),1)-1),0)</f>
        <v>0</v>
      </c>
      <c r="K77" s="653" t="str">
        <f>IFERROR(MID(VLOOKUP(K$8,'Info planes y paquetes'!$A$472:$BS$579,26,FALSE),1,FIND("m",VLOOKUP(K$8,'Info planes y paquetes'!$A$472:$BS$579,26,FALSE),1)-1),0)</f>
        <v xml:space="preserve">12 </v>
      </c>
      <c r="L77" s="653" t="str">
        <f>IFERROR(MID(VLOOKUP(L$8,'Info planes y paquetes'!$A$472:$BS$579,26,FALSE),1,FIND("m",VLOOKUP(L$8,'Info planes y paquetes'!$A$472:$BS$579,26,FALSE),1)-1),0)</f>
        <v xml:space="preserve">12 </v>
      </c>
      <c r="M77" s="653" t="str">
        <f>IFERROR(MID(VLOOKUP(M$8,'Info planes y paquetes'!$A$472:$BS$579,26,FALSE),1,FIND("m",VLOOKUP(M$8,'Info planes y paquetes'!$A$472:$BS$579,26,FALSE),1)-1),0)</f>
        <v xml:space="preserve">12 </v>
      </c>
      <c r="N77" s="653" t="str">
        <f>IFERROR(MID(VLOOKUP(N$8,'Info planes y paquetes'!$A$472:$BS$579,26,FALSE),1,FIND("m",VLOOKUP(N$8,'Info planes y paquetes'!$A$472:$BS$579,26,FALSE),1)-1),0)</f>
        <v xml:space="preserve">12 </v>
      </c>
      <c r="O77" s="653" t="str">
        <f>IFERROR(MID(VLOOKUP(O$8,'Info planes y paquetes'!$A$472:$BS$579,26,FALSE),1,FIND("m",VLOOKUP(O$8,'Info planes y paquetes'!$A$472:$BS$579,26,FALSE),1)-1),0)</f>
        <v xml:space="preserve">12 </v>
      </c>
      <c r="P77" s="653">
        <f>IFERROR(MID(VLOOKUP(P$8,'Info planes y paquetes'!$A$472:$BS$579,26,FALSE),1,FIND("m",VLOOKUP(P$8,'Info planes y paquetes'!$A$472:$BS$579,26,FALSE),1)-1),0)</f>
        <v>0</v>
      </c>
      <c r="Q77" s="653">
        <f>IFERROR(MID(VLOOKUP(Q$8,'Info planes y paquetes'!$A$472:$BS$579,26,FALSE),1,FIND("m",VLOOKUP(Q$8,'Info planes y paquetes'!$A$472:$BS$579,26,FALSE),1)-1),0)</f>
        <v>0</v>
      </c>
      <c r="R77" s="653">
        <f>IFERROR(MID(VLOOKUP(R$8,'Info planes y paquetes'!$A$472:$BS$579,26,FALSE),1,FIND("m",VLOOKUP(R$8,'Info planes y paquetes'!$A$472:$BS$579,26,FALSE),1)-1),0)</f>
        <v>0</v>
      </c>
      <c r="S77" s="653">
        <f>IFERROR(MID(VLOOKUP(S$8,'Info planes y paquetes'!$A$472:$BS$579,26,FALSE),1,FIND("m",VLOOKUP(S$8,'Info planes y paquetes'!$A$472:$BS$579,26,FALSE),1)-1),0)</f>
        <v>0</v>
      </c>
      <c r="T77" s="653">
        <f>IFERROR(MID(VLOOKUP(T$8,'Info planes y paquetes'!$A$472:$BS$579,26,FALSE),1,FIND("m",VLOOKUP(T$8,'Info planes y paquetes'!$A$472:$BS$579,26,FALSE),1)-1),0)</f>
        <v>0</v>
      </c>
      <c r="U77" s="653">
        <f>IFERROR(MID(VLOOKUP(U$8,'Info planes y paquetes'!$A$472:$BS$579,26,FALSE),1,FIND("m",VLOOKUP(U$8,'Info planes y paquetes'!$A$472:$BS$579,26,FALSE),1)-1),0)</f>
        <v>0</v>
      </c>
      <c r="V77" s="653">
        <f>IFERROR(MID(VLOOKUP(V$8,'Info planes y paquetes'!$A$472:$BS$579,26,FALSE),1,FIND("m",VLOOKUP(V$8,'Info planes y paquetes'!$A$472:$BS$579,26,FALSE),1)-1),0)</f>
        <v>0</v>
      </c>
      <c r="W77" s="653">
        <f>IFERROR(MID(VLOOKUP(W$8,'Info planes y paquetes'!$A$472:$BS$579,26,FALSE),1,FIND("m",VLOOKUP(W$8,'Info planes y paquetes'!$A$472:$BS$579,26,FALSE),1)-1),0)</f>
        <v>0</v>
      </c>
      <c r="X77" s="653">
        <f>IFERROR(MID(VLOOKUP(X$8,'Info planes y paquetes'!$A$472:$BS$579,26,FALSE),1,FIND("m",VLOOKUP(X$8,'Info planes y paquetes'!$A$472:$BS$579,26,FALSE),1)-1),0)</f>
        <v>0</v>
      </c>
      <c r="Y77" s="653" t="str">
        <f>IFERROR(MID(VLOOKUP(Y$8,'Info planes y paquetes'!$A$472:$BS$579,26,FALSE),1,FIND("m",VLOOKUP(Y$8,'Info planes y paquetes'!$A$472:$BS$579,26,FALSE),1)-1),0)</f>
        <v xml:space="preserve">12 </v>
      </c>
      <c r="Z77" s="653" t="str">
        <f>IFERROR(MID(VLOOKUP(Z$8,'Info planes y paquetes'!$A$472:$BS$579,26,FALSE),1,FIND("m",VLOOKUP(Z$8,'Info planes y paquetes'!$A$472:$BS$579,26,FALSE),1)-1),0)</f>
        <v xml:space="preserve">12 </v>
      </c>
      <c r="AA77" s="653" t="str">
        <f>IFERROR(MID(VLOOKUP(AA$8,'Info planes y paquetes'!$A$472:$BS$579,26,FALSE),1,FIND("m",VLOOKUP(AA$8,'Info planes y paquetes'!$A$472:$BS$579,26,FALSE),1)-1),0)</f>
        <v xml:space="preserve">12 </v>
      </c>
      <c r="AB77" s="653" t="str">
        <f>IFERROR(MID(VLOOKUP(AB$8,'Info planes y paquetes'!$A$472:$BS$579,26,FALSE),1,FIND("m",VLOOKUP(AB$8,'Info planes y paquetes'!$A$472:$BS$579,26,FALSE),1)-1),0)</f>
        <v xml:space="preserve">12 </v>
      </c>
      <c r="AC77" s="653">
        <f>IFERROR(MID(VLOOKUP(AC$8,'Info planes y paquetes'!$A$472:$BS$579,26,FALSE),1,FIND("m",VLOOKUP(AC$8,'Info planes y paquetes'!$A$472:$BS$579,26,FALSE),1)-1),0)</f>
        <v>0</v>
      </c>
      <c r="AD77" s="653" t="str">
        <f>IFERROR(MID(VLOOKUP(AD$8,'Info planes y paquetes'!$A$472:$BS$579,26,FALSE),1,FIND("m",VLOOKUP(AD$8,'Info planes y paquetes'!$A$472:$BS$579,26,FALSE),1)-1),0)</f>
        <v xml:space="preserve">12 </v>
      </c>
      <c r="AE77" s="653">
        <f>IFERROR(MID(VLOOKUP(AE$8,'Info planes y paquetes'!$A$472:$BS$579,26,FALSE),1,FIND("m",VLOOKUP(AE$8,'Info planes y paquetes'!$A$472:$BS$579,26,FALSE),1)-1),0)</f>
        <v>0</v>
      </c>
      <c r="AF77" s="653">
        <f>IFERROR(MID(VLOOKUP(AF$8,'Info planes y paquetes'!$A$472:$BS$579,26,FALSE),1,FIND("m",VLOOKUP(AF$8,'Info planes y paquetes'!$A$472:$BS$579,26,FALSE),1)-1),0)</f>
        <v>0</v>
      </c>
      <c r="AG77" s="653">
        <f>IFERROR(MID(VLOOKUP(AG$8,'Info planes y paquetes'!$A$472:$BS$579,26,FALSE),1,FIND("m",VLOOKUP(AG$8,'Info planes y paquetes'!$A$472:$BS$579,26,FALSE),1)-1),0)</f>
        <v>0</v>
      </c>
      <c r="AH77" s="653" t="str">
        <f>IFERROR(MID(VLOOKUP(AH$8,'Info planes y paquetes'!$A$472:$BS$579,26,FALSE),1,FIND("m",VLOOKUP(AH$8,'Info planes y paquetes'!$A$472:$BS$579,26,FALSE),1)-1),0)</f>
        <v xml:space="preserve">12 </v>
      </c>
      <c r="AI77" s="653">
        <f>IFERROR(MID(VLOOKUP(AI$8,'Info planes y paquetes'!$A$472:$BS$579,26,FALSE),1,FIND("m",VLOOKUP(AI$8,'Info planes y paquetes'!$A$472:$BS$579,26,FALSE),1)-1),0)</f>
        <v>0</v>
      </c>
      <c r="AJ77" s="653">
        <f>IFERROR(MID(VLOOKUP(AJ$8,'Info planes y paquetes'!$A$472:$BS$579,26,FALSE),1,FIND("m",VLOOKUP(AJ$8,'Info planes y paquetes'!$A$472:$BS$579,26,FALSE),1)-1),0)</f>
        <v>0</v>
      </c>
      <c r="AK77" s="653">
        <f>IFERROR(MID(VLOOKUP(AK$8,'Info planes y paquetes'!$A$472:$BS$579,26,FALSE),1,FIND("m",VLOOKUP(AK$8,'Info planes y paquetes'!$A$472:$BS$579,26,FALSE),1)-1),0)</f>
        <v>0</v>
      </c>
      <c r="AL77" s="653">
        <f>IFERROR(MID(VLOOKUP(AL$8,'Info planes y paquetes'!$A$472:$BS$579,26,FALSE),1,FIND("m",VLOOKUP(AL$8,'Info planes y paquetes'!$A$472:$BS$579,26,FALSE),1)-1),0)</f>
        <v>0</v>
      </c>
      <c r="AM77" s="653">
        <f>IFERROR(MID(VLOOKUP(AM$8,'Info planes y paquetes'!$A$472:$BS$579,26,FALSE),1,FIND("m",VLOOKUP(AM$8,'Info planes y paquetes'!$A$472:$BS$579,26,FALSE),1)-1),0)</f>
        <v>0</v>
      </c>
      <c r="AN77" s="653">
        <f>IFERROR(MID(VLOOKUP(AN$8,'Info planes y paquetes'!$A$472:$BS$579,26,FALSE),1,FIND("m",VLOOKUP(AN$8,'Info planes y paquetes'!$A$472:$BS$579,26,FALSE),1)-1),0)</f>
        <v>0</v>
      </c>
      <c r="AO77" s="653" t="str">
        <f>IFERROR(MID(VLOOKUP(AO$8,'Info planes y paquetes'!$A$472:$BS$579,26,FALSE),1,FIND("m",VLOOKUP(AO$8,'Info planes y paquetes'!$A$472:$BS$579,26,FALSE),1)-1),0)</f>
        <v xml:space="preserve">12 </v>
      </c>
      <c r="AP77" s="653" t="str">
        <f>IFERROR(MID(VLOOKUP(AP$8,'Info planes y paquetes'!$A$472:$BS$579,26,FALSE),1,FIND("m",VLOOKUP(AP$8,'Info planes y paquetes'!$A$472:$BS$579,26,FALSE),1)-1),0)</f>
        <v xml:space="preserve">12 </v>
      </c>
      <c r="AQ77" s="653" t="str">
        <f>IFERROR(MID(VLOOKUP(AQ$8,'Info planes y paquetes'!$A$472:$BS$579,26,FALSE),1,FIND("m",VLOOKUP(AQ$8,'Info planes y paquetes'!$A$472:$BS$579,26,FALSE),1)-1),0)</f>
        <v xml:space="preserve">12 </v>
      </c>
      <c r="AR77" s="653" t="str">
        <f>IFERROR(MID(VLOOKUP(AR$8,'Info planes y paquetes'!$A$472:$BS$579,26,FALSE),1,FIND("m",VLOOKUP(AR$8,'Info planes y paquetes'!$A$472:$BS$579,26,FALSE),1)-1),0)</f>
        <v xml:space="preserve">12 </v>
      </c>
      <c r="AS77" s="653" t="str">
        <f>IFERROR(MID(VLOOKUP(AS$8,'Info planes y paquetes'!$A$472:$BS$579,26,FALSE),1,FIND("m",VLOOKUP(AS$8,'Info planes y paquetes'!$A$472:$BS$579,26,FALSE),1)-1),0)</f>
        <v xml:space="preserve">12 </v>
      </c>
      <c r="AT77" s="653" t="str">
        <f>IFERROR(MID(VLOOKUP(AT$8,'Info planes y paquetes'!$A$472:$BS$579,26,FALSE),1,FIND("m",VLOOKUP(AT$8,'Info planes y paquetes'!$A$472:$BS$579,26,FALSE),1)-1),0)</f>
        <v xml:space="preserve">12 </v>
      </c>
      <c r="AU77" s="653" t="str">
        <f>IFERROR(MID(VLOOKUP(AU$8,'Info planes y paquetes'!$A$472:$BS$579,26,FALSE),1,FIND("m",VLOOKUP(AU$8,'Info planes y paquetes'!$A$472:$BS$579,26,FALSE),1)-1),0)</f>
        <v xml:space="preserve">12 </v>
      </c>
      <c r="AV77" s="653" t="str">
        <f>IFERROR(MID(VLOOKUP(AV$8,'Info planes y paquetes'!$A$472:$BS$579,26,FALSE),1,FIND("m",VLOOKUP(AV$8,'Info planes y paquetes'!$A$472:$BS$579,26,FALSE),1)-1),0)</f>
        <v xml:space="preserve">12 </v>
      </c>
      <c r="AW77" s="653" t="str">
        <f>IFERROR(MID(VLOOKUP(AW$8,'Info planes y paquetes'!$A$472:$BS$579,26,FALSE),1,FIND("m",VLOOKUP(AW$8,'Info planes y paquetes'!$A$472:$BS$579,26,FALSE),1)-1),0)</f>
        <v xml:space="preserve">12 </v>
      </c>
      <c r="AX77" s="653" t="str">
        <f>IFERROR(MID(VLOOKUP(AX$8,'Info planes y paquetes'!$A$472:$BS$579,26,FALSE),1,FIND("m",VLOOKUP(AX$8,'Info planes y paquetes'!$A$472:$BS$579,26,FALSE),1)-1),0)</f>
        <v xml:space="preserve">12 </v>
      </c>
      <c r="AY77" s="653" t="str">
        <f>IFERROR(MID(VLOOKUP(AY$8,'Info planes y paquetes'!$A$472:$BS$579,26,FALSE),1,FIND("m",VLOOKUP(AY$8,'Info planes y paquetes'!$A$472:$BS$579,26,FALSE),1)-1),0)</f>
        <v xml:space="preserve">12 </v>
      </c>
      <c r="AZ77" s="653" t="str">
        <f>IFERROR(MID(VLOOKUP(AZ$8,'Info planes y paquetes'!$A$472:$BS$579,26,FALSE),1,FIND("m",VLOOKUP(AZ$8,'Info planes y paquetes'!$A$472:$BS$579,26,FALSE),1)-1),0)</f>
        <v xml:space="preserve">12 </v>
      </c>
      <c r="BA77" s="653" t="str">
        <f>IFERROR(MID(VLOOKUP(BA$8,'Info planes y paquetes'!$A$472:$BS$579,26,FALSE),1,FIND("m",VLOOKUP(BA$8,'Info planes y paquetes'!$A$472:$BS$579,26,FALSE),1)-1),0)</f>
        <v xml:space="preserve">12 </v>
      </c>
      <c r="BB77" s="653" t="str">
        <f>IFERROR(MID(VLOOKUP(BB$8,'Info planes y paquetes'!$A$472:$BS$579,26,FALSE),1,FIND("m",VLOOKUP(BB$8,'Info planes y paquetes'!$A$472:$BS$579,26,FALSE),1)-1),0)</f>
        <v xml:space="preserve">12 </v>
      </c>
      <c r="BC77" s="653" t="str">
        <f>IFERROR(MID(VLOOKUP(BC$8,'Info planes y paquetes'!$A$472:$BS$579,26,FALSE),1,FIND("m",VLOOKUP(BC$8,'Info planes y paquetes'!$A$472:$BS$579,26,FALSE),1)-1),0)</f>
        <v xml:space="preserve">12 </v>
      </c>
      <c r="BD77" s="653" t="str">
        <f>IFERROR(MID(VLOOKUP(BD$8,'Info planes y paquetes'!$A$472:$BS$579,26,FALSE),1,FIND("m",VLOOKUP(BD$8,'Info planes y paquetes'!$A$472:$BS$579,26,FALSE),1)-1),0)</f>
        <v xml:space="preserve">12 </v>
      </c>
      <c r="BE77" s="653" t="str">
        <f>IFERROR(MID(VLOOKUP(BE$8,'Info planes y paquetes'!$A$472:$BS$579,26,FALSE),1,FIND("m",VLOOKUP(BE$8,'Info planes y paquetes'!$A$472:$BS$579,26,FALSE),1)-1),0)</f>
        <v xml:space="preserve">12 </v>
      </c>
      <c r="BF77" s="653" t="str">
        <f>IFERROR(MID(VLOOKUP(BF$8,'Info planes y paquetes'!$A$472:$BS$579,26,FALSE),1,FIND("m",VLOOKUP(BF$8,'Info planes y paquetes'!$A$472:$BS$579,26,FALSE),1)-1),0)</f>
        <v xml:space="preserve">12 </v>
      </c>
      <c r="BG77" s="653" t="str">
        <f>IFERROR(MID(VLOOKUP(BG$8,'Info planes y paquetes'!$A$472:$BS$579,26,FALSE),1,FIND("m",VLOOKUP(BG$8,'Info planes y paquetes'!$A$472:$BS$579,26,FALSE),1)-1),0)</f>
        <v xml:space="preserve">12 </v>
      </c>
      <c r="BH77" s="653" t="str">
        <f>IFERROR(MID(VLOOKUP(BH$8,'Info planes y paquetes'!$A$472:$BS$579,26,FALSE),1,FIND("m",VLOOKUP(BH$8,'Info planes y paquetes'!$A$472:$BS$579,26,FALSE),1)-1),0)</f>
        <v xml:space="preserve">12 </v>
      </c>
      <c r="BI77" s="653">
        <f>IFERROR(MID(VLOOKUP(BI$8,'Info planes y paquetes'!$A$472:$BS$579,26,FALSE),1,FIND("m",VLOOKUP(BI$8,'Info planes y paquetes'!$A$472:$BS$579,26,FALSE),1)-1),0)</f>
        <v>0</v>
      </c>
      <c r="BJ77" s="653">
        <f>IFERROR(MID(VLOOKUP(BJ$8,'Info planes y paquetes'!$A$472:$BS$579,26,FALSE),1,FIND("m",VLOOKUP(BJ$8,'Info planes y paquetes'!$A$472:$BS$579,26,FALSE),1)-1),0)</f>
        <v>0</v>
      </c>
      <c r="BK77" s="653">
        <f>IFERROR(MID(VLOOKUP(BK$8,'Info planes y paquetes'!$A$472:$BS$579,26,FALSE),1,FIND("m",VLOOKUP(BK$8,'Info planes y paquetes'!$A$472:$BS$579,26,FALSE),1)-1),0)</f>
        <v>0</v>
      </c>
      <c r="BL77" s="653">
        <f>IFERROR(MID(VLOOKUP(BL$8,'Info planes y paquetes'!$A$472:$BS$579,26,FALSE),1,FIND("m",VLOOKUP(BL$8,'Info planes y paquetes'!$A$472:$BS$579,26,FALSE),1)-1),0)</f>
        <v>0</v>
      </c>
      <c r="BM77" s="653">
        <f>IFERROR(MID(VLOOKUP(BM$8,'Info planes y paquetes'!$A$472:$BS$579,26,FALSE),1,FIND("m",VLOOKUP(BM$8,'Info planes y paquetes'!$A$472:$BS$579,26,FALSE),1)-1),0)</f>
        <v>0</v>
      </c>
      <c r="BN77" s="653">
        <f>IFERROR(MID(VLOOKUP(BN$8,'Info planes y paquetes'!$A$472:$BS$579,26,FALSE),1,FIND("m",VLOOKUP(BN$8,'Info planes y paquetes'!$A$472:$BS$579,26,FALSE),1)-1),0)</f>
        <v>0</v>
      </c>
      <c r="BO77" s="653">
        <f>IFERROR(MID(VLOOKUP(BO$8,'Info planes y paquetes'!$A$472:$BS$579,26,FALSE),1,FIND("m",VLOOKUP(BO$8,'Info planes y paquetes'!$A$472:$BS$579,26,FALSE),1)-1),0)</f>
        <v>0</v>
      </c>
      <c r="BP77" s="653">
        <f>IFERROR(MID(VLOOKUP(BP$8,'Info planes y paquetes'!$A$472:$BS$579,26,FALSE),1,FIND("m",VLOOKUP(BP$8,'Info planes y paquetes'!$A$472:$BS$579,26,FALSE),1)-1),0)</f>
        <v>0</v>
      </c>
      <c r="BQ77" s="653">
        <f>IFERROR(MID(VLOOKUP(BQ$8,'Info planes y paquetes'!$A$472:$BS$579,26,FALSE),1,FIND("m",VLOOKUP(BQ$8,'Info planes y paquetes'!$A$472:$BS$579,26,FALSE),1)-1),0)</f>
        <v>0</v>
      </c>
      <c r="BR77" s="653">
        <f>IFERROR(MID(VLOOKUP(BR$8,'Info planes y paquetes'!$A$472:$BS$579,26,FALSE),1,FIND("m",VLOOKUP(BR$8,'Info planes y paquetes'!$A$472:$BS$579,26,FALSE),1)-1),0)</f>
        <v>0</v>
      </c>
      <c r="BS77" s="653">
        <f>IFERROR(MID(VLOOKUP(BS$8,'Info planes y paquetes'!$A$472:$BS$579,26,FALSE),1,FIND("m",VLOOKUP(BS$8,'Info planes y paquetes'!$A$472:$BS$579,26,FALSE),1)-1),0)</f>
        <v>0</v>
      </c>
      <c r="BT77" s="653">
        <f>IFERROR(MID(VLOOKUP(BT$8,'Info planes y paquetes'!$A$472:$BS$579,26,FALSE),1,FIND("m",VLOOKUP(BT$8,'Info planes y paquetes'!$A$472:$BS$579,26,FALSE),1)-1),0)</f>
        <v>0</v>
      </c>
      <c r="BU77" s="653">
        <f>IFERROR(MID(VLOOKUP(BU$8,'Info planes y paquetes'!$A$472:$BS$579,26,FALSE),1,FIND("m",VLOOKUP(BU$8,'Info planes y paquetes'!$A$472:$BS$579,26,FALSE),1)-1),0)</f>
        <v>0</v>
      </c>
      <c r="BV77" s="653">
        <f>IFERROR(MID(VLOOKUP(BV$8,'Info planes y paquetes'!$A$472:$BS$579,26,FALSE),1,FIND("m",VLOOKUP(BV$8,'Info planes y paquetes'!$A$472:$BS$579,26,FALSE),1)-1),0)</f>
        <v>0</v>
      </c>
      <c r="BW77" s="653">
        <f>IFERROR(MID(VLOOKUP(BW$8,'Info planes y paquetes'!$A$472:$BS$579,26,FALSE),1,FIND("m",VLOOKUP(BW$8,'Info planes y paquetes'!$A$472:$BS$579,26,FALSE),1)-1),0)</f>
        <v>0</v>
      </c>
      <c r="BX77" s="653">
        <f>IFERROR(MID(VLOOKUP(BX$8,'Info planes y paquetes'!$A$472:$BS$579,26,FALSE),1,FIND("m",VLOOKUP(BX$8,'Info planes y paquetes'!$A$472:$BS$579,26,FALSE),1)-1),0)</f>
        <v>0</v>
      </c>
      <c r="BY77" s="653" t="str">
        <f>IFERROR(MID(VLOOKUP(BY$8,'Info planes y paquetes'!$A$472:$BS$579,26,FALSE),1,FIND("m",VLOOKUP(BY$8,'Info planes y paquetes'!$A$472:$BS$579,26,FALSE),1)-1),0)</f>
        <v xml:space="preserve">12 </v>
      </c>
      <c r="BZ77" s="653" t="str">
        <f>IFERROR(MID(VLOOKUP(BZ$8,'Info planes y paquetes'!$A$472:$BS$579,26,FALSE),1,FIND("m",VLOOKUP(BZ$8,'Info planes y paquetes'!$A$472:$BS$579,26,FALSE),1)-1),0)</f>
        <v xml:space="preserve">12 </v>
      </c>
      <c r="CA77" s="653" t="str">
        <f>IFERROR(MID(VLOOKUP(CA$8,'Info planes y paquetes'!$A$472:$BS$579,26,FALSE),1,FIND("m",VLOOKUP(CA$8,'Info planes y paquetes'!$A$472:$BS$579,26,FALSE),1)-1),0)</f>
        <v xml:space="preserve">12 </v>
      </c>
      <c r="CB77" s="653" t="str">
        <f>IFERROR(MID(VLOOKUP(CB$8,'Info planes y paquetes'!$A$472:$BS$579,26,FALSE),1,FIND("m",VLOOKUP(CB$8,'Info planes y paquetes'!$A$472:$BS$579,26,FALSE),1)-1),0)</f>
        <v xml:space="preserve">12 </v>
      </c>
      <c r="CC77" s="653" t="str">
        <f>IFERROR(MID(VLOOKUP(CC$8,'Info planes y paquetes'!$A$472:$BS$579,26,FALSE),1,FIND("m",VLOOKUP(CC$8,'Info planes y paquetes'!$A$472:$BS$579,26,FALSE),1)-1),0)</f>
        <v xml:space="preserve">12 </v>
      </c>
      <c r="CD77" s="653" t="str">
        <f>IFERROR(MID(VLOOKUP(CD$8,'Info planes y paquetes'!$A$472:$BS$579,26,FALSE),1,FIND("m",VLOOKUP(CD$8,'Info planes y paquetes'!$A$472:$BS$579,26,FALSE),1)-1),0)</f>
        <v xml:space="preserve">12 </v>
      </c>
      <c r="CE77" s="653" t="str">
        <f>IFERROR(MID(VLOOKUP(CE$8,'Info planes y paquetes'!$A$472:$BS$579,26,FALSE),1,FIND("m",VLOOKUP(CE$8,'Info planes y paquetes'!$A$472:$BS$579,26,FALSE),1)-1),0)</f>
        <v xml:space="preserve">12 </v>
      </c>
      <c r="CF77" s="653" t="str">
        <f>IFERROR(MID(VLOOKUP(CF$8,'Info planes y paquetes'!$A$472:$BS$579,26,FALSE),1,FIND("m",VLOOKUP(CF$8,'Info planes y paquetes'!$A$472:$BS$579,26,FALSE),1)-1),0)</f>
        <v xml:space="preserve">12 </v>
      </c>
      <c r="CG77" s="653" t="str">
        <f>IFERROR(MID(VLOOKUP(CG$8,'Info planes y paquetes'!$A$472:$BS$579,26,FALSE),1,FIND("m",VLOOKUP(CG$8,'Info planes y paquetes'!$A$472:$BS$579,26,FALSE),1)-1),0)</f>
        <v xml:space="preserve">12 </v>
      </c>
      <c r="CH77" s="653" t="str">
        <f>IFERROR(MID(VLOOKUP(CH$8,'Info planes y paquetes'!$A$472:$BS$579,26,FALSE),1,FIND("m",VLOOKUP(CH$8,'Info planes y paquetes'!$A$472:$BS$579,26,FALSE),1)-1),0)</f>
        <v xml:space="preserve">12 </v>
      </c>
      <c r="CI77" s="653" t="str">
        <f>IFERROR(MID(VLOOKUP(CI$8,'Info planes y paquetes'!$A$472:$BS$579,26,FALSE),1,FIND("m",VLOOKUP(CI$8,'Info planes y paquetes'!$A$472:$BS$579,26,FALSE),1)-1),0)</f>
        <v xml:space="preserve">12 </v>
      </c>
      <c r="CJ77" s="653" t="str">
        <f>IFERROR(MID(VLOOKUP(CJ$8,'Info planes y paquetes'!$A$472:$BS$579,26,FALSE),1,FIND("m",VLOOKUP(CJ$8,'Info planes y paquetes'!$A$472:$BS$579,26,FALSE),1)-1),0)</f>
        <v xml:space="preserve">12 </v>
      </c>
      <c r="CK77" s="653" t="str">
        <f>IFERROR(MID(VLOOKUP(CK$8,'Info planes y paquetes'!$A$472:$BS$579,26,FALSE),1,FIND("m",VLOOKUP(CK$8,'Info planes y paquetes'!$A$472:$BS$579,26,FALSE),1)-1),0)</f>
        <v xml:space="preserve">12 </v>
      </c>
      <c r="CL77" s="653" t="str">
        <f>IFERROR(MID(VLOOKUP(CL$8,'Info planes y paquetes'!$A$472:$BS$579,26,FALSE),1,FIND("m",VLOOKUP(CL$8,'Info planes y paquetes'!$A$472:$BS$579,26,FALSE),1)-1),0)</f>
        <v xml:space="preserve">12 </v>
      </c>
      <c r="CM77" s="653" t="str">
        <f>IFERROR(MID(VLOOKUP(CM$8,'Info planes y paquetes'!$A$472:$BS$579,26,FALSE),1,FIND("m",VLOOKUP(CM$8,'Info planes y paquetes'!$A$472:$BS$579,26,FALSE),1)-1),0)</f>
        <v xml:space="preserve">12 </v>
      </c>
      <c r="CN77" s="653" t="str">
        <f>IFERROR(MID(VLOOKUP(CN$8,'Info planes y paquetes'!$A$472:$BS$579,26,FALSE),1,FIND("m",VLOOKUP(CN$8,'Info planes y paquetes'!$A$472:$BS$579,26,FALSE),1)-1),0)</f>
        <v xml:space="preserve">12 </v>
      </c>
      <c r="CO77" s="653" t="str">
        <f>IFERROR(MID(VLOOKUP(CO$8,'Info planes y paquetes'!$A$472:$BS$579,26,FALSE),1,FIND("m",VLOOKUP(CO$8,'Info planes y paquetes'!$A$472:$BS$579,26,FALSE),1)-1),0)</f>
        <v xml:space="preserve">12 </v>
      </c>
      <c r="CP77" s="653" t="str">
        <f>IFERROR(MID(VLOOKUP(CP$8,'Info planes y paquetes'!$A$472:$BS$579,26,FALSE),1,FIND("m",VLOOKUP(CP$8,'Info planes y paquetes'!$A$472:$BS$579,26,FALSE),1)-1),0)</f>
        <v xml:space="preserve">12 </v>
      </c>
      <c r="CQ77" s="653" t="str">
        <f>IFERROR(MID(VLOOKUP(CQ$8,'Info planes y paquetes'!$A$472:$BS$579,26,FALSE),1,FIND("m",VLOOKUP(CQ$8,'Info planes y paquetes'!$A$472:$BS$579,26,FALSE),1)-1),0)</f>
        <v xml:space="preserve">12 </v>
      </c>
      <c r="CR77" s="653" t="str">
        <f>IFERROR(MID(VLOOKUP(CR$8,'Info planes y paquetes'!$A$472:$BS$579,26,FALSE),1,FIND("m",VLOOKUP(CR$8,'Info planes y paquetes'!$A$472:$BS$579,26,FALSE),1)-1),0)</f>
        <v xml:space="preserve">12 </v>
      </c>
      <c r="CS77" s="653" t="str">
        <f>IFERROR(MID(VLOOKUP(CS$8,'Info planes y paquetes'!$A$472:$BS$579,26,FALSE),1,FIND("m",VLOOKUP(CS$8,'Info planes y paquetes'!$A$472:$BS$579,26,FALSE),1)-1),0)</f>
        <v xml:space="preserve">12 </v>
      </c>
      <c r="CT77" s="653" t="str">
        <f>IFERROR(MID(VLOOKUP(CT$8,'Info planes y paquetes'!$A$472:$BS$579,26,FALSE),1,FIND("m",VLOOKUP(CT$8,'Info planes y paquetes'!$A$472:$BS$579,26,FALSE),1)-1),0)</f>
        <v xml:space="preserve">12 </v>
      </c>
      <c r="CU77" s="653" t="str">
        <f>IFERROR(MID(VLOOKUP(CU$8,'Info planes y paquetes'!$A$472:$BS$579,26,FALSE),1,FIND("m",VLOOKUP(CU$8,'Info planes y paquetes'!$A$472:$BS$579,26,FALSE),1)-1),0)</f>
        <v xml:space="preserve">12 </v>
      </c>
      <c r="CV77" s="653" t="str">
        <f>IFERROR(MID(VLOOKUP(CV$8,'Info planes y paquetes'!$A$472:$BS$579,26,FALSE),1,FIND("m",VLOOKUP(CV$8,'Info planes y paquetes'!$A$472:$BS$579,26,FALSE),1)-1),0)</f>
        <v xml:space="preserve">12 </v>
      </c>
      <c r="CW77" s="653" t="str">
        <f>IFERROR(MID(VLOOKUP(CW$8,'Info planes y paquetes'!$A$472:$BS$579,26,FALSE),1,FIND("m",VLOOKUP(CW$8,'Info planes y paquetes'!$A$472:$BS$579,26,FALSE),1)-1),0)</f>
        <v xml:space="preserve">12 </v>
      </c>
      <c r="CX77" s="653" t="str">
        <f>IFERROR(MID(VLOOKUP(CX$8,'Info planes y paquetes'!$A$472:$BS$579,26,FALSE),1,FIND("m",VLOOKUP(CX$8,'Info planes y paquetes'!$A$472:$BS$579,26,FALSE),1)-1),0)</f>
        <v xml:space="preserve">12 </v>
      </c>
      <c r="CY77" s="653" t="str">
        <f>IFERROR(MID(VLOOKUP(CY$8,'Info planes y paquetes'!$A$472:$BS$579,26,FALSE),1,FIND("m",VLOOKUP(CY$8,'Info planes y paquetes'!$A$472:$BS$579,26,FALSE),1)-1),0)</f>
        <v xml:space="preserve">12 </v>
      </c>
      <c r="CZ77" s="653" t="str">
        <f>IFERROR(MID(VLOOKUP(CZ$8,'Info planes y paquetes'!$A$472:$BS$579,26,FALSE),1,FIND("m",VLOOKUP(CZ$8,'Info planes y paquetes'!$A$472:$BS$579,26,FALSE),1)-1),0)</f>
        <v xml:space="preserve">12 </v>
      </c>
      <c r="DA77" s="653" t="str">
        <f>IFERROR(MID(VLOOKUP(DA$8,'Info planes y paquetes'!$A$472:$BS$579,26,FALSE),1,FIND("m",VLOOKUP(DA$8,'Info planes y paquetes'!$A$472:$BS$579,26,FALSE),1)-1),0)</f>
        <v xml:space="preserve">12 </v>
      </c>
      <c r="DB77" s="653">
        <f>IFERROR(MID(VLOOKUP(DB$8,'Info planes y paquetes'!$A$472:$BS$579,26,FALSE),1,FIND("m",VLOOKUP(DB$8,'Info planes y paquetes'!$A$472:$BS$579,26,FALSE),1)-1),0)</f>
        <v>0</v>
      </c>
      <c r="DC77" s="653">
        <f>IFERROR(MID(VLOOKUP(DC$8,'Info planes y paquetes'!$A$472:$BS$579,26,FALSE),1,FIND("m",VLOOKUP(DC$8,'Info planes y paquetes'!$A$472:$BS$579,26,FALSE),1)-1),0)</f>
        <v>0</v>
      </c>
      <c r="DD77" s="653">
        <f>IFERROR(MID(VLOOKUP(DD$8,'Info planes y paquetes'!$A$472:$BS$579,26,FALSE),1,FIND("m",VLOOKUP(DD$8,'Info planes y paquetes'!$A$472:$BS$579,26,FALSE),1)-1),0)</f>
        <v>0</v>
      </c>
      <c r="DE77" s="653">
        <f>IFERROR(MID(VLOOKUP(DE$8,'Info planes y paquetes'!$A$472:$BS$579,26,FALSE),1,FIND("m",VLOOKUP(DE$8,'Info planes y paquetes'!$A$472:$BS$579,26,FALSE),1)-1),0)</f>
        <v>0</v>
      </c>
      <c r="DF77" s="653">
        <f>IFERROR(MID(VLOOKUP(DF$8,'Info planes y paquetes'!$A$472:$BS$579,26,FALSE),1,FIND("m",VLOOKUP(DF$8,'Info planes y paquetes'!$A$472:$BS$579,26,FALSE),1)-1),0)</f>
        <v>0</v>
      </c>
      <c r="DG77" s="653">
        <f>IFERROR(MID(VLOOKUP(DG$8,'Info planes y paquetes'!$A$472:$BS$579,26,FALSE),1,FIND("m",VLOOKUP(DG$8,'Info planes y paquetes'!$A$472:$BS$579,26,FALSE),1)-1),0)</f>
        <v>0</v>
      </c>
      <c r="DH77" s="653">
        <f>IFERROR(MID(VLOOKUP(DH$8,'Info planes y paquetes'!$A$472:$BS$579,26,FALSE),1,FIND("m",VLOOKUP(DH$8,'Info planes y paquetes'!$A$472:$BS$579,26,FALSE),1)-1),0)</f>
        <v>0</v>
      </c>
      <c r="DI77" s="653">
        <f>IFERROR(MID(VLOOKUP(DI$8,'Info planes y paquetes'!$A$472:$BS$579,26,FALSE),1,FIND("m",VLOOKUP(DI$8,'Info planes y paquetes'!$A$472:$BS$579,26,FALSE),1)-1),0)</f>
        <v>0</v>
      </c>
      <c r="DJ77" s="653">
        <f>IFERROR(MID(VLOOKUP(DJ$8,'Info planes y paquetes'!$A$472:$BS$579,26,FALSE),1,FIND("m",VLOOKUP(DJ$8,'Info planes y paquetes'!$A$472:$BS$579,26,FALSE),1)-1),0)</f>
        <v>0</v>
      </c>
      <c r="DK77" s="653">
        <f>IFERROR(MID(VLOOKUP(DK$8,'Info planes y paquetes'!$A$472:$BS$579,26,FALSE),1,FIND("m",VLOOKUP(DK$8,'Info planes y paquetes'!$A$472:$BS$579,26,FALSE),1)-1),0)</f>
        <v>0</v>
      </c>
      <c r="DL77" s="653">
        <f>IFERROR(MID(VLOOKUP(DL$8,'Info planes y paquetes'!$A$472:$BS$579,26,FALSE),1,FIND("m",VLOOKUP(DL$8,'Info planes y paquetes'!$A$472:$BS$579,26,FALSE),1)-1),0)</f>
        <v>0</v>
      </c>
      <c r="DM77" s="653">
        <f>IFERROR(MID(VLOOKUP(DM$8,'Info planes y paquetes'!$A$472:$BS$579,26,FALSE),1,FIND("m",VLOOKUP(DM$8,'Info planes y paquetes'!$A$472:$BS$579,26,FALSE),1)-1),0)</f>
        <v>0</v>
      </c>
      <c r="DN77" s="653">
        <f>IFERROR(MID(VLOOKUP(DN$8,'Info planes y paquetes'!$A$472:$BS$579,26,FALSE),1,FIND("m",VLOOKUP(DN$8,'Info planes y paquetes'!$A$472:$BS$579,26,FALSE),1)-1),0)</f>
        <v>0</v>
      </c>
      <c r="DO77" s="124">
        <f>IFERROR(MID(VLOOKUP(DO$8,'Info planes y paquetes'!$A$472:$BS$579,26,FALSE),1,FIND("m",VLOOKUP(DO$8,'Info planes y paquetes'!$A$472:$BS$579,26,FALSE),1)-1),0)</f>
        <v>0</v>
      </c>
      <c r="DP77" s="124">
        <f>IFERROR(MID(VLOOKUP(DP$8,'Info planes y paquetes'!$A$472:$BS$579,26,FALSE),1,FIND("m",VLOOKUP(DP$8,'Info planes y paquetes'!$A$472:$BS$579,26,FALSE),1)-1),0)</f>
        <v>0</v>
      </c>
      <c r="DQ77" s="124">
        <f>IFERROR(MID(VLOOKUP(DQ$8,'Info planes y paquetes'!$A$472:$BS$579,26,FALSE),1,FIND("m",VLOOKUP(DQ$8,'Info planes y paquetes'!$A$472:$BS$579,26,FALSE),1)-1),0)</f>
        <v>0</v>
      </c>
      <c r="DR77" s="124">
        <f>IFERROR(MID(VLOOKUP(DR$8,'Info planes y paquetes'!$A$472:$BS$579,26,FALSE),1,FIND("m",VLOOKUP(DR$8,'Info planes y paquetes'!$A$472:$BS$579,26,FALSE),1)-1),0)</f>
        <v>0</v>
      </c>
      <c r="DS77" s="124">
        <f>IFERROR(MID(VLOOKUP(DS$8,'Info planes y paquetes'!$A$472:$BS$579,26,FALSE),1,FIND("m",VLOOKUP(DS$8,'Info planes y paquetes'!$A$472:$BS$579,26,FALSE),1)-1),0)</f>
        <v>0</v>
      </c>
      <c r="DT77" s="124">
        <f>IFERROR(MID(VLOOKUP(DT$8,'Info planes y paquetes'!$A$472:$BS$579,26,FALSE),1,FIND("m",VLOOKUP(DT$8,'Info planes y paquetes'!$A$472:$BS$579,26,FALSE),1)-1),0)</f>
        <v>0</v>
      </c>
      <c r="DU77" s="124">
        <f>IFERROR(MID(VLOOKUP(DU$8,'Info planes y paquetes'!$A$472:$BS$579,26,FALSE),1,FIND("m",VLOOKUP(DU$8,'Info planes y paquetes'!$A$472:$BS$579,26,FALSE),1)-1),0)</f>
        <v>0</v>
      </c>
      <c r="DV77" s="124">
        <f>IFERROR(MID(VLOOKUP(DV$8,'Info planes y paquetes'!$A$472:$BS$579,26,FALSE),1,FIND("m",VLOOKUP(DV$8,'Info planes y paquetes'!$A$472:$BS$579,26,FALSE),1)-1),0)</f>
        <v>0</v>
      </c>
      <c r="DW77" s="124">
        <f>IFERROR(MID(VLOOKUP(DW$8,'Info planes y paquetes'!$A$472:$BS$579,26,FALSE),1,FIND("m",VLOOKUP(DW$8,'Info planes y paquetes'!$A$472:$BS$579,26,FALSE),1)-1),0)</f>
        <v>0</v>
      </c>
      <c r="DX77" s="124">
        <f>IFERROR(MID(VLOOKUP(DX$8,'Info planes y paquetes'!$A$472:$BS$579,26,FALSE),1,FIND("m",VLOOKUP(DX$8,'Info planes y paquetes'!$A$472:$BS$579,26,FALSE),1)-1),0)</f>
        <v>0</v>
      </c>
      <c r="DY77" s="124">
        <f>IFERROR(MID(VLOOKUP(DY$8,'Info planes y paquetes'!$A$472:$BS$579,26,FALSE),1,FIND("m",VLOOKUP(DY$8,'Info planes y paquetes'!$A$472:$BS$579,26,FALSE),1)-1),0)</f>
        <v>0</v>
      </c>
      <c r="DZ77" s="124">
        <f>IFERROR(MID(VLOOKUP(DZ$8,'Info planes y paquetes'!$A$472:$BS$579,26,FALSE),1,FIND("m",VLOOKUP(DZ$8,'Info planes y paquetes'!$A$472:$BS$579,26,FALSE),1)-1),0)</f>
        <v>0</v>
      </c>
      <c r="EA77" s="124">
        <f>IFERROR(MID(VLOOKUP(EA$8,'Info planes y paquetes'!$A$472:$BS$579,26,FALSE),1,FIND("m",VLOOKUP(EA$8,'Info planes y paquetes'!$A$472:$BS$579,26,FALSE),1)-1),0)</f>
        <v>0</v>
      </c>
      <c r="EB77" s="124">
        <f>IFERROR(MID(VLOOKUP(EB$8,'Info planes y paquetes'!$A$472:$BS$579,26,FALSE),1,FIND("m",VLOOKUP(EB$8,'Info planes y paquetes'!$A$472:$BS$579,26,FALSE),1)-1),0)</f>
        <v>0</v>
      </c>
      <c r="EC77" s="124">
        <f>IFERROR(MID(VLOOKUP(EC$8,'Info planes y paquetes'!$A$472:$BS$579,26,FALSE),1,FIND("m",VLOOKUP(EC$8,'Info planes y paquetes'!$A$472:$BS$579,26,FALSE),1)-1),0)</f>
        <v>0</v>
      </c>
      <c r="ED77" s="124">
        <f>IFERROR(MID(VLOOKUP(ED$8,'Info planes y paquetes'!$A$472:$BS$579,26,FALSE),1,FIND("m",VLOOKUP(ED$8,'Info planes y paquetes'!$A$472:$BS$579,26,FALSE),1)-1),0)</f>
        <v>0</v>
      </c>
      <c r="EE77" s="124">
        <f>IFERROR(MID(VLOOKUP(EE$8,'Info planes y paquetes'!$A$472:$BS$579,26,FALSE),1,FIND("m",VLOOKUP(EE$8,'Info planes y paquetes'!$A$472:$BS$579,26,FALSE),1)-1),0)</f>
        <v>0</v>
      </c>
      <c r="EF77" s="124">
        <f>IFERROR(MID(VLOOKUP(EF$8,'Info planes y paquetes'!$A$472:$BS$579,26,FALSE),1,FIND("m",VLOOKUP(EF$8,'Info planes y paquetes'!$A$472:$BS$579,26,FALSE),1)-1),0)</f>
        <v>0</v>
      </c>
      <c r="EG77" s="124">
        <f>IFERROR(MID(VLOOKUP(EG$8,'Info planes y paquetes'!$A$472:$BS$579,26,FALSE),1,FIND("m",VLOOKUP(EG$8,'Info planes y paquetes'!$A$472:$BS$579,26,FALSE),1)-1),0)</f>
        <v>0</v>
      </c>
      <c r="EH77" s="124">
        <f>IFERROR(MID(VLOOKUP(EH$8,'Info planes y paquetes'!$A$472:$BS$579,26,FALSE),1,FIND("m",VLOOKUP(EH$8,'Info planes y paquetes'!$A$472:$BS$579,26,FALSE),1)-1),0)</f>
        <v>0</v>
      </c>
      <c r="EI77" s="124">
        <f>IFERROR(MID(VLOOKUP(EI$8,'Info planes y paquetes'!$A$472:$BS$579,26,FALSE),1,FIND("m",VLOOKUP(EI$8,'Info planes y paquetes'!$A$472:$BS$579,26,FALSE),1)-1),0)</f>
        <v>0</v>
      </c>
      <c r="EJ77" s="124">
        <f>IFERROR(MID(VLOOKUP(EJ$8,'Info planes y paquetes'!$A$472:$BS$579,26,FALSE),1,FIND("m",VLOOKUP(EJ$8,'Info planes y paquetes'!$A$472:$BS$579,26,FALSE),1)-1),0)</f>
        <v>0</v>
      </c>
      <c r="EK77" s="124">
        <f>IFERROR(MID(VLOOKUP(EK$8,'Info planes y paquetes'!$A$472:$BS$579,26,FALSE),1,FIND("m",VLOOKUP(EK$8,'Info planes y paquetes'!$A$472:$BS$579,26,FALSE),1)-1),0)</f>
        <v>0</v>
      </c>
      <c r="EL77" s="124">
        <f>IFERROR(MID(VLOOKUP(EL$8,'Info planes y paquetes'!$A$472:$BS$579,26,FALSE),1,FIND("m",VLOOKUP(EL$8,'Info planes y paquetes'!$A$472:$BS$579,26,FALSE),1)-1),0)</f>
        <v>0</v>
      </c>
      <c r="EM77" s="124">
        <f>IFERROR(MID(VLOOKUP(EM$8,'Info planes y paquetes'!$A$472:$BS$579,26,FALSE),1,FIND("m",VLOOKUP(EM$8,'Info planes y paquetes'!$A$472:$BS$579,26,FALSE),1)-1),0)</f>
        <v>0</v>
      </c>
      <c r="EN77" s="124">
        <f>IFERROR(MID(VLOOKUP(EN$8,'Info planes y paquetes'!$A$472:$BS$579,26,FALSE),1,FIND("m",VLOOKUP(EN$8,'Info planes y paquetes'!$A$472:$BS$579,26,FALSE),1)-1),0)</f>
        <v>0</v>
      </c>
      <c r="EO77" s="124">
        <f>IFERROR(MID(VLOOKUP(EO$8,'Info planes y paquetes'!$A$472:$BS$579,26,FALSE),1,FIND("m",VLOOKUP(EO$8,'Info planes y paquetes'!$A$472:$BS$579,26,FALSE),1)-1),0)</f>
        <v>0</v>
      </c>
      <c r="EP77" s="124">
        <f>IFERROR(MID(VLOOKUP(EP$8,'Info planes y paquetes'!$A$472:$BS$579,26,FALSE),1,FIND("m",VLOOKUP(EP$8,'Info planes y paquetes'!$A$472:$BS$579,26,FALSE),1)-1),0)</f>
        <v>0</v>
      </c>
      <c r="EQ77" s="124">
        <f>IFERROR(MID(VLOOKUP(EQ$8,'Info planes y paquetes'!$A$472:$BS$579,26,FALSE),1,FIND("m",VLOOKUP(EQ$8,'Info planes y paquetes'!$A$472:$BS$579,26,FALSE),1)-1),0)</f>
        <v>0</v>
      </c>
      <c r="ER77" s="124">
        <f>IFERROR(MID(VLOOKUP(ER$8,'Info planes y paquetes'!$A$472:$BS$579,26,FALSE),1,FIND("m",VLOOKUP(ER$8,'Info planes y paquetes'!$A$472:$BS$579,26,FALSE),1)-1),0)</f>
        <v>0</v>
      </c>
      <c r="ES77" s="124">
        <f>IFERROR(MID(VLOOKUP(ES$8,'Info planes y paquetes'!$A$472:$BS$579,26,FALSE),1,FIND("m",VLOOKUP(ES$8,'Info planes y paquetes'!$A$472:$BS$579,26,FALSE),1)-1),0)</f>
        <v>0</v>
      </c>
      <c r="ET77" s="124">
        <f>IFERROR(MID(VLOOKUP(ET$8,'Info planes y paquetes'!$A$472:$BS$579,26,FALSE),1,FIND("m",VLOOKUP(ET$8,'Info planes y paquetes'!$A$472:$BS$579,26,FALSE),1)-1),0)</f>
        <v>0</v>
      </c>
      <c r="EU77" s="124">
        <f>IFERROR(MID(VLOOKUP(EU$8,'Info planes y paquetes'!$A$472:$BS$579,26,FALSE),1,FIND("m",VLOOKUP(EU$8,'Info planes y paquetes'!$A$472:$BS$579,26,FALSE),1)-1),0)</f>
        <v>0</v>
      </c>
      <c r="EV77" s="124">
        <f>IFERROR(MID(VLOOKUP(EV$8,'Info planes y paquetes'!$A$472:$BS$579,26,FALSE),1,FIND("m",VLOOKUP(EV$8,'Info planes y paquetes'!$A$472:$BS$579,26,FALSE),1)-1),0)</f>
        <v>0</v>
      </c>
      <c r="EW77" s="124">
        <f>IFERROR(MID(VLOOKUP(EW$8,'Info planes y paquetes'!$A$472:$BS$579,26,FALSE),1,FIND("m",VLOOKUP(EW$8,'Info planes y paquetes'!$A$472:$BS$579,26,FALSE),1)-1),0)</f>
        <v>0</v>
      </c>
      <c r="EX77" s="124">
        <f>IFERROR(MID(VLOOKUP(EX$8,'Info planes y paquetes'!$A$472:$BS$579,26,FALSE),1,FIND("m",VLOOKUP(EX$8,'Info planes y paquetes'!$A$472:$BS$579,26,FALSE),1)-1),0)</f>
        <v>0</v>
      </c>
      <c r="EY77" s="124">
        <f>IFERROR(MID(VLOOKUP(EY$8,'Info planes y paquetes'!$A$472:$BS$579,26,FALSE),1,FIND("m",VLOOKUP(EY$8,'Info planes y paquetes'!$A$472:$BS$579,26,FALSE),1)-1),0)</f>
        <v>0</v>
      </c>
      <c r="EZ77" s="124">
        <f>IFERROR(MID(VLOOKUP(EZ$8,'Info planes y paquetes'!$A$472:$BS$579,26,FALSE),1,FIND("m",VLOOKUP(EZ$8,'Info planes y paquetes'!$A$472:$BS$579,26,FALSE),1)-1),0)</f>
        <v>0</v>
      </c>
      <c r="FA77" s="124">
        <f>IFERROR(MID(VLOOKUP(FA$8,'Info planes y paquetes'!$A$472:$BS$579,26,FALSE),1,FIND("m",VLOOKUP(FA$8,'Info planes y paquetes'!$A$472:$BS$579,26,FALSE),1)-1),0)</f>
        <v>0</v>
      </c>
      <c r="FB77" s="124">
        <f>IFERROR(MID(VLOOKUP(FB$8,'Info planes y paquetes'!$A$472:$BS$579,26,FALSE),1,FIND("m",VLOOKUP(FB$8,'Info planes y paquetes'!$A$472:$BS$579,26,FALSE),1)-1),0)</f>
        <v>0</v>
      </c>
      <c r="FC77" s="124">
        <f>IFERROR(MID(VLOOKUP(FC$8,'Info planes y paquetes'!$A$472:$BS$579,26,FALSE),1,FIND("m",VLOOKUP(FC$8,'Info planes y paquetes'!$A$472:$BS$579,26,FALSE),1)-1),0)</f>
        <v>0</v>
      </c>
      <c r="FD77" s="124">
        <f>IFERROR(MID(VLOOKUP(FD$8,'Info planes y paquetes'!$A$472:$BS$579,26,FALSE),1,FIND("m",VLOOKUP(FD$8,'Info planes y paquetes'!$A$472:$BS$579,26,FALSE),1)-1),0)</f>
        <v>0</v>
      </c>
      <c r="FE77" s="124">
        <f>IFERROR(MID(VLOOKUP(FE$8,'Info planes y paquetes'!$A$472:$BS$579,26,FALSE),1,FIND("m",VLOOKUP(FE$8,'Info planes y paquetes'!$A$472:$BS$579,26,FALSE),1)-1),0)</f>
        <v>0</v>
      </c>
      <c r="FF77" s="124">
        <f>IFERROR(MID(VLOOKUP(FF$8,'Info planes y paquetes'!$A$472:$BS$579,26,FALSE),1,FIND("m",VLOOKUP(FF$8,'Info planes y paquetes'!$A$472:$BS$579,26,FALSE),1)-1),0)</f>
        <v>0</v>
      </c>
      <c r="FG77" s="124">
        <f>IFERROR(MID(VLOOKUP(FG$8,'Info planes y paquetes'!$A$472:$BS$579,26,FALSE),1,FIND("m",VLOOKUP(FG$8,'Info planes y paquetes'!$A$472:$BS$579,26,FALSE),1)-1),0)</f>
        <v>0</v>
      </c>
      <c r="FH77" s="124">
        <f>IFERROR(MID(VLOOKUP(FH$8,'Info planes y paquetes'!$A$472:$BS$579,26,FALSE),1,FIND("m",VLOOKUP(FH$8,'Info planes y paquetes'!$A$472:$BS$579,26,FALSE),1)-1),0)</f>
        <v>0</v>
      </c>
      <c r="FI77" s="124">
        <f>IFERROR(MID(VLOOKUP(FI$8,'Info planes y paquetes'!$A$472:$BS$579,26,FALSE),1,FIND("m",VLOOKUP(FI$8,'Info planes y paquetes'!$A$472:$BS$579,26,FALSE),1)-1),0)</f>
        <v>0</v>
      </c>
      <c r="FJ77" s="124">
        <f>IFERROR(MID(VLOOKUP(FJ$8,'Info planes y paquetes'!$A$472:$BS$579,26,FALSE),1,FIND("m",VLOOKUP(FJ$8,'Info planes y paquetes'!$A$472:$BS$579,26,FALSE),1)-1),0)</f>
        <v>0</v>
      </c>
      <c r="FK77" s="124">
        <f>IFERROR(MID(VLOOKUP(FK$8,'Info planes y paquetes'!$A$472:$BS$579,26,FALSE),1,FIND("m",VLOOKUP(FK$8,'Info planes y paquetes'!$A$472:$BS$579,26,FALSE),1)-1),0)</f>
        <v>0</v>
      </c>
      <c r="FL77" s="124">
        <f>IFERROR(MID(VLOOKUP(FL$8,'Info planes y paquetes'!$A$472:$BS$579,26,FALSE),1,FIND("m",VLOOKUP(FL$8,'Info planes y paquetes'!$A$472:$BS$579,26,FALSE),1)-1),0)</f>
        <v>0</v>
      </c>
      <c r="FM77" s="124">
        <f>IFERROR(MID(VLOOKUP(FM$8,'Info planes y paquetes'!$A$472:$BS$579,26,FALSE),1,FIND("m",VLOOKUP(FM$8,'Info planes y paquetes'!$A$472:$BS$579,26,FALSE),1)-1),0)</f>
        <v>0</v>
      </c>
      <c r="FN77" s="124">
        <f>IFERROR(MID(VLOOKUP(FN$8,'Info planes y paquetes'!$A$472:$BS$579,26,FALSE),1,FIND("m",VLOOKUP(FN$8,'Info planes y paquetes'!$A$472:$BS$579,26,FALSE),1)-1),0)</f>
        <v>0</v>
      </c>
      <c r="FO77" s="124">
        <f>IFERROR(MID(VLOOKUP(FO$8,'Info planes y paquetes'!$A$472:$BS$579,26,FALSE),1,FIND("m",VLOOKUP(FO$8,'Info planes y paquetes'!$A$472:$BS$579,26,FALSE),1)-1),0)</f>
        <v>0</v>
      </c>
      <c r="FP77" s="124">
        <f>IFERROR(MID(VLOOKUP(FP$8,'Info planes y paquetes'!$A$472:$BS$579,26,FALSE),1,FIND("m",VLOOKUP(FP$8,'Info planes y paquetes'!$A$472:$BS$579,26,FALSE),1)-1),0)</f>
        <v>0</v>
      </c>
      <c r="FQ77" s="124">
        <f>IFERROR(MID(VLOOKUP(FQ$8,'Info planes y paquetes'!$A$472:$BS$579,26,FALSE),1,FIND("m",VLOOKUP(FQ$8,'Info planes y paquetes'!$A$472:$BS$579,26,FALSE),1)-1),0)</f>
        <v>0</v>
      </c>
      <c r="FR77" s="124">
        <f>IFERROR(MID(VLOOKUP(FR$8,'Info planes y paquetes'!$A$472:$BS$579,26,FALSE),1,FIND("m",VLOOKUP(FR$8,'Info planes y paquetes'!$A$472:$BS$579,26,FALSE),1)-1),0)</f>
        <v>0</v>
      </c>
      <c r="FS77" s="124">
        <f>IFERROR(MID(VLOOKUP(FS$8,'Info planes y paquetes'!$A$472:$BS$579,26,FALSE),1,FIND("m",VLOOKUP(FS$8,'Info planes y paquetes'!$A$472:$BS$579,26,FALSE),1)-1),0)</f>
        <v>0</v>
      </c>
      <c r="FT77" s="124">
        <f>IFERROR(MID(VLOOKUP(FT$8,'Info planes y paquetes'!$A$472:$BS$579,26,FALSE),1,FIND("m",VLOOKUP(FT$8,'Info planes y paquetes'!$A$472:$BS$579,26,FALSE),1)-1),0)</f>
        <v>0</v>
      </c>
      <c r="FU77" s="124">
        <f>IFERROR(MID(VLOOKUP(FU$8,'Info planes y paquetes'!$A$472:$BS$579,26,FALSE),1,FIND("m",VLOOKUP(FU$8,'Info planes y paquetes'!$A$472:$BS$579,26,FALSE),1)-1),0)</f>
        <v>0</v>
      </c>
      <c r="FV77" s="124">
        <f>IFERROR(MID(VLOOKUP(FV$8,'Info planes y paquetes'!$A$472:$BS$579,26,FALSE),1,FIND("m",VLOOKUP(FV$8,'Info planes y paquetes'!$A$472:$BS$579,26,FALSE),1)-1),0)</f>
        <v>0</v>
      </c>
      <c r="FW77" s="124">
        <f>IFERROR(MID(VLOOKUP(FW$8,'Info planes y paquetes'!$A$472:$BS$579,26,FALSE),1,FIND("m",VLOOKUP(FW$8,'Info planes y paquetes'!$A$472:$BS$579,26,FALSE),1)-1),0)</f>
        <v>0</v>
      </c>
      <c r="FX77" s="124">
        <f>IFERROR(MID(VLOOKUP(FX$8,'Info planes y paquetes'!$A$472:$BS$579,26,FALSE),1,FIND("m",VLOOKUP(FX$8,'Info planes y paquetes'!$A$472:$BS$579,26,FALSE),1)-1),0)</f>
        <v>0</v>
      </c>
      <c r="FY77" s="124">
        <f>IFERROR(MID(VLOOKUP(FY$8,'Info planes y paquetes'!$A$472:$BS$579,26,FALSE),1,FIND("m",VLOOKUP(FY$8,'Info planes y paquetes'!$A$472:$BS$579,26,FALSE),1)-1),0)</f>
        <v>0</v>
      </c>
      <c r="FZ77" s="124">
        <f>IFERROR(MID(VLOOKUP(FZ$8,'Info planes y paquetes'!$A$472:$BS$579,26,FALSE),1,FIND("m",VLOOKUP(FZ$8,'Info planes y paquetes'!$A$472:$BS$579,26,FALSE),1)-1),0)</f>
        <v>0</v>
      </c>
      <c r="GA77" s="124">
        <f>IFERROR(MID(VLOOKUP(GA$8,'Info planes y paquetes'!$A$472:$BS$579,26,FALSE),1,FIND("m",VLOOKUP(GA$8,'Info planes y paquetes'!$A$472:$BS$579,26,FALSE),1)-1),0)</f>
        <v>0</v>
      </c>
      <c r="GB77" s="124">
        <f>IFERROR(MID(VLOOKUP(GB$8,'Info planes y paquetes'!$A$472:$BS$579,26,FALSE),1,FIND("m",VLOOKUP(GB$8,'Info planes y paquetes'!$A$472:$BS$579,26,FALSE),1)-1),0)</f>
        <v>0</v>
      </c>
      <c r="GC77" s="124">
        <f>IFERROR(MID(VLOOKUP(GC$8,'Info planes y paquetes'!$A$472:$BS$579,26,FALSE),1,FIND("m",VLOOKUP(GC$8,'Info planes y paquetes'!$A$472:$BS$579,26,FALSE),1)-1),0)</f>
        <v>0</v>
      </c>
      <c r="GD77" s="124">
        <f>IFERROR(MID(VLOOKUP(GD$8,'Info planes y paquetes'!$A$472:$BS$579,26,FALSE),1,FIND("m",VLOOKUP(GD$8,'Info planes y paquetes'!$A$472:$BS$579,26,FALSE),1)-1),0)</f>
        <v>0</v>
      </c>
      <c r="GE77" s="124">
        <f>IFERROR(MID(VLOOKUP(GE$8,'Info planes y paquetes'!$A$472:$BS$579,26,FALSE),1,FIND("m",VLOOKUP(GE$8,'Info planes y paquetes'!$A$472:$BS$579,26,FALSE),1)-1),0)</f>
        <v>0</v>
      </c>
      <c r="GF77" s="124">
        <f>IFERROR(MID(VLOOKUP(GF$8,'Info planes y paquetes'!$A$472:$BS$579,26,FALSE),1,FIND("m",VLOOKUP(GF$8,'Info planes y paquetes'!$A$472:$BS$579,26,FALSE),1)-1),0)</f>
        <v>0</v>
      </c>
      <c r="GG77" s="124">
        <f>IFERROR(MID(VLOOKUP(GG$8,'Info planes y paquetes'!$A$472:$BS$579,26,FALSE),1,FIND("m",VLOOKUP(GG$8,'Info planes y paquetes'!$A$472:$BS$579,26,FALSE),1)-1),0)</f>
        <v>0</v>
      </c>
      <c r="GH77" s="124">
        <f>IFERROR(MID(VLOOKUP(GH$8,'Info planes y paquetes'!$A$472:$BS$579,26,FALSE),1,FIND("m",VLOOKUP(GH$8,'Info planes y paquetes'!$A$472:$BS$579,26,FALSE),1)-1),0)</f>
        <v>0</v>
      </c>
      <c r="GI77" s="124">
        <f>IFERROR(MID(VLOOKUP(GI$8,'Info planes y paquetes'!$A$472:$BS$579,26,FALSE),1,FIND("m",VLOOKUP(GI$8,'Info planes y paquetes'!$A$472:$BS$579,26,FALSE),1)-1),0)</f>
        <v>0</v>
      </c>
      <c r="GJ77" s="124">
        <f>IFERROR(MID(VLOOKUP(GJ$8,'Info planes y paquetes'!$A$472:$BS$579,26,FALSE),1,FIND("m",VLOOKUP(GJ$8,'Info planes y paquetes'!$A$472:$BS$579,26,FALSE),1)-1),0)</f>
        <v>0</v>
      </c>
      <c r="GK77" s="124">
        <f>IFERROR(MID(VLOOKUP(GK$8,'Info planes y paquetes'!$A$472:$BS$579,26,FALSE),1,FIND("m",VLOOKUP(GK$8,'Info planes y paquetes'!$A$472:$BS$579,26,FALSE),1)-1),0)</f>
        <v>0</v>
      </c>
      <c r="GL77" s="124">
        <f>IFERROR(MID(VLOOKUP(GL$8,'Info planes y paquetes'!$A$472:$BS$579,26,FALSE),1,FIND("m",VLOOKUP(GL$8,'Info planes y paquetes'!$A$472:$BS$579,26,FALSE),1)-1),0)</f>
        <v>0</v>
      </c>
      <c r="GM77" s="124">
        <f>IFERROR(MID(VLOOKUP(GM$8,'Info planes y paquetes'!$A$472:$BS$579,26,FALSE),1,FIND("m",VLOOKUP(GM$8,'Info planes y paquetes'!$A$472:$BS$579,26,FALSE),1)-1),0)</f>
        <v>0</v>
      </c>
      <c r="GN77" s="124">
        <f>IFERROR(MID(VLOOKUP(GN$8,'Info planes y paquetes'!$A$472:$BS$579,26,FALSE),1,FIND("m",VLOOKUP(GN$8,'Info planes y paquetes'!$A$472:$BS$579,26,FALSE),1)-1),0)</f>
        <v>0</v>
      </c>
      <c r="GO77" s="124">
        <f>IFERROR(MID(VLOOKUP(GO$8,'Info planes y paquetes'!$A$472:$BS$579,26,FALSE),1,FIND("m",VLOOKUP(GO$8,'Info planes y paquetes'!$A$472:$BS$579,26,FALSE),1)-1),0)</f>
        <v>0</v>
      </c>
      <c r="GP77" s="124">
        <f>IFERROR(MID(VLOOKUP(GP$8,'Info planes y paquetes'!$A$472:$BS$579,26,FALSE),1,FIND("m",VLOOKUP(GP$8,'Info planes y paquetes'!$A$472:$BS$579,26,FALSE),1)-1),0)</f>
        <v>0</v>
      </c>
      <c r="GQ77" s="124">
        <f>IFERROR(MID(VLOOKUP(GQ$8,'Info planes y paquetes'!$A$472:$BS$579,26,FALSE),1,FIND("m",VLOOKUP(GQ$8,'Info planes y paquetes'!$A$472:$BS$579,26,FALSE),1)-1),0)</f>
        <v>0</v>
      </c>
      <c r="GR77" s="124">
        <f>IFERROR(MID(VLOOKUP(GR$8,'Info planes y paquetes'!$A$472:$BS$579,26,FALSE),1,FIND("m",VLOOKUP(GR$8,'Info planes y paquetes'!$A$472:$BS$579,26,FALSE),1)-1),0)</f>
        <v>0</v>
      </c>
      <c r="GS77" s="124">
        <f>IFERROR(MID(VLOOKUP(GS$8,'Info planes y paquetes'!$A$472:$BS$579,26,FALSE),1,FIND("m",VLOOKUP(GS$8,'Info planes y paquetes'!$A$472:$BS$579,26,FALSE),1)-1),0)</f>
        <v>0</v>
      </c>
      <c r="GT77" s="124">
        <f>IFERROR(MID(VLOOKUP(GT$8,'Info planes y paquetes'!$A$472:$BS$579,26,FALSE),1,FIND("m",VLOOKUP(GT$8,'Info planes y paquetes'!$A$472:$BS$579,26,FALSE),1)-1),0)</f>
        <v>0</v>
      </c>
      <c r="GU77" s="124">
        <f>IFERROR(MID(VLOOKUP(GU$8,'Info planes y paquetes'!$A$472:$BS$579,26,FALSE),1,FIND("m",VLOOKUP(GU$8,'Info planes y paquetes'!$A$472:$BS$579,26,FALSE),1)-1),0)</f>
        <v>0</v>
      </c>
      <c r="GV77" s="124">
        <f>IFERROR(MID(VLOOKUP(GV$8,'Info planes y paquetes'!$A$472:$BS$579,26,FALSE),1,FIND("m",VLOOKUP(GV$8,'Info planes y paquetes'!$A$472:$BS$579,26,FALSE),1)-1),0)</f>
        <v>0</v>
      </c>
      <c r="GW77" s="124">
        <f>IFERROR(MID(VLOOKUP(GW$8,'Info planes y paquetes'!$A$472:$BS$579,26,FALSE),1,FIND("m",VLOOKUP(GW$8,'Info planes y paquetes'!$A$472:$BS$579,26,FALSE),1)-1),0)</f>
        <v>0</v>
      </c>
      <c r="GX77" s="124">
        <f>IFERROR(MID(VLOOKUP(GX$8,'Info planes y paquetes'!$A$472:$BS$579,26,FALSE),1,FIND("m",VLOOKUP(GX$8,'Info planes y paquetes'!$A$472:$BS$579,26,FALSE),1)-1),0)</f>
        <v>0</v>
      </c>
      <c r="GY77" s="124">
        <f>IFERROR(MID(VLOOKUP(GY$8,'Info planes y paquetes'!$A$472:$BS$579,26,FALSE),1,FIND("m",VLOOKUP(GY$8,'Info planes y paquetes'!$A$472:$BS$579,26,FALSE),1)-1),0)</f>
        <v>0</v>
      </c>
      <c r="GZ77" s="124">
        <f>IFERROR(MID(VLOOKUP(GZ$8,'Info planes y paquetes'!$A$472:$BS$579,26,FALSE),1,FIND("m",VLOOKUP(GZ$8,'Info planes y paquetes'!$A$472:$BS$579,26,FALSE),1)-1),0)</f>
        <v>0</v>
      </c>
      <c r="HA77" s="124">
        <f>IFERROR(MID(VLOOKUP(HA$8,'Info planes y paquetes'!$A$472:$BS$579,26,FALSE),1,FIND("m",VLOOKUP(HA$8,'Info planes y paquetes'!$A$472:$BS$579,26,FALSE),1)-1),0)</f>
        <v>0</v>
      </c>
      <c r="HB77" s="124">
        <f>IFERROR(MID(VLOOKUP(HB$8,'Info planes y paquetes'!$A$472:$BS$579,26,FALSE),1,FIND("m",VLOOKUP(HB$8,'Info planes y paquetes'!$A$472:$BS$579,26,FALSE),1)-1),0)</f>
        <v>0</v>
      </c>
      <c r="HC77" s="124">
        <f>IFERROR(MID(VLOOKUP(HC$8,'Info planes y paquetes'!$A$472:$BS$579,26,FALSE),1,FIND("m",VLOOKUP(HC$8,'Info planes y paquetes'!$A$472:$BS$579,26,FALSE),1)-1),0)</f>
        <v>0</v>
      </c>
      <c r="HD77" s="124">
        <f>IFERROR(MID(VLOOKUP(HD$8,'Info planes y paquetes'!$A$472:$BS$579,26,FALSE),1,FIND("m",VLOOKUP(HD$8,'Info planes y paquetes'!$A$472:$BS$579,26,FALSE),1)-1),0)</f>
        <v>0</v>
      </c>
      <c r="HE77" s="124">
        <f>IFERROR(MID(VLOOKUP(HE$8,'Info planes y paquetes'!$A$472:$BS$579,26,FALSE),1,FIND("m",VLOOKUP(HE$8,'Info planes y paquetes'!$A$472:$BS$579,26,FALSE),1)-1),0)</f>
        <v>0</v>
      </c>
      <c r="HF77" s="124">
        <f>IFERROR(MID(VLOOKUP(HF$8,'Info planes y paquetes'!$A$472:$BS$579,26,FALSE),1,FIND("m",VLOOKUP(HF$8,'Info planes y paquetes'!$A$472:$BS$579,26,FALSE),1)-1),0)</f>
        <v>0</v>
      </c>
      <c r="HG77" s="124">
        <f>IFERROR(MID(VLOOKUP(HG$8,'Info planes y paquetes'!$A$472:$BS$579,26,FALSE),1,FIND("m",VLOOKUP(HG$8,'Info planes y paquetes'!$A$472:$BS$579,26,FALSE),1)-1),0)</f>
        <v>0</v>
      </c>
      <c r="HH77" s="124">
        <f>IFERROR(MID(VLOOKUP(HH$8,'Info planes y paquetes'!$A$472:$BS$579,26,FALSE),1,FIND("m",VLOOKUP(HH$8,'Info planes y paquetes'!$A$472:$BS$579,26,FALSE),1)-1),0)</f>
        <v>0</v>
      </c>
      <c r="HI77" s="124">
        <f>IFERROR(MID(VLOOKUP(HI$8,'Info planes y paquetes'!$A$472:$BS$579,26,FALSE),1,FIND("m",VLOOKUP(HI$8,'Info planes y paquetes'!$A$472:$BS$579,26,FALSE),1)-1),0)</f>
        <v>0</v>
      </c>
      <c r="HJ77" s="124">
        <f>IFERROR(MID(VLOOKUP(HJ$8,'Info planes y paquetes'!$A$472:$BS$579,26,FALSE),1,FIND("m",VLOOKUP(HJ$8,'Info planes y paquetes'!$A$472:$BS$579,26,FALSE),1)-1),0)</f>
        <v>0</v>
      </c>
      <c r="HK77" s="124">
        <f>IFERROR(MID(VLOOKUP(HK$8,'Info planes y paquetes'!$A$472:$BS$579,26,FALSE),1,FIND("m",VLOOKUP(HK$8,'Info planes y paquetes'!$A$472:$BS$579,26,FALSE),1)-1),0)</f>
        <v>0</v>
      </c>
      <c r="HL77" s="124">
        <f>IFERROR(MID(VLOOKUP(HL$8,'Info planes y paquetes'!$A$472:$BS$579,26,FALSE),1,FIND("m",VLOOKUP(HL$8,'Info planes y paquetes'!$A$472:$BS$579,26,FALSE),1)-1),0)</f>
        <v>0</v>
      </c>
    </row>
    <row r="78" spans="2:221" s="262" customFormat="1" x14ac:dyDescent="0.25">
      <c r="G78" s="263"/>
      <c r="H78" s="165"/>
      <c r="I78" s="165"/>
      <c r="J78" s="165"/>
      <c r="K78" s="165"/>
      <c r="L78" s="165"/>
      <c r="M78" s="165"/>
      <c r="N78" s="165"/>
      <c r="O78" s="165"/>
      <c r="P78" s="165"/>
      <c r="Q78" s="165"/>
      <c r="R78" s="165"/>
      <c r="S78" s="165"/>
      <c r="T78" s="165"/>
      <c r="U78" s="165"/>
      <c r="V78" s="165"/>
      <c r="W78" s="165"/>
      <c r="X78" s="165"/>
      <c r="Y78" s="666"/>
      <c r="Z78" s="666"/>
      <c r="AA78" s="666"/>
      <c r="AB78" s="165"/>
      <c r="AC78" s="165"/>
      <c r="AD78" s="165"/>
      <c r="AE78" s="165"/>
      <c r="AF78" s="165"/>
      <c r="AG78" s="165"/>
      <c r="AH78" s="165"/>
      <c r="AI78" s="165"/>
      <c r="AJ78" s="165"/>
      <c r="AK78" s="165"/>
      <c r="AL78" s="165"/>
      <c r="AM78" s="165"/>
      <c r="AN78" s="165"/>
      <c r="AO78" s="165"/>
      <c r="AP78" s="165"/>
      <c r="AQ78" s="165"/>
      <c r="AR78" s="165"/>
      <c r="AS78" s="165"/>
      <c r="AT78" s="165"/>
      <c r="AU78" s="165"/>
      <c r="AV78" s="165"/>
      <c r="AW78" s="165"/>
      <c r="AX78" s="165"/>
      <c r="AY78" s="165"/>
      <c r="AZ78" s="165"/>
      <c r="BA78" s="165"/>
      <c r="BB78" s="165"/>
      <c r="BC78" s="165"/>
      <c r="BD78" s="165"/>
      <c r="BE78" s="165"/>
      <c r="BF78" s="165"/>
      <c r="BG78" s="165"/>
      <c r="BH78" s="165"/>
      <c r="BI78" s="165"/>
      <c r="BJ78" s="165"/>
      <c r="BK78" s="165"/>
      <c r="BL78" s="165"/>
      <c r="BM78" s="165"/>
      <c r="BN78" s="165"/>
      <c r="BO78" s="165"/>
      <c r="BP78" s="165"/>
      <c r="BQ78" s="165"/>
      <c r="BR78" s="165"/>
      <c r="BS78" s="165"/>
      <c r="BT78" s="165"/>
      <c r="BU78" s="165"/>
      <c r="BV78" s="165"/>
      <c r="BW78" s="165"/>
      <c r="BX78" s="165"/>
      <c r="BY78" s="666"/>
      <c r="BZ78" s="666"/>
      <c r="CA78" s="666"/>
      <c r="CB78" s="666"/>
      <c r="CC78" s="666"/>
      <c r="CD78" s="666"/>
      <c r="CE78" s="666"/>
      <c r="CF78" s="666"/>
      <c r="CG78" s="666"/>
      <c r="CH78" s="666"/>
      <c r="CI78" s="666"/>
      <c r="CJ78" s="666"/>
      <c r="CK78" s="666"/>
      <c r="CL78" s="666"/>
      <c r="CM78" s="666"/>
      <c r="CN78" s="666"/>
      <c r="CO78" s="666"/>
      <c r="CP78" s="666"/>
      <c r="CQ78" s="666"/>
      <c r="CR78" s="666"/>
      <c r="CS78" s="666"/>
      <c r="CT78" s="666"/>
      <c r="CU78" s="666"/>
      <c r="CV78" s="666"/>
      <c r="CW78" s="666"/>
      <c r="CX78" s="666"/>
      <c r="CY78" s="666"/>
      <c r="CZ78" s="666"/>
      <c r="DA78" s="666"/>
      <c r="DB78" s="165"/>
      <c r="DC78" s="165"/>
      <c r="DD78" s="165"/>
      <c r="DE78" s="165"/>
      <c r="DF78" s="165"/>
      <c r="DG78" s="165"/>
      <c r="DH78" s="165"/>
      <c r="DI78" s="165"/>
      <c r="DJ78" s="165"/>
      <c r="DK78" s="165"/>
      <c r="DL78" s="165"/>
      <c r="DM78" s="165"/>
      <c r="DN78" s="165"/>
      <c r="DO78" s="165"/>
      <c r="DP78" s="165"/>
      <c r="DQ78" s="165"/>
      <c r="DR78" s="165"/>
      <c r="DS78" s="165"/>
      <c r="DT78" s="165"/>
      <c r="DU78" s="165"/>
      <c r="DV78" s="165"/>
      <c r="DW78" s="165"/>
      <c r="DX78" s="165"/>
      <c r="DY78" s="165"/>
      <c r="DZ78" s="165"/>
      <c r="EA78" s="165"/>
      <c r="EB78" s="165"/>
      <c r="EC78" s="165"/>
      <c r="ED78" s="165"/>
      <c r="EE78" s="165"/>
      <c r="EF78" s="165"/>
      <c r="EG78" s="165"/>
      <c r="EH78" s="165"/>
      <c r="EI78" s="165"/>
      <c r="EJ78" s="165"/>
      <c r="EK78" s="165"/>
      <c r="EL78" s="165"/>
      <c r="EM78" s="165"/>
      <c r="EN78" s="165"/>
      <c r="EO78" s="165"/>
      <c r="EP78" s="165"/>
      <c r="EQ78" s="165"/>
      <c r="ER78" s="165"/>
      <c r="ES78" s="165"/>
      <c r="ET78" s="165"/>
      <c r="EU78" s="165"/>
      <c r="EV78" s="165"/>
      <c r="EW78" s="165"/>
      <c r="EX78" s="165"/>
      <c r="EY78" s="165"/>
      <c r="EZ78" s="165"/>
      <c r="FA78" s="165"/>
      <c r="FB78" s="165"/>
      <c r="FC78" s="165"/>
      <c r="FD78" s="165"/>
      <c r="FE78" s="165"/>
      <c r="FF78" s="165"/>
      <c r="FG78" s="165"/>
      <c r="FH78" s="165"/>
      <c r="FI78" s="165"/>
      <c r="FJ78" s="165"/>
      <c r="FK78" s="165"/>
      <c r="FL78" s="165"/>
      <c r="FM78" s="165"/>
      <c r="FN78" s="165"/>
      <c r="FO78" s="165"/>
      <c r="FP78" s="165"/>
      <c r="FQ78" s="165"/>
      <c r="FR78" s="165"/>
      <c r="FS78" s="165"/>
      <c r="FT78" s="165"/>
      <c r="FU78" s="165"/>
      <c r="FV78" s="165"/>
      <c r="FW78" s="165"/>
      <c r="FX78" s="165"/>
      <c r="FY78" s="165"/>
      <c r="FZ78" s="165"/>
      <c r="GA78" s="165"/>
      <c r="GB78" s="165"/>
      <c r="GC78" s="165"/>
      <c r="GD78" s="165"/>
      <c r="GE78" s="165"/>
      <c r="GF78" s="165"/>
      <c r="GG78" s="165"/>
      <c r="GH78" s="165"/>
      <c r="GI78" s="165"/>
      <c r="GJ78" s="165"/>
      <c r="GK78" s="165"/>
      <c r="GL78" s="165"/>
      <c r="GM78" s="165"/>
      <c r="GN78" s="165"/>
      <c r="GO78" s="165"/>
      <c r="GP78" s="165"/>
      <c r="GQ78" s="165"/>
      <c r="GR78" s="165"/>
      <c r="GS78" s="165"/>
      <c r="GT78" s="165"/>
      <c r="GU78" s="165"/>
      <c r="GV78" s="165"/>
      <c r="GW78" s="165"/>
      <c r="GX78" s="165"/>
      <c r="GY78" s="165"/>
      <c r="GZ78" s="165"/>
      <c r="HA78" s="165"/>
      <c r="HB78" s="165"/>
      <c r="HC78" s="165"/>
      <c r="HD78" s="165"/>
      <c r="HE78" s="165"/>
      <c r="HF78" s="165"/>
      <c r="HG78" s="165"/>
      <c r="HH78" s="165"/>
      <c r="HI78" s="165"/>
      <c r="HJ78" s="165"/>
      <c r="HK78" s="165"/>
      <c r="HL78" s="165"/>
      <c r="HM78" s="165"/>
    </row>
    <row r="79" spans="2:221" x14ac:dyDescent="0.25">
      <c r="B79"/>
      <c r="G79" s="77"/>
      <c r="I79" s="262"/>
      <c r="J79" s="262"/>
      <c r="K79" s="262"/>
      <c r="L79" s="262"/>
      <c r="M79" s="262"/>
      <c r="N79" s="262"/>
      <c r="O79" s="262"/>
      <c r="P79" s="262"/>
      <c r="Q79" s="262"/>
      <c r="R79" s="262"/>
      <c r="S79" s="262"/>
      <c r="T79" s="44"/>
      <c r="U79" s="262"/>
      <c r="V79" s="262"/>
      <c r="W79" s="262"/>
      <c r="X79" s="262"/>
      <c r="Y79" s="262"/>
      <c r="Z79" s="262"/>
      <c r="AA79" s="262"/>
      <c r="AB79" s="262">
        <f>AB72/(AB72+AB67)</f>
        <v>0</v>
      </c>
      <c r="AC79" s="262"/>
      <c r="AD79" s="262"/>
      <c r="AE79" s="262"/>
      <c r="AF79" s="262"/>
      <c r="AG79" s="262"/>
      <c r="AH79" s="262"/>
      <c r="AI79" s="262"/>
      <c r="AJ79" s="262"/>
      <c r="AK79" s="262"/>
      <c r="AL79" s="262"/>
      <c r="AM79" s="262"/>
      <c r="AN79" s="262"/>
      <c r="AO79" s="262"/>
      <c r="AP79" s="262"/>
      <c r="AQ79" s="262"/>
      <c r="AR79" s="262"/>
      <c r="AS79" s="262"/>
      <c r="AT79" s="262"/>
      <c r="AU79" s="262"/>
      <c r="AV79" s="262"/>
      <c r="AW79" s="262"/>
      <c r="AX79" s="262"/>
      <c r="AY79" s="262"/>
      <c r="AZ79" s="262"/>
      <c r="BA79" s="262"/>
      <c r="BB79" s="262"/>
      <c r="BC79" s="262"/>
      <c r="BD79" s="262"/>
      <c r="BE79" s="262"/>
      <c r="BF79" s="262"/>
    </row>
    <row r="80" spans="2:221" x14ac:dyDescent="0.25">
      <c r="B80"/>
      <c r="C80" t="s">
        <v>571</v>
      </c>
      <c r="G80" s="77" t="s">
        <v>172</v>
      </c>
      <c r="I80" s="655">
        <f>IFERROR(1-I66/SUM(I66:I72),0)</f>
        <v>0</v>
      </c>
      <c r="J80" s="655">
        <f t="shared" ref="J80" si="84">IFERROR(1-J66/SUM(J66:J72),0)</f>
        <v>0</v>
      </c>
      <c r="K80" s="655">
        <f>IFERROR(1-K66/SUM(K66:K67),0)</f>
        <v>4.1846032821274859E-2</v>
      </c>
      <c r="L80" s="655">
        <f t="shared" ref="L80:BW80" si="85">IFERROR(1-L66/SUM(L66:L67),0)</f>
        <v>2.1342516745238238E-2</v>
      </c>
      <c r="M80" s="655">
        <f t="shared" si="85"/>
        <v>3.9923280588738064E-2</v>
      </c>
      <c r="N80" s="655">
        <f t="shared" si="85"/>
        <v>4.9351854238074422E-2</v>
      </c>
      <c r="O80" s="655">
        <f t="shared" si="85"/>
        <v>3.4644957033016732E-2</v>
      </c>
      <c r="P80" s="655">
        <f t="shared" si="85"/>
        <v>0</v>
      </c>
      <c r="Q80" s="655">
        <f t="shared" si="85"/>
        <v>0</v>
      </c>
      <c r="R80" s="655">
        <f t="shared" si="85"/>
        <v>0</v>
      </c>
      <c r="S80" s="655">
        <f t="shared" si="85"/>
        <v>0</v>
      </c>
      <c r="T80" s="655">
        <f t="shared" si="85"/>
        <v>0</v>
      </c>
      <c r="U80" s="655">
        <f t="shared" si="85"/>
        <v>0</v>
      </c>
      <c r="V80" s="655">
        <f t="shared" si="85"/>
        <v>0</v>
      </c>
      <c r="W80" s="655">
        <f t="shared" si="85"/>
        <v>0</v>
      </c>
      <c r="X80" s="655">
        <f t="shared" si="85"/>
        <v>0</v>
      </c>
      <c r="Y80" s="655">
        <f>IFERROR(1-Y66/SUM(Y66,Y67,Y73),0)</f>
        <v>0.11243377088764306</v>
      </c>
      <c r="Z80" s="655">
        <f t="shared" ref="Z80:AA80" si="86">IFERROR(1-Z66/SUM(Z66,Z67,Z73),0)</f>
        <v>0.11170751985530614</v>
      </c>
      <c r="AA80" s="655">
        <f t="shared" si="86"/>
        <v>9.2848923595982513E-2</v>
      </c>
      <c r="AB80" s="655">
        <f t="shared" si="85"/>
        <v>0.10896159317211951</v>
      </c>
      <c r="AC80" s="655">
        <f t="shared" si="85"/>
        <v>0</v>
      </c>
      <c r="AD80" s="655">
        <f t="shared" si="85"/>
        <v>1.5435706052570053E-2</v>
      </c>
      <c r="AE80" s="655">
        <f t="shared" si="85"/>
        <v>0</v>
      </c>
      <c r="AF80" s="655">
        <f t="shared" si="85"/>
        <v>0</v>
      </c>
      <c r="AG80" s="655">
        <f t="shared" si="85"/>
        <v>0</v>
      </c>
      <c r="AH80" s="655">
        <f t="shared" si="85"/>
        <v>2.0545667170920545E-2</v>
      </c>
      <c r="AI80" s="655">
        <f t="shared" si="85"/>
        <v>0</v>
      </c>
      <c r="AJ80" s="655">
        <f t="shared" si="85"/>
        <v>0</v>
      </c>
      <c r="AK80" s="655">
        <f t="shared" si="85"/>
        <v>0</v>
      </c>
      <c r="AL80" s="655">
        <f t="shared" si="85"/>
        <v>0</v>
      </c>
      <c r="AM80" s="655">
        <f t="shared" si="85"/>
        <v>0</v>
      </c>
      <c r="AN80" s="655">
        <f t="shared" si="85"/>
        <v>0</v>
      </c>
      <c r="AO80" s="655">
        <f t="shared" si="85"/>
        <v>0.1347547674336782</v>
      </c>
      <c r="AP80" s="655">
        <f t="shared" si="85"/>
        <v>0.1369912010873453</v>
      </c>
      <c r="AQ80" s="655">
        <f t="shared" si="85"/>
        <v>0.12365209530574028</v>
      </c>
      <c r="AR80" s="655">
        <f t="shared" si="85"/>
        <v>8.7574884529199259E-2</v>
      </c>
      <c r="AS80" s="655">
        <f t="shared" si="85"/>
        <v>0.11345458854197521</v>
      </c>
      <c r="AT80" s="655">
        <f t="shared" si="85"/>
        <v>7.4866101098557403E-2</v>
      </c>
      <c r="AU80" s="655">
        <f t="shared" si="85"/>
        <v>6.2649262276311068E-2</v>
      </c>
      <c r="AV80" s="655">
        <f t="shared" si="85"/>
        <v>7.353223514956031E-2</v>
      </c>
      <c r="AW80" s="655">
        <f t="shared" si="85"/>
        <v>4.8058825005646622E-2</v>
      </c>
      <c r="AX80" s="655">
        <f t="shared" si="85"/>
        <v>2.8835584466428643E-2</v>
      </c>
      <c r="AY80" s="655">
        <f t="shared" si="85"/>
        <v>2.2445176338212969E-2</v>
      </c>
      <c r="AZ80" s="655">
        <f t="shared" si="85"/>
        <v>6.6430776702397054E-2</v>
      </c>
      <c r="BA80" s="655">
        <f t="shared" si="85"/>
        <v>4.7919325375972766E-2</v>
      </c>
      <c r="BB80" s="655">
        <f t="shared" si="85"/>
        <v>6.5120549529023686E-2</v>
      </c>
      <c r="BC80" s="655">
        <f t="shared" si="85"/>
        <v>4.2166685015963878E-2</v>
      </c>
      <c r="BD80" s="655">
        <f t="shared" si="85"/>
        <v>4.4798465389384035E-2</v>
      </c>
      <c r="BE80" s="655">
        <f t="shared" si="85"/>
        <v>3.414338438497333E-2</v>
      </c>
      <c r="BF80" s="655">
        <f t="shared" si="85"/>
        <v>3.414338438497333E-2</v>
      </c>
      <c r="BG80" s="655">
        <f t="shared" si="85"/>
        <v>1.9274319359871117E-2</v>
      </c>
      <c r="BH80" s="655">
        <f t="shared" si="85"/>
        <v>2.3566620312826858E-2</v>
      </c>
      <c r="BI80" s="655">
        <f t="shared" si="85"/>
        <v>0</v>
      </c>
      <c r="BJ80" s="655">
        <f t="shared" si="85"/>
        <v>0</v>
      </c>
      <c r="BK80" s="655">
        <f t="shared" si="85"/>
        <v>0</v>
      </c>
      <c r="BL80" s="655">
        <f t="shared" si="85"/>
        <v>0</v>
      </c>
      <c r="BM80" s="655">
        <f t="shared" si="85"/>
        <v>0</v>
      </c>
      <c r="BN80" s="655">
        <f t="shared" si="85"/>
        <v>0</v>
      </c>
      <c r="BO80" s="655">
        <f t="shared" si="85"/>
        <v>0</v>
      </c>
      <c r="BP80" s="655">
        <f t="shared" si="85"/>
        <v>0</v>
      </c>
      <c r="BQ80" s="655">
        <f t="shared" si="85"/>
        <v>0</v>
      </c>
      <c r="BR80" s="655">
        <f t="shared" si="85"/>
        <v>0</v>
      </c>
      <c r="BS80" s="655">
        <f t="shared" si="85"/>
        <v>0</v>
      </c>
      <c r="BT80" s="655">
        <f t="shared" si="85"/>
        <v>0</v>
      </c>
      <c r="BU80" s="655">
        <f t="shared" si="85"/>
        <v>0</v>
      </c>
      <c r="BV80" s="655">
        <f t="shared" si="85"/>
        <v>0</v>
      </c>
      <c r="BW80" s="655">
        <f t="shared" si="85"/>
        <v>0</v>
      </c>
      <c r="BX80" s="655">
        <f>IFERROR(1-BX66/SUM(BX66:BX67),0)</f>
        <v>0</v>
      </c>
      <c r="BY80" s="667">
        <f>IFERROR(1-BY66/SUM(BY67,BY70,BY66),0)</f>
        <v>0.25900335690773391</v>
      </c>
      <c r="BZ80" s="667">
        <f t="shared" ref="BZ80:DA80" si="87">IFERROR(1-BZ66/SUM(BZ67,BZ70,BZ66),0)</f>
        <v>-4.044255867662061E-2</v>
      </c>
      <c r="CA80" s="667">
        <f t="shared" si="87"/>
        <v>0.19574598629716744</v>
      </c>
      <c r="CB80" s="667">
        <f t="shared" si="87"/>
        <v>0.31801667305227832</v>
      </c>
      <c r="CC80" s="667">
        <f t="shared" si="87"/>
        <v>0.14224704642727259</v>
      </c>
      <c r="CD80" s="667">
        <f t="shared" si="87"/>
        <v>8.6547161967181041E-2</v>
      </c>
      <c r="CE80" s="667">
        <f t="shared" si="87"/>
        <v>0.23447458965536694</v>
      </c>
      <c r="CF80" s="667">
        <f t="shared" si="87"/>
        <v>0.17413947332949375</v>
      </c>
      <c r="CG80" s="667">
        <f t="shared" si="87"/>
        <v>-5.0021278308777006E-2</v>
      </c>
      <c r="CH80" s="667">
        <f t="shared" si="87"/>
        <v>0.29843302046106113</v>
      </c>
      <c r="CI80" s="667">
        <f t="shared" si="87"/>
        <v>0.18109782452096246</v>
      </c>
      <c r="CJ80" s="667">
        <f t="shared" si="87"/>
        <v>0.26403383752471155</v>
      </c>
      <c r="CK80" s="667">
        <f t="shared" si="87"/>
        <v>-0.52696390658174086</v>
      </c>
      <c r="CL80" s="667">
        <f t="shared" si="87"/>
        <v>-3.5763476608881462E-2</v>
      </c>
      <c r="CM80" s="667">
        <f t="shared" si="87"/>
        <v>0.28831395711582053</v>
      </c>
      <c r="CN80" s="667">
        <f t="shared" si="87"/>
        <v>-0.62777644134391797</v>
      </c>
      <c r="CO80" s="667">
        <f t="shared" si="87"/>
        <v>0.11022495367221041</v>
      </c>
      <c r="CP80" s="667">
        <f t="shared" si="87"/>
        <v>0.31211270257126267</v>
      </c>
      <c r="CQ80" s="667">
        <f t="shared" si="87"/>
        <v>7.4379753768781587E-2</v>
      </c>
      <c r="CR80" s="667">
        <f t="shared" si="87"/>
        <v>0.2024495930220308</v>
      </c>
      <c r="CS80" s="667">
        <f t="shared" si="87"/>
        <v>6.3644830797888852E-2</v>
      </c>
      <c r="CT80" s="667">
        <f t="shared" si="87"/>
        <v>0.22538318851898853</v>
      </c>
      <c r="CU80" s="667">
        <f t="shared" si="87"/>
        <v>0.26920281075842012</v>
      </c>
      <c r="CV80" s="667">
        <f t="shared" si="87"/>
        <v>-7.9069767441860561E-2</v>
      </c>
      <c r="CW80" s="667">
        <f t="shared" si="87"/>
        <v>-1.9597084031129937</v>
      </c>
      <c r="CX80" s="667">
        <f t="shared" si="87"/>
        <v>0.15556849703452813</v>
      </c>
      <c r="CY80" s="667">
        <f t="shared" si="87"/>
        <v>0.13372676631184155</v>
      </c>
      <c r="CZ80" s="667">
        <f t="shared" si="87"/>
        <v>-0.24378781405476935</v>
      </c>
      <c r="DA80" s="667">
        <f t="shared" si="87"/>
        <v>0.31617801392495393</v>
      </c>
      <c r="DB80" s="655">
        <f t="shared" ref="DB80:DN80" si="88">IFERROR(1-DB66/SUM(DB66:DB67),0)</f>
        <v>0</v>
      </c>
      <c r="DC80" s="655">
        <f t="shared" si="88"/>
        <v>0</v>
      </c>
      <c r="DD80" s="655">
        <f t="shared" si="88"/>
        <v>0</v>
      </c>
      <c r="DE80" s="655">
        <f t="shared" si="88"/>
        <v>0</v>
      </c>
      <c r="DF80" s="655">
        <f t="shared" si="88"/>
        <v>0</v>
      </c>
      <c r="DG80" s="655">
        <f t="shared" si="88"/>
        <v>0</v>
      </c>
      <c r="DH80" s="655">
        <f t="shared" si="88"/>
        <v>0</v>
      </c>
      <c r="DI80" s="655">
        <f t="shared" si="88"/>
        <v>0</v>
      </c>
      <c r="DJ80" s="655">
        <f t="shared" si="88"/>
        <v>0</v>
      </c>
      <c r="DK80" s="655">
        <f t="shared" si="88"/>
        <v>0</v>
      </c>
      <c r="DL80" s="655">
        <f t="shared" si="88"/>
        <v>0</v>
      </c>
      <c r="DM80" s="655">
        <f t="shared" si="88"/>
        <v>0</v>
      </c>
      <c r="DN80" s="655">
        <f t="shared" si="88"/>
        <v>0</v>
      </c>
      <c r="DO80" s="106"/>
      <c r="DP80" s="106"/>
      <c r="DQ80" s="106"/>
      <c r="DR80" s="106"/>
      <c r="DS80" s="106"/>
      <c r="DT80" s="106"/>
      <c r="DU80" s="106"/>
      <c r="DV80" s="106"/>
      <c r="DW80" s="106"/>
      <c r="DX80" s="106"/>
      <c r="DY80" s="106"/>
      <c r="DZ80" s="106"/>
      <c r="EA80" s="106"/>
      <c r="EB80" s="106"/>
      <c r="EC80" s="106"/>
      <c r="ED80" s="106"/>
      <c r="EE80" s="106"/>
      <c r="EF80" s="106"/>
      <c r="EG80" s="106"/>
      <c r="EH80" s="106"/>
      <c r="EI80" s="106"/>
      <c r="EJ80" s="106"/>
      <c r="EK80" s="106"/>
      <c r="EL80" s="106"/>
      <c r="EM80" s="106"/>
      <c r="EN80" s="106"/>
      <c r="EO80" s="106"/>
      <c r="EP80" s="106"/>
      <c r="EQ80" s="106"/>
      <c r="ER80" s="106"/>
      <c r="ES80" s="106"/>
      <c r="ET80" s="106"/>
      <c r="EU80" s="106"/>
      <c r="EV80" s="106"/>
      <c r="EW80" s="106"/>
      <c r="EX80" s="106"/>
      <c r="EY80" s="106"/>
      <c r="EZ80" s="106"/>
      <c r="FA80" s="106"/>
      <c r="FB80" s="106"/>
      <c r="FC80" s="106"/>
      <c r="FD80" s="106"/>
      <c r="FE80" s="106"/>
      <c r="FF80" s="106"/>
      <c r="FG80" s="106"/>
      <c r="FH80" s="106"/>
      <c r="FI80" s="106"/>
      <c r="FJ80" s="106"/>
      <c r="FK80" s="106"/>
      <c r="FL80" s="106"/>
      <c r="FM80" s="106"/>
      <c r="FN80" s="106"/>
      <c r="FO80" s="106"/>
      <c r="FP80" s="106"/>
      <c r="FQ80" s="106"/>
      <c r="FR80" s="106"/>
      <c r="FS80" s="106"/>
      <c r="FT80" s="106"/>
      <c r="FU80" s="106"/>
      <c r="FV80" s="106"/>
      <c r="FW80" s="106"/>
      <c r="FX80" s="106"/>
      <c r="FY80" s="106"/>
      <c r="FZ80" s="106"/>
      <c r="GA80" s="106"/>
      <c r="GB80" s="106"/>
      <c r="GC80" s="106"/>
      <c r="GD80" s="106"/>
      <c r="GE80" s="106"/>
      <c r="GF80" s="106"/>
      <c r="GG80" s="106"/>
      <c r="GH80" s="106"/>
      <c r="GI80" s="106"/>
      <c r="GJ80" s="106"/>
      <c r="GK80" s="106"/>
      <c r="GL80" s="106"/>
      <c r="GM80" s="106"/>
      <c r="GN80" s="106"/>
      <c r="GO80" s="106"/>
      <c r="GP80" s="106"/>
      <c r="GQ80" s="106"/>
      <c r="GR80" s="106"/>
      <c r="GS80" s="106"/>
      <c r="GT80" s="106"/>
      <c r="GU80" s="106"/>
      <c r="GV80" s="106"/>
      <c r="GW80" s="106"/>
      <c r="GX80" s="106"/>
      <c r="GY80" s="106"/>
      <c r="GZ80" s="106"/>
      <c r="HA80" s="106"/>
      <c r="HB80" s="106"/>
      <c r="HC80" s="106"/>
      <c r="HD80" s="106"/>
      <c r="HE80" s="106"/>
      <c r="HF80" s="106"/>
      <c r="HG80" s="106"/>
      <c r="HH80" s="106"/>
      <c r="HI80" s="106"/>
      <c r="HJ80" s="106"/>
      <c r="HK80" s="106"/>
      <c r="HL80" s="106"/>
    </row>
    <row r="81" spans="1:222" x14ac:dyDescent="0.25">
      <c r="B81"/>
      <c r="G81" s="77"/>
      <c r="I81" s="262"/>
      <c r="J81" s="262"/>
      <c r="K81" s="262"/>
      <c r="L81" s="262"/>
      <c r="M81" s="262"/>
      <c r="N81" s="262"/>
      <c r="O81" s="262"/>
      <c r="P81" s="262"/>
      <c r="Q81" s="262"/>
      <c r="R81" s="262"/>
      <c r="S81" s="262"/>
      <c r="T81" s="44"/>
      <c r="U81" s="262"/>
      <c r="V81" s="262"/>
      <c r="W81" s="262"/>
      <c r="X81" s="262"/>
      <c r="Y81" s="262"/>
      <c r="Z81" s="262"/>
      <c r="AA81" s="262"/>
      <c r="AB81" s="262"/>
      <c r="AC81" s="262"/>
      <c r="AD81" s="262"/>
      <c r="AE81" s="262"/>
      <c r="AF81" s="262"/>
      <c r="AG81" s="262"/>
      <c r="AH81" s="262"/>
      <c r="AI81" s="262"/>
      <c r="AJ81" s="262"/>
      <c r="AK81" s="262"/>
      <c r="AL81" s="262"/>
      <c r="AM81" s="262"/>
      <c r="AN81" s="262"/>
      <c r="AO81" s="262"/>
      <c r="AP81" s="262"/>
      <c r="AQ81" s="262"/>
      <c r="AR81" s="262"/>
      <c r="AS81" s="262"/>
      <c r="AT81" s="262"/>
      <c r="AU81" s="262"/>
      <c r="AV81" s="262"/>
      <c r="AW81" s="262"/>
      <c r="AX81" s="262"/>
      <c r="AY81" s="262"/>
      <c r="AZ81" s="262"/>
      <c r="BA81" s="262"/>
      <c r="BB81" s="262"/>
      <c r="BC81" s="262"/>
      <c r="BD81" s="262"/>
      <c r="BE81" s="262"/>
      <c r="BF81" s="262"/>
    </row>
    <row r="82" spans="1:222" x14ac:dyDescent="0.25">
      <c r="B82"/>
      <c r="C82" s="102" t="s">
        <v>572</v>
      </c>
      <c r="G82" s="77" t="s">
        <v>427</v>
      </c>
      <c r="H82" t="s">
        <v>94</v>
      </c>
      <c r="I82" s="161">
        <f t="shared" ref="I82:J82" si="89">SUM(I83:I84)</f>
        <v>0</v>
      </c>
      <c r="J82" s="161">
        <f t="shared" si="89"/>
        <v>0</v>
      </c>
      <c r="K82" s="161">
        <f>SUM(K83:K84)</f>
        <v>378</v>
      </c>
      <c r="L82" s="161">
        <f t="shared" ref="L82:BW82" si="90">SUM(L83:L84)</f>
        <v>757</v>
      </c>
      <c r="M82" s="161">
        <f t="shared" si="90"/>
        <v>397</v>
      </c>
      <c r="N82" s="161">
        <f t="shared" si="90"/>
        <v>317.99999999999994</v>
      </c>
      <c r="O82" s="161">
        <f t="shared" si="90"/>
        <v>460</v>
      </c>
      <c r="P82" s="161">
        <f t="shared" si="90"/>
        <v>177</v>
      </c>
      <c r="Q82" s="161">
        <f t="shared" si="90"/>
        <v>243</v>
      </c>
      <c r="R82" s="161">
        <f t="shared" si="90"/>
        <v>243</v>
      </c>
      <c r="S82" s="161">
        <f t="shared" si="90"/>
        <v>310</v>
      </c>
      <c r="T82" s="161">
        <f t="shared" si="90"/>
        <v>302</v>
      </c>
      <c r="U82" s="161">
        <f t="shared" si="90"/>
        <v>559</v>
      </c>
      <c r="V82" s="161">
        <f t="shared" si="90"/>
        <v>738</v>
      </c>
      <c r="W82" s="161">
        <f t="shared" si="90"/>
        <v>46</v>
      </c>
      <c r="X82" s="161">
        <f t="shared" si="90"/>
        <v>81</v>
      </c>
      <c r="Y82" s="161">
        <f t="shared" si="90"/>
        <v>199</v>
      </c>
      <c r="Z82" s="161">
        <f t="shared" si="90"/>
        <v>209.99999999999997</v>
      </c>
      <c r="AA82" s="161">
        <f t="shared" si="90"/>
        <v>280.00000000000006</v>
      </c>
      <c r="AB82" s="161">
        <f t="shared" si="90"/>
        <v>135</v>
      </c>
      <c r="AC82" s="161">
        <f t="shared" si="90"/>
        <v>91</v>
      </c>
      <c r="AD82" s="161">
        <f t="shared" si="90"/>
        <v>1053</v>
      </c>
      <c r="AE82" s="161">
        <f t="shared" si="90"/>
        <v>137</v>
      </c>
      <c r="AF82" s="161">
        <f t="shared" si="90"/>
        <v>183</v>
      </c>
      <c r="AG82" s="161">
        <f t="shared" si="90"/>
        <v>435</v>
      </c>
      <c r="AH82" s="161">
        <f t="shared" si="90"/>
        <v>787.00000000000011</v>
      </c>
      <c r="AI82" s="161">
        <f t="shared" si="90"/>
        <v>943</v>
      </c>
      <c r="AJ82" s="161">
        <f t="shared" si="90"/>
        <v>791</v>
      </c>
      <c r="AK82" s="161">
        <f t="shared" si="90"/>
        <v>1247</v>
      </c>
      <c r="AL82" s="161">
        <f t="shared" si="90"/>
        <v>274</v>
      </c>
      <c r="AM82" s="161">
        <f t="shared" si="90"/>
        <v>743</v>
      </c>
      <c r="AN82" s="161">
        <f t="shared" si="90"/>
        <v>1273</v>
      </c>
      <c r="AO82" s="161">
        <f t="shared" si="90"/>
        <v>105.99999999999999</v>
      </c>
      <c r="AP82" s="161">
        <f t="shared" si="90"/>
        <v>104</v>
      </c>
      <c r="AQ82" s="161">
        <f t="shared" si="90"/>
        <v>117</v>
      </c>
      <c r="AR82" s="161">
        <f t="shared" si="90"/>
        <v>172</v>
      </c>
      <c r="AS82" s="161">
        <f t="shared" si="90"/>
        <v>129</v>
      </c>
      <c r="AT82" s="161">
        <f t="shared" si="90"/>
        <v>204</v>
      </c>
      <c r="AU82" s="161">
        <f t="shared" si="90"/>
        <v>247</v>
      </c>
      <c r="AV82" s="161">
        <f t="shared" si="90"/>
        <v>208</v>
      </c>
      <c r="AW82" s="161">
        <f t="shared" si="90"/>
        <v>327</v>
      </c>
      <c r="AX82" s="161">
        <f t="shared" si="90"/>
        <v>556.00000000000011</v>
      </c>
      <c r="AY82" s="161">
        <f t="shared" si="90"/>
        <v>719.00000000000011</v>
      </c>
      <c r="AZ82" s="161">
        <f t="shared" si="90"/>
        <v>232</v>
      </c>
      <c r="BA82" s="161">
        <f t="shared" si="90"/>
        <v>328</v>
      </c>
      <c r="BB82" s="161">
        <f t="shared" si="90"/>
        <v>237</v>
      </c>
      <c r="BC82" s="161">
        <f t="shared" si="90"/>
        <v>375</v>
      </c>
      <c r="BD82" s="161">
        <f t="shared" si="90"/>
        <v>352</v>
      </c>
      <c r="BE82" s="161">
        <f t="shared" si="90"/>
        <v>467</v>
      </c>
      <c r="BF82" s="161">
        <f t="shared" si="90"/>
        <v>467</v>
      </c>
      <c r="BG82" s="161">
        <f t="shared" si="90"/>
        <v>840</v>
      </c>
      <c r="BH82" s="161">
        <f t="shared" si="90"/>
        <v>684</v>
      </c>
      <c r="BI82" s="161">
        <f t="shared" si="90"/>
        <v>81</v>
      </c>
      <c r="BJ82" s="161">
        <f t="shared" si="90"/>
        <v>109</v>
      </c>
      <c r="BK82" s="161">
        <f t="shared" si="90"/>
        <v>96</v>
      </c>
      <c r="BL82" s="161">
        <f t="shared" si="90"/>
        <v>191</v>
      </c>
      <c r="BM82" s="161">
        <f t="shared" si="90"/>
        <v>187</v>
      </c>
      <c r="BN82" s="161">
        <f t="shared" si="90"/>
        <v>456</v>
      </c>
      <c r="BO82" s="161">
        <f t="shared" si="90"/>
        <v>428</v>
      </c>
      <c r="BP82" s="161">
        <f t="shared" si="90"/>
        <v>329</v>
      </c>
      <c r="BQ82" s="161">
        <f t="shared" si="90"/>
        <v>312</v>
      </c>
      <c r="BR82" s="161">
        <f t="shared" si="90"/>
        <v>295</v>
      </c>
      <c r="BS82" s="161">
        <f t="shared" si="90"/>
        <v>390</v>
      </c>
      <c r="BT82" s="161">
        <f t="shared" si="90"/>
        <v>247</v>
      </c>
      <c r="BU82" s="161">
        <f t="shared" si="90"/>
        <v>395</v>
      </c>
      <c r="BV82" s="161">
        <f t="shared" si="90"/>
        <v>455</v>
      </c>
      <c r="BW82" s="161">
        <f t="shared" si="90"/>
        <v>609</v>
      </c>
      <c r="BX82" s="161">
        <f t="shared" ref="BX82:DN82" si="91">SUM(BX83:BX84)</f>
        <v>887</v>
      </c>
      <c r="BY82" s="161">
        <f t="shared" si="91"/>
        <v>196</v>
      </c>
      <c r="BZ82" s="161">
        <f t="shared" si="91"/>
        <v>167</v>
      </c>
      <c r="CA82" s="161">
        <f t="shared" si="91"/>
        <v>339</v>
      </c>
      <c r="CB82" s="161">
        <f t="shared" si="91"/>
        <v>445</v>
      </c>
      <c r="CC82" s="161">
        <f t="shared" si="91"/>
        <v>793.00000000000011</v>
      </c>
      <c r="CD82" s="161">
        <f t="shared" si="91"/>
        <v>322</v>
      </c>
      <c r="CE82" s="161">
        <f t="shared" si="91"/>
        <v>351</v>
      </c>
      <c r="CF82" s="161">
        <f t="shared" si="91"/>
        <v>581</v>
      </c>
      <c r="CG82" s="161">
        <f t="shared" si="91"/>
        <v>787</v>
      </c>
      <c r="CH82" s="161">
        <f t="shared" si="91"/>
        <v>154</v>
      </c>
      <c r="CI82" s="161">
        <f t="shared" si="91"/>
        <v>147</v>
      </c>
      <c r="CJ82" s="161">
        <f t="shared" si="91"/>
        <v>138</v>
      </c>
      <c r="CK82" s="161">
        <f t="shared" si="91"/>
        <v>155</v>
      </c>
      <c r="CL82" s="161">
        <f t="shared" si="91"/>
        <v>188</v>
      </c>
      <c r="CM82" s="161">
        <f t="shared" si="91"/>
        <v>295</v>
      </c>
      <c r="CN82" s="161">
        <f t="shared" si="91"/>
        <v>175</v>
      </c>
      <c r="CO82" s="161">
        <f t="shared" si="91"/>
        <v>327</v>
      </c>
      <c r="CP82" s="161">
        <f t="shared" si="91"/>
        <v>378</v>
      </c>
      <c r="CQ82" s="161">
        <f t="shared" si="91"/>
        <v>641</v>
      </c>
      <c r="CR82" s="161">
        <f t="shared" si="91"/>
        <v>979.00000000000011</v>
      </c>
      <c r="CS82" s="161">
        <f t="shared" si="91"/>
        <v>390</v>
      </c>
      <c r="CT82" s="161">
        <f t="shared" si="91"/>
        <v>342</v>
      </c>
      <c r="CU82" s="161">
        <f t="shared" si="91"/>
        <v>338</v>
      </c>
      <c r="CV82" s="161">
        <f t="shared" si="91"/>
        <v>266</v>
      </c>
      <c r="CW82" s="161">
        <f t="shared" si="91"/>
        <v>259.00000000000006</v>
      </c>
      <c r="CX82" s="161">
        <f t="shared" si="91"/>
        <v>475.00000000000006</v>
      </c>
      <c r="CY82" s="161">
        <f t="shared" si="91"/>
        <v>677</v>
      </c>
      <c r="CZ82" s="161">
        <f t="shared" si="91"/>
        <v>778</v>
      </c>
      <c r="DA82" s="161">
        <f t="shared" si="91"/>
        <v>983.00000000000011</v>
      </c>
      <c r="DB82" s="161">
        <f t="shared" si="91"/>
        <v>94</v>
      </c>
      <c r="DC82" s="161">
        <f t="shared" si="91"/>
        <v>262</v>
      </c>
      <c r="DD82" s="161">
        <f t="shared" si="91"/>
        <v>258</v>
      </c>
      <c r="DE82" s="161">
        <f t="shared" si="91"/>
        <v>445</v>
      </c>
      <c r="DF82" s="161">
        <f t="shared" si="91"/>
        <v>295</v>
      </c>
      <c r="DG82" s="161">
        <f t="shared" si="91"/>
        <v>552</v>
      </c>
      <c r="DH82" s="161">
        <f t="shared" si="91"/>
        <v>78</v>
      </c>
      <c r="DI82" s="161">
        <f t="shared" si="91"/>
        <v>63</v>
      </c>
      <c r="DJ82" s="161">
        <f t="shared" si="91"/>
        <v>82</v>
      </c>
      <c r="DK82" s="161">
        <f t="shared" si="91"/>
        <v>272</v>
      </c>
      <c r="DL82" s="161">
        <f t="shared" si="91"/>
        <v>180</v>
      </c>
      <c r="DM82" s="161">
        <f t="shared" si="91"/>
        <v>214</v>
      </c>
      <c r="DN82" s="161">
        <f t="shared" si="91"/>
        <v>308</v>
      </c>
      <c r="DO82" s="161"/>
      <c r="DP82" s="161"/>
      <c r="DQ82" s="161"/>
      <c r="DR82" s="161"/>
      <c r="DS82" s="161"/>
      <c r="DT82" s="161"/>
      <c r="DU82" s="161"/>
      <c r="DV82" s="161"/>
      <c r="DW82" s="161"/>
      <c r="DX82" s="161"/>
      <c r="DY82" s="161"/>
      <c r="DZ82" s="161"/>
      <c r="EA82" s="161"/>
      <c r="EB82" s="161"/>
      <c r="EC82" s="161"/>
      <c r="ED82" s="161"/>
      <c r="EE82" s="161"/>
      <c r="EF82" s="161"/>
      <c r="EG82" s="161"/>
      <c r="EH82" s="161"/>
      <c r="EI82" s="161"/>
      <c r="EJ82" s="161"/>
      <c r="EK82" s="161"/>
      <c r="EL82" s="161"/>
      <c r="EM82" s="161"/>
      <c r="EN82" s="161"/>
      <c r="EO82" s="161"/>
      <c r="EP82" s="161"/>
      <c r="EQ82" s="161"/>
      <c r="ER82" s="161"/>
      <c r="ES82" s="161"/>
      <c r="ET82" s="161"/>
      <c r="EU82" s="161"/>
      <c r="EV82" s="161"/>
      <c r="EW82" s="161"/>
      <c r="EX82" s="161"/>
      <c r="EY82" s="161"/>
      <c r="EZ82" s="161"/>
      <c r="FA82" s="161"/>
      <c r="FB82" s="161"/>
      <c r="FC82" s="161"/>
      <c r="FD82" s="161"/>
      <c r="FE82" s="161"/>
      <c r="FF82" s="161"/>
      <c r="FG82" s="161"/>
      <c r="FH82" s="161"/>
      <c r="FI82" s="161"/>
      <c r="FJ82" s="161"/>
      <c r="FK82" s="161"/>
      <c r="FL82" s="161"/>
      <c r="FM82" s="161"/>
      <c r="FN82" s="161"/>
      <c r="FO82" s="161"/>
      <c r="FP82" s="161"/>
      <c r="FQ82" s="161"/>
      <c r="FR82" s="161"/>
      <c r="FS82" s="161"/>
      <c r="FT82" s="161"/>
      <c r="FU82" s="161"/>
      <c r="FV82" s="161"/>
      <c r="FW82" s="161"/>
      <c r="FX82" s="161"/>
      <c r="FY82" s="161"/>
      <c r="FZ82" s="161"/>
      <c r="GA82" s="161"/>
      <c r="GB82" s="161"/>
      <c r="GC82" s="161"/>
      <c r="GD82" s="161"/>
      <c r="GE82" s="161"/>
      <c r="GF82" s="161"/>
      <c r="GG82" s="161"/>
      <c r="GH82" s="161"/>
      <c r="GI82" s="161"/>
      <c r="GJ82" s="161"/>
      <c r="GK82" s="161"/>
      <c r="GL82" s="161"/>
      <c r="GM82" s="161"/>
      <c r="GN82" s="161"/>
      <c r="GO82" s="161"/>
      <c r="GP82" s="161"/>
      <c r="GQ82" s="161"/>
      <c r="GR82" s="161"/>
      <c r="GS82" s="161"/>
      <c r="GT82" s="161"/>
      <c r="GU82" s="161"/>
      <c r="GV82" s="161"/>
      <c r="GW82" s="161"/>
      <c r="GX82" s="161"/>
      <c r="GY82" s="161"/>
      <c r="GZ82" s="161"/>
      <c r="HA82" s="161"/>
      <c r="HB82" s="161"/>
      <c r="HC82" s="161"/>
      <c r="HD82" s="161"/>
      <c r="HE82" s="161"/>
      <c r="HF82" s="161"/>
      <c r="HG82" s="161"/>
      <c r="HH82" s="161"/>
      <c r="HI82" s="161"/>
      <c r="HJ82" s="161"/>
      <c r="HK82" s="161"/>
      <c r="HL82" s="161"/>
    </row>
    <row r="83" spans="1:222" s="2" customFormat="1" ht="12" x14ac:dyDescent="0.25">
      <c r="C83" s="2" t="s">
        <v>573</v>
      </c>
      <c r="G83" s="310" t="s">
        <v>427</v>
      </c>
      <c r="I83" s="160">
        <f t="shared" ref="I83:AN83" si="92">I66*(1-I$80)</f>
        <v>0</v>
      </c>
      <c r="J83" s="160">
        <f t="shared" si="92"/>
        <v>0</v>
      </c>
      <c r="K83" s="160">
        <f t="shared" si="92"/>
        <v>362.1821995935581</v>
      </c>
      <c r="L83" s="160">
        <f t="shared" si="92"/>
        <v>740.84371482385461</v>
      </c>
      <c r="M83" s="160">
        <f t="shared" si="92"/>
        <v>381.150457606271</v>
      </c>
      <c r="N83" s="160">
        <f t="shared" si="92"/>
        <v>302.30611035229231</v>
      </c>
      <c r="O83" s="160">
        <f t="shared" si="92"/>
        <v>444.06331976481232</v>
      </c>
      <c r="P83" s="160">
        <f t="shared" si="92"/>
        <v>177</v>
      </c>
      <c r="Q83" s="160">
        <f t="shared" si="92"/>
        <v>243</v>
      </c>
      <c r="R83" s="160">
        <f t="shared" si="92"/>
        <v>243</v>
      </c>
      <c r="S83" s="160">
        <f t="shared" si="92"/>
        <v>310</v>
      </c>
      <c r="T83" s="160">
        <f t="shared" si="92"/>
        <v>302</v>
      </c>
      <c r="U83" s="160">
        <f t="shared" si="92"/>
        <v>559</v>
      </c>
      <c r="V83" s="160">
        <f t="shared" si="92"/>
        <v>738</v>
      </c>
      <c r="W83" s="160">
        <f t="shared" si="92"/>
        <v>46</v>
      </c>
      <c r="X83" s="160">
        <f t="shared" si="92"/>
        <v>81</v>
      </c>
      <c r="Y83" s="160">
        <f t="shared" si="92"/>
        <v>176.62567959335902</v>
      </c>
      <c r="Z83" s="160">
        <f t="shared" si="92"/>
        <v>186.5414208303857</v>
      </c>
      <c r="AA83" s="160">
        <f t="shared" si="92"/>
        <v>254.0023013931249</v>
      </c>
      <c r="AB83" s="160">
        <f t="shared" si="92"/>
        <v>120.29018492176387</v>
      </c>
      <c r="AC83" s="160">
        <f t="shared" si="92"/>
        <v>91</v>
      </c>
      <c r="AD83" s="160">
        <f t="shared" si="92"/>
        <v>1036.7462015266437</v>
      </c>
      <c r="AE83" s="160">
        <f t="shared" si="92"/>
        <v>137</v>
      </c>
      <c r="AF83" s="160">
        <f t="shared" si="92"/>
        <v>183</v>
      </c>
      <c r="AG83" s="160">
        <f t="shared" si="92"/>
        <v>435</v>
      </c>
      <c r="AH83" s="160">
        <f t="shared" si="92"/>
        <v>770.83055993648554</v>
      </c>
      <c r="AI83" s="160">
        <f t="shared" si="92"/>
        <v>943</v>
      </c>
      <c r="AJ83" s="160">
        <f t="shared" si="92"/>
        <v>791</v>
      </c>
      <c r="AK83" s="160">
        <f t="shared" si="92"/>
        <v>1247</v>
      </c>
      <c r="AL83" s="160">
        <f t="shared" si="92"/>
        <v>274</v>
      </c>
      <c r="AM83" s="160">
        <f t="shared" si="92"/>
        <v>743</v>
      </c>
      <c r="AN83" s="160">
        <f t="shared" si="92"/>
        <v>1273</v>
      </c>
      <c r="AO83" s="160">
        <f t="shared" ref="AO83:BT83" si="93">AO66*(1-AO$80)</f>
        <v>91.715994652030105</v>
      </c>
      <c r="AP83" s="160">
        <f t="shared" si="93"/>
        <v>89.75291508691609</v>
      </c>
      <c r="AQ83" s="160">
        <f t="shared" si="93"/>
        <v>102.53270484922838</v>
      </c>
      <c r="AR83" s="160">
        <f t="shared" si="93"/>
        <v>156.93711986097773</v>
      </c>
      <c r="AS83" s="160">
        <f t="shared" si="93"/>
        <v>114.3643580780852</v>
      </c>
      <c r="AT83" s="160">
        <f t="shared" si="93"/>
        <v>188.72731537589428</v>
      </c>
      <c r="AU83" s="160">
        <f t="shared" si="93"/>
        <v>231.52563221775117</v>
      </c>
      <c r="AV83" s="160">
        <f t="shared" si="93"/>
        <v>192.70529508889146</v>
      </c>
      <c r="AW83" s="160">
        <f t="shared" si="93"/>
        <v>311.28476422315356</v>
      </c>
      <c r="AX83" s="160">
        <f t="shared" si="93"/>
        <v>539.96741503666567</v>
      </c>
      <c r="AY83" s="160">
        <f t="shared" si="93"/>
        <v>702.86191821282489</v>
      </c>
      <c r="AZ83" s="160">
        <f t="shared" si="93"/>
        <v>216.58805980504388</v>
      </c>
      <c r="BA83" s="160">
        <f t="shared" si="93"/>
        <v>312.28246127668092</v>
      </c>
      <c r="BB83" s="160">
        <f t="shared" si="93"/>
        <v>221.56642976162138</v>
      </c>
      <c r="BC83" s="160">
        <f t="shared" si="93"/>
        <v>359.18749311901354</v>
      </c>
      <c r="BD83" s="160">
        <f t="shared" si="93"/>
        <v>336.23094018293682</v>
      </c>
      <c r="BE83" s="160">
        <f t="shared" si="93"/>
        <v>451.05503949221747</v>
      </c>
      <c r="BF83" s="160">
        <f t="shared" si="93"/>
        <v>451.05503949221747</v>
      </c>
      <c r="BG83" s="160">
        <f t="shared" si="93"/>
        <v>823.80957173770821</v>
      </c>
      <c r="BH83" s="160">
        <f t="shared" si="93"/>
        <v>667.88043170602646</v>
      </c>
      <c r="BI83" s="160">
        <f t="shared" si="93"/>
        <v>81</v>
      </c>
      <c r="BJ83" s="160">
        <f t="shared" si="93"/>
        <v>109</v>
      </c>
      <c r="BK83" s="160">
        <f t="shared" si="93"/>
        <v>96</v>
      </c>
      <c r="BL83" s="160">
        <f t="shared" si="93"/>
        <v>191</v>
      </c>
      <c r="BM83" s="160">
        <f t="shared" si="93"/>
        <v>187</v>
      </c>
      <c r="BN83" s="160">
        <f t="shared" si="93"/>
        <v>456</v>
      </c>
      <c r="BO83" s="160">
        <f t="shared" si="93"/>
        <v>428</v>
      </c>
      <c r="BP83" s="160">
        <f t="shared" si="93"/>
        <v>329</v>
      </c>
      <c r="BQ83" s="160">
        <f t="shared" si="93"/>
        <v>312</v>
      </c>
      <c r="BR83" s="160">
        <f t="shared" si="93"/>
        <v>295</v>
      </c>
      <c r="BS83" s="160">
        <f t="shared" si="93"/>
        <v>390</v>
      </c>
      <c r="BT83" s="160">
        <f t="shared" si="93"/>
        <v>247</v>
      </c>
      <c r="BU83" s="160">
        <f t="shared" ref="BU83:CZ83" si="94">BU66*(1-BU$80)</f>
        <v>395</v>
      </c>
      <c r="BV83" s="160">
        <f t="shared" si="94"/>
        <v>455</v>
      </c>
      <c r="BW83" s="160">
        <f t="shared" si="94"/>
        <v>609</v>
      </c>
      <c r="BX83" s="160">
        <f t="shared" si="94"/>
        <v>887</v>
      </c>
      <c r="BY83" s="160">
        <f t="shared" si="94"/>
        <v>145.23534204608416</v>
      </c>
      <c r="BZ83" s="160">
        <f t="shared" si="94"/>
        <v>173.75390729899564</v>
      </c>
      <c r="CA83" s="160">
        <f t="shared" si="94"/>
        <v>272.64211064526023</v>
      </c>
      <c r="CB83" s="160">
        <f t="shared" si="94"/>
        <v>303.48258049173614</v>
      </c>
      <c r="CC83" s="160">
        <f t="shared" si="94"/>
        <v>680.19809218317289</v>
      </c>
      <c r="CD83" s="160">
        <f t="shared" si="94"/>
        <v>294.1318138465677</v>
      </c>
      <c r="CE83" s="160">
        <f t="shared" si="94"/>
        <v>268.69941903096623</v>
      </c>
      <c r="CF83" s="160">
        <f t="shared" si="94"/>
        <v>479.82496599556413</v>
      </c>
      <c r="CG83" s="160">
        <f t="shared" si="94"/>
        <v>826.36674602900746</v>
      </c>
      <c r="CH83" s="160">
        <f t="shared" si="94"/>
        <v>108.04131484899659</v>
      </c>
      <c r="CI83" s="160">
        <f t="shared" si="94"/>
        <v>120.37861979541852</v>
      </c>
      <c r="CJ83" s="160">
        <f t="shared" si="94"/>
        <v>101.56333042158981</v>
      </c>
      <c r="CK83" s="160">
        <f t="shared" si="94"/>
        <v>236.67940552016984</v>
      </c>
      <c r="CL83" s="160">
        <f t="shared" si="94"/>
        <v>194.72353360246973</v>
      </c>
      <c r="CM83" s="160">
        <f t="shared" si="94"/>
        <v>209.94738265083294</v>
      </c>
      <c r="CN83" s="160">
        <f t="shared" si="94"/>
        <v>284.86087723518563</v>
      </c>
      <c r="CO83" s="160">
        <f t="shared" si="94"/>
        <v>290.95644014918719</v>
      </c>
      <c r="CP83" s="160">
        <f t="shared" si="94"/>
        <v>260.0213984280627</v>
      </c>
      <c r="CQ83" s="160">
        <f t="shared" si="94"/>
        <v>593.32257783421096</v>
      </c>
      <c r="CR83" s="160">
        <f t="shared" si="94"/>
        <v>780.80184843143184</v>
      </c>
      <c r="CS83" s="160">
        <f t="shared" si="94"/>
        <v>365.17851598882334</v>
      </c>
      <c r="CT83" s="160">
        <f t="shared" si="94"/>
        <v>264.91894952650591</v>
      </c>
      <c r="CU83" s="160">
        <f t="shared" si="94"/>
        <v>247.00944996365399</v>
      </c>
      <c r="CV83" s="160">
        <f t="shared" si="94"/>
        <v>287.0325581395349</v>
      </c>
      <c r="CW83" s="160">
        <f t="shared" si="94"/>
        <v>766.56447640626538</v>
      </c>
      <c r="CX83" s="160">
        <f t="shared" si="94"/>
        <v>401.10496390859913</v>
      </c>
      <c r="CY83" s="160">
        <f t="shared" si="94"/>
        <v>586.46697920688325</v>
      </c>
      <c r="CZ83" s="160">
        <f t="shared" si="94"/>
        <v>967.6669193346105</v>
      </c>
      <c r="DA83" s="160">
        <f t="shared" ref="DA83:DN83" si="95">DA66*(1-DA$80)</f>
        <v>672.19701231177032</v>
      </c>
      <c r="DB83" s="160">
        <f t="shared" si="95"/>
        <v>94</v>
      </c>
      <c r="DC83" s="160">
        <f t="shared" si="95"/>
        <v>262</v>
      </c>
      <c r="DD83" s="160">
        <f t="shared" si="95"/>
        <v>258</v>
      </c>
      <c r="DE83" s="160">
        <f t="shared" si="95"/>
        <v>445</v>
      </c>
      <c r="DF83" s="160">
        <f t="shared" si="95"/>
        <v>295</v>
      </c>
      <c r="DG83" s="160">
        <f t="shared" si="95"/>
        <v>552</v>
      </c>
      <c r="DH83" s="160">
        <f t="shared" si="95"/>
        <v>78</v>
      </c>
      <c r="DI83" s="160">
        <f t="shared" si="95"/>
        <v>63</v>
      </c>
      <c r="DJ83" s="160">
        <f t="shared" si="95"/>
        <v>82</v>
      </c>
      <c r="DK83" s="160">
        <f t="shared" si="95"/>
        <v>272</v>
      </c>
      <c r="DL83" s="160">
        <f t="shared" si="95"/>
        <v>180</v>
      </c>
      <c r="DM83" s="160">
        <f t="shared" si="95"/>
        <v>214</v>
      </c>
      <c r="DN83" s="160">
        <f t="shared" si="95"/>
        <v>308</v>
      </c>
      <c r="DO83" s="479"/>
      <c r="DP83" s="479"/>
      <c r="DQ83" s="479"/>
      <c r="DR83" s="479"/>
      <c r="DS83" s="479"/>
      <c r="DT83" s="479"/>
      <c r="DU83" s="479"/>
      <c r="DV83" s="479"/>
      <c r="DW83" s="479"/>
      <c r="DX83" s="479"/>
      <c r="DY83" s="479"/>
      <c r="DZ83" s="479"/>
      <c r="EA83" s="479"/>
      <c r="EB83" s="479"/>
      <c r="EC83" s="479"/>
      <c r="ED83" s="479"/>
      <c r="EE83" s="479"/>
      <c r="EF83" s="479"/>
      <c r="EG83" s="479"/>
      <c r="EH83" s="479"/>
      <c r="EI83" s="479"/>
      <c r="EJ83" s="479"/>
      <c r="EK83" s="479"/>
      <c r="EL83" s="479"/>
      <c r="EM83" s="479"/>
      <c r="EN83" s="479"/>
      <c r="EO83" s="479"/>
      <c r="EP83" s="479"/>
      <c r="EQ83" s="479"/>
      <c r="ER83" s="479"/>
      <c r="ES83" s="479"/>
      <c r="ET83" s="479"/>
      <c r="EU83" s="479"/>
      <c r="EV83" s="479"/>
      <c r="EW83" s="479"/>
      <c r="EX83" s="479"/>
      <c r="EY83" s="479"/>
      <c r="EZ83" s="479"/>
      <c r="FA83" s="479"/>
      <c r="FB83" s="479"/>
      <c r="FC83" s="479"/>
      <c r="FD83" s="479"/>
      <c r="FE83" s="479"/>
      <c r="FF83" s="479"/>
      <c r="FG83" s="479"/>
      <c r="FH83" s="479"/>
      <c r="FI83" s="479"/>
      <c r="FJ83" s="479"/>
      <c r="FK83" s="479"/>
      <c r="FL83" s="479"/>
      <c r="FM83" s="479"/>
      <c r="FN83" s="479"/>
      <c r="FO83" s="479"/>
      <c r="FP83" s="479"/>
      <c r="FQ83" s="479"/>
      <c r="FR83" s="479"/>
      <c r="FS83" s="479"/>
      <c r="FT83" s="479"/>
      <c r="FU83" s="479"/>
      <c r="FV83" s="479"/>
      <c r="FW83" s="479"/>
      <c r="FX83" s="479"/>
      <c r="FY83" s="479"/>
      <c r="FZ83" s="479"/>
      <c r="GA83" s="479"/>
      <c r="GB83" s="479"/>
      <c r="GC83" s="479"/>
      <c r="GD83" s="479"/>
      <c r="GE83" s="479"/>
      <c r="GF83" s="479"/>
      <c r="GG83" s="479"/>
      <c r="GH83" s="479"/>
      <c r="GI83" s="479"/>
      <c r="GJ83" s="479"/>
      <c r="GK83" s="479"/>
      <c r="GL83" s="479"/>
      <c r="GM83" s="479"/>
      <c r="GN83" s="479"/>
      <c r="GO83" s="479"/>
      <c r="GP83" s="479"/>
      <c r="GQ83" s="479"/>
      <c r="GR83" s="479"/>
      <c r="GS83" s="479"/>
      <c r="GT83" s="479"/>
      <c r="GU83" s="479"/>
      <c r="GV83" s="479"/>
      <c r="GW83" s="479"/>
      <c r="GX83" s="479"/>
      <c r="GY83" s="479"/>
      <c r="GZ83" s="479"/>
      <c r="HA83" s="479"/>
      <c r="HB83" s="479"/>
      <c r="HC83" s="479"/>
      <c r="HD83" s="479"/>
      <c r="HE83" s="479"/>
      <c r="HF83" s="479"/>
      <c r="HG83" s="479"/>
      <c r="HH83" s="479"/>
      <c r="HI83" s="479"/>
      <c r="HJ83" s="479"/>
      <c r="HK83" s="479"/>
      <c r="HL83" s="479"/>
      <c r="HM83" s="477" t="s">
        <v>580</v>
      </c>
    </row>
    <row r="84" spans="1:222" s="262" customFormat="1" ht="12" x14ac:dyDescent="0.25">
      <c r="C84" s="262" t="s">
        <v>920</v>
      </c>
      <c r="G84" s="263"/>
      <c r="I84" s="160">
        <f t="shared" ref="I84:R84" si="96">SUM(I85:I88)</f>
        <v>0</v>
      </c>
      <c r="J84" s="160">
        <f t="shared" si="96"/>
        <v>0</v>
      </c>
      <c r="K84" s="160">
        <f t="shared" si="96"/>
        <v>15.817800406441886</v>
      </c>
      <c r="L84" s="160">
        <f t="shared" si="96"/>
        <v>16.156285176145424</v>
      </c>
      <c r="M84" s="160">
        <f t="shared" si="96"/>
        <v>15.849542393729024</v>
      </c>
      <c r="N84" s="160">
        <f t="shared" si="96"/>
        <v>15.693889647707653</v>
      </c>
      <c r="O84" s="160">
        <f t="shared" si="96"/>
        <v>15.936680235187699</v>
      </c>
      <c r="P84" s="160">
        <f t="shared" si="96"/>
        <v>0</v>
      </c>
      <c r="Q84" s="160">
        <f t="shared" si="96"/>
        <v>0</v>
      </c>
      <c r="R84" s="160">
        <f t="shared" si="96"/>
        <v>0</v>
      </c>
      <c r="S84" s="160">
        <f t="shared" ref="S84:AX84" si="97">SUM(S85:S88)</f>
        <v>0</v>
      </c>
      <c r="T84" s="160">
        <f t="shared" si="97"/>
        <v>0</v>
      </c>
      <c r="U84" s="160">
        <f t="shared" si="97"/>
        <v>0</v>
      </c>
      <c r="V84" s="160">
        <f t="shared" si="97"/>
        <v>0</v>
      </c>
      <c r="W84" s="160">
        <f t="shared" si="97"/>
        <v>0</v>
      </c>
      <c r="X84" s="160">
        <f t="shared" si="97"/>
        <v>0</v>
      </c>
      <c r="Y84" s="160">
        <f t="shared" si="97"/>
        <v>22.374320406640987</v>
      </c>
      <c r="Z84" s="160">
        <f t="shared" si="97"/>
        <v>23.458579169614271</v>
      </c>
      <c r="AA84" s="160">
        <f t="shared" si="97"/>
        <v>25.99769860687514</v>
      </c>
      <c r="AB84" s="160">
        <f t="shared" si="97"/>
        <v>14.709815078236133</v>
      </c>
      <c r="AC84" s="160">
        <f t="shared" si="97"/>
        <v>0</v>
      </c>
      <c r="AD84" s="160">
        <f t="shared" si="97"/>
        <v>16.25379847335628</v>
      </c>
      <c r="AE84" s="160">
        <f t="shared" si="97"/>
        <v>0</v>
      </c>
      <c r="AF84" s="160">
        <f t="shared" si="97"/>
        <v>0</v>
      </c>
      <c r="AG84" s="160">
        <f t="shared" si="97"/>
        <v>0</v>
      </c>
      <c r="AH84" s="160">
        <f t="shared" si="97"/>
        <v>16.169440063514546</v>
      </c>
      <c r="AI84" s="160">
        <f t="shared" si="97"/>
        <v>0</v>
      </c>
      <c r="AJ84" s="160">
        <f t="shared" si="97"/>
        <v>0</v>
      </c>
      <c r="AK84" s="160">
        <f t="shared" si="97"/>
        <v>0</v>
      </c>
      <c r="AL84" s="160">
        <f t="shared" si="97"/>
        <v>0</v>
      </c>
      <c r="AM84" s="160">
        <f t="shared" si="97"/>
        <v>0</v>
      </c>
      <c r="AN84" s="160">
        <f t="shared" si="97"/>
        <v>0</v>
      </c>
      <c r="AO84" s="160">
        <f t="shared" si="97"/>
        <v>14.284005347969883</v>
      </c>
      <c r="AP84" s="160">
        <f t="shared" si="97"/>
        <v>14.247084913083913</v>
      </c>
      <c r="AQ84" s="160">
        <f t="shared" si="97"/>
        <v>14.467295150771617</v>
      </c>
      <c r="AR84" s="160">
        <f t="shared" si="97"/>
        <v>15.062880139022273</v>
      </c>
      <c r="AS84" s="160">
        <f t="shared" si="97"/>
        <v>14.635641921914807</v>
      </c>
      <c r="AT84" s="160">
        <f t="shared" si="97"/>
        <v>15.272684624105713</v>
      </c>
      <c r="AU84" s="160">
        <f t="shared" si="97"/>
        <v>15.474367782248832</v>
      </c>
      <c r="AV84" s="160">
        <f t="shared" si="97"/>
        <v>15.294704911108553</v>
      </c>
      <c r="AW84" s="160">
        <f t="shared" si="97"/>
        <v>15.715235776846439</v>
      </c>
      <c r="AX84" s="160">
        <f t="shared" si="97"/>
        <v>16.03258496333439</v>
      </c>
      <c r="AY84" s="160">
        <f t="shared" ref="AY84:BZ84" si="98">SUM(AY85:AY88)</f>
        <v>16.138081787175192</v>
      </c>
      <c r="AZ84" s="160">
        <f t="shared" si="98"/>
        <v>15.41194019495612</v>
      </c>
      <c r="BA84" s="160">
        <f t="shared" si="98"/>
        <v>15.717538723319072</v>
      </c>
      <c r="BB84" s="160">
        <f t="shared" si="98"/>
        <v>15.43357023837862</v>
      </c>
      <c r="BC84" s="160">
        <f t="shared" si="98"/>
        <v>15.81250688098646</v>
      </c>
      <c r="BD84" s="160">
        <f t="shared" si="98"/>
        <v>15.769059817063187</v>
      </c>
      <c r="BE84" s="160">
        <f t="shared" si="98"/>
        <v>15.944960507782554</v>
      </c>
      <c r="BF84" s="160">
        <f t="shared" si="98"/>
        <v>15.944960507782554</v>
      </c>
      <c r="BG84" s="160">
        <f t="shared" si="98"/>
        <v>16.190428262291785</v>
      </c>
      <c r="BH84" s="160">
        <f t="shared" si="98"/>
        <v>16.119568293973593</v>
      </c>
      <c r="BI84" s="160">
        <f t="shared" si="98"/>
        <v>0</v>
      </c>
      <c r="BJ84" s="160">
        <f t="shared" si="98"/>
        <v>0</v>
      </c>
      <c r="BK84" s="160">
        <f t="shared" si="98"/>
        <v>0</v>
      </c>
      <c r="BL84" s="160">
        <f t="shared" si="98"/>
        <v>0</v>
      </c>
      <c r="BM84" s="160">
        <f t="shared" si="98"/>
        <v>0</v>
      </c>
      <c r="BN84" s="160">
        <f t="shared" si="98"/>
        <v>0</v>
      </c>
      <c r="BO84" s="160">
        <f t="shared" si="98"/>
        <v>0</v>
      </c>
      <c r="BP84" s="160">
        <f t="shared" si="98"/>
        <v>0</v>
      </c>
      <c r="BQ84" s="160">
        <f t="shared" si="98"/>
        <v>0</v>
      </c>
      <c r="BR84" s="160">
        <f t="shared" si="98"/>
        <v>0</v>
      </c>
      <c r="BS84" s="160">
        <f t="shared" si="98"/>
        <v>0</v>
      </c>
      <c r="BT84" s="160">
        <f t="shared" si="98"/>
        <v>0</v>
      </c>
      <c r="BU84" s="160">
        <f t="shared" si="98"/>
        <v>0</v>
      </c>
      <c r="BV84" s="160">
        <f t="shared" si="98"/>
        <v>0</v>
      </c>
      <c r="BW84" s="160">
        <f t="shared" si="98"/>
        <v>0</v>
      </c>
      <c r="BX84" s="160">
        <f t="shared" si="98"/>
        <v>0</v>
      </c>
      <c r="BY84" s="160">
        <f t="shared" si="98"/>
        <v>50.764657953915858</v>
      </c>
      <c r="BZ84" s="160">
        <f t="shared" si="98"/>
        <v>-6.7539072989956495</v>
      </c>
      <c r="CA84" s="160">
        <f t="shared" ref="CA84:CF84" si="99">SUM(CA85:CA88)</f>
        <v>66.35788935473974</v>
      </c>
      <c r="CB84" s="160">
        <f t="shared" si="99"/>
        <v>141.51741950826388</v>
      </c>
      <c r="CC84" s="160">
        <f t="shared" si="99"/>
        <v>112.80190781682722</v>
      </c>
      <c r="CD84" s="160">
        <f t="shared" si="99"/>
        <v>27.868186153432298</v>
      </c>
      <c r="CE84" s="160">
        <f t="shared" si="99"/>
        <v>82.300580969033788</v>
      </c>
      <c r="CF84" s="160">
        <f t="shared" si="99"/>
        <v>101.1750340044359</v>
      </c>
      <c r="CG84" s="160">
        <f t="shared" ref="CG84:CJ84" si="100">SUM(CG85:CG88)</f>
        <v>-39.366746029007508</v>
      </c>
      <c r="CH84" s="160">
        <f t="shared" si="100"/>
        <v>45.958685151003415</v>
      </c>
      <c r="CI84" s="160">
        <f t="shared" si="100"/>
        <v>26.62138020458147</v>
      </c>
      <c r="CJ84" s="160">
        <f t="shared" si="100"/>
        <v>36.436669578410189</v>
      </c>
      <c r="CK84" s="160">
        <f t="shared" ref="CK84:DN84" si="101">SUM(CK85:CK88)</f>
        <v>-81.679405520169851</v>
      </c>
      <c r="CL84" s="160">
        <f t="shared" si="101"/>
        <v>-6.7235336024697183</v>
      </c>
      <c r="CM84" s="160">
        <f t="shared" si="101"/>
        <v>85.052617349167065</v>
      </c>
      <c r="CN84" s="160">
        <f t="shared" si="101"/>
        <v>-109.86087723518563</v>
      </c>
      <c r="CO84" s="160">
        <f t="shared" si="101"/>
        <v>36.043559850812784</v>
      </c>
      <c r="CP84" s="160">
        <f t="shared" si="101"/>
        <v>117.97860157193732</v>
      </c>
      <c r="CQ84" s="160">
        <f t="shared" si="101"/>
        <v>47.677422165789054</v>
      </c>
      <c r="CR84" s="160">
        <f t="shared" si="101"/>
        <v>198.19815156856828</v>
      </c>
      <c r="CS84" s="160">
        <f t="shared" si="101"/>
        <v>24.821484011176658</v>
      </c>
      <c r="CT84" s="160">
        <f t="shared" si="101"/>
        <v>77.081050473494088</v>
      </c>
      <c r="CU84" s="160">
        <f t="shared" si="101"/>
        <v>90.990550036346022</v>
      </c>
      <c r="CV84" s="160">
        <f t="shared" si="101"/>
        <v>-21.032558139534881</v>
      </c>
      <c r="CW84" s="160">
        <f t="shared" si="101"/>
        <v>-507.56447640626533</v>
      </c>
      <c r="CX84" s="160">
        <f t="shared" si="101"/>
        <v>73.895036091400911</v>
      </c>
      <c r="CY84" s="160">
        <f t="shared" si="101"/>
        <v>90.533020793116762</v>
      </c>
      <c r="CZ84" s="160">
        <f t="shared" si="101"/>
        <v>-189.66691933461047</v>
      </c>
      <c r="DA84" s="160">
        <f t="shared" si="101"/>
        <v>310.80298768822979</v>
      </c>
      <c r="DB84" s="160">
        <f t="shared" si="101"/>
        <v>0</v>
      </c>
      <c r="DC84" s="160">
        <f t="shared" si="101"/>
        <v>0</v>
      </c>
      <c r="DD84" s="160">
        <f t="shared" si="101"/>
        <v>0</v>
      </c>
      <c r="DE84" s="160">
        <f t="shared" si="101"/>
        <v>0</v>
      </c>
      <c r="DF84" s="160">
        <f t="shared" si="101"/>
        <v>0</v>
      </c>
      <c r="DG84" s="160">
        <f t="shared" si="101"/>
        <v>0</v>
      </c>
      <c r="DH84" s="160">
        <f t="shared" si="101"/>
        <v>0</v>
      </c>
      <c r="DI84" s="160">
        <f t="shared" si="101"/>
        <v>0</v>
      </c>
      <c r="DJ84" s="160">
        <f t="shared" si="101"/>
        <v>0</v>
      </c>
      <c r="DK84" s="160">
        <f t="shared" si="101"/>
        <v>0</v>
      </c>
      <c r="DL84" s="160">
        <f t="shared" si="101"/>
        <v>0</v>
      </c>
      <c r="DM84" s="160">
        <f t="shared" si="101"/>
        <v>0</v>
      </c>
      <c r="DN84" s="160">
        <f t="shared" si="101"/>
        <v>0</v>
      </c>
      <c r="DO84" s="160"/>
      <c r="DP84" s="160"/>
      <c r="DQ84" s="160"/>
      <c r="DR84" s="160"/>
      <c r="DS84" s="160"/>
      <c r="DT84" s="160"/>
      <c r="DU84" s="160"/>
      <c r="DV84" s="160"/>
      <c r="DW84" s="160"/>
      <c r="DX84" s="160"/>
      <c r="DY84" s="160"/>
      <c r="DZ84" s="160"/>
      <c r="EA84" s="160"/>
      <c r="EB84" s="160"/>
      <c r="EC84" s="160"/>
      <c r="ED84" s="160"/>
      <c r="EE84" s="160"/>
      <c r="EF84" s="160"/>
      <c r="EG84" s="160"/>
      <c r="EH84" s="160"/>
      <c r="EI84" s="160"/>
      <c r="EJ84" s="160"/>
      <c r="EK84" s="160"/>
      <c r="EL84" s="160"/>
      <c r="EM84" s="160"/>
      <c r="EN84" s="160"/>
      <c r="EO84" s="160"/>
      <c r="EP84" s="160"/>
      <c r="EQ84" s="160"/>
      <c r="ER84" s="160"/>
      <c r="ES84" s="160"/>
      <c r="ET84" s="160"/>
      <c r="EU84" s="160"/>
      <c r="EV84" s="160"/>
      <c r="EW84" s="160"/>
      <c r="EX84" s="160"/>
      <c r="EY84" s="160"/>
      <c r="EZ84" s="160"/>
      <c r="FA84" s="160"/>
      <c r="FB84" s="160"/>
      <c r="FC84" s="160"/>
      <c r="FD84" s="160"/>
      <c r="FE84" s="160"/>
      <c r="FF84" s="160"/>
      <c r="FG84" s="160"/>
      <c r="FH84" s="160"/>
      <c r="FI84" s="160"/>
      <c r="FJ84" s="160"/>
      <c r="FK84" s="160"/>
      <c r="FL84" s="160"/>
      <c r="FM84" s="160"/>
      <c r="FN84" s="160"/>
      <c r="FO84" s="160"/>
      <c r="FP84" s="160"/>
      <c r="FQ84" s="160"/>
      <c r="FR84" s="160"/>
      <c r="FS84" s="160"/>
      <c r="FT84" s="160"/>
      <c r="FU84" s="160"/>
      <c r="FV84" s="160"/>
      <c r="FW84" s="160"/>
      <c r="FX84" s="160"/>
      <c r="FY84" s="160"/>
      <c r="FZ84" s="160"/>
      <c r="GA84" s="160"/>
      <c r="GB84" s="160"/>
      <c r="GC84" s="160"/>
      <c r="GD84" s="160"/>
      <c r="GE84" s="160"/>
      <c r="GF84" s="160"/>
      <c r="GG84" s="160"/>
      <c r="GH84" s="160"/>
      <c r="GI84" s="160"/>
      <c r="GJ84" s="160"/>
      <c r="GK84" s="160"/>
      <c r="GL84" s="160"/>
      <c r="GM84" s="160"/>
      <c r="GN84" s="160"/>
      <c r="GO84" s="160"/>
      <c r="GP84" s="160"/>
      <c r="GQ84" s="160"/>
      <c r="GR84" s="160"/>
      <c r="GS84" s="160"/>
      <c r="GT84" s="160"/>
      <c r="GU84" s="160"/>
      <c r="GV84" s="160"/>
      <c r="GW84" s="160"/>
      <c r="GX84" s="160"/>
      <c r="GY84" s="160"/>
      <c r="GZ84" s="160"/>
      <c r="HA84" s="160"/>
      <c r="HB84" s="160"/>
      <c r="HC84" s="160"/>
      <c r="HD84" s="160"/>
      <c r="HE84" s="160"/>
      <c r="HF84" s="160"/>
      <c r="HG84" s="160"/>
      <c r="HH84" s="160"/>
      <c r="HI84" s="160"/>
      <c r="HJ84" s="160"/>
      <c r="HK84" s="160"/>
      <c r="HL84" s="160"/>
      <c r="HM84" s="155" t="s">
        <v>919</v>
      </c>
    </row>
    <row r="85" spans="1:222" x14ac:dyDescent="0.25">
      <c r="C85" t="s">
        <v>731</v>
      </c>
      <c r="G85" s="77" t="s">
        <v>427</v>
      </c>
      <c r="I85" s="160">
        <f t="shared" ref="I85:AN85" si="102">I67*(1-I$80)</f>
        <v>0</v>
      </c>
      <c r="J85" s="160">
        <f t="shared" si="102"/>
        <v>0</v>
      </c>
      <c r="K85" s="160">
        <f t="shared" si="102"/>
        <v>15.817800406441886</v>
      </c>
      <c r="L85" s="160">
        <f t="shared" si="102"/>
        <v>16.156285176145424</v>
      </c>
      <c r="M85" s="160">
        <f t="shared" si="102"/>
        <v>15.849542393729024</v>
      </c>
      <c r="N85" s="160">
        <f t="shared" si="102"/>
        <v>15.693889647707653</v>
      </c>
      <c r="O85" s="160">
        <f t="shared" si="102"/>
        <v>15.936680235187699</v>
      </c>
      <c r="P85" s="160">
        <f t="shared" si="102"/>
        <v>0</v>
      </c>
      <c r="Q85" s="160">
        <f t="shared" si="102"/>
        <v>0</v>
      </c>
      <c r="R85" s="160">
        <f t="shared" si="102"/>
        <v>0</v>
      </c>
      <c r="S85" s="160">
        <f t="shared" si="102"/>
        <v>0</v>
      </c>
      <c r="T85" s="160">
        <f t="shared" si="102"/>
        <v>0</v>
      </c>
      <c r="U85" s="160">
        <f t="shared" si="102"/>
        <v>0</v>
      </c>
      <c r="V85" s="160">
        <f t="shared" si="102"/>
        <v>0</v>
      </c>
      <c r="W85" s="160">
        <f t="shared" si="102"/>
        <v>0</v>
      </c>
      <c r="X85" s="160">
        <f t="shared" si="102"/>
        <v>0</v>
      </c>
      <c r="Y85" s="160">
        <f t="shared" si="102"/>
        <v>14.652494213363481</v>
      </c>
      <c r="Z85" s="160">
        <f t="shared" si="102"/>
        <v>14.664483616181801</v>
      </c>
      <c r="AA85" s="160">
        <f t="shared" si="102"/>
        <v>14.975813028566325</v>
      </c>
      <c r="AB85" s="160">
        <f t="shared" si="102"/>
        <v>14.709815078236133</v>
      </c>
      <c r="AC85" s="160">
        <f t="shared" si="102"/>
        <v>0</v>
      </c>
      <c r="AD85" s="160">
        <f t="shared" si="102"/>
        <v>16.25379847335628</v>
      </c>
      <c r="AE85" s="160">
        <f t="shared" si="102"/>
        <v>0</v>
      </c>
      <c r="AF85" s="160">
        <f t="shared" si="102"/>
        <v>0</v>
      </c>
      <c r="AG85" s="160">
        <f t="shared" si="102"/>
        <v>0</v>
      </c>
      <c r="AH85" s="160">
        <f t="shared" si="102"/>
        <v>16.169440063514546</v>
      </c>
      <c r="AI85" s="160">
        <f t="shared" si="102"/>
        <v>0</v>
      </c>
      <c r="AJ85" s="160">
        <f t="shared" si="102"/>
        <v>0</v>
      </c>
      <c r="AK85" s="160">
        <f t="shared" si="102"/>
        <v>0</v>
      </c>
      <c r="AL85" s="160">
        <f t="shared" si="102"/>
        <v>0</v>
      </c>
      <c r="AM85" s="160">
        <f t="shared" si="102"/>
        <v>0</v>
      </c>
      <c r="AN85" s="160">
        <f t="shared" si="102"/>
        <v>0</v>
      </c>
      <c r="AO85" s="160">
        <f t="shared" ref="AO85:BT85" si="103">AO67*(1-AO$80)</f>
        <v>14.284005347969883</v>
      </c>
      <c r="AP85" s="160">
        <f t="shared" si="103"/>
        <v>14.247084913083913</v>
      </c>
      <c r="AQ85" s="160">
        <f t="shared" si="103"/>
        <v>14.467295150771617</v>
      </c>
      <c r="AR85" s="160">
        <f t="shared" si="103"/>
        <v>15.062880139022273</v>
      </c>
      <c r="AS85" s="160">
        <f t="shared" si="103"/>
        <v>14.635641921914807</v>
      </c>
      <c r="AT85" s="160">
        <f t="shared" si="103"/>
        <v>15.272684624105713</v>
      </c>
      <c r="AU85" s="160">
        <f t="shared" si="103"/>
        <v>15.474367782248832</v>
      </c>
      <c r="AV85" s="160">
        <f t="shared" si="103"/>
        <v>15.294704911108553</v>
      </c>
      <c r="AW85" s="160">
        <f t="shared" si="103"/>
        <v>15.715235776846439</v>
      </c>
      <c r="AX85" s="160">
        <f t="shared" si="103"/>
        <v>16.03258496333439</v>
      </c>
      <c r="AY85" s="160">
        <f t="shared" si="103"/>
        <v>16.138081787175192</v>
      </c>
      <c r="AZ85" s="160">
        <f t="shared" si="103"/>
        <v>15.41194019495612</v>
      </c>
      <c r="BA85" s="160">
        <f t="shared" si="103"/>
        <v>15.717538723319072</v>
      </c>
      <c r="BB85" s="160">
        <f t="shared" si="103"/>
        <v>15.43357023837862</v>
      </c>
      <c r="BC85" s="160">
        <f t="shared" si="103"/>
        <v>15.81250688098646</v>
      </c>
      <c r="BD85" s="160">
        <f t="shared" si="103"/>
        <v>15.769059817063187</v>
      </c>
      <c r="BE85" s="160">
        <f t="shared" si="103"/>
        <v>15.944960507782554</v>
      </c>
      <c r="BF85" s="160">
        <f t="shared" si="103"/>
        <v>15.944960507782554</v>
      </c>
      <c r="BG85" s="160">
        <f t="shared" si="103"/>
        <v>16.190428262291785</v>
      </c>
      <c r="BH85" s="160">
        <f t="shared" si="103"/>
        <v>16.119568293973593</v>
      </c>
      <c r="BI85" s="160">
        <f t="shared" si="103"/>
        <v>0</v>
      </c>
      <c r="BJ85" s="160">
        <f t="shared" si="103"/>
        <v>0</v>
      </c>
      <c r="BK85" s="160">
        <f t="shared" si="103"/>
        <v>0</v>
      </c>
      <c r="BL85" s="160">
        <f t="shared" si="103"/>
        <v>0</v>
      </c>
      <c r="BM85" s="160">
        <f t="shared" si="103"/>
        <v>0</v>
      </c>
      <c r="BN85" s="160">
        <f t="shared" si="103"/>
        <v>0</v>
      </c>
      <c r="BO85" s="160">
        <f t="shared" si="103"/>
        <v>0</v>
      </c>
      <c r="BP85" s="160">
        <f t="shared" si="103"/>
        <v>0</v>
      </c>
      <c r="BQ85" s="160">
        <f t="shared" si="103"/>
        <v>0</v>
      </c>
      <c r="BR85" s="160">
        <f t="shared" si="103"/>
        <v>0</v>
      </c>
      <c r="BS85" s="160">
        <f t="shared" si="103"/>
        <v>0</v>
      </c>
      <c r="BT85" s="160">
        <f t="shared" si="103"/>
        <v>0</v>
      </c>
      <c r="BU85" s="160">
        <f t="shared" ref="BU85:CZ85" si="104">BU67*(1-BU$80)</f>
        <v>0</v>
      </c>
      <c r="BV85" s="160">
        <f t="shared" si="104"/>
        <v>0</v>
      </c>
      <c r="BW85" s="160">
        <f t="shared" si="104"/>
        <v>0</v>
      </c>
      <c r="BX85" s="160">
        <f t="shared" si="104"/>
        <v>0</v>
      </c>
      <c r="BY85" s="160">
        <f t="shared" si="104"/>
        <v>12.232832513118016</v>
      </c>
      <c r="BZ85" s="160">
        <f t="shared" si="104"/>
        <v>17.176271550566625</v>
      </c>
      <c r="CA85" s="160">
        <f t="shared" si="104"/>
        <v>13.277124450352797</v>
      </c>
      <c r="CB85" s="160">
        <f t="shared" si="104"/>
        <v>11.258604061249027</v>
      </c>
      <c r="CC85" s="160">
        <f t="shared" si="104"/>
        <v>14.160318155963562</v>
      </c>
      <c r="CD85" s="160">
        <f t="shared" si="104"/>
        <v>15.079846420972832</v>
      </c>
      <c r="CE85" s="160">
        <f t="shared" si="104"/>
        <v>12.637768627672177</v>
      </c>
      <c r="CF85" s="160">
        <f t="shared" si="104"/>
        <v>13.633818177362238</v>
      </c>
      <c r="CG85" s="160">
        <f t="shared" si="104"/>
        <v>17.334402999666452</v>
      </c>
      <c r="CH85" s="160">
        <f t="shared" si="104"/>
        <v>11.581903153595414</v>
      </c>
      <c r="CI85" s="160">
        <f t="shared" si="104"/>
        <v>13.518945396916871</v>
      </c>
      <c r="CJ85" s="160">
        <f t="shared" si="104"/>
        <v>12.149786216725669</v>
      </c>
      <c r="CK85" s="160">
        <f t="shared" si="104"/>
        <v>25.208067940552016</v>
      </c>
      <c r="CL85" s="160">
        <f t="shared" si="104"/>
        <v>17.099026359534555</v>
      </c>
      <c r="CM85" s="160">
        <f t="shared" si="104"/>
        <v>11.748954932096584</v>
      </c>
      <c r="CN85" s="160">
        <f t="shared" si="104"/>
        <v>26.872343837703475</v>
      </c>
      <c r="CO85" s="160">
        <f t="shared" si="104"/>
        <v>14.688958738945839</v>
      </c>
      <c r="CP85" s="160">
        <f t="shared" si="104"/>
        <v>11.356070470483036</v>
      </c>
      <c r="CQ85" s="160">
        <f t="shared" si="104"/>
        <v>15.28071354769641</v>
      </c>
      <c r="CR85" s="160">
        <f t="shared" si="104"/>
        <v>13.166457149679406</v>
      </c>
      <c r="CS85" s="160">
        <f t="shared" si="104"/>
        <v>15.457932319155544</v>
      </c>
      <c r="CT85" s="160">
        <f t="shared" si="104"/>
        <v>12.787855120570148</v>
      </c>
      <c r="CU85" s="160">
        <f t="shared" si="104"/>
        <v>12.064453598255394</v>
      </c>
      <c r="CV85" s="160">
        <f t="shared" si="104"/>
        <v>17.813953488372096</v>
      </c>
      <c r="CW85" s="160">
        <f t="shared" si="104"/>
        <v>48.860703378977448</v>
      </c>
      <c r="CX85" s="160">
        <f t="shared" si="104"/>
        <v>13.940399380852403</v>
      </c>
      <c r="CY85" s="160">
        <f t="shared" si="104"/>
        <v>14.300976228558824</v>
      </c>
      <c r="CZ85" s="160">
        <f t="shared" si="104"/>
        <v>20.533221240645549</v>
      </c>
      <c r="DA85" s="160">
        <f t="shared" ref="DA85:DN85" si="105">DA67*(1-DA$80)</f>
        <v>11.288957787359598</v>
      </c>
      <c r="DB85" s="160">
        <f t="shared" si="105"/>
        <v>0</v>
      </c>
      <c r="DC85" s="160">
        <f t="shared" si="105"/>
        <v>0</v>
      </c>
      <c r="DD85" s="160">
        <f t="shared" si="105"/>
        <v>0</v>
      </c>
      <c r="DE85" s="160">
        <f t="shared" si="105"/>
        <v>0</v>
      </c>
      <c r="DF85" s="160">
        <f t="shared" si="105"/>
        <v>0</v>
      </c>
      <c r="DG85" s="160">
        <f t="shared" si="105"/>
        <v>0</v>
      </c>
      <c r="DH85" s="160">
        <f t="shared" si="105"/>
        <v>0</v>
      </c>
      <c r="DI85" s="160">
        <f t="shared" si="105"/>
        <v>0</v>
      </c>
      <c r="DJ85" s="160">
        <f t="shared" si="105"/>
        <v>0</v>
      </c>
      <c r="DK85" s="160">
        <f t="shared" si="105"/>
        <v>0</v>
      </c>
      <c r="DL85" s="160">
        <f t="shared" si="105"/>
        <v>0</v>
      </c>
      <c r="DM85" s="160">
        <f t="shared" si="105"/>
        <v>0</v>
      </c>
      <c r="DN85" s="160">
        <f t="shared" si="105"/>
        <v>0</v>
      </c>
      <c r="DO85" s="160"/>
      <c r="DP85" s="160"/>
      <c r="DQ85" s="160"/>
      <c r="DR85" s="160"/>
      <c r="DS85" s="160"/>
      <c r="DT85" s="160"/>
      <c r="DU85" s="160"/>
      <c r="DV85" s="160"/>
      <c r="DW85" s="160"/>
      <c r="DX85" s="160"/>
      <c r="DY85" s="160"/>
      <c r="DZ85" s="160"/>
      <c r="EA85" s="160"/>
      <c r="EB85" s="160"/>
      <c r="EC85" s="160"/>
      <c r="ED85" s="160"/>
      <c r="EE85" s="160"/>
      <c r="EF85" s="160"/>
      <c r="EG85" s="160"/>
      <c r="EH85" s="160"/>
      <c r="EI85" s="160"/>
      <c r="EJ85" s="160"/>
      <c r="EK85" s="160"/>
      <c r="EL85" s="160"/>
      <c r="EM85" s="160"/>
      <c r="EN85" s="160"/>
      <c r="EO85" s="160"/>
      <c r="EP85" s="160"/>
      <c r="EQ85" s="160"/>
      <c r="ER85" s="160"/>
      <c r="ES85" s="160"/>
      <c r="ET85" s="160"/>
      <c r="EU85" s="160"/>
      <c r="EV85" s="160"/>
      <c r="EW85" s="160"/>
      <c r="EX85" s="160"/>
      <c r="EY85" s="160"/>
      <c r="EZ85" s="160"/>
      <c r="FA85" s="160"/>
      <c r="FB85" s="160"/>
      <c r="FC85" s="160"/>
      <c r="FD85" s="160"/>
      <c r="FE85" s="160"/>
      <c r="FF85" s="160"/>
      <c r="FG85" s="160"/>
      <c r="FH85" s="160"/>
      <c r="FI85" s="160"/>
      <c r="FJ85" s="160"/>
      <c r="FK85" s="160"/>
      <c r="FL85" s="160"/>
      <c r="FM85" s="160"/>
      <c r="FN85" s="160"/>
      <c r="FO85" s="160"/>
      <c r="FP85" s="160"/>
      <c r="FQ85" s="160"/>
      <c r="FR85" s="160"/>
      <c r="FS85" s="160"/>
      <c r="FT85" s="160"/>
      <c r="FU85" s="160"/>
      <c r="FV85" s="160"/>
      <c r="FW85" s="160"/>
      <c r="FX85" s="160"/>
      <c r="FY85" s="160"/>
      <c r="FZ85" s="160"/>
      <c r="GA85" s="160"/>
      <c r="GB85" s="160"/>
      <c r="GC85" s="160"/>
      <c r="GD85" s="160"/>
      <c r="GE85" s="160"/>
      <c r="GF85" s="160"/>
      <c r="GG85" s="160"/>
      <c r="GH85" s="160"/>
      <c r="GI85" s="160"/>
      <c r="GJ85" s="160"/>
      <c r="GK85" s="160"/>
      <c r="GL85" s="160"/>
      <c r="GM85" s="160"/>
      <c r="GN85" s="160"/>
      <c r="GO85" s="160"/>
      <c r="GP85" s="160"/>
      <c r="GQ85" s="160"/>
      <c r="GR85" s="160"/>
      <c r="GS85" s="160"/>
      <c r="GT85" s="160"/>
      <c r="GU85" s="160"/>
      <c r="GV85" s="160"/>
      <c r="GW85" s="160"/>
      <c r="GX85" s="160"/>
      <c r="GY85" s="160"/>
      <c r="GZ85" s="160"/>
      <c r="HA85" s="160"/>
      <c r="HB85" s="160"/>
      <c r="HC85" s="160"/>
      <c r="HD85" s="160"/>
      <c r="HE85" s="160"/>
      <c r="HF85" s="160"/>
      <c r="HG85" s="160"/>
      <c r="HH85" s="160"/>
      <c r="HI85" s="160"/>
      <c r="HJ85" s="160"/>
      <c r="HK85" s="160"/>
      <c r="HL85" s="160"/>
      <c r="HM85" s="44"/>
    </row>
    <row r="86" spans="1:222" x14ac:dyDescent="0.25">
      <c r="C86" s="103" t="s">
        <v>1322</v>
      </c>
      <c r="D86" s="44"/>
      <c r="E86" s="44"/>
      <c r="G86" s="77"/>
      <c r="I86" s="160">
        <f t="shared" ref="I86:AN86" si="106">I70*(1-I80)</f>
        <v>0</v>
      </c>
      <c r="J86" s="160">
        <f t="shared" si="106"/>
        <v>0</v>
      </c>
      <c r="K86" s="160">
        <f t="shared" si="106"/>
        <v>0</v>
      </c>
      <c r="L86" s="160">
        <f t="shared" si="106"/>
        <v>0</v>
      </c>
      <c r="M86" s="160">
        <f t="shared" si="106"/>
        <v>0</v>
      </c>
      <c r="N86" s="160">
        <f t="shared" si="106"/>
        <v>0</v>
      </c>
      <c r="O86" s="160">
        <f t="shared" si="106"/>
        <v>0</v>
      </c>
      <c r="P86" s="160">
        <f t="shared" si="106"/>
        <v>0</v>
      </c>
      <c r="Q86" s="160">
        <f t="shared" si="106"/>
        <v>0</v>
      </c>
      <c r="R86" s="160">
        <f t="shared" si="106"/>
        <v>0</v>
      </c>
      <c r="S86" s="160">
        <f t="shared" si="106"/>
        <v>0</v>
      </c>
      <c r="T86" s="160">
        <f t="shared" si="106"/>
        <v>0</v>
      </c>
      <c r="U86" s="160">
        <f t="shared" si="106"/>
        <v>0</v>
      </c>
      <c r="V86" s="160">
        <f t="shared" si="106"/>
        <v>0</v>
      </c>
      <c r="W86" s="160">
        <f t="shared" si="106"/>
        <v>0</v>
      </c>
      <c r="X86" s="160">
        <f t="shared" si="106"/>
        <v>0</v>
      </c>
      <c r="Y86" s="160">
        <f t="shared" si="106"/>
        <v>0</v>
      </c>
      <c r="Z86" s="160">
        <f t="shared" si="106"/>
        <v>0</v>
      </c>
      <c r="AA86" s="160">
        <f t="shared" si="106"/>
        <v>0</v>
      </c>
      <c r="AB86" s="160">
        <f t="shared" si="106"/>
        <v>0</v>
      </c>
      <c r="AC86" s="160">
        <f t="shared" si="106"/>
        <v>0</v>
      </c>
      <c r="AD86" s="160">
        <f t="shared" si="106"/>
        <v>0</v>
      </c>
      <c r="AE86" s="160">
        <f t="shared" si="106"/>
        <v>0</v>
      </c>
      <c r="AF86" s="160">
        <f t="shared" si="106"/>
        <v>0</v>
      </c>
      <c r="AG86" s="160">
        <f t="shared" si="106"/>
        <v>0</v>
      </c>
      <c r="AH86" s="160">
        <f t="shared" si="106"/>
        <v>0</v>
      </c>
      <c r="AI86" s="160">
        <f t="shared" si="106"/>
        <v>0</v>
      </c>
      <c r="AJ86" s="160">
        <f t="shared" si="106"/>
        <v>0</v>
      </c>
      <c r="AK86" s="160">
        <f t="shared" si="106"/>
        <v>0</v>
      </c>
      <c r="AL86" s="160">
        <f t="shared" si="106"/>
        <v>0</v>
      </c>
      <c r="AM86" s="160">
        <f t="shared" si="106"/>
        <v>0</v>
      </c>
      <c r="AN86" s="160">
        <f t="shared" si="106"/>
        <v>0</v>
      </c>
      <c r="AO86" s="160">
        <f t="shared" ref="AO86:BT86" si="107">AO70*(1-AO80)</f>
        <v>0</v>
      </c>
      <c r="AP86" s="160">
        <f t="shared" si="107"/>
        <v>0</v>
      </c>
      <c r="AQ86" s="160">
        <f t="shared" si="107"/>
        <v>0</v>
      </c>
      <c r="AR86" s="160">
        <f t="shared" si="107"/>
        <v>0</v>
      </c>
      <c r="AS86" s="160">
        <f t="shared" si="107"/>
        <v>0</v>
      </c>
      <c r="AT86" s="160">
        <f t="shared" si="107"/>
        <v>0</v>
      </c>
      <c r="AU86" s="160">
        <f t="shared" si="107"/>
        <v>0</v>
      </c>
      <c r="AV86" s="160">
        <f t="shared" si="107"/>
        <v>0</v>
      </c>
      <c r="AW86" s="160">
        <f t="shared" si="107"/>
        <v>0</v>
      </c>
      <c r="AX86" s="160">
        <f t="shared" si="107"/>
        <v>0</v>
      </c>
      <c r="AY86" s="160">
        <f t="shared" si="107"/>
        <v>0</v>
      </c>
      <c r="AZ86" s="160">
        <f t="shared" si="107"/>
        <v>0</v>
      </c>
      <c r="BA86" s="160">
        <f t="shared" si="107"/>
        <v>0</v>
      </c>
      <c r="BB86" s="160">
        <f t="shared" si="107"/>
        <v>0</v>
      </c>
      <c r="BC86" s="160">
        <f t="shared" si="107"/>
        <v>0</v>
      </c>
      <c r="BD86" s="160">
        <f t="shared" si="107"/>
        <v>0</v>
      </c>
      <c r="BE86" s="160">
        <f t="shared" si="107"/>
        <v>0</v>
      </c>
      <c r="BF86" s="160">
        <f t="shared" si="107"/>
        <v>0</v>
      </c>
      <c r="BG86" s="160">
        <f t="shared" si="107"/>
        <v>0</v>
      </c>
      <c r="BH86" s="160">
        <f t="shared" si="107"/>
        <v>0</v>
      </c>
      <c r="BI86" s="160">
        <f t="shared" si="107"/>
        <v>0</v>
      </c>
      <c r="BJ86" s="160">
        <f t="shared" si="107"/>
        <v>0</v>
      </c>
      <c r="BK86" s="160">
        <f t="shared" si="107"/>
        <v>0</v>
      </c>
      <c r="BL86" s="160">
        <f t="shared" si="107"/>
        <v>0</v>
      </c>
      <c r="BM86" s="160">
        <f t="shared" si="107"/>
        <v>0</v>
      </c>
      <c r="BN86" s="160">
        <f t="shared" si="107"/>
        <v>0</v>
      </c>
      <c r="BO86" s="160">
        <f t="shared" si="107"/>
        <v>0</v>
      </c>
      <c r="BP86" s="160">
        <f t="shared" si="107"/>
        <v>0</v>
      </c>
      <c r="BQ86" s="160">
        <f t="shared" si="107"/>
        <v>0</v>
      </c>
      <c r="BR86" s="160">
        <f t="shared" si="107"/>
        <v>0</v>
      </c>
      <c r="BS86" s="160">
        <f t="shared" si="107"/>
        <v>0</v>
      </c>
      <c r="BT86" s="160">
        <f t="shared" si="107"/>
        <v>0</v>
      </c>
      <c r="BU86" s="160">
        <f t="shared" ref="BU86:CZ86" si="108">BU70*(1-BU80)</f>
        <v>0</v>
      </c>
      <c r="BV86" s="160">
        <f t="shared" si="108"/>
        <v>0</v>
      </c>
      <c r="BW86" s="160">
        <f t="shared" si="108"/>
        <v>0</v>
      </c>
      <c r="BX86" s="160">
        <f t="shared" si="108"/>
        <v>0</v>
      </c>
      <c r="BY86" s="160">
        <f t="shared" si="108"/>
        <v>38.531825440797839</v>
      </c>
      <c r="BZ86" s="160">
        <f t="shared" si="108"/>
        <v>-23.930178849562274</v>
      </c>
      <c r="CA86" s="160">
        <f t="shared" si="108"/>
        <v>53.080764904386946</v>
      </c>
      <c r="CB86" s="160">
        <f t="shared" si="108"/>
        <v>130.25881544701485</v>
      </c>
      <c r="CC86" s="160">
        <f t="shared" si="108"/>
        <v>98.641589660863659</v>
      </c>
      <c r="CD86" s="160">
        <f t="shared" si="108"/>
        <v>12.788339732459466</v>
      </c>
      <c r="CE86" s="160">
        <f t="shared" si="108"/>
        <v>69.662812341361615</v>
      </c>
      <c r="CF86" s="160">
        <f t="shared" si="108"/>
        <v>87.541215827073657</v>
      </c>
      <c r="CG86" s="160">
        <f t="shared" si="108"/>
        <v>-56.70114902867396</v>
      </c>
      <c r="CH86" s="160">
        <f t="shared" si="108"/>
        <v>34.376781997408003</v>
      </c>
      <c r="CI86" s="160">
        <f t="shared" si="108"/>
        <v>13.102434807664601</v>
      </c>
      <c r="CJ86" s="160">
        <f t="shared" si="108"/>
        <v>24.28688336168452</v>
      </c>
      <c r="CK86" s="160">
        <f t="shared" si="108"/>
        <v>-106.88747346072186</v>
      </c>
      <c r="CL86" s="160">
        <f t="shared" si="108"/>
        <v>-23.822559962004274</v>
      </c>
      <c r="CM86" s="160">
        <f t="shared" si="108"/>
        <v>73.303662417070484</v>
      </c>
      <c r="CN86" s="160">
        <f t="shared" si="108"/>
        <v>-136.73322107288911</v>
      </c>
      <c r="CO86" s="160">
        <f t="shared" si="108"/>
        <v>21.354601111866948</v>
      </c>
      <c r="CP86" s="160">
        <f t="shared" si="108"/>
        <v>106.62253110145429</v>
      </c>
      <c r="CQ86" s="160">
        <f t="shared" si="108"/>
        <v>32.396708618092646</v>
      </c>
      <c r="CR86" s="160">
        <f t="shared" si="108"/>
        <v>185.03169441888886</v>
      </c>
      <c r="CS86" s="160">
        <f t="shared" si="108"/>
        <v>9.3635516920211117</v>
      </c>
      <c r="CT86" s="160">
        <f t="shared" si="108"/>
        <v>64.293195352923945</v>
      </c>
      <c r="CU86" s="160">
        <f t="shared" si="108"/>
        <v>78.926096438090624</v>
      </c>
      <c r="CV86" s="160">
        <f t="shared" si="108"/>
        <v>-38.846511627906978</v>
      </c>
      <c r="CW86" s="160">
        <f t="shared" si="108"/>
        <v>-556.42517978524279</v>
      </c>
      <c r="CX86" s="160">
        <f t="shared" si="108"/>
        <v>59.954636710548506</v>
      </c>
      <c r="CY86" s="160">
        <f t="shared" si="108"/>
        <v>76.232044564557938</v>
      </c>
      <c r="CZ86" s="160">
        <f t="shared" si="108"/>
        <v>-210.20014057525603</v>
      </c>
      <c r="DA86" s="160">
        <f t="shared" ref="DA86:DN86" si="109">DA70*(1-DA80)</f>
        <v>299.51402990087018</v>
      </c>
      <c r="DB86" s="160">
        <f t="shared" si="109"/>
        <v>0</v>
      </c>
      <c r="DC86" s="160">
        <f t="shared" si="109"/>
        <v>0</v>
      </c>
      <c r="DD86" s="160">
        <f t="shared" si="109"/>
        <v>0</v>
      </c>
      <c r="DE86" s="160">
        <f t="shared" si="109"/>
        <v>0</v>
      </c>
      <c r="DF86" s="160">
        <f t="shared" si="109"/>
        <v>0</v>
      </c>
      <c r="DG86" s="160">
        <f t="shared" si="109"/>
        <v>0</v>
      </c>
      <c r="DH86" s="160">
        <f t="shared" si="109"/>
        <v>0</v>
      </c>
      <c r="DI86" s="160">
        <f t="shared" si="109"/>
        <v>0</v>
      </c>
      <c r="DJ86" s="160">
        <f t="shared" si="109"/>
        <v>0</v>
      </c>
      <c r="DK86" s="160">
        <f t="shared" si="109"/>
        <v>0</v>
      </c>
      <c r="DL86" s="160">
        <f t="shared" si="109"/>
        <v>0</v>
      </c>
      <c r="DM86" s="160">
        <f t="shared" si="109"/>
        <v>0</v>
      </c>
      <c r="DN86" s="160">
        <f t="shared" si="109"/>
        <v>0</v>
      </c>
      <c r="DO86" s="160"/>
      <c r="DP86" s="160"/>
      <c r="DQ86" s="160"/>
      <c r="DR86" s="160"/>
      <c r="DS86" s="160"/>
      <c r="DT86" s="160"/>
      <c r="DU86" s="160"/>
      <c r="DV86" s="160"/>
      <c r="DW86" s="160"/>
      <c r="DX86" s="160"/>
      <c r="DY86" s="160"/>
      <c r="DZ86" s="160"/>
      <c r="EA86" s="160"/>
      <c r="EB86" s="160"/>
      <c r="EC86" s="160"/>
      <c r="ED86" s="160"/>
      <c r="EE86" s="160"/>
      <c r="EF86" s="160"/>
      <c r="EG86" s="160"/>
      <c r="EH86" s="160"/>
      <c r="EI86" s="160"/>
      <c r="EJ86" s="160"/>
      <c r="EK86" s="160"/>
      <c r="EL86" s="160"/>
      <c r="EM86" s="160"/>
      <c r="EN86" s="160"/>
      <c r="EO86" s="160"/>
      <c r="EP86" s="160"/>
      <c r="EQ86" s="160"/>
      <c r="ER86" s="160"/>
      <c r="ES86" s="160"/>
      <c r="ET86" s="160"/>
      <c r="EU86" s="160"/>
      <c r="EV86" s="160"/>
      <c r="EW86" s="160"/>
      <c r="EX86" s="160"/>
      <c r="EY86" s="160"/>
      <c r="EZ86" s="160"/>
      <c r="FA86" s="160"/>
      <c r="FB86" s="160"/>
      <c r="FC86" s="160"/>
      <c r="FD86" s="160"/>
      <c r="FE86" s="160"/>
      <c r="FF86" s="160"/>
      <c r="FG86" s="160"/>
      <c r="FH86" s="160"/>
      <c r="FI86" s="160"/>
      <c r="FJ86" s="160"/>
      <c r="FK86" s="160"/>
      <c r="FL86" s="160"/>
      <c r="FM86" s="160"/>
      <c r="FN86" s="160"/>
      <c r="FO86" s="160"/>
      <c r="FP86" s="160"/>
      <c r="FQ86" s="160"/>
      <c r="FR86" s="160"/>
      <c r="FS86" s="160"/>
      <c r="FT86" s="160"/>
      <c r="FU86" s="160"/>
      <c r="FV86" s="160"/>
      <c r="FW86" s="160"/>
      <c r="FX86" s="160"/>
      <c r="FY86" s="160"/>
      <c r="FZ86" s="160"/>
      <c r="GA86" s="160"/>
      <c r="GB86" s="160"/>
      <c r="GC86" s="160"/>
      <c r="GD86" s="160"/>
      <c r="GE86" s="160"/>
      <c r="GF86" s="160"/>
      <c r="GG86" s="160"/>
      <c r="GH86" s="160"/>
      <c r="GI86" s="160"/>
      <c r="GJ86" s="160"/>
      <c r="GK86" s="160"/>
      <c r="GL86" s="160"/>
      <c r="GM86" s="160"/>
      <c r="GN86" s="160"/>
      <c r="GO86" s="160"/>
      <c r="GP86" s="160"/>
      <c r="GQ86" s="160"/>
      <c r="GR86" s="160"/>
      <c r="GS86" s="160"/>
      <c r="GT86" s="160"/>
      <c r="GU86" s="160"/>
      <c r="GV86" s="160"/>
      <c r="GW86" s="160"/>
      <c r="GX86" s="160"/>
      <c r="GY86" s="160"/>
      <c r="GZ86" s="160"/>
      <c r="HA86" s="160"/>
      <c r="HB86" s="160"/>
      <c r="HC86" s="160"/>
      <c r="HD86" s="160"/>
      <c r="HE86" s="160"/>
      <c r="HF86" s="160"/>
      <c r="HG86" s="160"/>
      <c r="HH86" s="160"/>
      <c r="HI86" s="160"/>
      <c r="HJ86" s="160"/>
      <c r="HK86" s="160"/>
      <c r="HL86" s="160"/>
      <c r="HM86" s="44"/>
    </row>
    <row r="87" spans="1:222" x14ac:dyDescent="0.25">
      <c r="C87" s="103" t="s">
        <v>1325</v>
      </c>
      <c r="D87" s="44"/>
      <c r="E87" s="44"/>
      <c r="G87" s="77"/>
      <c r="I87" s="160">
        <f t="shared" ref="I87:J87" si="110">I73*(1-I80)</f>
        <v>0</v>
      </c>
      <c r="J87" s="160">
        <f t="shared" si="110"/>
        <v>0</v>
      </c>
      <c r="K87" s="160">
        <f t="shared" ref="K87:AP87" si="111">K73*(1-K80)</f>
        <v>0</v>
      </c>
      <c r="L87" s="160">
        <f t="shared" si="111"/>
        <v>0</v>
      </c>
      <c r="M87" s="160">
        <f t="shared" si="111"/>
        <v>0</v>
      </c>
      <c r="N87" s="160">
        <f t="shared" si="111"/>
        <v>0</v>
      </c>
      <c r="O87" s="160">
        <f t="shared" si="111"/>
        <v>0</v>
      </c>
      <c r="P87" s="160">
        <f t="shared" si="111"/>
        <v>0</v>
      </c>
      <c r="Q87" s="160">
        <f t="shared" si="111"/>
        <v>0</v>
      </c>
      <c r="R87" s="160">
        <f t="shared" si="111"/>
        <v>0</v>
      </c>
      <c r="S87" s="160">
        <f t="shared" si="111"/>
        <v>0</v>
      </c>
      <c r="T87" s="160">
        <f t="shared" si="111"/>
        <v>0</v>
      </c>
      <c r="U87" s="160">
        <f t="shared" si="111"/>
        <v>0</v>
      </c>
      <c r="V87" s="160">
        <f t="shared" si="111"/>
        <v>0</v>
      </c>
      <c r="W87" s="160">
        <f t="shared" si="111"/>
        <v>0</v>
      </c>
      <c r="X87" s="160">
        <f t="shared" si="111"/>
        <v>0</v>
      </c>
      <c r="Y87" s="160">
        <f t="shared" si="111"/>
        <v>7.7218261932775052</v>
      </c>
      <c r="Z87" s="160">
        <f t="shared" si="111"/>
        <v>8.7940955534324701</v>
      </c>
      <c r="AA87" s="160">
        <f t="shared" si="111"/>
        <v>11.021885578308813</v>
      </c>
      <c r="AB87" s="160">
        <f t="shared" si="111"/>
        <v>0</v>
      </c>
      <c r="AC87" s="160">
        <f t="shared" si="111"/>
        <v>0</v>
      </c>
      <c r="AD87" s="160">
        <f t="shared" si="111"/>
        <v>0</v>
      </c>
      <c r="AE87" s="160">
        <f t="shared" si="111"/>
        <v>0</v>
      </c>
      <c r="AF87" s="160">
        <f t="shared" si="111"/>
        <v>0</v>
      </c>
      <c r="AG87" s="160">
        <f t="shared" si="111"/>
        <v>0</v>
      </c>
      <c r="AH87" s="160">
        <f t="shared" si="111"/>
        <v>0</v>
      </c>
      <c r="AI87" s="160">
        <f t="shared" si="111"/>
        <v>0</v>
      </c>
      <c r="AJ87" s="160">
        <f t="shared" si="111"/>
        <v>0</v>
      </c>
      <c r="AK87" s="160">
        <f t="shared" si="111"/>
        <v>0</v>
      </c>
      <c r="AL87" s="160">
        <f t="shared" si="111"/>
        <v>0</v>
      </c>
      <c r="AM87" s="160">
        <f t="shared" si="111"/>
        <v>0</v>
      </c>
      <c r="AN87" s="160">
        <f t="shared" si="111"/>
        <v>0</v>
      </c>
      <c r="AO87" s="160">
        <f t="shared" si="111"/>
        <v>0</v>
      </c>
      <c r="AP87" s="160">
        <f t="shared" si="111"/>
        <v>0</v>
      </c>
      <c r="AQ87" s="160">
        <f t="shared" ref="AQ87:BV87" si="112">AQ73*(1-AQ80)</f>
        <v>0</v>
      </c>
      <c r="AR87" s="160">
        <f t="shared" si="112"/>
        <v>0</v>
      </c>
      <c r="AS87" s="160">
        <f t="shared" si="112"/>
        <v>0</v>
      </c>
      <c r="AT87" s="160">
        <f t="shared" si="112"/>
        <v>0</v>
      </c>
      <c r="AU87" s="160">
        <f t="shared" si="112"/>
        <v>0</v>
      </c>
      <c r="AV87" s="160">
        <f t="shared" si="112"/>
        <v>0</v>
      </c>
      <c r="AW87" s="160">
        <f t="shared" si="112"/>
        <v>0</v>
      </c>
      <c r="AX87" s="160">
        <f t="shared" si="112"/>
        <v>0</v>
      </c>
      <c r="AY87" s="160">
        <f t="shared" si="112"/>
        <v>0</v>
      </c>
      <c r="AZ87" s="160">
        <f t="shared" si="112"/>
        <v>0</v>
      </c>
      <c r="BA87" s="160">
        <f t="shared" si="112"/>
        <v>0</v>
      </c>
      <c r="BB87" s="160">
        <f t="shared" si="112"/>
        <v>0</v>
      </c>
      <c r="BC87" s="160">
        <f t="shared" si="112"/>
        <v>0</v>
      </c>
      <c r="BD87" s="160">
        <f t="shared" si="112"/>
        <v>0</v>
      </c>
      <c r="BE87" s="160">
        <f t="shared" si="112"/>
        <v>0</v>
      </c>
      <c r="BF87" s="160">
        <f t="shared" si="112"/>
        <v>0</v>
      </c>
      <c r="BG87" s="160">
        <f t="shared" si="112"/>
        <v>0</v>
      </c>
      <c r="BH87" s="160">
        <f t="shared" si="112"/>
        <v>0</v>
      </c>
      <c r="BI87" s="160">
        <f t="shared" si="112"/>
        <v>0</v>
      </c>
      <c r="BJ87" s="160">
        <f t="shared" si="112"/>
        <v>0</v>
      </c>
      <c r="BK87" s="160">
        <f t="shared" si="112"/>
        <v>0</v>
      </c>
      <c r="BL87" s="160">
        <f t="shared" si="112"/>
        <v>0</v>
      </c>
      <c r="BM87" s="160">
        <f t="shared" si="112"/>
        <v>0</v>
      </c>
      <c r="BN87" s="160">
        <f t="shared" si="112"/>
        <v>0</v>
      </c>
      <c r="BO87" s="160">
        <f t="shared" si="112"/>
        <v>0</v>
      </c>
      <c r="BP87" s="160">
        <f t="shared" si="112"/>
        <v>0</v>
      </c>
      <c r="BQ87" s="160">
        <f t="shared" si="112"/>
        <v>0</v>
      </c>
      <c r="BR87" s="160">
        <f t="shared" si="112"/>
        <v>0</v>
      </c>
      <c r="BS87" s="160">
        <f t="shared" si="112"/>
        <v>0</v>
      </c>
      <c r="BT87" s="160">
        <f t="shared" si="112"/>
        <v>0</v>
      </c>
      <c r="BU87" s="160">
        <f t="shared" si="112"/>
        <v>0</v>
      </c>
      <c r="BV87" s="160">
        <f t="shared" si="112"/>
        <v>0</v>
      </c>
      <c r="BW87" s="160">
        <f t="shared" ref="BW87:DB87" si="113">BW73*(1-BW80)</f>
        <v>0</v>
      </c>
      <c r="BX87" s="160">
        <f t="shared" si="113"/>
        <v>0</v>
      </c>
      <c r="BY87" s="160">
        <f t="shared" si="113"/>
        <v>0</v>
      </c>
      <c r="BZ87" s="160">
        <f t="shared" si="113"/>
        <v>0</v>
      </c>
      <c r="CA87" s="160">
        <f t="shared" si="113"/>
        <v>0</v>
      </c>
      <c r="CB87" s="160">
        <f t="shared" si="113"/>
        <v>0</v>
      </c>
      <c r="CC87" s="160">
        <f t="shared" si="113"/>
        <v>0</v>
      </c>
      <c r="CD87" s="160">
        <f t="shared" si="113"/>
        <v>0</v>
      </c>
      <c r="CE87" s="160">
        <f t="shared" si="113"/>
        <v>0</v>
      </c>
      <c r="CF87" s="160">
        <f t="shared" si="113"/>
        <v>0</v>
      </c>
      <c r="CG87" s="160">
        <f t="shared" si="113"/>
        <v>0</v>
      </c>
      <c r="CH87" s="160">
        <f t="shared" si="113"/>
        <v>0</v>
      </c>
      <c r="CI87" s="160">
        <f t="shared" si="113"/>
        <v>0</v>
      </c>
      <c r="CJ87" s="160">
        <f t="shared" si="113"/>
        <v>0</v>
      </c>
      <c r="CK87" s="160">
        <f t="shared" si="113"/>
        <v>0</v>
      </c>
      <c r="CL87" s="160">
        <f t="shared" si="113"/>
        <v>0</v>
      </c>
      <c r="CM87" s="160">
        <f t="shared" si="113"/>
        <v>0</v>
      </c>
      <c r="CN87" s="160">
        <f t="shared" si="113"/>
        <v>0</v>
      </c>
      <c r="CO87" s="160">
        <f t="shared" si="113"/>
        <v>0</v>
      </c>
      <c r="CP87" s="160">
        <f t="shared" si="113"/>
        <v>0</v>
      </c>
      <c r="CQ87" s="160">
        <f t="shared" si="113"/>
        <v>0</v>
      </c>
      <c r="CR87" s="160">
        <f t="shared" si="113"/>
        <v>0</v>
      </c>
      <c r="CS87" s="160">
        <f t="shared" si="113"/>
        <v>0</v>
      </c>
      <c r="CT87" s="160">
        <f t="shared" si="113"/>
        <v>0</v>
      </c>
      <c r="CU87" s="160">
        <f t="shared" si="113"/>
        <v>0</v>
      </c>
      <c r="CV87" s="160">
        <f t="shared" si="113"/>
        <v>0</v>
      </c>
      <c r="CW87" s="160">
        <f t="shared" si="113"/>
        <v>0</v>
      </c>
      <c r="CX87" s="160">
        <f t="shared" si="113"/>
        <v>0</v>
      </c>
      <c r="CY87" s="160">
        <f t="shared" si="113"/>
        <v>0</v>
      </c>
      <c r="CZ87" s="160">
        <f t="shared" si="113"/>
        <v>0</v>
      </c>
      <c r="DA87" s="160">
        <f t="shared" si="113"/>
        <v>0</v>
      </c>
      <c r="DB87" s="160">
        <f t="shared" si="113"/>
        <v>0</v>
      </c>
      <c r="DC87" s="160">
        <f t="shared" ref="DC87:DN87" si="114">DC73*(1-DC80)</f>
        <v>0</v>
      </c>
      <c r="DD87" s="160">
        <f t="shared" si="114"/>
        <v>0</v>
      </c>
      <c r="DE87" s="160">
        <f t="shared" si="114"/>
        <v>0</v>
      </c>
      <c r="DF87" s="160">
        <f t="shared" si="114"/>
        <v>0</v>
      </c>
      <c r="DG87" s="160">
        <f t="shared" si="114"/>
        <v>0</v>
      </c>
      <c r="DH87" s="160">
        <f t="shared" si="114"/>
        <v>0</v>
      </c>
      <c r="DI87" s="160">
        <f t="shared" si="114"/>
        <v>0</v>
      </c>
      <c r="DJ87" s="160">
        <f t="shared" si="114"/>
        <v>0</v>
      </c>
      <c r="DK87" s="160">
        <f t="shared" si="114"/>
        <v>0</v>
      </c>
      <c r="DL87" s="160">
        <f t="shared" si="114"/>
        <v>0</v>
      </c>
      <c r="DM87" s="160">
        <f t="shared" si="114"/>
        <v>0</v>
      </c>
      <c r="DN87" s="160">
        <f t="shared" si="114"/>
        <v>0</v>
      </c>
      <c r="DO87" s="160"/>
      <c r="DP87" s="160"/>
      <c r="DQ87" s="160"/>
      <c r="DR87" s="160"/>
      <c r="DS87" s="160"/>
      <c r="DT87" s="160"/>
      <c r="DU87" s="160"/>
      <c r="DV87" s="160"/>
      <c r="DW87" s="160"/>
      <c r="DX87" s="160"/>
      <c r="DY87" s="160"/>
      <c r="DZ87" s="160"/>
      <c r="EA87" s="160"/>
      <c r="EB87" s="160"/>
      <c r="EC87" s="160"/>
      <c r="ED87" s="160"/>
      <c r="EE87" s="160"/>
      <c r="EF87" s="160"/>
      <c r="EG87" s="160"/>
      <c r="EH87" s="160"/>
      <c r="EI87" s="160"/>
      <c r="EJ87" s="160"/>
      <c r="EK87" s="160"/>
      <c r="EL87" s="160"/>
      <c r="EM87" s="160"/>
      <c r="EN87" s="160"/>
      <c r="EO87" s="160"/>
      <c r="EP87" s="160"/>
      <c r="EQ87" s="160"/>
      <c r="ER87" s="160"/>
      <c r="ES87" s="160"/>
      <c r="ET87" s="160"/>
      <c r="EU87" s="160"/>
      <c r="EV87" s="160"/>
      <c r="EW87" s="160"/>
      <c r="EX87" s="160"/>
      <c r="EY87" s="160"/>
      <c r="EZ87" s="160"/>
      <c r="FA87" s="160"/>
      <c r="FB87" s="160"/>
      <c r="FC87" s="160"/>
      <c r="FD87" s="160"/>
      <c r="FE87" s="160"/>
      <c r="FF87" s="160"/>
      <c r="FG87" s="160"/>
      <c r="FH87" s="160"/>
      <c r="FI87" s="160"/>
      <c r="FJ87" s="160"/>
      <c r="FK87" s="160"/>
      <c r="FL87" s="160"/>
      <c r="FM87" s="160"/>
      <c r="FN87" s="160"/>
      <c r="FO87" s="160"/>
      <c r="FP87" s="160"/>
      <c r="FQ87" s="160"/>
      <c r="FR87" s="160"/>
      <c r="FS87" s="160"/>
      <c r="FT87" s="160"/>
      <c r="FU87" s="160"/>
      <c r="FV87" s="160"/>
      <c r="FW87" s="160"/>
      <c r="FX87" s="160"/>
      <c r="FY87" s="160"/>
      <c r="FZ87" s="160"/>
      <c r="GA87" s="160"/>
      <c r="GB87" s="160"/>
      <c r="GC87" s="160"/>
      <c r="GD87" s="160"/>
      <c r="GE87" s="160"/>
      <c r="GF87" s="160"/>
      <c r="GG87" s="160"/>
      <c r="GH87" s="160"/>
      <c r="GI87" s="160"/>
      <c r="GJ87" s="160"/>
      <c r="GK87" s="160"/>
      <c r="GL87" s="160"/>
      <c r="GM87" s="160"/>
      <c r="GN87" s="160"/>
      <c r="GO87" s="160"/>
      <c r="GP87" s="160"/>
      <c r="GQ87" s="160"/>
      <c r="GR87" s="160"/>
      <c r="GS87" s="160"/>
      <c r="GT87" s="160"/>
      <c r="GU87" s="160"/>
      <c r="GV87" s="160"/>
      <c r="GW87" s="160"/>
      <c r="GX87" s="160"/>
      <c r="GY87" s="160"/>
      <c r="GZ87" s="160"/>
      <c r="HA87" s="160"/>
      <c r="HB87" s="160"/>
      <c r="HC87" s="160"/>
      <c r="HD87" s="160"/>
      <c r="HE87" s="160"/>
      <c r="HF87" s="160"/>
      <c r="HG87" s="160"/>
      <c r="HH87" s="160"/>
      <c r="HI87" s="160"/>
      <c r="HJ87" s="160"/>
      <c r="HK87" s="160"/>
      <c r="HL87" s="160"/>
    </row>
    <row r="88" spans="1:222" x14ac:dyDescent="0.25">
      <c r="C88" s="103"/>
      <c r="D88" s="44"/>
      <c r="E88" s="44"/>
      <c r="G88" s="77"/>
      <c r="I88" s="160"/>
      <c r="J88" s="160"/>
      <c r="K88" s="160"/>
      <c r="L88" s="160"/>
      <c r="M88" s="160"/>
      <c r="N88" s="160"/>
      <c r="O88" s="160"/>
      <c r="P88" s="160"/>
      <c r="Q88" s="160"/>
      <c r="R88" s="160"/>
      <c r="S88" s="160"/>
      <c r="T88" s="160"/>
      <c r="U88" s="160"/>
      <c r="V88" s="160"/>
      <c r="W88" s="160"/>
      <c r="X88" s="160"/>
      <c r="Y88" s="160"/>
      <c r="Z88" s="160"/>
      <c r="AA88" s="160"/>
      <c r="AB88" s="160"/>
      <c r="AC88" s="160"/>
      <c r="AD88" s="160"/>
      <c r="AE88" s="160"/>
      <c r="AF88" s="160"/>
      <c r="AG88" s="160"/>
      <c r="AH88" s="160"/>
      <c r="AI88" s="160"/>
      <c r="AJ88" s="160"/>
      <c r="AK88" s="160"/>
      <c r="AL88" s="160"/>
      <c r="AM88" s="160"/>
      <c r="AN88" s="160"/>
      <c r="AO88" s="160"/>
      <c r="AP88" s="160"/>
      <c r="AQ88" s="160"/>
      <c r="AR88" s="160"/>
      <c r="AS88" s="160"/>
      <c r="AT88" s="160"/>
      <c r="AU88" s="160"/>
      <c r="AV88" s="160"/>
      <c r="AW88" s="160"/>
      <c r="AX88" s="160"/>
      <c r="AY88" s="160"/>
      <c r="AZ88" s="160"/>
      <c r="BA88" s="160"/>
      <c r="BB88" s="160"/>
      <c r="BC88" s="160"/>
      <c r="BD88" s="160"/>
      <c r="BE88" s="160"/>
      <c r="BF88" s="160"/>
      <c r="BG88" s="160"/>
      <c r="BH88" s="160"/>
      <c r="BI88" s="160"/>
      <c r="BJ88" s="160"/>
      <c r="BK88" s="160"/>
      <c r="BL88" s="160"/>
      <c r="BM88" s="160"/>
      <c r="BN88" s="160"/>
      <c r="BO88" s="160"/>
      <c r="BP88" s="160"/>
      <c r="BQ88" s="160"/>
      <c r="BR88" s="160"/>
      <c r="BS88" s="160"/>
      <c r="BT88" s="160"/>
      <c r="BU88" s="160"/>
      <c r="BV88" s="160"/>
      <c r="BW88" s="160"/>
      <c r="BX88" s="160"/>
      <c r="BY88" s="160"/>
      <c r="BZ88" s="160"/>
      <c r="CA88" s="160"/>
      <c r="CB88" s="160"/>
      <c r="CC88" s="160"/>
      <c r="CD88" s="160"/>
      <c r="CE88" s="160"/>
      <c r="CF88" s="160"/>
      <c r="CG88" s="160"/>
      <c r="CH88" s="160"/>
      <c r="CI88" s="160"/>
      <c r="CJ88" s="160"/>
      <c r="CK88" s="160"/>
      <c r="CL88" s="160"/>
      <c r="CM88" s="160"/>
      <c r="CN88" s="160"/>
      <c r="CO88" s="160"/>
      <c r="CP88" s="160"/>
      <c r="CQ88" s="160"/>
      <c r="CR88" s="160"/>
      <c r="CS88" s="160"/>
      <c r="CT88" s="160"/>
      <c r="CU88" s="160"/>
      <c r="CV88" s="160"/>
      <c r="CW88" s="160"/>
      <c r="CX88" s="160"/>
      <c r="CY88" s="160"/>
      <c r="CZ88" s="160"/>
      <c r="DA88" s="160"/>
      <c r="DB88" s="160"/>
      <c r="DC88" s="160"/>
      <c r="DD88" s="160"/>
      <c r="DE88" s="160"/>
      <c r="DF88" s="160"/>
      <c r="DG88" s="160"/>
      <c r="DH88" s="160"/>
      <c r="DI88" s="160"/>
      <c r="DJ88" s="160"/>
      <c r="DK88" s="160"/>
      <c r="DL88" s="160"/>
      <c r="DM88" s="160"/>
      <c r="DN88" s="160"/>
      <c r="DO88" s="160"/>
      <c r="DP88" s="160"/>
      <c r="DQ88" s="160"/>
      <c r="DR88" s="160"/>
      <c r="DS88" s="160"/>
      <c r="DT88" s="160"/>
      <c r="DU88" s="160"/>
      <c r="DV88" s="160"/>
      <c r="DW88" s="160"/>
      <c r="DX88" s="160"/>
      <c r="DY88" s="160"/>
      <c r="DZ88" s="160"/>
      <c r="EA88" s="160"/>
      <c r="EB88" s="160"/>
      <c r="EC88" s="160"/>
      <c r="ED88" s="160"/>
      <c r="EE88" s="160"/>
      <c r="EF88" s="160"/>
      <c r="EG88" s="160"/>
      <c r="EH88" s="160"/>
      <c r="EI88" s="160"/>
      <c r="EJ88" s="160"/>
      <c r="EK88" s="160"/>
      <c r="EL88" s="160"/>
      <c r="EM88" s="160"/>
      <c r="EN88" s="160"/>
      <c r="EO88" s="160"/>
      <c r="EP88" s="160"/>
      <c r="EQ88" s="160"/>
      <c r="ER88" s="160"/>
      <c r="ES88" s="160"/>
      <c r="ET88" s="160"/>
      <c r="EU88" s="160"/>
      <c r="EV88" s="160"/>
      <c r="EW88" s="160"/>
      <c r="EX88" s="160"/>
      <c r="EY88" s="160"/>
      <c r="EZ88" s="160"/>
      <c r="FA88" s="160"/>
      <c r="FB88" s="160"/>
      <c r="FC88" s="160"/>
      <c r="FD88" s="160"/>
      <c r="FE88" s="160"/>
      <c r="FF88" s="160"/>
      <c r="FG88" s="160"/>
      <c r="FH88" s="160"/>
      <c r="FI88" s="160"/>
      <c r="FJ88" s="160"/>
      <c r="FK88" s="160"/>
      <c r="FL88" s="160"/>
      <c r="FM88" s="160"/>
      <c r="FN88" s="160"/>
      <c r="FO88" s="160"/>
      <c r="FP88" s="160"/>
      <c r="FQ88" s="160"/>
      <c r="FR88" s="160"/>
      <c r="FS88" s="160"/>
      <c r="FT88" s="160"/>
      <c r="FU88" s="160"/>
      <c r="FV88" s="160"/>
      <c r="FW88" s="160"/>
      <c r="FX88" s="160"/>
      <c r="FY88" s="160"/>
      <c r="FZ88" s="160"/>
      <c r="GA88" s="160"/>
      <c r="GB88" s="160"/>
      <c r="GC88" s="160"/>
      <c r="GD88" s="160"/>
      <c r="GE88" s="160"/>
      <c r="GF88" s="160"/>
      <c r="GG88" s="160"/>
      <c r="GH88" s="160"/>
      <c r="GI88" s="160"/>
      <c r="GJ88" s="160"/>
      <c r="GK88" s="160"/>
      <c r="GL88" s="160"/>
      <c r="GM88" s="160"/>
      <c r="GN88" s="160"/>
      <c r="GO88" s="160"/>
      <c r="GP88" s="160"/>
      <c r="GQ88" s="160"/>
      <c r="GR88" s="160"/>
      <c r="GS88" s="160"/>
      <c r="GT88" s="160"/>
      <c r="GU88" s="160"/>
      <c r="GV88" s="160"/>
      <c r="GW88" s="160"/>
      <c r="GX88" s="160"/>
      <c r="GY88" s="160"/>
      <c r="GZ88" s="160"/>
      <c r="HA88" s="160"/>
      <c r="HB88" s="160"/>
      <c r="HC88" s="160"/>
      <c r="HD88" s="160"/>
      <c r="HE88" s="160"/>
      <c r="HF88" s="160"/>
      <c r="HG88" s="160"/>
      <c r="HH88" s="160"/>
      <c r="HI88" s="160"/>
      <c r="HJ88" s="160"/>
      <c r="HK88" s="160"/>
      <c r="HL88" s="160"/>
    </row>
    <row r="89" spans="1:222" s="262" customFormat="1" x14ac:dyDescent="0.25">
      <c r="C89" s="103" t="s">
        <v>924</v>
      </c>
      <c r="G89" s="263"/>
      <c r="I89" s="244">
        <f>IFERROR(I84/SUM(I83:I84),0)</f>
        <v>0</v>
      </c>
      <c r="J89" s="244">
        <f t="shared" ref="J89:P89" si="115">IFERROR(J84/SUM(J83:J84),0)</f>
        <v>0</v>
      </c>
      <c r="K89" s="244">
        <f>IFERROR(K84/SUM(K83:K84),0)</f>
        <v>4.1846032821274831E-2</v>
      </c>
      <c r="L89" s="244">
        <f t="shared" si="115"/>
        <v>2.1342516745238342E-2</v>
      </c>
      <c r="M89" s="244">
        <f t="shared" si="115"/>
        <v>3.9923280588738098E-2</v>
      </c>
      <c r="N89" s="244">
        <f>IFERROR(N84/SUM(N83:N84),0)</f>
        <v>4.9351854238074387E-2</v>
      </c>
      <c r="O89" s="244">
        <f t="shared" si="115"/>
        <v>3.4644957033016739E-2</v>
      </c>
      <c r="P89" s="244">
        <f t="shared" si="115"/>
        <v>0</v>
      </c>
      <c r="Q89" s="244">
        <f t="shared" ref="Q89:BE89" si="116">IFERROR(Q84/SUM(Q83:Q84),0)</f>
        <v>0</v>
      </c>
      <c r="R89" s="244">
        <f t="shared" si="116"/>
        <v>0</v>
      </c>
      <c r="S89" s="244">
        <f t="shared" si="116"/>
        <v>0</v>
      </c>
      <c r="T89" s="244">
        <f t="shared" si="116"/>
        <v>0</v>
      </c>
      <c r="U89" s="244">
        <f t="shared" si="116"/>
        <v>0</v>
      </c>
      <c r="V89" s="244">
        <f t="shared" si="116"/>
        <v>0</v>
      </c>
      <c r="W89" s="244">
        <f t="shared" si="116"/>
        <v>0</v>
      </c>
      <c r="X89" s="244">
        <f t="shared" si="116"/>
        <v>0</v>
      </c>
      <c r="Y89" s="244">
        <f t="shared" si="116"/>
        <v>0.11243377088764316</v>
      </c>
      <c r="Z89" s="244">
        <f t="shared" si="116"/>
        <v>0.11170751985530607</v>
      </c>
      <c r="AA89" s="244">
        <f t="shared" si="116"/>
        <v>9.2848923595982624E-2</v>
      </c>
      <c r="AB89" s="244">
        <f t="shared" si="116"/>
        <v>0.10896159317211951</v>
      </c>
      <c r="AC89" s="244">
        <f t="shared" si="116"/>
        <v>0</v>
      </c>
      <c r="AD89" s="244">
        <f t="shared" si="116"/>
        <v>1.5435706052570067E-2</v>
      </c>
      <c r="AE89" s="244">
        <f t="shared" si="116"/>
        <v>0</v>
      </c>
      <c r="AF89" s="244">
        <f t="shared" si="116"/>
        <v>0</v>
      </c>
      <c r="AG89" s="244">
        <f t="shared" si="116"/>
        <v>0</v>
      </c>
      <c r="AH89" s="244">
        <f t="shared" si="116"/>
        <v>2.0545667170920639E-2</v>
      </c>
      <c r="AI89" s="244">
        <f t="shared" si="116"/>
        <v>0</v>
      </c>
      <c r="AJ89" s="244">
        <f t="shared" si="116"/>
        <v>0</v>
      </c>
      <c r="AK89" s="244">
        <f t="shared" si="116"/>
        <v>0</v>
      </c>
      <c r="AL89" s="244">
        <f t="shared" si="116"/>
        <v>0</v>
      </c>
      <c r="AM89" s="244">
        <f t="shared" si="116"/>
        <v>0</v>
      </c>
      <c r="AN89" s="244">
        <f t="shared" si="116"/>
        <v>0</v>
      </c>
      <c r="AO89" s="244">
        <f t="shared" si="116"/>
        <v>0.13475476743367815</v>
      </c>
      <c r="AP89" s="244">
        <f t="shared" si="116"/>
        <v>0.13699120108734533</v>
      </c>
      <c r="AQ89" s="244">
        <f t="shared" si="116"/>
        <v>0.12365209530574033</v>
      </c>
      <c r="AR89" s="244">
        <f t="shared" si="116"/>
        <v>8.7574884529199259E-2</v>
      </c>
      <c r="AS89" s="244">
        <f t="shared" si="116"/>
        <v>0.11345458854197525</v>
      </c>
      <c r="AT89" s="244">
        <f t="shared" si="116"/>
        <v>7.4866101098557417E-2</v>
      </c>
      <c r="AU89" s="244">
        <f t="shared" si="116"/>
        <v>6.2649262276311055E-2</v>
      </c>
      <c r="AV89" s="244">
        <f t="shared" si="116"/>
        <v>7.3532235149560352E-2</v>
      </c>
      <c r="AW89" s="244">
        <f t="shared" si="116"/>
        <v>4.8058825005646601E-2</v>
      </c>
      <c r="AX89" s="244">
        <f t="shared" si="116"/>
        <v>2.8835584466428754E-2</v>
      </c>
      <c r="AY89" s="244">
        <f t="shared" si="116"/>
        <v>2.2445176338213059E-2</v>
      </c>
      <c r="AZ89" s="244">
        <f t="shared" si="116"/>
        <v>6.6430776702397068E-2</v>
      </c>
      <c r="BA89" s="244">
        <f t="shared" si="116"/>
        <v>4.7919325375972779E-2</v>
      </c>
      <c r="BB89" s="244">
        <f t="shared" si="116"/>
        <v>6.5120549529023714E-2</v>
      </c>
      <c r="BC89" s="244">
        <f t="shared" si="116"/>
        <v>4.2166685015963892E-2</v>
      </c>
      <c r="BD89" s="244">
        <f t="shared" si="116"/>
        <v>4.4798465389384055E-2</v>
      </c>
      <c r="BE89" s="244">
        <f t="shared" si="116"/>
        <v>3.4143384384973351E-2</v>
      </c>
      <c r="BF89" s="244">
        <f t="shared" ref="BF89:BK89" si="117">IFERROR(BF84/SUM(BF83:BF84),0)</f>
        <v>3.4143384384973351E-2</v>
      </c>
      <c r="BG89" s="244">
        <f t="shared" si="117"/>
        <v>1.9274319359871173E-2</v>
      </c>
      <c r="BH89" s="244">
        <f t="shared" si="117"/>
        <v>2.3566620312826889E-2</v>
      </c>
      <c r="BI89" s="244">
        <f t="shared" si="117"/>
        <v>0</v>
      </c>
      <c r="BJ89" s="244">
        <f>IFERROR(BJ84/SUM(BJ83:BJ84),0)</f>
        <v>0</v>
      </c>
      <c r="BK89" s="244">
        <f t="shared" si="117"/>
        <v>0</v>
      </c>
      <c r="BL89" s="244">
        <f>IFERROR(BL84/SUM(BL83:BL84),0)</f>
        <v>0</v>
      </c>
      <c r="BM89" s="244">
        <f>IFERROR(BM84/SUM(BM83:BM84),0)</f>
        <v>0</v>
      </c>
      <c r="BN89" s="244">
        <f>IFERROR(BN84/SUM(BN83:BN84),0)</f>
        <v>0</v>
      </c>
      <c r="BO89" s="244">
        <f>IFERROR(BO84/SUM(BO83:BO84),0)</f>
        <v>0</v>
      </c>
      <c r="BP89" s="244">
        <f>IFERROR(BP84/SUM(BP83:BP84),0)</f>
        <v>0</v>
      </c>
      <c r="BQ89" s="244">
        <f t="shared" ref="BQ89:BZ89" si="118">IFERROR(BQ84/SUM(BQ83:BQ84),0)</f>
        <v>0</v>
      </c>
      <c r="BR89" s="244">
        <f t="shared" si="118"/>
        <v>0</v>
      </c>
      <c r="BS89" s="244">
        <f t="shared" si="118"/>
        <v>0</v>
      </c>
      <c r="BT89" s="244">
        <f t="shared" si="118"/>
        <v>0</v>
      </c>
      <c r="BU89" s="244">
        <f t="shared" si="118"/>
        <v>0</v>
      </c>
      <c r="BV89" s="244">
        <f t="shared" si="118"/>
        <v>0</v>
      </c>
      <c r="BW89" s="244">
        <f t="shared" si="118"/>
        <v>0</v>
      </c>
      <c r="BX89" s="244">
        <f t="shared" si="118"/>
        <v>0</v>
      </c>
      <c r="BY89" s="244">
        <f t="shared" si="118"/>
        <v>0.25900335690773396</v>
      </c>
      <c r="BZ89" s="244">
        <f t="shared" si="118"/>
        <v>-4.0442558676620659E-2</v>
      </c>
      <c r="CA89" s="244">
        <f t="shared" ref="CA89:CF89" si="119">IFERROR(CA84/SUM(CA83:CA84),0)</f>
        <v>0.19574598629716738</v>
      </c>
      <c r="CB89" s="244">
        <f t="shared" si="119"/>
        <v>0.31801667305227838</v>
      </c>
      <c r="CC89" s="244">
        <f t="shared" si="119"/>
        <v>0.14224704642727265</v>
      </c>
      <c r="CD89" s="244">
        <f t="shared" si="119"/>
        <v>8.6547161967181055E-2</v>
      </c>
      <c r="CE89" s="244">
        <f t="shared" si="119"/>
        <v>0.23447458965536691</v>
      </c>
      <c r="CF89" s="244">
        <f t="shared" si="119"/>
        <v>0.17413947332949381</v>
      </c>
      <c r="CG89" s="244">
        <f t="shared" ref="CG89:CJ89" si="120">IFERROR(CG84/SUM(CG83:CG84),0)</f>
        <v>-5.0021278308777013E-2</v>
      </c>
      <c r="CH89" s="244">
        <f t="shared" si="120"/>
        <v>0.29843302046106113</v>
      </c>
      <c r="CI89" s="244">
        <f t="shared" si="120"/>
        <v>0.18109782452096237</v>
      </c>
      <c r="CJ89" s="244">
        <f t="shared" si="120"/>
        <v>0.26403383752471149</v>
      </c>
      <c r="CK89" s="244">
        <f t="shared" ref="CK89:DN89" si="121">IFERROR(CK84/SUM(CK83:CK84),0)</f>
        <v>-0.52696390658174097</v>
      </c>
      <c r="CL89" s="244">
        <f t="shared" si="121"/>
        <v>-3.5763476608881482E-2</v>
      </c>
      <c r="CM89" s="244">
        <f t="shared" si="121"/>
        <v>0.28831395711582058</v>
      </c>
      <c r="CN89" s="244">
        <f t="shared" si="121"/>
        <v>-0.62777644134391786</v>
      </c>
      <c r="CO89" s="244">
        <f t="shared" si="121"/>
        <v>0.11022495367221034</v>
      </c>
      <c r="CP89" s="244">
        <f t="shared" si="121"/>
        <v>0.31211270257126272</v>
      </c>
      <c r="CQ89" s="244">
        <f t="shared" si="121"/>
        <v>7.437975376878167E-2</v>
      </c>
      <c r="CR89" s="244">
        <f t="shared" si="121"/>
        <v>0.20244959302203092</v>
      </c>
      <c r="CS89" s="244">
        <f t="shared" si="121"/>
        <v>6.3644830797888866E-2</v>
      </c>
      <c r="CT89" s="244">
        <f t="shared" si="121"/>
        <v>0.22538318851898856</v>
      </c>
      <c r="CU89" s="244">
        <f t="shared" si="121"/>
        <v>0.26920281075842017</v>
      </c>
      <c r="CV89" s="244">
        <f t="shared" si="121"/>
        <v>-7.906976744186045E-2</v>
      </c>
      <c r="CW89" s="244">
        <f t="shared" si="121"/>
        <v>-1.9597084031129932</v>
      </c>
      <c r="CX89" s="244">
        <f t="shared" si="121"/>
        <v>0.15556849703452821</v>
      </c>
      <c r="CY89" s="244">
        <f t="shared" si="121"/>
        <v>0.13372676631184161</v>
      </c>
      <c r="CZ89" s="244">
        <f t="shared" si="121"/>
        <v>-0.24378781405476924</v>
      </c>
      <c r="DA89" s="244">
        <f t="shared" si="121"/>
        <v>0.31617801392495398</v>
      </c>
      <c r="DB89" s="244">
        <f t="shared" si="121"/>
        <v>0</v>
      </c>
      <c r="DC89" s="244">
        <f t="shared" si="121"/>
        <v>0</v>
      </c>
      <c r="DD89" s="244">
        <f t="shared" si="121"/>
        <v>0</v>
      </c>
      <c r="DE89" s="244">
        <f t="shared" si="121"/>
        <v>0</v>
      </c>
      <c r="DF89" s="244">
        <f t="shared" si="121"/>
        <v>0</v>
      </c>
      <c r="DG89" s="244">
        <f t="shared" si="121"/>
        <v>0</v>
      </c>
      <c r="DH89" s="244">
        <f t="shared" si="121"/>
        <v>0</v>
      </c>
      <c r="DI89" s="244">
        <f t="shared" si="121"/>
        <v>0</v>
      </c>
      <c r="DJ89" s="244">
        <f t="shared" si="121"/>
        <v>0</v>
      </c>
      <c r="DK89" s="244">
        <f t="shared" si="121"/>
        <v>0</v>
      </c>
      <c r="DL89" s="244">
        <f t="shared" si="121"/>
        <v>0</v>
      </c>
      <c r="DM89" s="244">
        <f t="shared" si="121"/>
        <v>0</v>
      </c>
      <c r="DN89" s="244">
        <f t="shared" si="121"/>
        <v>0</v>
      </c>
      <c r="DO89" s="578"/>
      <c r="DP89" s="578"/>
      <c r="DQ89" s="578"/>
      <c r="DR89" s="578"/>
      <c r="DS89" s="578"/>
      <c r="DT89" s="578"/>
      <c r="DU89" s="578"/>
      <c r="DV89" s="578"/>
      <c r="DW89" s="578"/>
      <c r="DX89" s="578"/>
      <c r="DY89" s="578"/>
      <c r="DZ89" s="578"/>
      <c r="EA89" s="578"/>
      <c r="EB89" s="578"/>
      <c r="EC89" s="578"/>
      <c r="ED89" s="578"/>
      <c r="EE89" s="578"/>
      <c r="EF89" s="578"/>
      <c r="EG89" s="578"/>
      <c r="EH89" s="578"/>
      <c r="EI89" s="578"/>
      <c r="EJ89" s="578"/>
      <c r="EK89" s="578"/>
      <c r="EL89" s="578"/>
      <c r="EM89" s="578"/>
      <c r="EN89" s="578"/>
      <c r="EO89" s="578"/>
      <c r="EP89" s="578"/>
      <c r="EQ89" s="578"/>
      <c r="ER89" s="578"/>
      <c r="ES89" s="578"/>
      <c r="ET89" s="578"/>
      <c r="EU89" s="578"/>
      <c r="EV89" s="578"/>
      <c r="EW89" s="578"/>
      <c r="EX89" s="578"/>
      <c r="EY89" s="578"/>
      <c r="EZ89" s="578"/>
      <c r="FA89" s="578"/>
      <c r="FB89" s="578"/>
      <c r="FC89" s="578"/>
      <c r="FD89" s="578"/>
      <c r="FE89" s="578"/>
      <c r="FF89" s="578"/>
      <c r="FG89" s="578"/>
      <c r="FH89" s="578"/>
      <c r="FI89" s="578"/>
      <c r="FJ89" s="578"/>
      <c r="FK89" s="578"/>
      <c r="FL89" s="578"/>
      <c r="FM89" s="578"/>
      <c r="FN89" s="578"/>
      <c r="FO89" s="578"/>
      <c r="FP89" s="578"/>
      <c r="FQ89" s="578"/>
      <c r="FR89" s="578"/>
      <c r="FS89" s="578"/>
      <c r="FT89" s="578"/>
      <c r="FU89" s="578"/>
      <c r="FV89" s="578"/>
      <c r="FW89" s="578"/>
      <c r="FX89" s="578"/>
      <c r="FY89" s="578"/>
      <c r="FZ89" s="578"/>
      <c r="GA89" s="578"/>
      <c r="GB89" s="578"/>
      <c r="GC89" s="578"/>
      <c r="GD89" s="578"/>
      <c r="GE89" s="578"/>
      <c r="GF89" s="578"/>
      <c r="GG89" s="578"/>
      <c r="GH89" s="578"/>
      <c r="GI89" s="578"/>
      <c r="GJ89" s="578"/>
      <c r="GK89" s="578"/>
      <c r="GL89" s="578"/>
      <c r="GM89" s="578"/>
      <c r="GN89" s="578"/>
      <c r="GO89" s="578"/>
      <c r="GP89" s="578"/>
      <c r="GQ89" s="578"/>
      <c r="GR89" s="578"/>
      <c r="GS89" s="578"/>
      <c r="GT89" s="578"/>
      <c r="GU89" s="578"/>
      <c r="GV89" s="578"/>
      <c r="GW89" s="578"/>
      <c r="GX89" s="578"/>
      <c r="GY89" s="578"/>
      <c r="GZ89" s="578"/>
      <c r="HA89" s="578"/>
      <c r="HB89" s="578"/>
      <c r="HC89" s="578"/>
      <c r="HD89" s="578"/>
      <c r="HE89" s="578"/>
      <c r="HF89" s="578"/>
      <c r="HG89" s="578"/>
      <c r="HH89" s="578"/>
      <c r="HI89" s="578"/>
      <c r="HJ89" s="578"/>
      <c r="HK89" s="578"/>
      <c r="HL89" s="578"/>
    </row>
    <row r="90" spans="1:222" x14ac:dyDescent="0.25">
      <c r="K90" s="44"/>
      <c r="L90" s="44"/>
      <c r="M90" s="44"/>
      <c r="N90" s="44"/>
      <c r="O90" s="44"/>
      <c r="P90" s="44"/>
      <c r="Q90" s="44"/>
      <c r="R90" s="44"/>
      <c r="S90" s="44"/>
      <c r="T90" s="44"/>
      <c r="U90" s="44"/>
      <c r="V90" s="44"/>
      <c r="W90" s="44"/>
    </row>
    <row r="91" spans="1:222" x14ac:dyDescent="0.25">
      <c r="A91" s="100">
        <v>4</v>
      </c>
      <c r="B91" s="100" t="s">
        <v>581</v>
      </c>
      <c r="C91" s="100"/>
      <c r="D91" s="40"/>
      <c r="E91" s="40"/>
      <c r="F91" s="40"/>
      <c r="G91" s="40"/>
      <c r="H91" s="40"/>
      <c r="K91" s="44"/>
      <c r="L91" s="44"/>
      <c r="M91" s="44"/>
      <c r="N91" s="44"/>
      <c r="O91" s="44"/>
      <c r="P91" s="44"/>
      <c r="Q91" s="44"/>
      <c r="R91" s="44"/>
      <c r="S91" s="44"/>
      <c r="T91" s="44"/>
      <c r="U91" s="44"/>
      <c r="V91" s="44"/>
      <c r="W91" s="44"/>
    </row>
    <row r="92" spans="1:222" x14ac:dyDescent="0.25">
      <c r="A92" s="44"/>
      <c r="C92" s="44"/>
      <c r="D92" s="44"/>
      <c r="E92" s="44"/>
      <c r="G92" s="44"/>
      <c r="H92" s="44"/>
      <c r="K92" s="44"/>
      <c r="L92" s="44"/>
      <c r="M92" s="44"/>
      <c r="N92" s="44"/>
      <c r="O92" s="44"/>
      <c r="P92" s="44"/>
      <c r="Q92" s="44"/>
      <c r="R92" s="44"/>
      <c r="S92" s="44"/>
      <c r="T92" s="44"/>
      <c r="U92" s="44"/>
      <c r="V92" s="44"/>
      <c r="W92" s="44"/>
    </row>
    <row r="93" spans="1:222" x14ac:dyDescent="0.25">
      <c r="A93" s="44"/>
      <c r="B93" s="100">
        <v>4.0999999999999996</v>
      </c>
      <c r="C93" s="100" t="s">
        <v>732</v>
      </c>
      <c r="D93" s="100"/>
      <c r="E93" s="100"/>
      <c r="F93" s="100"/>
      <c r="G93" s="100"/>
      <c r="H93" s="100"/>
      <c r="I93" s="169"/>
      <c r="J93" s="169"/>
      <c r="K93" s="169"/>
      <c r="L93" s="169"/>
      <c r="M93" s="169"/>
      <c r="N93" s="169"/>
      <c r="O93" s="169"/>
      <c r="P93" s="169"/>
      <c r="Q93" s="169"/>
      <c r="R93" s="169"/>
      <c r="S93" s="169"/>
      <c r="T93" s="169"/>
      <c r="U93" s="169"/>
      <c r="V93" s="169"/>
      <c r="W93" s="169"/>
      <c r="X93" s="169"/>
      <c r="Y93" s="169"/>
      <c r="Z93" s="169"/>
      <c r="AA93" s="169"/>
      <c r="AB93" s="169"/>
      <c r="AC93" s="169"/>
      <c r="AD93" s="169"/>
      <c r="AE93" s="169"/>
      <c r="AF93" s="169"/>
      <c r="AG93" s="169"/>
      <c r="AH93" s="169"/>
      <c r="AI93" s="169"/>
      <c r="AJ93" s="169"/>
      <c r="AK93" s="169"/>
      <c r="AL93" s="169"/>
      <c r="AM93" s="169"/>
      <c r="AN93" s="169"/>
      <c r="AO93" s="169"/>
      <c r="AP93" s="169"/>
      <c r="AQ93" s="169"/>
      <c r="AR93" s="169"/>
      <c r="AS93" s="169"/>
      <c r="AT93" s="169"/>
      <c r="AU93" s="169"/>
      <c r="AV93" s="169"/>
      <c r="AW93" s="169"/>
      <c r="AX93" s="169"/>
      <c r="AY93" s="169"/>
      <c r="AZ93" s="169"/>
      <c r="BA93" s="169"/>
      <c r="BB93" s="169"/>
      <c r="BC93" s="169"/>
      <c r="BD93" s="169"/>
      <c r="BE93" s="169"/>
      <c r="BF93" s="169"/>
      <c r="BG93" s="169"/>
      <c r="BH93" s="169"/>
      <c r="BI93" s="169"/>
      <c r="BJ93" s="169"/>
      <c r="BK93" s="169"/>
      <c r="BL93" s="169"/>
      <c r="BM93" s="169"/>
      <c r="BN93" s="169"/>
      <c r="BO93" s="169"/>
      <c r="BP93" s="169"/>
      <c r="BQ93" s="169"/>
      <c r="BR93" s="169"/>
      <c r="BS93" s="169"/>
      <c r="BT93" s="169"/>
      <c r="BU93" s="169"/>
      <c r="BV93" s="169"/>
      <c r="BW93" s="169"/>
      <c r="BX93" s="169"/>
      <c r="BY93" s="169"/>
      <c r="BZ93" s="169"/>
      <c r="CA93" s="169"/>
      <c r="CB93" s="169"/>
      <c r="CC93" s="169"/>
      <c r="CD93" s="169"/>
      <c r="CE93" s="169"/>
      <c r="CF93" s="169"/>
      <c r="CG93" s="169"/>
      <c r="CH93" s="169"/>
      <c r="CI93" s="169"/>
      <c r="CJ93" s="169"/>
      <c r="CK93" s="169"/>
      <c r="CL93" s="169"/>
      <c r="CM93" s="169"/>
      <c r="CN93" s="169"/>
      <c r="CO93" s="169"/>
      <c r="CP93" s="169"/>
      <c r="CQ93" s="169"/>
      <c r="CR93" s="169"/>
      <c r="CS93" s="169"/>
      <c r="CT93" s="169"/>
      <c r="CU93" s="169"/>
      <c r="CV93" s="169"/>
      <c r="CW93" s="169"/>
      <c r="CX93" s="169"/>
      <c r="CY93" s="169"/>
      <c r="CZ93" s="169"/>
      <c r="DA93" s="169"/>
      <c r="DB93" s="169"/>
      <c r="DC93" s="169"/>
      <c r="DD93" s="169"/>
      <c r="DE93" s="169"/>
      <c r="DF93" s="169"/>
      <c r="DG93" s="169"/>
      <c r="DH93" s="169"/>
      <c r="DI93" s="169"/>
      <c r="DJ93" s="169"/>
      <c r="DK93" s="169"/>
      <c r="DL93" s="169"/>
      <c r="DM93" s="169"/>
      <c r="DN93" s="169"/>
      <c r="DO93" s="169"/>
      <c r="DP93" s="169"/>
      <c r="DQ93" s="169"/>
      <c r="DR93" s="169"/>
      <c r="DS93" s="169"/>
      <c r="DT93" s="169"/>
      <c r="DU93" s="169"/>
      <c r="DV93" s="169"/>
      <c r="DW93" s="169"/>
      <c r="DX93" s="169"/>
      <c r="DY93" s="169"/>
      <c r="DZ93" s="169"/>
      <c r="EA93" s="169"/>
      <c r="EB93" s="169"/>
      <c r="EC93" s="169"/>
      <c r="ED93" s="169"/>
      <c r="EE93" s="169"/>
      <c r="EF93" s="169"/>
      <c r="EG93" s="169"/>
      <c r="EH93" s="169"/>
      <c r="EI93" s="169"/>
      <c r="EJ93" s="169"/>
      <c r="EK93" s="169"/>
      <c r="EL93" s="169"/>
      <c r="EM93" s="169"/>
      <c r="EN93" s="169"/>
      <c r="EO93" s="169"/>
      <c r="EP93" s="169"/>
      <c r="EQ93" s="169"/>
      <c r="ER93" s="169"/>
      <c r="ES93" s="169"/>
      <c r="ET93" s="169"/>
      <c r="EU93" s="169"/>
      <c r="EV93" s="169"/>
      <c r="EW93" s="169"/>
      <c r="EX93" s="169"/>
      <c r="EY93" s="169"/>
      <c r="EZ93" s="169"/>
      <c r="FA93" s="169"/>
      <c r="FB93" s="169"/>
      <c r="FC93" s="169"/>
      <c r="FD93" s="169"/>
      <c r="FE93" s="169"/>
      <c r="FF93" s="169"/>
      <c r="FG93" s="169"/>
      <c r="FH93" s="169"/>
      <c r="FI93" s="169"/>
      <c r="FJ93" s="169"/>
      <c r="FK93" s="169"/>
      <c r="FL93" s="169"/>
      <c r="FM93" s="169"/>
      <c r="FN93" s="169"/>
      <c r="FO93" s="169"/>
      <c r="FP93" s="169"/>
      <c r="FQ93" s="169"/>
      <c r="FR93" s="169"/>
      <c r="FS93" s="169"/>
      <c r="FT93" s="169"/>
      <c r="FU93" s="169"/>
      <c r="FV93" s="169"/>
      <c r="FW93" s="169"/>
      <c r="FX93" s="169"/>
      <c r="FY93" s="169"/>
      <c r="FZ93" s="169"/>
      <c r="GA93" s="169"/>
      <c r="GB93" s="169"/>
      <c r="GC93" s="169"/>
      <c r="GD93" s="169"/>
      <c r="GE93" s="169"/>
      <c r="GF93" s="169"/>
      <c r="GG93" s="169"/>
      <c r="GH93" s="169"/>
      <c r="GI93" s="169"/>
      <c r="GJ93" s="169"/>
      <c r="GK93" s="169"/>
      <c r="GL93" s="169"/>
      <c r="GM93" s="169"/>
      <c r="GN93" s="169"/>
      <c r="GO93" s="169"/>
      <c r="GP93" s="169"/>
      <c r="GQ93" s="169"/>
      <c r="GR93" s="169"/>
      <c r="GS93" s="169"/>
      <c r="GT93" s="169"/>
      <c r="GU93" s="169"/>
      <c r="GV93" s="169"/>
      <c r="GW93" s="169"/>
      <c r="GX93" s="169"/>
      <c r="GY93" s="169"/>
      <c r="GZ93" s="169"/>
      <c r="HA93" s="169"/>
      <c r="HB93" s="169"/>
      <c r="HC93" s="169"/>
      <c r="HD93" s="169"/>
      <c r="HE93" s="169"/>
      <c r="HF93" s="169"/>
      <c r="HG93" s="169"/>
      <c r="HH93" s="169"/>
      <c r="HI93" s="169"/>
      <c r="HJ93" s="169"/>
      <c r="HK93" s="169"/>
      <c r="HL93" s="169"/>
      <c r="HN93" s="169"/>
    </row>
    <row r="94" spans="1:222" s="44" customFormat="1" x14ac:dyDescent="0.25">
      <c r="C94" s="102" t="s">
        <v>595</v>
      </c>
      <c r="I94" s="159">
        <v>156.55000000000001</v>
      </c>
      <c r="J94" s="159">
        <v>198</v>
      </c>
      <c r="K94" s="157">
        <f t="shared" ref="K94:BV94" si="122">IF(K5&lt;&gt;"Internet fijo",IF(K7="Residencial",$I$94,$J$94),0)</f>
        <v>0</v>
      </c>
      <c r="L94" s="269">
        <f t="shared" si="122"/>
        <v>0</v>
      </c>
      <c r="M94" s="269">
        <f t="shared" si="122"/>
        <v>0</v>
      </c>
      <c r="N94" s="269">
        <f t="shared" si="122"/>
        <v>0</v>
      </c>
      <c r="O94" s="269">
        <f t="shared" si="122"/>
        <v>0</v>
      </c>
      <c r="P94" s="269">
        <f t="shared" si="122"/>
        <v>0</v>
      </c>
      <c r="Q94" s="269">
        <f t="shared" si="122"/>
        <v>0</v>
      </c>
      <c r="R94" s="269">
        <f t="shared" si="122"/>
        <v>0</v>
      </c>
      <c r="S94" s="269">
        <f t="shared" si="122"/>
        <v>0</v>
      </c>
      <c r="T94" s="269">
        <f t="shared" si="122"/>
        <v>0</v>
      </c>
      <c r="U94" s="269">
        <f t="shared" si="122"/>
        <v>0</v>
      </c>
      <c r="V94" s="269">
        <f t="shared" si="122"/>
        <v>0</v>
      </c>
      <c r="W94" s="269">
        <f t="shared" si="122"/>
        <v>156.55000000000001</v>
      </c>
      <c r="X94" s="269">
        <f t="shared" si="122"/>
        <v>156.55000000000001</v>
      </c>
      <c r="Y94" s="269">
        <f t="shared" si="122"/>
        <v>156.55000000000001</v>
      </c>
      <c r="Z94" s="269">
        <f t="shared" si="122"/>
        <v>156.55000000000001</v>
      </c>
      <c r="AA94" s="269">
        <f t="shared" si="122"/>
        <v>156.55000000000001</v>
      </c>
      <c r="AB94" s="269">
        <f t="shared" si="122"/>
        <v>156.55000000000001</v>
      </c>
      <c r="AC94" s="269">
        <f t="shared" si="122"/>
        <v>198</v>
      </c>
      <c r="AD94" s="269">
        <f t="shared" si="122"/>
        <v>156.55000000000001</v>
      </c>
      <c r="AE94" s="269">
        <f t="shared" si="122"/>
        <v>156.55000000000001</v>
      </c>
      <c r="AF94" s="269">
        <f t="shared" si="122"/>
        <v>198</v>
      </c>
      <c r="AG94" s="269">
        <f t="shared" si="122"/>
        <v>198</v>
      </c>
      <c r="AH94" s="269">
        <f t="shared" si="122"/>
        <v>156.55000000000001</v>
      </c>
      <c r="AI94" s="269">
        <f t="shared" si="122"/>
        <v>198</v>
      </c>
      <c r="AJ94" s="269">
        <f t="shared" si="122"/>
        <v>198</v>
      </c>
      <c r="AK94" s="269">
        <f t="shared" si="122"/>
        <v>198</v>
      </c>
      <c r="AL94" s="269">
        <f t="shared" si="122"/>
        <v>198</v>
      </c>
      <c r="AM94" s="269">
        <f t="shared" si="122"/>
        <v>198</v>
      </c>
      <c r="AN94" s="269">
        <f t="shared" si="122"/>
        <v>198</v>
      </c>
      <c r="AO94" s="269">
        <f t="shared" si="122"/>
        <v>156.55000000000001</v>
      </c>
      <c r="AP94" s="269">
        <f t="shared" si="122"/>
        <v>156.55000000000001</v>
      </c>
      <c r="AQ94" s="269">
        <f t="shared" si="122"/>
        <v>156.55000000000001</v>
      </c>
      <c r="AR94" s="269">
        <f t="shared" si="122"/>
        <v>156.55000000000001</v>
      </c>
      <c r="AS94" s="269">
        <f t="shared" si="122"/>
        <v>156.55000000000001</v>
      </c>
      <c r="AT94" s="269">
        <f t="shared" si="122"/>
        <v>156.55000000000001</v>
      </c>
      <c r="AU94" s="269">
        <f t="shared" si="122"/>
        <v>156.55000000000001</v>
      </c>
      <c r="AV94" s="269">
        <f t="shared" si="122"/>
        <v>156.55000000000001</v>
      </c>
      <c r="AW94" s="269">
        <f t="shared" si="122"/>
        <v>156.55000000000001</v>
      </c>
      <c r="AX94" s="269">
        <f t="shared" si="122"/>
        <v>156.55000000000001</v>
      </c>
      <c r="AY94" s="269">
        <f t="shared" si="122"/>
        <v>156.55000000000001</v>
      </c>
      <c r="AZ94" s="269">
        <f t="shared" si="122"/>
        <v>0</v>
      </c>
      <c r="BA94" s="269">
        <f t="shared" si="122"/>
        <v>0</v>
      </c>
      <c r="BB94" s="269">
        <f t="shared" si="122"/>
        <v>0</v>
      </c>
      <c r="BC94" s="269">
        <f t="shared" si="122"/>
        <v>0</v>
      </c>
      <c r="BD94" s="269">
        <f t="shared" si="122"/>
        <v>0</v>
      </c>
      <c r="BE94" s="269">
        <f t="shared" si="122"/>
        <v>0</v>
      </c>
      <c r="BF94" s="269">
        <f t="shared" si="122"/>
        <v>0</v>
      </c>
      <c r="BG94" s="269">
        <f t="shared" si="122"/>
        <v>0</v>
      </c>
      <c r="BH94" s="269">
        <f t="shared" si="122"/>
        <v>0</v>
      </c>
      <c r="BI94" s="269">
        <f t="shared" si="122"/>
        <v>198</v>
      </c>
      <c r="BJ94" s="269">
        <f t="shared" si="122"/>
        <v>198</v>
      </c>
      <c r="BK94" s="269">
        <f t="shared" si="122"/>
        <v>198</v>
      </c>
      <c r="BL94" s="269">
        <f t="shared" si="122"/>
        <v>198</v>
      </c>
      <c r="BM94" s="269">
        <f t="shared" si="122"/>
        <v>198</v>
      </c>
      <c r="BN94" s="269">
        <f t="shared" si="122"/>
        <v>198</v>
      </c>
      <c r="BO94" s="269">
        <f t="shared" si="122"/>
        <v>198</v>
      </c>
      <c r="BP94" s="269">
        <f t="shared" si="122"/>
        <v>0</v>
      </c>
      <c r="BQ94" s="269">
        <f t="shared" si="122"/>
        <v>0</v>
      </c>
      <c r="BR94" s="269">
        <f t="shared" si="122"/>
        <v>0</v>
      </c>
      <c r="BS94" s="269">
        <f t="shared" si="122"/>
        <v>0</v>
      </c>
      <c r="BT94" s="269">
        <f t="shared" si="122"/>
        <v>0</v>
      </c>
      <c r="BU94" s="269">
        <f t="shared" si="122"/>
        <v>0</v>
      </c>
      <c r="BV94" s="269">
        <f t="shared" si="122"/>
        <v>0</v>
      </c>
      <c r="BW94" s="269">
        <f t="shared" ref="BW94:EH94" si="123">IF(BW5&lt;&gt;"Internet fijo",IF(BW7="Residencial",$I$94,$J$94),0)</f>
        <v>0</v>
      </c>
      <c r="BX94" s="269">
        <f t="shared" si="123"/>
        <v>0</v>
      </c>
      <c r="BY94" s="269">
        <f t="shared" si="123"/>
        <v>156.55000000000001</v>
      </c>
      <c r="BZ94" s="269">
        <f t="shared" si="123"/>
        <v>156.55000000000001</v>
      </c>
      <c r="CA94" s="269">
        <f t="shared" si="123"/>
        <v>156.55000000000001</v>
      </c>
      <c r="CB94" s="269">
        <f t="shared" si="123"/>
        <v>156.55000000000001</v>
      </c>
      <c r="CC94" s="269">
        <f t="shared" si="123"/>
        <v>156.55000000000001</v>
      </c>
      <c r="CD94" s="269">
        <f t="shared" si="123"/>
        <v>0</v>
      </c>
      <c r="CE94" s="269">
        <f t="shared" si="123"/>
        <v>0</v>
      </c>
      <c r="CF94" s="269">
        <f t="shared" si="123"/>
        <v>0</v>
      </c>
      <c r="CG94" s="269">
        <f t="shared" si="123"/>
        <v>0</v>
      </c>
      <c r="CH94" s="269">
        <f t="shared" si="123"/>
        <v>156.55000000000001</v>
      </c>
      <c r="CI94" s="269">
        <f t="shared" si="123"/>
        <v>156.55000000000001</v>
      </c>
      <c r="CJ94" s="269">
        <f t="shared" si="123"/>
        <v>156.55000000000001</v>
      </c>
      <c r="CK94" s="269">
        <f t="shared" si="123"/>
        <v>156.55000000000001</v>
      </c>
      <c r="CL94" s="269">
        <f t="shared" si="123"/>
        <v>156.55000000000001</v>
      </c>
      <c r="CM94" s="269">
        <f t="shared" si="123"/>
        <v>156.55000000000001</v>
      </c>
      <c r="CN94" s="269">
        <f t="shared" si="123"/>
        <v>156.55000000000001</v>
      </c>
      <c r="CO94" s="269">
        <f t="shared" si="123"/>
        <v>156.55000000000001</v>
      </c>
      <c r="CP94" s="269">
        <f t="shared" si="123"/>
        <v>156.55000000000001</v>
      </c>
      <c r="CQ94" s="269">
        <f t="shared" si="123"/>
        <v>156.55000000000001</v>
      </c>
      <c r="CR94" s="269">
        <f t="shared" si="123"/>
        <v>156.55000000000001</v>
      </c>
      <c r="CS94" s="269">
        <f t="shared" si="123"/>
        <v>0</v>
      </c>
      <c r="CT94" s="269">
        <f t="shared" si="123"/>
        <v>0</v>
      </c>
      <c r="CU94" s="269">
        <f t="shared" si="123"/>
        <v>0</v>
      </c>
      <c r="CV94" s="269">
        <f t="shared" si="123"/>
        <v>0</v>
      </c>
      <c r="CW94" s="269">
        <f t="shared" si="123"/>
        <v>0</v>
      </c>
      <c r="CX94" s="269">
        <f t="shared" si="123"/>
        <v>0</v>
      </c>
      <c r="CY94" s="269">
        <f t="shared" si="123"/>
        <v>0</v>
      </c>
      <c r="CZ94" s="269">
        <f t="shared" si="123"/>
        <v>0</v>
      </c>
      <c r="DA94" s="269">
        <f t="shared" si="123"/>
        <v>0</v>
      </c>
      <c r="DB94" s="269">
        <f t="shared" si="123"/>
        <v>198</v>
      </c>
      <c r="DC94" s="269">
        <f t="shared" si="123"/>
        <v>198</v>
      </c>
      <c r="DD94" s="269">
        <f t="shared" si="123"/>
        <v>198</v>
      </c>
      <c r="DE94" s="269">
        <f t="shared" si="123"/>
        <v>198</v>
      </c>
      <c r="DF94" s="269">
        <f t="shared" si="123"/>
        <v>198</v>
      </c>
      <c r="DG94" s="269">
        <f t="shared" si="123"/>
        <v>198</v>
      </c>
      <c r="DH94" s="269">
        <f t="shared" si="123"/>
        <v>198</v>
      </c>
      <c r="DI94" s="269">
        <f t="shared" si="123"/>
        <v>198</v>
      </c>
      <c r="DJ94" s="269">
        <f t="shared" si="123"/>
        <v>198</v>
      </c>
      <c r="DK94" s="269">
        <f t="shared" si="123"/>
        <v>198</v>
      </c>
      <c r="DL94" s="269">
        <f t="shared" si="123"/>
        <v>198</v>
      </c>
      <c r="DM94" s="269">
        <f t="shared" si="123"/>
        <v>198</v>
      </c>
      <c r="DN94" s="269">
        <f t="shared" si="123"/>
        <v>198</v>
      </c>
      <c r="DO94" s="269">
        <f t="shared" si="123"/>
        <v>198</v>
      </c>
      <c r="DP94" s="269">
        <f t="shared" si="123"/>
        <v>198</v>
      </c>
      <c r="DQ94" s="269">
        <f t="shared" si="123"/>
        <v>198</v>
      </c>
      <c r="DR94" s="269">
        <f t="shared" si="123"/>
        <v>198</v>
      </c>
      <c r="DS94" s="269">
        <f t="shared" si="123"/>
        <v>198</v>
      </c>
      <c r="DT94" s="269">
        <f t="shared" si="123"/>
        <v>198</v>
      </c>
      <c r="DU94" s="269">
        <f t="shared" si="123"/>
        <v>198</v>
      </c>
      <c r="DV94" s="269">
        <f t="shared" si="123"/>
        <v>198</v>
      </c>
      <c r="DW94" s="269">
        <f t="shared" si="123"/>
        <v>198</v>
      </c>
      <c r="DX94" s="269">
        <f t="shared" si="123"/>
        <v>198</v>
      </c>
      <c r="DY94" s="269">
        <f t="shared" si="123"/>
        <v>198</v>
      </c>
      <c r="DZ94" s="269">
        <f t="shared" si="123"/>
        <v>198</v>
      </c>
      <c r="EA94" s="269">
        <f t="shared" si="123"/>
        <v>198</v>
      </c>
      <c r="EB94" s="269">
        <f t="shared" si="123"/>
        <v>198</v>
      </c>
      <c r="EC94" s="269">
        <f t="shared" si="123"/>
        <v>198</v>
      </c>
      <c r="ED94" s="269">
        <f t="shared" si="123"/>
        <v>198</v>
      </c>
      <c r="EE94" s="269">
        <f t="shared" si="123"/>
        <v>198</v>
      </c>
      <c r="EF94" s="269">
        <f t="shared" si="123"/>
        <v>198</v>
      </c>
      <c r="EG94" s="269">
        <f t="shared" si="123"/>
        <v>198</v>
      </c>
      <c r="EH94" s="269">
        <f t="shared" si="123"/>
        <v>198</v>
      </c>
      <c r="EI94" s="269">
        <f t="shared" ref="EI94:GT94" si="124">IF(EI5&lt;&gt;"Internet fijo",IF(EI7="Residencial",$I$94,$J$94),0)</f>
        <v>198</v>
      </c>
      <c r="EJ94" s="269">
        <f t="shared" si="124"/>
        <v>198</v>
      </c>
      <c r="EK94" s="269">
        <f t="shared" si="124"/>
        <v>198</v>
      </c>
      <c r="EL94" s="269">
        <f t="shared" si="124"/>
        <v>198</v>
      </c>
      <c r="EM94" s="269">
        <f t="shared" si="124"/>
        <v>198</v>
      </c>
      <c r="EN94" s="269">
        <f t="shared" si="124"/>
        <v>198</v>
      </c>
      <c r="EO94" s="269">
        <f t="shared" si="124"/>
        <v>198</v>
      </c>
      <c r="EP94" s="269">
        <f t="shared" si="124"/>
        <v>198</v>
      </c>
      <c r="EQ94" s="269">
        <f t="shared" si="124"/>
        <v>198</v>
      </c>
      <c r="ER94" s="269">
        <f t="shared" si="124"/>
        <v>198</v>
      </c>
      <c r="ES94" s="269">
        <f t="shared" si="124"/>
        <v>198</v>
      </c>
      <c r="ET94" s="269">
        <f t="shared" si="124"/>
        <v>198</v>
      </c>
      <c r="EU94" s="269">
        <f t="shared" si="124"/>
        <v>198</v>
      </c>
      <c r="EV94" s="269">
        <f t="shared" si="124"/>
        <v>198</v>
      </c>
      <c r="EW94" s="269">
        <f t="shared" si="124"/>
        <v>198</v>
      </c>
      <c r="EX94" s="269">
        <f t="shared" si="124"/>
        <v>198</v>
      </c>
      <c r="EY94" s="269">
        <f t="shared" si="124"/>
        <v>198</v>
      </c>
      <c r="EZ94" s="269">
        <f t="shared" si="124"/>
        <v>198</v>
      </c>
      <c r="FA94" s="269">
        <f t="shared" si="124"/>
        <v>198</v>
      </c>
      <c r="FB94" s="269">
        <f t="shared" si="124"/>
        <v>198</v>
      </c>
      <c r="FC94" s="269">
        <f t="shared" si="124"/>
        <v>198</v>
      </c>
      <c r="FD94" s="269">
        <f t="shared" si="124"/>
        <v>198</v>
      </c>
      <c r="FE94" s="269">
        <f t="shared" si="124"/>
        <v>198</v>
      </c>
      <c r="FF94" s="269">
        <f t="shared" si="124"/>
        <v>198</v>
      </c>
      <c r="FG94" s="269">
        <f t="shared" si="124"/>
        <v>198</v>
      </c>
      <c r="FH94" s="269">
        <f t="shared" si="124"/>
        <v>198</v>
      </c>
      <c r="FI94" s="269">
        <f t="shared" si="124"/>
        <v>198</v>
      </c>
      <c r="FJ94" s="269">
        <f t="shared" si="124"/>
        <v>198</v>
      </c>
      <c r="FK94" s="269">
        <f t="shared" si="124"/>
        <v>198</v>
      </c>
      <c r="FL94" s="269">
        <f t="shared" si="124"/>
        <v>198</v>
      </c>
      <c r="FM94" s="269">
        <f t="shared" si="124"/>
        <v>198</v>
      </c>
      <c r="FN94" s="269">
        <f t="shared" si="124"/>
        <v>198</v>
      </c>
      <c r="FO94" s="269">
        <f t="shared" si="124"/>
        <v>198</v>
      </c>
      <c r="FP94" s="269">
        <f t="shared" si="124"/>
        <v>198</v>
      </c>
      <c r="FQ94" s="269">
        <f t="shared" si="124"/>
        <v>198</v>
      </c>
      <c r="FR94" s="269">
        <f t="shared" si="124"/>
        <v>198</v>
      </c>
      <c r="FS94" s="269">
        <f t="shared" si="124"/>
        <v>198</v>
      </c>
      <c r="FT94" s="269">
        <f t="shared" si="124"/>
        <v>198</v>
      </c>
      <c r="FU94" s="269">
        <f t="shared" si="124"/>
        <v>198</v>
      </c>
      <c r="FV94" s="269">
        <f t="shared" si="124"/>
        <v>198</v>
      </c>
      <c r="FW94" s="269">
        <f t="shared" si="124"/>
        <v>198</v>
      </c>
      <c r="FX94" s="269">
        <f t="shared" si="124"/>
        <v>198</v>
      </c>
      <c r="FY94" s="269">
        <f t="shared" si="124"/>
        <v>198</v>
      </c>
      <c r="FZ94" s="269">
        <f t="shared" si="124"/>
        <v>198</v>
      </c>
      <c r="GA94" s="269">
        <f t="shared" si="124"/>
        <v>198</v>
      </c>
      <c r="GB94" s="269">
        <f t="shared" si="124"/>
        <v>198</v>
      </c>
      <c r="GC94" s="269">
        <f t="shared" si="124"/>
        <v>198</v>
      </c>
      <c r="GD94" s="269">
        <f t="shared" si="124"/>
        <v>198</v>
      </c>
      <c r="GE94" s="269">
        <f t="shared" si="124"/>
        <v>198</v>
      </c>
      <c r="GF94" s="269">
        <f t="shared" si="124"/>
        <v>198</v>
      </c>
      <c r="GG94" s="269">
        <f t="shared" si="124"/>
        <v>198</v>
      </c>
      <c r="GH94" s="269">
        <f t="shared" si="124"/>
        <v>198</v>
      </c>
      <c r="GI94" s="269">
        <f t="shared" si="124"/>
        <v>198</v>
      </c>
      <c r="GJ94" s="269">
        <f t="shared" si="124"/>
        <v>198</v>
      </c>
      <c r="GK94" s="269">
        <f t="shared" si="124"/>
        <v>198</v>
      </c>
      <c r="GL94" s="269">
        <f t="shared" si="124"/>
        <v>198</v>
      </c>
      <c r="GM94" s="269">
        <f t="shared" si="124"/>
        <v>198</v>
      </c>
      <c r="GN94" s="269">
        <f t="shared" si="124"/>
        <v>198</v>
      </c>
      <c r="GO94" s="269">
        <f t="shared" si="124"/>
        <v>198</v>
      </c>
      <c r="GP94" s="269">
        <f t="shared" si="124"/>
        <v>198</v>
      </c>
      <c r="GQ94" s="269">
        <f t="shared" si="124"/>
        <v>198</v>
      </c>
      <c r="GR94" s="269">
        <f t="shared" si="124"/>
        <v>198</v>
      </c>
      <c r="GS94" s="269">
        <f t="shared" si="124"/>
        <v>198</v>
      </c>
      <c r="GT94" s="269">
        <f t="shared" si="124"/>
        <v>198</v>
      </c>
      <c r="GU94" s="269">
        <f t="shared" ref="GU94:HL94" si="125">IF(GU5&lt;&gt;"Internet fijo",IF(GU7="Residencial",$I$94,$J$94),0)</f>
        <v>198</v>
      </c>
      <c r="GV94" s="269">
        <f t="shared" si="125"/>
        <v>198</v>
      </c>
      <c r="GW94" s="269">
        <f t="shared" si="125"/>
        <v>198</v>
      </c>
      <c r="GX94" s="269">
        <f t="shared" si="125"/>
        <v>198</v>
      </c>
      <c r="GY94" s="269">
        <f t="shared" si="125"/>
        <v>198</v>
      </c>
      <c r="GZ94" s="269">
        <f t="shared" si="125"/>
        <v>198</v>
      </c>
      <c r="HA94" s="269">
        <f t="shared" si="125"/>
        <v>198</v>
      </c>
      <c r="HB94" s="269">
        <f t="shared" si="125"/>
        <v>198</v>
      </c>
      <c r="HC94" s="269">
        <f t="shared" si="125"/>
        <v>198</v>
      </c>
      <c r="HD94" s="269">
        <f t="shared" si="125"/>
        <v>198</v>
      </c>
      <c r="HE94" s="269">
        <f t="shared" si="125"/>
        <v>198</v>
      </c>
      <c r="HF94" s="269">
        <f t="shared" si="125"/>
        <v>198</v>
      </c>
      <c r="HG94" s="269">
        <f t="shared" si="125"/>
        <v>198</v>
      </c>
      <c r="HH94" s="269">
        <f t="shared" si="125"/>
        <v>198</v>
      </c>
      <c r="HI94" s="269">
        <f t="shared" si="125"/>
        <v>198</v>
      </c>
      <c r="HJ94" s="269">
        <f t="shared" si="125"/>
        <v>198</v>
      </c>
      <c r="HK94" s="269">
        <f t="shared" si="125"/>
        <v>198</v>
      </c>
      <c r="HL94" s="269">
        <f t="shared" si="125"/>
        <v>198</v>
      </c>
    </row>
    <row r="95" spans="1:222" s="44" customFormat="1" x14ac:dyDescent="0.25">
      <c r="BG95" s="262"/>
      <c r="BH95" s="262"/>
      <c r="BI95" s="262"/>
      <c r="BJ95" s="262"/>
      <c r="BK95" s="262"/>
      <c r="BL95" s="262"/>
      <c r="BM95" s="262"/>
      <c r="BN95" s="262"/>
      <c r="BO95" s="262"/>
      <c r="BP95" s="262"/>
      <c r="BQ95" s="262"/>
      <c r="BR95" s="262"/>
      <c r="BS95" s="262"/>
      <c r="BT95" s="262"/>
      <c r="BU95" s="262"/>
      <c r="BV95" s="262"/>
      <c r="BW95" s="262"/>
      <c r="BX95" s="262"/>
      <c r="BY95" s="262"/>
      <c r="BZ95" s="262"/>
      <c r="CA95" s="262"/>
      <c r="CB95" s="262"/>
      <c r="CC95" s="262"/>
      <c r="CD95" s="262"/>
      <c r="CE95" s="262"/>
      <c r="CF95" s="262"/>
      <c r="CG95" s="262"/>
      <c r="CH95" s="262"/>
      <c r="CI95" s="262"/>
      <c r="CJ95" s="262"/>
      <c r="CK95" s="262"/>
      <c r="CL95" s="262"/>
      <c r="CM95" s="262"/>
      <c r="CN95" s="262"/>
      <c r="CO95" s="262"/>
      <c r="CP95" s="262"/>
      <c r="CQ95" s="262"/>
      <c r="CR95" s="262"/>
      <c r="CS95" s="262"/>
      <c r="CT95" s="262"/>
      <c r="CU95" s="262"/>
      <c r="CV95" s="262"/>
      <c r="CW95" s="262"/>
      <c r="CX95" s="262"/>
      <c r="CY95" s="262"/>
      <c r="CZ95" s="262"/>
      <c r="DA95" s="262"/>
      <c r="DB95" s="262"/>
      <c r="DC95" s="262"/>
      <c r="DD95" s="262"/>
      <c r="DE95" s="262"/>
      <c r="DF95" s="262"/>
      <c r="DG95" s="262"/>
      <c r="DH95" s="262"/>
      <c r="DI95" s="262"/>
      <c r="DJ95" s="262"/>
      <c r="DK95" s="262"/>
      <c r="DL95" s="262"/>
      <c r="DM95" s="262"/>
      <c r="DN95" s="262"/>
      <c r="DO95" s="262"/>
      <c r="DP95" s="262"/>
      <c r="DQ95" s="262"/>
      <c r="DR95" s="262"/>
      <c r="DS95" s="262"/>
      <c r="DT95" s="262"/>
      <c r="DU95" s="262"/>
      <c r="DV95" s="262"/>
      <c r="DW95" s="262"/>
      <c r="DX95" s="262"/>
      <c r="DY95" s="262"/>
      <c r="DZ95" s="262"/>
      <c r="EA95" s="262"/>
      <c r="EB95" s="262"/>
      <c r="EC95" s="262"/>
      <c r="ED95" s="262"/>
      <c r="EE95" s="262"/>
      <c r="EF95" s="262"/>
      <c r="EG95" s="262"/>
      <c r="EH95" s="262"/>
      <c r="EI95" s="262"/>
      <c r="EJ95" s="262"/>
      <c r="EK95" s="262"/>
      <c r="EL95" s="262"/>
      <c r="EM95" s="262"/>
      <c r="EN95" s="262"/>
      <c r="EO95" s="262"/>
      <c r="EP95" s="262"/>
      <c r="EQ95" s="262"/>
      <c r="ER95" s="262"/>
      <c r="ES95" s="262"/>
      <c r="ET95" s="262"/>
      <c r="EU95" s="262"/>
      <c r="EV95" s="262"/>
      <c r="EW95" s="262"/>
      <c r="EX95" s="262"/>
      <c r="EY95" s="262"/>
      <c r="EZ95" s="262"/>
      <c r="FA95" s="262"/>
      <c r="FB95" s="262"/>
      <c r="FC95" s="262"/>
      <c r="FD95" s="262"/>
      <c r="FE95" s="262"/>
      <c r="FF95" s="262"/>
      <c r="FG95" s="262"/>
      <c r="FH95" s="262"/>
      <c r="FI95" s="262"/>
      <c r="FJ95" s="262"/>
      <c r="FK95" s="262"/>
      <c r="FL95" s="262"/>
      <c r="FM95" s="262"/>
      <c r="FN95" s="262"/>
      <c r="FO95" s="262"/>
      <c r="FP95" s="262"/>
      <c r="FQ95" s="262"/>
      <c r="FR95" s="262"/>
      <c r="FS95" s="262"/>
      <c r="FT95" s="262"/>
      <c r="FU95" s="262"/>
      <c r="FV95" s="262"/>
      <c r="FW95" s="262"/>
      <c r="FX95" s="262"/>
      <c r="FY95" s="262"/>
      <c r="FZ95" s="262"/>
      <c r="GA95" s="262"/>
      <c r="GB95" s="262"/>
      <c r="GC95" s="262"/>
      <c r="GD95" s="262"/>
      <c r="GE95" s="262"/>
      <c r="GF95" s="262"/>
      <c r="GG95" s="262"/>
      <c r="GH95" s="262"/>
      <c r="GI95" s="262"/>
      <c r="GJ95" s="262"/>
      <c r="GK95" s="262"/>
      <c r="GL95" s="262"/>
      <c r="GM95" s="262"/>
      <c r="GN95" s="262"/>
      <c r="GO95" s="262"/>
      <c r="GP95" s="262"/>
      <c r="GQ95" s="262"/>
      <c r="GR95" s="262"/>
      <c r="GS95" s="262"/>
      <c r="GT95" s="262"/>
      <c r="GU95" s="262"/>
      <c r="GV95" s="262"/>
      <c r="GW95" s="262"/>
      <c r="GX95" s="262"/>
      <c r="GY95" s="262"/>
      <c r="GZ95" s="262"/>
      <c r="HA95" s="262"/>
      <c r="HB95" s="262"/>
      <c r="HC95" s="262"/>
      <c r="HD95" s="262"/>
      <c r="HE95" s="262"/>
      <c r="HF95" s="262"/>
      <c r="HG95" s="262"/>
      <c r="HH95" s="262"/>
      <c r="HI95" s="262"/>
      <c r="HJ95" s="262"/>
      <c r="HK95" s="262"/>
      <c r="HL95" s="262"/>
    </row>
    <row r="96" spans="1:222" s="262" customFormat="1" x14ac:dyDescent="0.25">
      <c r="I96" s="165"/>
    </row>
    <row r="97" spans="1:220" x14ac:dyDescent="0.25">
      <c r="A97" s="44"/>
      <c r="C97" s="102" t="s">
        <v>583</v>
      </c>
      <c r="D97" s="44"/>
      <c r="E97" s="44"/>
      <c r="G97" s="77" t="s">
        <v>427</v>
      </c>
      <c r="H97" s="102"/>
      <c r="I97" s="161">
        <f>I98</f>
        <v>140.94632724624367</v>
      </c>
      <c r="J97" s="161">
        <f>J98</f>
        <v>198</v>
      </c>
      <c r="K97" s="161">
        <f t="shared" ref="K97:AP97" si="126">K27</f>
        <v>0</v>
      </c>
      <c r="L97" s="161">
        <f t="shared" si="126"/>
        <v>0</v>
      </c>
      <c r="M97" s="161">
        <f t="shared" si="126"/>
        <v>0</v>
      </c>
      <c r="N97" s="161">
        <f t="shared" si="126"/>
        <v>0</v>
      </c>
      <c r="O97" s="161">
        <f t="shared" si="126"/>
        <v>0</v>
      </c>
      <c r="P97" s="161">
        <f t="shared" si="126"/>
        <v>0</v>
      </c>
      <c r="Q97" s="161">
        <f t="shared" si="126"/>
        <v>0</v>
      </c>
      <c r="R97" s="161">
        <f t="shared" si="126"/>
        <v>0</v>
      </c>
      <c r="S97" s="161">
        <f t="shared" si="126"/>
        <v>0</v>
      </c>
      <c r="T97" s="161">
        <f t="shared" si="126"/>
        <v>0</v>
      </c>
      <c r="U97" s="161">
        <f t="shared" si="126"/>
        <v>0</v>
      </c>
      <c r="V97" s="161">
        <f t="shared" si="126"/>
        <v>0</v>
      </c>
      <c r="W97" s="161">
        <f t="shared" si="126"/>
        <v>156.55000000000001</v>
      </c>
      <c r="X97" s="161">
        <f t="shared" si="126"/>
        <v>156.55000000000001</v>
      </c>
      <c r="Y97" s="161">
        <f t="shared" si="126"/>
        <v>156.55000000000001</v>
      </c>
      <c r="Z97" s="161">
        <f t="shared" si="126"/>
        <v>156.55000000000001</v>
      </c>
      <c r="AA97" s="161">
        <f t="shared" si="126"/>
        <v>313.10000000000002</v>
      </c>
      <c r="AB97" s="161">
        <f t="shared" si="126"/>
        <v>156.55000000000001</v>
      </c>
      <c r="AC97" s="161">
        <f t="shared" si="126"/>
        <v>198</v>
      </c>
      <c r="AD97" s="161">
        <f t="shared" si="126"/>
        <v>939.30000000000007</v>
      </c>
      <c r="AE97" s="161">
        <f t="shared" si="126"/>
        <v>156.55000000000001</v>
      </c>
      <c r="AF97" s="161">
        <f t="shared" si="126"/>
        <v>396</v>
      </c>
      <c r="AG97" s="161">
        <f t="shared" si="126"/>
        <v>396</v>
      </c>
      <c r="AH97" s="161">
        <f t="shared" si="126"/>
        <v>469.65000000000003</v>
      </c>
      <c r="AI97" s="161">
        <f t="shared" si="126"/>
        <v>396</v>
      </c>
      <c r="AJ97" s="161">
        <f t="shared" si="126"/>
        <v>792</v>
      </c>
      <c r="AK97" s="161">
        <f t="shared" si="126"/>
        <v>1188</v>
      </c>
      <c r="AL97" s="161">
        <f t="shared" si="126"/>
        <v>0</v>
      </c>
      <c r="AM97" s="161">
        <f t="shared" si="126"/>
        <v>0</v>
      </c>
      <c r="AN97" s="161">
        <f t="shared" si="126"/>
        <v>0</v>
      </c>
      <c r="AO97" s="161">
        <f t="shared" si="126"/>
        <v>156.55000000000001</v>
      </c>
      <c r="AP97" s="161">
        <f t="shared" si="126"/>
        <v>156.55000000000001</v>
      </c>
      <c r="AQ97" s="161">
        <f t="shared" ref="AQ97:BV97" si="127">AQ27</f>
        <v>156.55000000000001</v>
      </c>
      <c r="AR97" s="161">
        <f t="shared" si="127"/>
        <v>156.55000000000001</v>
      </c>
      <c r="AS97" s="161">
        <f t="shared" si="127"/>
        <v>156.55000000000001</v>
      </c>
      <c r="AT97" s="161">
        <f t="shared" si="127"/>
        <v>156.55000000000001</v>
      </c>
      <c r="AU97" s="161">
        <f t="shared" si="127"/>
        <v>156.55000000000001</v>
      </c>
      <c r="AV97" s="161">
        <f t="shared" si="127"/>
        <v>156.55000000000001</v>
      </c>
      <c r="AW97" s="161">
        <f t="shared" si="127"/>
        <v>156.55000000000001</v>
      </c>
      <c r="AX97" s="161">
        <f t="shared" si="127"/>
        <v>469.65000000000003</v>
      </c>
      <c r="AY97" s="161">
        <f t="shared" si="127"/>
        <v>469.65000000000003</v>
      </c>
      <c r="AZ97" s="161">
        <f t="shared" si="127"/>
        <v>0</v>
      </c>
      <c r="BA97" s="161">
        <f t="shared" si="127"/>
        <v>0</v>
      </c>
      <c r="BB97" s="161">
        <f t="shared" si="127"/>
        <v>0</v>
      </c>
      <c r="BC97" s="161">
        <f t="shared" si="127"/>
        <v>0</v>
      </c>
      <c r="BD97" s="161">
        <f t="shared" si="127"/>
        <v>0</v>
      </c>
      <c r="BE97" s="161">
        <f t="shared" si="127"/>
        <v>0</v>
      </c>
      <c r="BF97" s="161">
        <f t="shared" si="127"/>
        <v>0</v>
      </c>
      <c r="BG97" s="161">
        <f t="shared" si="127"/>
        <v>0</v>
      </c>
      <c r="BH97" s="161">
        <f t="shared" si="127"/>
        <v>0</v>
      </c>
      <c r="BI97" s="161">
        <f t="shared" si="127"/>
        <v>198</v>
      </c>
      <c r="BJ97" s="161">
        <f t="shared" si="127"/>
        <v>198</v>
      </c>
      <c r="BK97" s="161">
        <f t="shared" si="127"/>
        <v>198</v>
      </c>
      <c r="BL97" s="161">
        <f t="shared" si="127"/>
        <v>396</v>
      </c>
      <c r="BM97" s="161">
        <f t="shared" si="127"/>
        <v>396</v>
      </c>
      <c r="BN97" s="161">
        <f t="shared" si="127"/>
        <v>396</v>
      </c>
      <c r="BO97" s="161">
        <f t="shared" si="127"/>
        <v>396</v>
      </c>
      <c r="BP97" s="161">
        <f t="shared" si="127"/>
        <v>0</v>
      </c>
      <c r="BQ97" s="161">
        <f t="shared" si="127"/>
        <v>0</v>
      </c>
      <c r="BR97" s="161">
        <f t="shared" si="127"/>
        <v>0</v>
      </c>
      <c r="BS97" s="161">
        <f t="shared" si="127"/>
        <v>0</v>
      </c>
      <c r="BT97" s="161">
        <f t="shared" si="127"/>
        <v>0</v>
      </c>
      <c r="BU97" s="161">
        <f t="shared" si="127"/>
        <v>0</v>
      </c>
      <c r="BV97" s="161">
        <f t="shared" si="127"/>
        <v>0</v>
      </c>
      <c r="BW97" s="161">
        <f t="shared" ref="BW97:DB97" si="128">BW27</f>
        <v>0</v>
      </c>
      <c r="BX97" s="161">
        <f t="shared" si="128"/>
        <v>0</v>
      </c>
      <c r="BY97" s="161">
        <f t="shared" si="128"/>
        <v>156.55000000000001</v>
      </c>
      <c r="BZ97" s="161">
        <f t="shared" si="128"/>
        <v>156.55000000000001</v>
      </c>
      <c r="CA97" s="161">
        <f t="shared" si="128"/>
        <v>156.55000000000001</v>
      </c>
      <c r="CB97" s="161">
        <f t="shared" si="128"/>
        <v>313.10000000000002</v>
      </c>
      <c r="CC97" s="161">
        <f t="shared" si="128"/>
        <v>469.65000000000003</v>
      </c>
      <c r="CD97" s="161">
        <f t="shared" si="128"/>
        <v>0</v>
      </c>
      <c r="CE97" s="161">
        <f t="shared" si="128"/>
        <v>0</v>
      </c>
      <c r="CF97" s="161">
        <f t="shared" si="128"/>
        <v>0</v>
      </c>
      <c r="CG97" s="161">
        <f t="shared" si="128"/>
        <v>0</v>
      </c>
      <c r="CH97" s="161">
        <f t="shared" si="128"/>
        <v>156.55000000000001</v>
      </c>
      <c r="CI97" s="161">
        <f t="shared" si="128"/>
        <v>156.55000000000001</v>
      </c>
      <c r="CJ97" s="161">
        <f t="shared" si="128"/>
        <v>156.55000000000001</v>
      </c>
      <c r="CK97" s="161">
        <f t="shared" si="128"/>
        <v>156.55000000000001</v>
      </c>
      <c r="CL97" s="161">
        <f t="shared" si="128"/>
        <v>156.55000000000001</v>
      </c>
      <c r="CM97" s="161">
        <f t="shared" si="128"/>
        <v>156.55000000000001</v>
      </c>
      <c r="CN97" s="161">
        <f t="shared" si="128"/>
        <v>156.55000000000001</v>
      </c>
      <c r="CO97" s="161">
        <f t="shared" si="128"/>
        <v>313.10000000000002</v>
      </c>
      <c r="CP97" s="161">
        <f t="shared" si="128"/>
        <v>313.10000000000002</v>
      </c>
      <c r="CQ97" s="161">
        <f t="shared" si="128"/>
        <v>469.65000000000003</v>
      </c>
      <c r="CR97" s="161">
        <f t="shared" si="128"/>
        <v>469.65000000000003</v>
      </c>
      <c r="CS97" s="161">
        <f t="shared" si="128"/>
        <v>0</v>
      </c>
      <c r="CT97" s="161">
        <f t="shared" si="128"/>
        <v>0</v>
      </c>
      <c r="CU97" s="161">
        <f t="shared" si="128"/>
        <v>0</v>
      </c>
      <c r="CV97" s="161">
        <f t="shared" si="128"/>
        <v>0</v>
      </c>
      <c r="CW97" s="161">
        <f t="shared" si="128"/>
        <v>0</v>
      </c>
      <c r="CX97" s="161">
        <f t="shared" si="128"/>
        <v>0</v>
      </c>
      <c r="CY97" s="161">
        <f t="shared" si="128"/>
        <v>0</v>
      </c>
      <c r="CZ97" s="161">
        <f t="shared" si="128"/>
        <v>0</v>
      </c>
      <c r="DA97" s="161">
        <f t="shared" si="128"/>
        <v>0</v>
      </c>
      <c r="DB97" s="161">
        <f t="shared" si="128"/>
        <v>198</v>
      </c>
      <c r="DC97" s="161">
        <f t="shared" ref="DC97:DN97" si="129">DC27</f>
        <v>396</v>
      </c>
      <c r="DD97" s="161">
        <f t="shared" si="129"/>
        <v>396</v>
      </c>
      <c r="DE97" s="161">
        <f t="shared" si="129"/>
        <v>396</v>
      </c>
      <c r="DF97" s="161">
        <f t="shared" si="129"/>
        <v>792</v>
      </c>
      <c r="DG97" s="161">
        <f t="shared" si="129"/>
        <v>1188</v>
      </c>
      <c r="DH97" s="161">
        <f t="shared" si="129"/>
        <v>198</v>
      </c>
      <c r="DI97" s="161">
        <f t="shared" si="129"/>
        <v>198</v>
      </c>
      <c r="DJ97" s="161">
        <f t="shared" si="129"/>
        <v>198</v>
      </c>
      <c r="DK97" s="161">
        <f t="shared" si="129"/>
        <v>396</v>
      </c>
      <c r="DL97" s="161">
        <f t="shared" si="129"/>
        <v>396</v>
      </c>
      <c r="DM97" s="161">
        <f t="shared" si="129"/>
        <v>396</v>
      </c>
      <c r="DN97" s="161">
        <f t="shared" si="129"/>
        <v>396</v>
      </c>
      <c r="DO97" s="161"/>
      <c r="DP97" s="161"/>
      <c r="DQ97" s="161"/>
      <c r="DR97" s="161"/>
      <c r="DS97" s="161"/>
      <c r="DT97" s="161"/>
      <c r="DU97" s="161"/>
      <c r="DV97" s="161"/>
      <c r="DW97" s="161"/>
      <c r="DX97" s="161"/>
      <c r="DY97" s="161"/>
      <c r="DZ97" s="161"/>
      <c r="EA97" s="161"/>
      <c r="EB97" s="161"/>
      <c r="EC97" s="161"/>
      <c r="ED97" s="161"/>
      <c r="EE97" s="161"/>
      <c r="EF97" s="161"/>
      <c r="EG97" s="161"/>
      <c r="EH97" s="161"/>
      <c r="EI97" s="161"/>
      <c r="EJ97" s="161"/>
      <c r="EK97" s="161"/>
      <c r="EL97" s="161"/>
      <c r="EM97" s="161"/>
      <c r="EN97" s="161"/>
      <c r="EO97" s="161"/>
      <c r="EP97" s="161"/>
      <c r="EQ97" s="161"/>
      <c r="ER97" s="161"/>
      <c r="ES97" s="161"/>
      <c r="ET97" s="161"/>
      <c r="EU97" s="161"/>
      <c r="EV97" s="161"/>
      <c r="EW97" s="161"/>
      <c r="EX97" s="161"/>
      <c r="EY97" s="161"/>
      <c r="EZ97" s="161"/>
      <c r="FA97" s="161"/>
      <c r="FB97" s="161"/>
      <c r="FC97" s="161"/>
      <c r="FD97" s="161"/>
      <c r="FE97" s="161"/>
      <c r="FF97" s="161"/>
      <c r="FG97" s="161"/>
      <c r="FH97" s="161"/>
      <c r="FI97" s="161"/>
      <c r="FJ97" s="161"/>
      <c r="FK97" s="161"/>
      <c r="FL97" s="161"/>
      <c r="FM97" s="161"/>
      <c r="FN97" s="161"/>
      <c r="FO97" s="161"/>
      <c r="FP97" s="161"/>
      <c r="FQ97" s="161"/>
      <c r="FR97" s="161"/>
      <c r="FS97" s="161"/>
      <c r="FT97" s="161"/>
      <c r="FU97" s="161"/>
      <c r="FV97" s="161"/>
      <c r="FW97" s="161"/>
      <c r="FX97" s="161"/>
      <c r="FY97" s="161"/>
      <c r="FZ97" s="161"/>
      <c r="GA97" s="161"/>
      <c r="GB97" s="161"/>
      <c r="GC97" s="161"/>
      <c r="GD97" s="161"/>
      <c r="GE97" s="161"/>
      <c r="GF97" s="161"/>
      <c r="GG97" s="161"/>
      <c r="GH97" s="161"/>
      <c r="GI97" s="161"/>
      <c r="GJ97" s="161"/>
      <c r="GK97" s="161"/>
      <c r="GL97" s="161"/>
      <c r="GM97" s="161"/>
      <c r="GN97" s="161"/>
      <c r="GO97" s="161"/>
      <c r="GP97" s="161"/>
      <c r="GQ97" s="161"/>
      <c r="GR97" s="161"/>
      <c r="GS97" s="161"/>
      <c r="GT97" s="161"/>
      <c r="GU97" s="161"/>
      <c r="GV97" s="161"/>
      <c r="GW97" s="161"/>
      <c r="GX97" s="161"/>
      <c r="GY97" s="161"/>
      <c r="GZ97" s="161"/>
      <c r="HA97" s="161"/>
      <c r="HB97" s="161"/>
      <c r="HC97" s="161"/>
      <c r="HD97" s="161"/>
      <c r="HE97" s="161"/>
      <c r="HF97" s="161"/>
      <c r="HG97" s="161"/>
      <c r="HH97" s="161"/>
      <c r="HI97" s="161"/>
      <c r="HJ97" s="161"/>
      <c r="HK97" s="161"/>
      <c r="HL97" s="161"/>
    </row>
    <row r="98" spans="1:220" x14ac:dyDescent="0.25">
      <c r="C98" s="103" t="s">
        <v>586</v>
      </c>
      <c r="I98" s="157">
        <f>I94-I100</f>
        <v>140.94632724624367</v>
      </c>
      <c r="J98" s="269">
        <f t="shared" ref="J98:BU98" si="130">J94-J100</f>
        <v>198</v>
      </c>
      <c r="K98" s="269">
        <f t="shared" si="130"/>
        <v>0</v>
      </c>
      <c r="L98" s="269">
        <f t="shared" si="130"/>
        <v>0</v>
      </c>
      <c r="M98" s="269">
        <f t="shared" si="130"/>
        <v>0</v>
      </c>
      <c r="N98" s="269">
        <f t="shared" si="130"/>
        <v>0</v>
      </c>
      <c r="O98" s="269">
        <f t="shared" si="130"/>
        <v>0</v>
      </c>
      <c r="P98" s="269">
        <f t="shared" si="130"/>
        <v>0</v>
      </c>
      <c r="Q98" s="269">
        <f t="shared" si="130"/>
        <v>0</v>
      </c>
      <c r="R98" s="269">
        <f t="shared" si="130"/>
        <v>0</v>
      </c>
      <c r="S98" s="269">
        <f t="shared" si="130"/>
        <v>0</v>
      </c>
      <c r="T98" s="269">
        <f t="shared" si="130"/>
        <v>0</v>
      </c>
      <c r="U98" s="269">
        <f t="shared" si="130"/>
        <v>0</v>
      </c>
      <c r="V98" s="269">
        <f t="shared" si="130"/>
        <v>0</v>
      </c>
      <c r="W98" s="269">
        <f t="shared" si="130"/>
        <v>149.78306953405698</v>
      </c>
      <c r="X98" s="269">
        <f t="shared" si="130"/>
        <v>138.43699438051215</v>
      </c>
      <c r="Y98" s="269">
        <f t="shared" si="130"/>
        <v>142.69399903643179</v>
      </c>
      <c r="Z98" s="269">
        <f t="shared" si="130"/>
        <v>141.47149983599061</v>
      </c>
      <c r="AA98" s="269">
        <f t="shared" si="130"/>
        <v>71.715671780257338</v>
      </c>
      <c r="AB98" s="269">
        <f t="shared" si="130"/>
        <v>146.55163687215781</v>
      </c>
      <c r="AC98" s="269">
        <f t="shared" si="130"/>
        <v>198</v>
      </c>
      <c r="AD98" s="269">
        <f t="shared" si="130"/>
        <v>141.07643975654813</v>
      </c>
      <c r="AE98" s="269">
        <f t="shared" si="130"/>
        <v>147.58683564767932</v>
      </c>
      <c r="AF98" s="269">
        <f t="shared" si="130"/>
        <v>198</v>
      </c>
      <c r="AG98" s="269">
        <f t="shared" si="130"/>
        <v>198</v>
      </c>
      <c r="AH98" s="269">
        <f t="shared" si="130"/>
        <v>32.661501401363182</v>
      </c>
      <c r="AI98" s="269">
        <f t="shared" si="130"/>
        <v>198</v>
      </c>
      <c r="AJ98" s="269">
        <f t="shared" si="130"/>
        <v>198</v>
      </c>
      <c r="AK98" s="269">
        <f t="shared" si="130"/>
        <v>198</v>
      </c>
      <c r="AL98" s="269">
        <f t="shared" si="130"/>
        <v>198</v>
      </c>
      <c r="AM98" s="269">
        <f t="shared" si="130"/>
        <v>198</v>
      </c>
      <c r="AN98" s="269">
        <f t="shared" si="130"/>
        <v>198</v>
      </c>
      <c r="AO98" s="269">
        <f t="shared" si="130"/>
        <v>136.25990355850183</v>
      </c>
      <c r="AP98" s="269">
        <f t="shared" si="130"/>
        <v>136.72439848856021</v>
      </c>
      <c r="AQ98" s="269">
        <f t="shared" si="130"/>
        <v>135.09139382323087</v>
      </c>
      <c r="AR98" s="269">
        <f t="shared" si="130"/>
        <v>144.91741040486522</v>
      </c>
      <c r="AS98" s="269">
        <f t="shared" si="130"/>
        <v>143.37538159894197</v>
      </c>
      <c r="AT98" s="269">
        <f t="shared" si="130"/>
        <v>139.41080483533617</v>
      </c>
      <c r="AU98" s="269">
        <f t="shared" si="130"/>
        <v>134.8761027744051</v>
      </c>
      <c r="AV98" s="269">
        <f t="shared" si="130"/>
        <v>140.22822022717764</v>
      </c>
      <c r="AW98" s="269">
        <f t="shared" si="130"/>
        <v>136.08774123605528</v>
      </c>
      <c r="AX98" s="269">
        <f t="shared" si="130"/>
        <v>118.1442516732037</v>
      </c>
      <c r="AY98" s="269">
        <f t="shared" si="130"/>
        <v>99.2356417020344</v>
      </c>
      <c r="AZ98" s="269">
        <f t="shared" si="130"/>
        <v>0</v>
      </c>
      <c r="BA98" s="269">
        <f t="shared" si="130"/>
        <v>0</v>
      </c>
      <c r="BB98" s="269">
        <f t="shared" si="130"/>
        <v>0</v>
      </c>
      <c r="BC98" s="269">
        <f t="shared" si="130"/>
        <v>0</v>
      </c>
      <c r="BD98" s="269">
        <f t="shared" si="130"/>
        <v>0</v>
      </c>
      <c r="BE98" s="269">
        <f t="shared" si="130"/>
        <v>0</v>
      </c>
      <c r="BF98" s="269">
        <f t="shared" si="130"/>
        <v>0</v>
      </c>
      <c r="BG98" s="269">
        <f t="shared" si="130"/>
        <v>0</v>
      </c>
      <c r="BH98" s="269">
        <f t="shared" si="130"/>
        <v>0</v>
      </c>
      <c r="BI98" s="269">
        <f t="shared" si="130"/>
        <v>198</v>
      </c>
      <c r="BJ98" s="269">
        <f t="shared" si="130"/>
        <v>198</v>
      </c>
      <c r="BK98" s="269">
        <f t="shared" si="130"/>
        <v>198</v>
      </c>
      <c r="BL98" s="269">
        <f t="shared" si="130"/>
        <v>198</v>
      </c>
      <c r="BM98" s="269">
        <f t="shared" si="130"/>
        <v>198</v>
      </c>
      <c r="BN98" s="269">
        <f t="shared" si="130"/>
        <v>198</v>
      </c>
      <c r="BO98" s="269">
        <f t="shared" si="130"/>
        <v>198</v>
      </c>
      <c r="BP98" s="269">
        <f t="shared" si="130"/>
        <v>0</v>
      </c>
      <c r="BQ98" s="269">
        <f t="shared" si="130"/>
        <v>0</v>
      </c>
      <c r="BR98" s="269">
        <f t="shared" si="130"/>
        <v>0</v>
      </c>
      <c r="BS98" s="269">
        <f t="shared" si="130"/>
        <v>0</v>
      </c>
      <c r="BT98" s="269">
        <f t="shared" si="130"/>
        <v>0</v>
      </c>
      <c r="BU98" s="269">
        <f t="shared" si="130"/>
        <v>0</v>
      </c>
      <c r="BV98" s="269">
        <f t="shared" ref="BV98:DN98" si="131">BV94-BV100</f>
        <v>0</v>
      </c>
      <c r="BW98" s="269">
        <f t="shared" si="131"/>
        <v>0</v>
      </c>
      <c r="BX98" s="269">
        <f t="shared" si="131"/>
        <v>0</v>
      </c>
      <c r="BY98" s="269">
        <f t="shared" si="131"/>
        <v>150.46632444672184</v>
      </c>
      <c r="BZ98" s="269">
        <f t="shared" si="131"/>
        <v>147.84153384398397</v>
      </c>
      <c r="CA98" s="269">
        <f t="shared" si="131"/>
        <v>148.28839169413615</v>
      </c>
      <c r="CB98" s="269">
        <f t="shared" si="131"/>
        <v>138.56825682504027</v>
      </c>
      <c r="CC98" s="269">
        <f t="shared" si="131"/>
        <v>122.35759924258066</v>
      </c>
      <c r="CD98" s="269">
        <f t="shared" si="131"/>
        <v>0</v>
      </c>
      <c r="CE98" s="269">
        <f t="shared" si="131"/>
        <v>0</v>
      </c>
      <c r="CF98" s="269">
        <f t="shared" si="131"/>
        <v>0</v>
      </c>
      <c r="CG98" s="269">
        <f t="shared" si="131"/>
        <v>0</v>
      </c>
      <c r="CH98" s="269">
        <f t="shared" si="131"/>
        <v>148.93567249623007</v>
      </c>
      <c r="CI98" s="269">
        <f t="shared" si="131"/>
        <v>148.54833345169567</v>
      </c>
      <c r="CJ98" s="269">
        <f t="shared" si="131"/>
        <v>150.48038484989604</v>
      </c>
      <c r="CK98" s="269">
        <f t="shared" si="131"/>
        <v>148.38114262054711</v>
      </c>
      <c r="CL98" s="269">
        <f t="shared" si="131"/>
        <v>144.84239720591862</v>
      </c>
      <c r="CM98" s="269">
        <f t="shared" si="131"/>
        <v>148.22021164835604</v>
      </c>
      <c r="CN98" s="269">
        <f t="shared" si="131"/>
        <v>148.65107093561585</v>
      </c>
      <c r="CO98" s="269">
        <f t="shared" si="131"/>
        <v>135.87784597159509</v>
      </c>
      <c r="CP98" s="269">
        <f t="shared" si="131"/>
        <v>137.56427492551515</v>
      </c>
      <c r="CQ98" s="269">
        <f t="shared" si="131"/>
        <v>128.42162101659511</v>
      </c>
      <c r="CR98" s="269">
        <f t="shared" si="131"/>
        <v>118.7831092583135</v>
      </c>
      <c r="CS98" s="269">
        <f t="shared" si="131"/>
        <v>0</v>
      </c>
      <c r="CT98" s="269">
        <f t="shared" si="131"/>
        <v>0</v>
      </c>
      <c r="CU98" s="269">
        <f t="shared" si="131"/>
        <v>0</v>
      </c>
      <c r="CV98" s="269">
        <f t="shared" si="131"/>
        <v>0</v>
      </c>
      <c r="CW98" s="269">
        <f t="shared" si="131"/>
        <v>0</v>
      </c>
      <c r="CX98" s="269">
        <f t="shared" si="131"/>
        <v>0</v>
      </c>
      <c r="CY98" s="269">
        <f t="shared" si="131"/>
        <v>0</v>
      </c>
      <c r="CZ98" s="269">
        <f t="shared" si="131"/>
        <v>0</v>
      </c>
      <c r="DA98" s="269">
        <f t="shared" si="131"/>
        <v>0</v>
      </c>
      <c r="DB98" s="269">
        <f t="shared" si="131"/>
        <v>198</v>
      </c>
      <c r="DC98" s="269">
        <f t="shared" si="131"/>
        <v>198</v>
      </c>
      <c r="DD98" s="269">
        <f t="shared" si="131"/>
        <v>198</v>
      </c>
      <c r="DE98" s="269">
        <f t="shared" si="131"/>
        <v>198</v>
      </c>
      <c r="DF98" s="269">
        <f t="shared" si="131"/>
        <v>198</v>
      </c>
      <c r="DG98" s="269">
        <f t="shared" si="131"/>
        <v>198</v>
      </c>
      <c r="DH98" s="269">
        <f t="shared" si="131"/>
        <v>198</v>
      </c>
      <c r="DI98" s="269">
        <f t="shared" si="131"/>
        <v>198</v>
      </c>
      <c r="DJ98" s="269">
        <f t="shared" si="131"/>
        <v>198</v>
      </c>
      <c r="DK98" s="269">
        <f t="shared" si="131"/>
        <v>198</v>
      </c>
      <c r="DL98" s="269">
        <f t="shared" si="131"/>
        <v>198</v>
      </c>
      <c r="DM98" s="269">
        <f t="shared" si="131"/>
        <v>198</v>
      </c>
      <c r="DN98" s="269">
        <f t="shared" si="131"/>
        <v>198</v>
      </c>
      <c r="DO98" s="269"/>
      <c r="DP98" s="269"/>
      <c r="DQ98" s="269"/>
      <c r="DR98" s="269"/>
      <c r="DS98" s="269"/>
      <c r="DT98" s="269"/>
      <c r="DU98" s="269"/>
      <c r="DV98" s="269"/>
      <c r="DW98" s="269"/>
      <c r="DX98" s="269"/>
      <c r="DY98" s="269"/>
      <c r="DZ98" s="269"/>
      <c r="EA98" s="269"/>
      <c r="EB98" s="269"/>
      <c r="EC98" s="269"/>
      <c r="ED98" s="269"/>
      <c r="EE98" s="269"/>
      <c r="EF98" s="269"/>
      <c r="EG98" s="269"/>
      <c r="EH98" s="269"/>
      <c r="EI98" s="269"/>
      <c r="EJ98" s="269"/>
      <c r="EK98" s="269"/>
      <c r="EL98" s="269"/>
      <c r="EM98" s="269"/>
      <c r="EN98" s="269"/>
      <c r="EO98" s="269"/>
      <c r="EP98" s="269"/>
      <c r="EQ98" s="269"/>
      <c r="ER98" s="269"/>
      <c r="ES98" s="269"/>
      <c r="ET98" s="269"/>
      <c r="EU98" s="269"/>
      <c r="EV98" s="269"/>
      <c r="EW98" s="269"/>
      <c r="EX98" s="269"/>
      <c r="EY98" s="269"/>
      <c r="EZ98" s="269"/>
      <c r="FA98" s="269"/>
      <c r="FB98" s="269"/>
      <c r="FC98" s="269"/>
      <c r="FD98" s="269"/>
      <c r="FE98" s="269"/>
      <c r="FF98" s="269"/>
      <c r="FG98" s="269"/>
      <c r="FH98" s="269"/>
      <c r="FI98" s="269"/>
      <c r="FJ98" s="269"/>
      <c r="FK98" s="269"/>
      <c r="FL98" s="269"/>
      <c r="FM98" s="269"/>
      <c r="FN98" s="269"/>
      <c r="FO98" s="269"/>
      <c r="FP98" s="269"/>
      <c r="FQ98" s="269"/>
      <c r="FR98" s="269"/>
      <c r="FS98" s="269"/>
      <c r="FT98" s="269"/>
      <c r="FU98" s="269"/>
      <c r="FV98" s="269"/>
      <c r="FW98" s="269"/>
      <c r="FX98" s="269"/>
      <c r="FY98" s="269"/>
      <c r="FZ98" s="269"/>
      <c r="GA98" s="269"/>
      <c r="GB98" s="269"/>
      <c r="GC98" s="269"/>
      <c r="GD98" s="269"/>
      <c r="GE98" s="269"/>
      <c r="GF98" s="269"/>
      <c r="GG98" s="269"/>
      <c r="GH98" s="269"/>
      <c r="GI98" s="269"/>
      <c r="GJ98" s="269"/>
      <c r="GK98" s="269"/>
      <c r="GL98" s="269"/>
      <c r="GM98" s="269"/>
      <c r="GN98" s="269"/>
      <c r="GO98" s="269"/>
      <c r="GP98" s="269"/>
      <c r="GQ98" s="269"/>
      <c r="GR98" s="269"/>
      <c r="GS98" s="269"/>
      <c r="GT98" s="269"/>
      <c r="GU98" s="269"/>
      <c r="GV98" s="269"/>
      <c r="GW98" s="269"/>
      <c r="GX98" s="269"/>
      <c r="GY98" s="269"/>
      <c r="GZ98" s="269"/>
      <c r="HA98" s="269"/>
      <c r="HB98" s="269"/>
      <c r="HC98" s="269"/>
      <c r="HD98" s="269"/>
      <c r="HE98" s="269"/>
      <c r="HF98" s="269"/>
      <c r="HG98" s="269"/>
      <c r="HH98" s="269"/>
      <c r="HI98" s="269"/>
      <c r="HJ98" s="269"/>
      <c r="HK98" s="269"/>
      <c r="HL98" s="269"/>
    </row>
    <row r="99" spans="1:220" x14ac:dyDescent="0.25">
      <c r="K99" s="44"/>
      <c r="L99" s="44"/>
      <c r="M99" s="44"/>
      <c r="N99" s="44"/>
      <c r="O99" s="44"/>
      <c r="P99" s="44"/>
      <c r="Q99" s="44"/>
      <c r="R99" s="44"/>
      <c r="S99" s="44"/>
      <c r="T99" s="44"/>
      <c r="U99" s="44"/>
      <c r="V99" s="44"/>
      <c r="W99" s="44"/>
    </row>
    <row r="100" spans="1:220" x14ac:dyDescent="0.25">
      <c r="C100" s="102" t="s">
        <v>584</v>
      </c>
      <c r="G100" s="77" t="s">
        <v>427</v>
      </c>
      <c r="I100" s="161">
        <f t="shared" ref="I100:AN100" si="132">(IF(I7="Residencial",I107,0))*I25</f>
        <v>15.603672753756355</v>
      </c>
      <c r="J100" s="161">
        <f t="shared" si="132"/>
        <v>0</v>
      </c>
      <c r="K100" s="161">
        <f t="shared" si="132"/>
        <v>0</v>
      </c>
      <c r="L100" s="161">
        <f t="shared" si="132"/>
        <v>0</v>
      </c>
      <c r="M100" s="161">
        <f t="shared" si="132"/>
        <v>0</v>
      </c>
      <c r="N100" s="161">
        <f t="shared" si="132"/>
        <v>0</v>
      </c>
      <c r="O100" s="161">
        <f t="shared" si="132"/>
        <v>0</v>
      </c>
      <c r="P100" s="161">
        <f t="shared" si="132"/>
        <v>0</v>
      </c>
      <c r="Q100" s="161">
        <f t="shared" si="132"/>
        <v>0</v>
      </c>
      <c r="R100" s="161">
        <f t="shared" si="132"/>
        <v>0</v>
      </c>
      <c r="S100" s="161">
        <f t="shared" si="132"/>
        <v>0</v>
      </c>
      <c r="T100" s="161">
        <f t="shared" si="132"/>
        <v>0</v>
      </c>
      <c r="U100" s="161">
        <f t="shared" si="132"/>
        <v>0</v>
      </c>
      <c r="V100" s="161">
        <f t="shared" si="132"/>
        <v>0</v>
      </c>
      <c r="W100" s="161">
        <f t="shared" si="132"/>
        <v>6.7669304659430214</v>
      </c>
      <c r="X100" s="161">
        <f t="shared" si="132"/>
        <v>18.113005619487854</v>
      </c>
      <c r="Y100" s="161">
        <f t="shared" si="132"/>
        <v>13.856000963568208</v>
      </c>
      <c r="Z100" s="161">
        <f t="shared" si="132"/>
        <v>15.078500164009396</v>
      </c>
      <c r="AA100" s="161">
        <f t="shared" si="132"/>
        <v>84.834328219742673</v>
      </c>
      <c r="AB100" s="161">
        <f t="shared" si="132"/>
        <v>9.9983631278421932</v>
      </c>
      <c r="AC100" s="161">
        <f t="shared" si="132"/>
        <v>0</v>
      </c>
      <c r="AD100" s="161">
        <f t="shared" si="132"/>
        <v>15.473560243451882</v>
      </c>
      <c r="AE100" s="161">
        <f t="shared" si="132"/>
        <v>8.9631643523206765</v>
      </c>
      <c r="AF100" s="161">
        <f t="shared" si="132"/>
        <v>0</v>
      </c>
      <c r="AG100" s="161">
        <f t="shared" si="132"/>
        <v>0</v>
      </c>
      <c r="AH100" s="161">
        <f t="shared" si="132"/>
        <v>123.88849859863683</v>
      </c>
      <c r="AI100" s="161">
        <f t="shared" si="132"/>
        <v>0</v>
      </c>
      <c r="AJ100" s="161">
        <f t="shared" si="132"/>
        <v>0</v>
      </c>
      <c r="AK100" s="161">
        <f t="shared" si="132"/>
        <v>0</v>
      </c>
      <c r="AL100" s="161">
        <f t="shared" si="132"/>
        <v>0</v>
      </c>
      <c r="AM100" s="161">
        <f t="shared" si="132"/>
        <v>0</v>
      </c>
      <c r="AN100" s="161">
        <f t="shared" si="132"/>
        <v>0</v>
      </c>
      <c r="AO100" s="161">
        <f t="shared" ref="AO100:BT100" si="133">(IF(AO7="Residencial",AO107,0))*AO25</f>
        <v>20.290096441498168</v>
      </c>
      <c r="AP100" s="161">
        <f t="shared" si="133"/>
        <v>19.825601511439789</v>
      </c>
      <c r="AQ100" s="161">
        <f t="shared" si="133"/>
        <v>21.458606176769131</v>
      </c>
      <c r="AR100" s="161">
        <f t="shared" si="133"/>
        <v>11.632589595134796</v>
      </c>
      <c r="AS100" s="161">
        <f t="shared" si="133"/>
        <v>13.174618401058035</v>
      </c>
      <c r="AT100" s="161">
        <f t="shared" si="133"/>
        <v>17.139195164663853</v>
      </c>
      <c r="AU100" s="161">
        <f t="shared" si="133"/>
        <v>21.673897225594924</v>
      </c>
      <c r="AV100" s="161">
        <f t="shared" si="133"/>
        <v>16.321779772822371</v>
      </c>
      <c r="AW100" s="161">
        <f t="shared" si="133"/>
        <v>20.462258763944728</v>
      </c>
      <c r="AX100" s="161">
        <f t="shared" si="133"/>
        <v>38.405748326796314</v>
      </c>
      <c r="AY100" s="161">
        <f t="shared" si="133"/>
        <v>57.314358297965612</v>
      </c>
      <c r="AZ100" s="161">
        <f t="shared" si="133"/>
        <v>0</v>
      </c>
      <c r="BA100" s="161">
        <f t="shared" si="133"/>
        <v>0</v>
      </c>
      <c r="BB100" s="161">
        <f t="shared" si="133"/>
        <v>0</v>
      </c>
      <c r="BC100" s="161">
        <f t="shared" si="133"/>
        <v>0</v>
      </c>
      <c r="BD100" s="161">
        <f t="shared" si="133"/>
        <v>0</v>
      </c>
      <c r="BE100" s="161">
        <f t="shared" si="133"/>
        <v>0</v>
      </c>
      <c r="BF100" s="161">
        <f t="shared" si="133"/>
        <v>0</v>
      </c>
      <c r="BG100" s="161">
        <f t="shared" si="133"/>
        <v>0</v>
      </c>
      <c r="BH100" s="161">
        <f t="shared" si="133"/>
        <v>0</v>
      </c>
      <c r="BI100" s="161">
        <f t="shared" si="133"/>
        <v>0</v>
      </c>
      <c r="BJ100" s="161">
        <f t="shared" si="133"/>
        <v>0</v>
      </c>
      <c r="BK100" s="161">
        <f t="shared" si="133"/>
        <v>0</v>
      </c>
      <c r="BL100" s="161">
        <f t="shared" si="133"/>
        <v>0</v>
      </c>
      <c r="BM100" s="161">
        <f t="shared" si="133"/>
        <v>0</v>
      </c>
      <c r="BN100" s="161">
        <f t="shared" si="133"/>
        <v>0</v>
      </c>
      <c r="BO100" s="161">
        <f t="shared" si="133"/>
        <v>0</v>
      </c>
      <c r="BP100" s="161">
        <f t="shared" si="133"/>
        <v>0</v>
      </c>
      <c r="BQ100" s="161">
        <f t="shared" si="133"/>
        <v>0</v>
      </c>
      <c r="BR100" s="161">
        <f t="shared" si="133"/>
        <v>0</v>
      </c>
      <c r="BS100" s="161">
        <f t="shared" si="133"/>
        <v>0</v>
      </c>
      <c r="BT100" s="161">
        <f t="shared" si="133"/>
        <v>0</v>
      </c>
      <c r="BU100" s="161">
        <f t="shared" ref="BU100:CZ100" si="134">(IF(BU7="Residencial",BU107,0))*BU25</f>
        <v>0</v>
      </c>
      <c r="BV100" s="161">
        <f t="shared" si="134"/>
        <v>0</v>
      </c>
      <c r="BW100" s="161">
        <f t="shared" si="134"/>
        <v>0</v>
      </c>
      <c r="BX100" s="161">
        <f t="shared" si="134"/>
        <v>0</v>
      </c>
      <c r="BY100" s="161">
        <f t="shared" si="134"/>
        <v>6.0836755532781792</v>
      </c>
      <c r="BZ100" s="161">
        <f t="shared" si="134"/>
        <v>8.7084661560160459</v>
      </c>
      <c r="CA100" s="161">
        <f t="shared" si="134"/>
        <v>8.2616083058638541</v>
      </c>
      <c r="CB100" s="161">
        <f t="shared" si="134"/>
        <v>17.981743174959746</v>
      </c>
      <c r="CC100" s="161">
        <f t="shared" si="134"/>
        <v>34.19240075741935</v>
      </c>
      <c r="CD100" s="161">
        <f t="shared" si="134"/>
        <v>0</v>
      </c>
      <c r="CE100" s="161">
        <f t="shared" si="134"/>
        <v>0</v>
      </c>
      <c r="CF100" s="161">
        <f t="shared" si="134"/>
        <v>0</v>
      </c>
      <c r="CG100" s="161">
        <f t="shared" si="134"/>
        <v>0</v>
      </c>
      <c r="CH100" s="161">
        <f t="shared" si="134"/>
        <v>7.614327503769946</v>
      </c>
      <c r="CI100" s="161">
        <f t="shared" si="134"/>
        <v>8.0016665483043301</v>
      </c>
      <c r="CJ100" s="161">
        <f t="shared" si="134"/>
        <v>6.069615150103969</v>
      </c>
      <c r="CK100" s="161">
        <f t="shared" si="134"/>
        <v>8.1688573794529162</v>
      </c>
      <c r="CL100" s="161">
        <f t="shared" si="134"/>
        <v>11.707602794081399</v>
      </c>
      <c r="CM100" s="161">
        <f t="shared" si="134"/>
        <v>8.3297883516439839</v>
      </c>
      <c r="CN100" s="161">
        <f t="shared" si="134"/>
        <v>7.8989290643841752</v>
      </c>
      <c r="CO100" s="161">
        <f t="shared" si="134"/>
        <v>20.672154028404911</v>
      </c>
      <c r="CP100" s="161">
        <f t="shared" si="134"/>
        <v>18.985725074484851</v>
      </c>
      <c r="CQ100" s="161">
        <f t="shared" si="134"/>
        <v>28.128378983404893</v>
      </c>
      <c r="CR100" s="161">
        <f t="shared" si="134"/>
        <v>37.76689074168651</v>
      </c>
      <c r="CS100" s="161">
        <f t="shared" si="134"/>
        <v>0</v>
      </c>
      <c r="CT100" s="161">
        <f t="shared" si="134"/>
        <v>0</v>
      </c>
      <c r="CU100" s="161">
        <f t="shared" si="134"/>
        <v>0</v>
      </c>
      <c r="CV100" s="161">
        <f t="shared" si="134"/>
        <v>0</v>
      </c>
      <c r="CW100" s="161">
        <f t="shared" si="134"/>
        <v>0</v>
      </c>
      <c r="CX100" s="161">
        <f t="shared" si="134"/>
        <v>0</v>
      </c>
      <c r="CY100" s="161">
        <f t="shared" si="134"/>
        <v>0</v>
      </c>
      <c r="CZ100" s="161">
        <f t="shared" si="134"/>
        <v>0</v>
      </c>
      <c r="DA100" s="161">
        <f t="shared" ref="DA100:DN100" si="135">(IF(DA7="Residencial",DA107,0))*DA25</f>
        <v>0</v>
      </c>
      <c r="DB100" s="161">
        <f t="shared" si="135"/>
        <v>0</v>
      </c>
      <c r="DC100" s="161">
        <f t="shared" si="135"/>
        <v>0</v>
      </c>
      <c r="DD100" s="161">
        <f t="shared" si="135"/>
        <v>0</v>
      </c>
      <c r="DE100" s="161">
        <f t="shared" si="135"/>
        <v>0</v>
      </c>
      <c r="DF100" s="161">
        <f t="shared" si="135"/>
        <v>0</v>
      </c>
      <c r="DG100" s="161">
        <f t="shared" si="135"/>
        <v>0</v>
      </c>
      <c r="DH100" s="161">
        <f t="shared" si="135"/>
        <v>0</v>
      </c>
      <c r="DI100" s="161">
        <f t="shared" si="135"/>
        <v>0</v>
      </c>
      <c r="DJ100" s="161">
        <f t="shared" si="135"/>
        <v>0</v>
      </c>
      <c r="DK100" s="161">
        <f t="shared" si="135"/>
        <v>0</v>
      </c>
      <c r="DL100" s="161">
        <f t="shared" si="135"/>
        <v>0</v>
      </c>
      <c r="DM100" s="161">
        <f t="shared" si="135"/>
        <v>0</v>
      </c>
      <c r="DN100" s="161">
        <f t="shared" si="135"/>
        <v>0</v>
      </c>
      <c r="DO100" s="161"/>
      <c r="DP100" s="161"/>
      <c r="DQ100" s="161"/>
      <c r="DR100" s="161"/>
      <c r="DS100" s="161"/>
      <c r="DT100" s="161"/>
      <c r="DU100" s="161"/>
      <c r="DV100" s="161"/>
      <c r="DW100" s="161"/>
      <c r="DX100" s="161"/>
      <c r="DY100" s="161"/>
      <c r="DZ100" s="161"/>
      <c r="EA100" s="161"/>
      <c r="EB100" s="161"/>
      <c r="EC100" s="161"/>
      <c r="ED100" s="161"/>
      <c r="EE100" s="161"/>
      <c r="EF100" s="161"/>
      <c r="EG100" s="161"/>
      <c r="EH100" s="161"/>
      <c r="EI100" s="161"/>
      <c r="EJ100" s="161"/>
      <c r="EK100" s="161"/>
      <c r="EL100" s="161"/>
      <c r="EM100" s="161"/>
      <c r="EN100" s="161"/>
      <c r="EO100" s="161"/>
      <c r="EP100" s="161"/>
      <c r="EQ100" s="161"/>
      <c r="ER100" s="161"/>
      <c r="ES100" s="161"/>
      <c r="ET100" s="161"/>
      <c r="EU100" s="161"/>
      <c r="EV100" s="161"/>
      <c r="EW100" s="161"/>
      <c r="EX100" s="161"/>
      <c r="EY100" s="161"/>
      <c r="EZ100" s="161"/>
      <c r="FA100" s="161"/>
      <c r="FB100" s="161"/>
      <c r="FC100" s="161"/>
      <c r="FD100" s="161"/>
      <c r="FE100" s="161"/>
      <c r="FF100" s="161"/>
      <c r="FG100" s="161"/>
      <c r="FH100" s="161"/>
      <c r="FI100" s="161"/>
      <c r="FJ100" s="161"/>
      <c r="FK100" s="161"/>
      <c r="FL100" s="161"/>
      <c r="FM100" s="161"/>
      <c r="FN100" s="161"/>
      <c r="FO100" s="161"/>
      <c r="FP100" s="161"/>
      <c r="FQ100" s="161"/>
      <c r="FR100" s="161"/>
      <c r="FS100" s="161"/>
      <c r="FT100" s="161"/>
      <c r="FU100" s="161"/>
      <c r="FV100" s="161"/>
      <c r="FW100" s="161"/>
      <c r="FX100" s="161"/>
      <c r="FY100" s="161"/>
      <c r="FZ100" s="161"/>
      <c r="GA100" s="161"/>
      <c r="GB100" s="161"/>
      <c r="GC100" s="161"/>
      <c r="GD100" s="161"/>
      <c r="GE100" s="161"/>
      <c r="GF100" s="161"/>
      <c r="GG100" s="161"/>
      <c r="GH100" s="161"/>
      <c r="GI100" s="161"/>
      <c r="GJ100" s="161"/>
      <c r="GK100" s="161"/>
      <c r="GL100" s="161"/>
      <c r="GM100" s="161"/>
      <c r="GN100" s="161"/>
      <c r="GO100" s="161"/>
      <c r="GP100" s="161"/>
      <c r="GQ100" s="161"/>
      <c r="GR100" s="161"/>
      <c r="GS100" s="161"/>
      <c r="GT100" s="161"/>
      <c r="GU100" s="161"/>
      <c r="GV100" s="161"/>
      <c r="GW100" s="161"/>
      <c r="GX100" s="161"/>
      <c r="GY100" s="161"/>
      <c r="GZ100" s="161"/>
      <c r="HA100" s="161"/>
      <c r="HB100" s="161"/>
      <c r="HC100" s="161"/>
      <c r="HD100" s="161"/>
      <c r="HE100" s="161"/>
      <c r="HF100" s="161"/>
      <c r="HG100" s="161"/>
      <c r="HH100" s="161"/>
      <c r="HI100" s="161"/>
      <c r="HJ100" s="161"/>
      <c r="HK100" s="161"/>
      <c r="HL100" s="161"/>
    </row>
    <row r="101" spans="1:220" x14ac:dyDescent="0.25">
      <c r="K101" s="44"/>
      <c r="L101" s="44"/>
      <c r="M101" s="44"/>
      <c r="N101" s="44"/>
      <c r="O101" s="44"/>
      <c r="P101" s="44"/>
      <c r="Q101" s="44"/>
      <c r="R101" s="44"/>
      <c r="S101" s="44"/>
      <c r="T101" s="44"/>
      <c r="U101" s="44"/>
      <c r="V101" s="44"/>
      <c r="W101" s="44"/>
    </row>
    <row r="102" spans="1:220" s="44" customFormat="1" x14ac:dyDescent="0.25">
      <c r="C102" s="103" t="s">
        <v>589</v>
      </c>
      <c r="G102" s="77" t="s">
        <v>161</v>
      </c>
      <c r="I102" s="501">
        <v>100</v>
      </c>
      <c r="J102" s="501">
        <v>0</v>
      </c>
      <c r="K102" s="99">
        <f>IFERROR(VLOOKUP(K$8,'Info planes y paquetes'!$A$472:$BS$579,9,FALSE),0)</f>
        <v>0</v>
      </c>
      <c r="L102" s="99">
        <f>IFERROR(VLOOKUP(L$8,'Info planes y paquetes'!$A$472:$BS$579,9,FALSE),0)</f>
        <v>0</v>
      </c>
      <c r="M102" s="99">
        <f>IFERROR(VLOOKUP(M$8,'Info planes y paquetes'!$A$472:$BS$579,9,FALSE),0)</f>
        <v>0</v>
      </c>
      <c r="N102" s="99">
        <f>IFERROR(VLOOKUP(N$8,'Info planes y paquetes'!$A$472:$BS$579,9,FALSE),0)</f>
        <v>0</v>
      </c>
      <c r="O102" s="99">
        <f>IFERROR(VLOOKUP(O$8,'Info planes y paquetes'!$A$472:$BS$579,9,FALSE),0)</f>
        <v>0</v>
      </c>
      <c r="P102" s="99">
        <f>IFERROR(VLOOKUP(P$8,'Info planes y paquetes'!$A$472:$BS$579,9,FALSE),0)</f>
        <v>0</v>
      </c>
      <c r="Q102" s="99">
        <f>IFERROR(VLOOKUP(Q$8,'Info planes y paquetes'!$A$472:$BS$579,9,FALSE),0)</f>
        <v>0</v>
      </c>
      <c r="R102" s="99">
        <f>IFERROR(VLOOKUP(R$8,'Info planes y paquetes'!$A$472:$BS$579,9,FALSE),0)</f>
        <v>0</v>
      </c>
      <c r="S102" s="99">
        <f>IFERROR(VLOOKUP(S$8,'Info planes y paquetes'!$A$472:$BS$579,9,FALSE),0)</f>
        <v>0</v>
      </c>
      <c r="T102" s="99">
        <f>IFERROR(VLOOKUP(T$8,'Info planes y paquetes'!$A$472:$BS$579,9,FALSE),0)</f>
        <v>0</v>
      </c>
      <c r="U102" s="99">
        <f>IFERROR(VLOOKUP(U$8,'Info planes y paquetes'!$A$472:$BS$579,9,FALSE),0)</f>
        <v>0</v>
      </c>
      <c r="V102" s="99">
        <f>IFERROR(VLOOKUP(V$8,'Info planes y paquetes'!$A$472:$BS$579,9,FALSE),0)</f>
        <v>0</v>
      </c>
      <c r="W102" s="99">
        <f>IFERROR(VLOOKUP(W$8,'Info planes y paquetes'!$A$472:$BS$579,9,FALSE),0)</f>
        <v>100</v>
      </c>
      <c r="X102" s="99">
        <f>IFERROR(VLOOKUP(X$8,'Info planes y paquetes'!$A$472:$BS$579,9,FALSE),0)</f>
        <v>200</v>
      </c>
      <c r="Y102" s="99" t="str">
        <f>IFERROR(VLOOKUP(Y$8,'Info planes y paquetes'!$A$472:$BS$579,9,FALSE),0)</f>
        <v>Ilimitadas</v>
      </c>
      <c r="Z102" s="99" t="str">
        <f>IFERROR(VLOOKUP(Z$8,'Info planes y paquetes'!$A$472:$BS$579,9,FALSE),0)</f>
        <v>Ilimitadas</v>
      </c>
      <c r="AA102" s="99" t="str">
        <f>IFERROR(VLOOKUP(AA$8,'Info planes y paquetes'!$A$472:$BS$579,9,FALSE),0)</f>
        <v>Ilimitadas</v>
      </c>
      <c r="AB102" s="99" t="str">
        <f>IFERROR(VLOOKUP(AB$8,'Info planes y paquetes'!$A$472:$BS$579,9,FALSE),0)</f>
        <v>Ilimitadas</v>
      </c>
      <c r="AC102" s="99" t="str">
        <f>IFERROR(VLOOKUP(AC$8,'Info planes y paquetes'!$A$472:$BS$579,9,FALSE),0)</f>
        <v>Ilimitadas</v>
      </c>
      <c r="AD102" s="99" t="str">
        <f>IFERROR(VLOOKUP(AD$8,'Info planes y paquetes'!$A$472:$BS$579,9,FALSE),0)</f>
        <v>Ilimitadas</v>
      </c>
      <c r="AE102" s="99" t="str">
        <f>IFERROR(VLOOKUP(AE$8,'Info planes y paquetes'!$A$472:$BS$579,9,FALSE),0)</f>
        <v>Ilimitadas</v>
      </c>
      <c r="AF102" s="99" t="str">
        <f>IFERROR(VLOOKUP(AF$8,'Info planes y paquetes'!$A$472:$BS$579,9,FALSE),0)</f>
        <v>Ilimitadas</v>
      </c>
      <c r="AG102" s="99" t="str">
        <f>IFERROR(VLOOKUP(AG$8,'Info planes y paquetes'!$A$472:$BS$579,9,FALSE),0)</f>
        <v>Ilimitadas</v>
      </c>
      <c r="AH102" s="99" t="str">
        <f>IFERROR(VLOOKUP(AH$8,'Info planes y paquetes'!$A$472:$BS$579,9,FALSE),0)</f>
        <v>Ilimitadas</v>
      </c>
      <c r="AI102" s="99" t="str">
        <f>IFERROR(VLOOKUP(AI$8,'Info planes y paquetes'!$A$472:$BS$579,9,FALSE),0)</f>
        <v>Ilimitadas</v>
      </c>
      <c r="AJ102" s="99" t="str">
        <f>IFERROR(VLOOKUP(AJ$8,'Info planes y paquetes'!$A$472:$BS$579,9,FALSE),0)</f>
        <v>Ilimitadas</v>
      </c>
      <c r="AK102" s="99" t="str">
        <f>IFERROR(VLOOKUP(AK$8,'Info planes y paquetes'!$A$472:$BS$579,9,FALSE),0)</f>
        <v>Ilimitadas</v>
      </c>
      <c r="AL102" s="99">
        <f>IFERROR(VLOOKUP(AL$8,'Info planes y paquetes'!$A$472:$BS$579,9,FALSE),0)</f>
        <v>0</v>
      </c>
      <c r="AM102" s="99">
        <f>IFERROR(VLOOKUP(AM$8,'Info planes y paquetes'!$A$472:$BS$579,9,FALSE),0)</f>
        <v>0</v>
      </c>
      <c r="AN102" s="99">
        <f>IFERROR(VLOOKUP(AN$8,'Info planes y paquetes'!$A$472:$BS$579,9,FALSE),0)</f>
        <v>0</v>
      </c>
      <c r="AO102" s="99" t="str">
        <f>IFERROR(VLOOKUP(AO$8,'Info planes y paquetes'!$A$472:$BS$579,9,FALSE),0)</f>
        <v>Ilimitadas</v>
      </c>
      <c r="AP102" s="99" t="str">
        <f>IFERROR(VLOOKUP(AP$8,'Info planes y paquetes'!$A$472:$BS$579,9,FALSE),0)</f>
        <v>Ilimitadas</v>
      </c>
      <c r="AQ102" s="99" t="str">
        <f>IFERROR(VLOOKUP(AQ$8,'Info planes y paquetes'!$A$472:$BS$579,9,FALSE),0)</f>
        <v>Ilimitadas</v>
      </c>
      <c r="AR102" s="99" t="str">
        <f>IFERROR(VLOOKUP(AR$8,'Info planes y paquetes'!$A$472:$BS$579,9,FALSE),0)</f>
        <v>Ilimitadas</v>
      </c>
      <c r="AS102" s="99" t="str">
        <f>IFERROR(VLOOKUP(AS$8,'Info planes y paquetes'!$A$472:$BS$579,9,FALSE),0)</f>
        <v>Ilimitadas</v>
      </c>
      <c r="AT102" s="99" t="str">
        <f>IFERROR(VLOOKUP(AT$8,'Info planes y paquetes'!$A$472:$BS$579,9,FALSE),0)</f>
        <v>Ilimitadas</v>
      </c>
      <c r="AU102" s="99" t="str">
        <f>IFERROR(VLOOKUP(AU$8,'Info planes y paquetes'!$A$472:$BS$579,9,FALSE),0)</f>
        <v>Ilimitadas</v>
      </c>
      <c r="AV102" s="99" t="str">
        <f>IFERROR(VLOOKUP(AV$8,'Info planes y paquetes'!$A$472:$BS$579,9,FALSE),0)</f>
        <v>Ilimitadas</v>
      </c>
      <c r="AW102" s="99" t="str">
        <f>IFERROR(VLOOKUP(AW$8,'Info planes y paquetes'!$A$472:$BS$579,9,FALSE),0)</f>
        <v>Ilimitadas</v>
      </c>
      <c r="AX102" s="99" t="str">
        <f>IFERROR(VLOOKUP(AX$8,'Info planes y paquetes'!$A$472:$BS$579,9,FALSE),0)</f>
        <v>Ilimitadas</v>
      </c>
      <c r="AY102" s="99" t="str">
        <f>IFERROR(VLOOKUP(AY$8,'Info planes y paquetes'!$A$472:$BS$579,9,FALSE),0)</f>
        <v>Ilimitadas</v>
      </c>
      <c r="AZ102" s="99">
        <f>IFERROR(VLOOKUP(AZ$8,'Info planes y paquetes'!$A$472:$BS$579,9,FALSE),0)</f>
        <v>0</v>
      </c>
      <c r="BA102" s="99">
        <f>IFERROR(VLOOKUP(BA$8,'Info planes y paquetes'!$A$472:$BS$579,9,FALSE),0)</f>
        <v>0</v>
      </c>
      <c r="BB102" s="99">
        <f>IFERROR(VLOOKUP(BB$8,'Info planes y paquetes'!$A$472:$BS$579,9,FALSE),0)</f>
        <v>0</v>
      </c>
      <c r="BC102" s="99">
        <f>IFERROR(VLOOKUP(BC$8,'Info planes y paquetes'!$A$472:$BS$579,9,FALSE),0)</f>
        <v>0</v>
      </c>
      <c r="BD102" s="99">
        <f>IFERROR(VLOOKUP(BD$8,'Info planes y paquetes'!$A$472:$BS$579,9,FALSE),0)</f>
        <v>0</v>
      </c>
      <c r="BE102" s="99">
        <f>IFERROR(VLOOKUP(BE$8,'Info planes y paquetes'!$A$472:$BS$579,9,FALSE),0)</f>
        <v>0</v>
      </c>
      <c r="BF102" s="99">
        <f>IFERROR(VLOOKUP(BF$8,'Info planes y paquetes'!$A$472:$BS$579,9,FALSE),0)</f>
        <v>0</v>
      </c>
      <c r="BG102" s="99">
        <f>IFERROR(VLOOKUP(BG$8,'Info planes y paquetes'!$A$472:$BS$579,9,FALSE),0)</f>
        <v>0</v>
      </c>
      <c r="BH102" s="99">
        <f>IFERROR(VLOOKUP(BH$8,'Info planes y paquetes'!$A$472:$BS$579,9,FALSE),0)</f>
        <v>0</v>
      </c>
      <c r="BI102" s="99" t="str">
        <f>IFERROR(VLOOKUP(BI$8,'Info planes y paquetes'!$A$472:$BS$579,9,FALSE),0)</f>
        <v>Ilimitadas</v>
      </c>
      <c r="BJ102" s="99" t="str">
        <f>IFERROR(VLOOKUP(BJ$8,'Info planes y paquetes'!$A$472:$BS$579,9,FALSE),0)</f>
        <v>Ilimitadas</v>
      </c>
      <c r="BK102" s="99" t="str">
        <f>IFERROR(VLOOKUP(BK$8,'Info planes y paquetes'!$A$472:$BS$579,9,FALSE),0)</f>
        <v>Ilimitadas</v>
      </c>
      <c r="BL102" s="99" t="str">
        <f>IFERROR(VLOOKUP(BL$8,'Info planes y paquetes'!$A$472:$BS$579,9,FALSE),0)</f>
        <v>Ilimitadas</v>
      </c>
      <c r="BM102" s="99" t="str">
        <f>IFERROR(VLOOKUP(BM$8,'Info planes y paquetes'!$A$472:$BS$579,9,FALSE),0)</f>
        <v>Ilimitadas</v>
      </c>
      <c r="BN102" s="99" t="str">
        <f>IFERROR(VLOOKUP(BN$8,'Info planes y paquetes'!$A$472:$BS$579,9,FALSE),0)</f>
        <v>Ilimitadas</v>
      </c>
      <c r="BO102" s="99" t="str">
        <f>IFERROR(VLOOKUP(BO$8,'Info planes y paquetes'!$A$472:$BS$579,9,FALSE),0)</f>
        <v>Ilimitadas</v>
      </c>
      <c r="BP102" s="99">
        <f>IFERROR(VLOOKUP(BP$8,'Info planes y paquetes'!$A$472:$BS$579,9,FALSE),0)</f>
        <v>0</v>
      </c>
      <c r="BQ102" s="99">
        <f>IFERROR(VLOOKUP(BQ$8,'Info planes y paquetes'!$A$472:$BS$579,9,FALSE),0)</f>
        <v>0</v>
      </c>
      <c r="BR102" s="99">
        <f>IFERROR(VLOOKUP(BR$8,'Info planes y paquetes'!$A$472:$BS$579,9,FALSE),0)</f>
        <v>0</v>
      </c>
      <c r="BS102" s="99">
        <f>IFERROR(VLOOKUP(BS$8,'Info planes y paquetes'!$A$472:$BS$579,9,FALSE),0)</f>
        <v>0</v>
      </c>
      <c r="BT102" s="99">
        <f>IFERROR(VLOOKUP(BT$8,'Info planes y paquetes'!$A$472:$BS$579,9,FALSE),0)</f>
        <v>0</v>
      </c>
      <c r="BU102" s="99">
        <f>IFERROR(VLOOKUP(BU$8,'Info planes y paquetes'!$A$472:$BS$579,9,FALSE),0)</f>
        <v>0</v>
      </c>
      <c r="BV102" s="99">
        <f>IFERROR(VLOOKUP(BV$8,'Info planes y paquetes'!$A$472:$BS$579,9,FALSE),0)</f>
        <v>0</v>
      </c>
      <c r="BW102" s="99">
        <f>IFERROR(VLOOKUP(BW$8,'Info planes y paquetes'!$A$472:$BS$579,9,FALSE),0)</f>
        <v>0</v>
      </c>
      <c r="BX102" s="99">
        <f>IFERROR(VLOOKUP(BX$8,'Info planes y paquetes'!$A$472:$BS$579,9,FALSE),0)</f>
        <v>0</v>
      </c>
      <c r="BY102" s="99" t="str">
        <f>IFERROR(VLOOKUP(BY$8,'Info planes y paquetes'!$A$472:$BS$579,9,FALSE),0)</f>
        <v>Ilimitadas</v>
      </c>
      <c r="BZ102" s="99" t="str">
        <f>IFERROR(VLOOKUP(BZ$8,'Info planes y paquetes'!$A$472:$BS$579,9,FALSE),0)</f>
        <v>Ilimitadas</v>
      </c>
      <c r="CA102" s="99" t="str">
        <f>IFERROR(VLOOKUP(CA$8,'Info planes y paquetes'!$A$472:$BS$579,9,FALSE),0)</f>
        <v>Ilimitadas</v>
      </c>
      <c r="CB102" s="99" t="str">
        <f>IFERROR(VLOOKUP(CB$8,'Info planes y paquetes'!$A$472:$BS$579,9,FALSE),0)</f>
        <v>Ilimitadas</v>
      </c>
      <c r="CC102" s="99" t="str">
        <f>IFERROR(VLOOKUP(CC$8,'Info planes y paquetes'!$A$472:$BS$579,9,FALSE),0)</f>
        <v>Ilimitadas</v>
      </c>
      <c r="CD102" s="99">
        <f>IFERROR(VLOOKUP(CD$8,'Info planes y paquetes'!$A$472:$BS$579,9,FALSE),0)</f>
        <v>0</v>
      </c>
      <c r="CE102" s="99">
        <f>IFERROR(VLOOKUP(CE$8,'Info planes y paquetes'!$A$472:$BS$579,9,FALSE),0)</f>
        <v>0</v>
      </c>
      <c r="CF102" s="99">
        <f>IFERROR(VLOOKUP(CF$8,'Info planes y paquetes'!$A$472:$BS$579,9,FALSE),0)</f>
        <v>0</v>
      </c>
      <c r="CG102" s="99">
        <f>IFERROR(VLOOKUP(CG$8,'Info planes y paquetes'!$A$472:$BS$579,9,FALSE),0)</f>
        <v>0</v>
      </c>
      <c r="CH102" s="99" t="str">
        <f>IFERROR(VLOOKUP(CH$8,'Info planes y paquetes'!$A$472:$BS$579,9,FALSE),0)</f>
        <v>Ilimitadas</v>
      </c>
      <c r="CI102" s="99" t="str">
        <f>IFERROR(VLOOKUP(CI$8,'Info planes y paquetes'!$A$472:$BS$579,9,FALSE),0)</f>
        <v>Ilimitadas</v>
      </c>
      <c r="CJ102" s="99" t="str">
        <f>IFERROR(VLOOKUP(CJ$8,'Info planes y paquetes'!$A$472:$BS$579,9,FALSE),0)</f>
        <v>Ilimitadas</v>
      </c>
      <c r="CK102" s="99" t="str">
        <f>IFERROR(VLOOKUP(CK$8,'Info planes y paquetes'!$A$472:$BS$579,9,FALSE),0)</f>
        <v>Ilimitadas</v>
      </c>
      <c r="CL102" s="99" t="str">
        <f>IFERROR(VLOOKUP(CL$8,'Info planes y paquetes'!$A$472:$BS$579,9,FALSE),0)</f>
        <v>Ilimitadas</v>
      </c>
      <c r="CM102" s="99" t="str">
        <f>IFERROR(VLOOKUP(CM$8,'Info planes y paquetes'!$A$472:$BS$579,9,FALSE),0)</f>
        <v>Ilimitadas</v>
      </c>
      <c r="CN102" s="99" t="str">
        <f>IFERROR(VLOOKUP(CN$8,'Info planes y paquetes'!$A$472:$BS$579,9,FALSE),0)</f>
        <v>Ilimitadas</v>
      </c>
      <c r="CO102" s="99" t="str">
        <f>IFERROR(VLOOKUP(CO$8,'Info planes y paquetes'!$A$472:$BS$579,9,FALSE),0)</f>
        <v>Ilimitadas</v>
      </c>
      <c r="CP102" s="99" t="str">
        <f>IFERROR(VLOOKUP(CP$8,'Info planes y paquetes'!$A$472:$BS$579,9,FALSE),0)</f>
        <v>Ilimitadas</v>
      </c>
      <c r="CQ102" s="99" t="str">
        <f>IFERROR(VLOOKUP(CQ$8,'Info planes y paquetes'!$A$472:$BS$579,9,FALSE),0)</f>
        <v>Ilimitadas</v>
      </c>
      <c r="CR102" s="99" t="str">
        <f>IFERROR(VLOOKUP(CR$8,'Info planes y paquetes'!$A$472:$BS$579,9,FALSE),0)</f>
        <v>Ilimitadas</v>
      </c>
      <c r="CS102" s="99">
        <f>IFERROR(VLOOKUP(CS$8,'Info planes y paquetes'!$A$472:$BS$579,9,FALSE),0)</f>
        <v>0</v>
      </c>
      <c r="CT102" s="99">
        <f>IFERROR(VLOOKUP(CT$8,'Info planes y paquetes'!$A$472:$BS$579,9,FALSE),0)</f>
        <v>0</v>
      </c>
      <c r="CU102" s="99">
        <f>IFERROR(VLOOKUP(CU$8,'Info planes y paquetes'!$A$472:$BS$579,9,FALSE),0)</f>
        <v>0</v>
      </c>
      <c r="CV102" s="99">
        <f>IFERROR(VLOOKUP(CV$8,'Info planes y paquetes'!$A$472:$BS$579,9,FALSE),0)</f>
        <v>0</v>
      </c>
      <c r="CW102" s="99">
        <f>IFERROR(VLOOKUP(CW$8,'Info planes y paquetes'!$A$472:$BS$579,9,FALSE),0)</f>
        <v>0</v>
      </c>
      <c r="CX102" s="99">
        <f>IFERROR(VLOOKUP(CX$8,'Info planes y paquetes'!$A$472:$BS$579,9,FALSE),0)</f>
        <v>0</v>
      </c>
      <c r="CY102" s="99">
        <f>IFERROR(VLOOKUP(CY$8,'Info planes y paquetes'!$A$472:$BS$579,9,FALSE),0)</f>
        <v>0</v>
      </c>
      <c r="CZ102" s="99">
        <f>IFERROR(VLOOKUP(CZ$8,'Info planes y paquetes'!$A$472:$BS$579,9,FALSE),0)</f>
        <v>0</v>
      </c>
      <c r="DA102" s="99">
        <f>IFERROR(VLOOKUP(DA$8,'Info planes y paquetes'!$A$472:$BS$579,9,FALSE),0)</f>
        <v>0</v>
      </c>
      <c r="DB102" s="99" t="str">
        <f>IFERROR(VLOOKUP(DB$8,'Info planes y paquetes'!$A$472:$BS$579,9,FALSE),0)</f>
        <v>Ilimitadas</v>
      </c>
      <c r="DC102" s="99" t="str">
        <f>IFERROR(VLOOKUP(DC$8,'Info planes y paquetes'!$A$472:$BS$579,9,FALSE),0)</f>
        <v>Ilimitadas</v>
      </c>
      <c r="DD102" s="99" t="str">
        <f>IFERROR(VLOOKUP(DD$8,'Info planes y paquetes'!$A$472:$BS$579,9,FALSE),0)</f>
        <v>Ilimitadas</v>
      </c>
      <c r="DE102" s="99" t="str">
        <f>IFERROR(VLOOKUP(DE$8,'Info planes y paquetes'!$A$472:$BS$579,9,FALSE),0)</f>
        <v>Ilimitadas</v>
      </c>
      <c r="DF102" s="99" t="str">
        <f>IFERROR(VLOOKUP(DF$8,'Info planes y paquetes'!$A$472:$BS$579,9,FALSE),0)</f>
        <v>Ilimitadas</v>
      </c>
      <c r="DG102" s="99" t="str">
        <f>IFERROR(VLOOKUP(DG$8,'Info planes y paquetes'!$A$472:$BS$579,9,FALSE),0)</f>
        <v>Ilimitadas</v>
      </c>
      <c r="DH102" s="99" t="str">
        <f>IFERROR(VLOOKUP(DH$8,'Info planes y paquetes'!$A$472:$BS$579,9,FALSE),0)</f>
        <v>Ilimitadas</v>
      </c>
      <c r="DI102" s="99" t="str">
        <f>IFERROR(VLOOKUP(DI$8,'Info planes y paquetes'!$A$472:$BS$579,9,FALSE),0)</f>
        <v>Ilimitadas</v>
      </c>
      <c r="DJ102" s="99" t="str">
        <f>IFERROR(VLOOKUP(DJ$8,'Info planes y paquetes'!$A$472:$BS$579,9,FALSE),0)</f>
        <v>Ilimitadas</v>
      </c>
      <c r="DK102" s="99" t="str">
        <f>IFERROR(VLOOKUP(DK$8,'Info planes y paquetes'!$A$472:$BS$579,9,FALSE),0)</f>
        <v>Ilimitadas</v>
      </c>
      <c r="DL102" s="99" t="str">
        <f>IFERROR(VLOOKUP(DL$8,'Info planes y paquetes'!$A$472:$BS$579,9,FALSE),0)</f>
        <v>Ilimitadas</v>
      </c>
      <c r="DM102" s="99" t="str">
        <f>IFERROR(VLOOKUP(DM$8,'Info planes y paquetes'!$A$472:$BS$579,9,FALSE),0)</f>
        <v>Ilimitadas</v>
      </c>
      <c r="DN102" s="99" t="str">
        <f>IFERROR(VLOOKUP(DN$8,'Info planes y paquetes'!$A$472:$BS$579,9,FALSE),0)</f>
        <v>Ilimitadas</v>
      </c>
      <c r="DO102" s="99"/>
      <c r="DP102" s="99"/>
      <c r="DQ102" s="99"/>
      <c r="DR102" s="99"/>
      <c r="DS102" s="99"/>
      <c r="DT102" s="99"/>
      <c r="DU102" s="99"/>
      <c r="DV102" s="99"/>
      <c r="DW102" s="99"/>
      <c r="DX102" s="99"/>
      <c r="DY102" s="99"/>
      <c r="DZ102" s="99"/>
      <c r="EA102" s="99"/>
      <c r="EB102" s="99"/>
      <c r="EC102" s="99"/>
      <c r="ED102" s="99"/>
      <c r="EE102" s="99"/>
      <c r="EF102" s="99"/>
      <c r="EG102" s="99"/>
      <c r="EH102" s="99"/>
      <c r="EI102" s="99"/>
      <c r="EJ102" s="99"/>
      <c r="EK102" s="99"/>
      <c r="EL102" s="99"/>
      <c r="EM102" s="99"/>
      <c r="EN102" s="99"/>
      <c r="EO102" s="99"/>
      <c r="EP102" s="99"/>
      <c r="EQ102" s="99"/>
      <c r="ER102" s="99"/>
      <c r="ES102" s="99"/>
      <c r="ET102" s="99"/>
      <c r="EU102" s="99"/>
      <c r="EV102" s="99"/>
      <c r="EW102" s="99"/>
      <c r="EX102" s="99"/>
      <c r="EY102" s="99"/>
      <c r="EZ102" s="99"/>
      <c r="FA102" s="99"/>
      <c r="FB102" s="99"/>
      <c r="FC102" s="99"/>
      <c r="FD102" s="99"/>
      <c r="FE102" s="99"/>
      <c r="FF102" s="99"/>
      <c r="FG102" s="99"/>
      <c r="FH102" s="99"/>
      <c r="FI102" s="99"/>
      <c r="FJ102" s="99"/>
      <c r="FK102" s="99"/>
      <c r="FL102" s="99"/>
      <c r="FM102" s="99"/>
      <c r="FN102" s="99"/>
      <c r="FO102" s="99"/>
      <c r="FP102" s="99"/>
      <c r="FQ102" s="99"/>
      <c r="FR102" s="99"/>
      <c r="FS102" s="99"/>
      <c r="FT102" s="99"/>
      <c r="FU102" s="99"/>
      <c r="FV102" s="99"/>
      <c r="FW102" s="99"/>
      <c r="FX102" s="99"/>
      <c r="FY102" s="99"/>
      <c r="FZ102" s="99"/>
      <c r="GA102" s="99"/>
      <c r="GB102" s="99"/>
      <c r="GC102" s="99"/>
      <c r="GD102" s="99"/>
      <c r="GE102" s="99"/>
      <c r="GF102" s="99"/>
      <c r="GG102" s="99"/>
      <c r="GH102" s="99"/>
      <c r="GI102" s="99"/>
      <c r="GJ102" s="99"/>
      <c r="GK102" s="99"/>
      <c r="GL102" s="99"/>
      <c r="GM102" s="99"/>
      <c r="GN102" s="99"/>
      <c r="GO102" s="99"/>
      <c r="GP102" s="99"/>
      <c r="GQ102" s="99"/>
      <c r="GR102" s="99"/>
      <c r="GS102" s="99"/>
      <c r="GT102" s="99"/>
      <c r="GU102" s="99"/>
      <c r="GV102" s="99"/>
      <c r="GW102" s="99"/>
      <c r="GX102" s="99"/>
      <c r="GY102" s="99"/>
      <c r="GZ102" s="99"/>
      <c r="HA102" s="99"/>
      <c r="HB102" s="99"/>
      <c r="HC102" s="99"/>
      <c r="HD102" s="99"/>
      <c r="HE102" s="99"/>
      <c r="HF102" s="99"/>
      <c r="HG102" s="99"/>
      <c r="HH102" s="99"/>
      <c r="HI102" s="99"/>
      <c r="HJ102" s="99"/>
      <c r="HK102" s="99"/>
      <c r="HL102" s="99"/>
    </row>
    <row r="103" spans="1:220" s="44" customFormat="1" x14ac:dyDescent="0.25">
      <c r="C103" s="103" t="s">
        <v>604</v>
      </c>
      <c r="G103" s="77"/>
      <c r="I103" s="629">
        <v>7.2288109911322538</v>
      </c>
      <c r="J103" s="629">
        <v>0</v>
      </c>
      <c r="K103" s="286">
        <f>IFERROR(VLOOKUP(K$3,'Info planes y paquetes'!$C$1254:$N$1362,2,FALSE)/VLOOKUP(K$8,'Info planes y paquetes'!$A$595:$K$703,11,FALSE),0)</f>
        <v>0</v>
      </c>
      <c r="L103" s="286">
        <f>IFERROR(VLOOKUP(L$3,'Info planes y paquetes'!$C$1254:$N$1362,2,FALSE)/VLOOKUP(L$8,'Info planes y paquetes'!$A$595:$K$703,11,FALSE),0)</f>
        <v>0</v>
      </c>
      <c r="M103" s="286">
        <f>IFERROR(VLOOKUP(M$3,'Info planes y paquetes'!$C$1254:$N$1362,2,FALSE)/VLOOKUP(M$8,'Info planes y paquetes'!$A$595:$K$703,11,FALSE),0)</f>
        <v>0</v>
      </c>
      <c r="N103" s="286">
        <f>IFERROR(VLOOKUP(N$3,'Info planes y paquetes'!$C$1254:$N$1362,2,FALSE)/VLOOKUP(N$8,'Info planes y paquetes'!$A$595:$K$703,11,FALSE),0)</f>
        <v>0</v>
      </c>
      <c r="O103" s="286">
        <f>IFERROR(VLOOKUP(O$3,'Info planes y paquetes'!$C$1254:$N$1362,2,FALSE)/VLOOKUP(O$8,'Info planes y paquetes'!$A$595:$K$703,11,FALSE),0)</f>
        <v>0</v>
      </c>
      <c r="P103" s="286">
        <f>IFERROR(VLOOKUP(P$3,'Info planes y paquetes'!$C$1254:$N$1362,2,FALSE)/VLOOKUP(P$8,'Info planes y paquetes'!$A$595:$K$703,11,FALSE),0)</f>
        <v>0</v>
      </c>
      <c r="Q103" s="286">
        <f>IFERROR(VLOOKUP(Q$3,'Info planes y paquetes'!$C$1254:$N$1362,2,FALSE)/VLOOKUP(Q$8,'Info planes y paquetes'!$A$595:$K$703,11,FALSE),0)</f>
        <v>0</v>
      </c>
      <c r="R103" s="286">
        <f>IFERROR(VLOOKUP(R$3,'Info planes y paquetes'!$C$1254:$N$1362,2,FALSE)/VLOOKUP(R$8,'Info planes y paquetes'!$A$595:$K$703,11,FALSE),0)</f>
        <v>0</v>
      </c>
      <c r="S103" s="286">
        <f>IFERROR(VLOOKUP(S$3,'Info planes y paquetes'!$C$1254:$N$1362,2,FALSE)/VLOOKUP(S$8,'Info planes y paquetes'!$A$595:$K$703,11,FALSE),0)</f>
        <v>0</v>
      </c>
      <c r="T103" s="286">
        <f>IFERROR(VLOOKUP(T$3,'Info planes y paquetes'!$C$1254:$N$1362,2,FALSE)/VLOOKUP(T$8,'Info planes y paquetes'!$A$595:$K$703,11,FALSE),0)</f>
        <v>0</v>
      </c>
      <c r="U103" s="286">
        <f>IFERROR(VLOOKUP(U$3,'Info planes y paquetes'!$C$1254:$N$1362,2,FALSE)/VLOOKUP(U$8,'Info planes y paquetes'!$A$595:$K$703,11,FALSE),0)</f>
        <v>0</v>
      </c>
      <c r="V103" s="286">
        <f>IFERROR(VLOOKUP(V$3,'Info planes y paquetes'!$C$1254:$N$1362,2,FALSE)/VLOOKUP(V$8,'Info planes y paquetes'!$A$595:$K$703,11,FALSE),0)</f>
        <v>0</v>
      </c>
      <c r="W103" s="286">
        <f>IFERROR(VLOOKUP(W$3,'Info planes y paquetes'!$C$1254:$N$1362,2,FALSE)/VLOOKUP(W$8,'Info planes y paquetes'!$A$595:$K$703,11,FALSE),0)</f>
        <v>3.1349581666060384</v>
      </c>
      <c r="X103" s="286">
        <f>IFERROR(VLOOKUP(X$3,'Info planes y paquetes'!$C$1254:$N$1362,2,FALSE)/VLOOKUP(X$8,'Info planes y paquetes'!$A$595:$K$703,11,FALSE),0)</f>
        <v>8.3913253098103642</v>
      </c>
      <c r="Y103" s="286">
        <f>IFERROR(VLOOKUP(Y$3,'Info planes y paquetes'!$C$1254:$N$1362,2,FALSE)/VLOOKUP(Y$8,'Info planes y paquetes'!$A$595:$K$703,11,FALSE),0)</f>
        <v>6.4191561588901136</v>
      </c>
      <c r="Z103" s="286">
        <f>IFERROR(VLOOKUP(Z$3,'Info planes y paquetes'!$C$1254:$N$1362,2,FALSE)/VLOOKUP(Z$8,'Info planes y paquetes'!$A$595:$K$703,11,FALSE),0)</f>
        <v>6.9855110034360699</v>
      </c>
      <c r="AA103" s="286">
        <f>IFERROR(VLOOKUP(AA$3,'Info planes y paquetes'!$C$1254:$N$1362,2,FALSE)/VLOOKUP(AA$8,'Info planes y paquetes'!$A$595:$K$703,11,FALSE),0)</f>
        <v>19.650864701471189</v>
      </c>
      <c r="AB103" s="286">
        <f>IFERROR(VLOOKUP(AB$3,'Info planes y paquetes'!$C$1254:$N$1362,2,FALSE)/VLOOKUP(AB$8,'Info planes y paquetes'!$A$595:$K$703,11,FALSE),0)</f>
        <v>4.6320041705871882</v>
      </c>
      <c r="AC103" s="286">
        <f>IFERROR(VLOOKUP(AC$3,'Info planes y paquetes'!$C$1254:$N$1362,2,FALSE)/VLOOKUP(AC$8,'Info planes y paquetes'!$A$595:$K$703,11,FALSE),0)</f>
        <v>15.495217331058553</v>
      </c>
      <c r="AD103" s="286">
        <f>IFERROR(VLOOKUP(AD$3,'Info planes y paquetes'!$C$1254:$N$1362,2,FALSE)/VLOOKUP(AD$8,'Info planes y paquetes'!$A$595:$K$703,11,FALSE),0)</f>
        <v>1.1947554925584691</v>
      </c>
      <c r="AE103" s="286">
        <f>IFERROR(VLOOKUP(AE$3,'Info planes y paquetes'!$C$1254:$N$1362,2,FALSE)/VLOOKUP(AE$8,'Info planes y paquetes'!$A$595:$K$703,11,FALSE),0)</f>
        <v>4.1524211644199314</v>
      </c>
      <c r="AF103" s="286">
        <f>IFERROR(VLOOKUP(AF$3,'Info planes y paquetes'!$C$1254:$N$1362,2,FALSE)/VLOOKUP(AF$8,'Info planes y paquetes'!$A$595:$K$703,11,FALSE),0)</f>
        <v>15.046824480016625</v>
      </c>
      <c r="AG103" s="286">
        <f>IFERROR(VLOOKUP(AG$3,'Info planes y paquetes'!$C$1254:$N$1362,2,FALSE)/VLOOKUP(AG$8,'Info planes y paquetes'!$A$595:$K$703,11,FALSE),0)</f>
        <v>14.499613623237918</v>
      </c>
      <c r="AH103" s="286">
        <f>IFERROR(VLOOKUP(AH$3,'Info planes y paquetes'!$C$1254:$N$1362,2,FALSE)/VLOOKUP(AH$8,'Info planes y paquetes'!$A$595:$K$703,11,FALSE),0)</f>
        <v>19.131532993925084</v>
      </c>
      <c r="AI103" s="286">
        <f>IFERROR(VLOOKUP(AI$3,'Info planes y paquetes'!$C$1254:$N$1362,2,FALSE)/VLOOKUP(AI$8,'Info planes y paquetes'!$A$595:$K$703,11,FALSE),0)</f>
        <v>31.408710368543289</v>
      </c>
      <c r="AJ103" s="286">
        <f>IFERROR(VLOOKUP(AJ$3,'Info planes y paquetes'!$C$1254:$N$1362,2,FALSE)/VLOOKUP(AJ$8,'Info planes y paquetes'!$A$595:$K$703,11,FALSE),0)</f>
        <v>15.005852928165515</v>
      </c>
      <c r="AK103" s="286">
        <f>IFERROR(VLOOKUP(AK$3,'Info planes y paquetes'!$C$1254:$N$1362,2,FALSE)/VLOOKUP(AK$8,'Info planes y paquetes'!$A$595:$K$703,11,FALSE),0)</f>
        <v>14.89596025869341</v>
      </c>
      <c r="AL103" s="286">
        <f>IFERROR(VLOOKUP(AL$3,'Info planes y paquetes'!$C$1254:$N$1362,2,FALSE)/VLOOKUP(AL$8,'Info planes y paquetes'!$A$595:$K$703,11,FALSE),0)</f>
        <v>6.8838770095208366</v>
      </c>
      <c r="AM103" s="286">
        <f>IFERROR(VLOOKUP(AM$3,'Info planes y paquetes'!$C$1254:$N$1362,2,FALSE)/VLOOKUP(AM$8,'Info planes y paquetes'!$A$595:$K$703,11,FALSE),0)</f>
        <v>8.6727056558908444</v>
      </c>
      <c r="AN103" s="286">
        <f>IFERROR(VLOOKUP(AN$3,'Info planes y paquetes'!$C$1254:$N$1362,2,FALSE)/VLOOKUP(AN$8,'Info planes y paquetes'!$A$595:$K$703,11,FALSE),0)</f>
        <v>9.9824792619582912</v>
      </c>
      <c r="AO103" s="286">
        <f>IFERROR(VLOOKUP(AO$3,'Info planes y paquetes'!$C$1254:$N$1362,2,FALSE)/VLOOKUP(AO$8,'Info planes y paquetes'!$A$595:$K$703,11,FALSE),0)</f>
        <v>9.3999197805610191</v>
      </c>
      <c r="AP103" s="286">
        <f>IFERROR(VLOOKUP(AP$3,'Info planes y paquetes'!$C$1254:$N$1362,2,FALSE)/VLOOKUP(AP$8,'Info planes y paquetes'!$A$595:$K$703,11,FALSE),0)</f>
        <v>9.1847303114712577</v>
      </c>
      <c r="AQ103" s="286">
        <f>IFERROR(VLOOKUP(AQ$3,'Info planes y paquetes'!$C$1254:$N$1362,2,FALSE)/VLOOKUP(AQ$8,'Info planes y paquetes'!$A$595:$K$703,11,FALSE),0)</f>
        <v>9.9412625881726626</v>
      </c>
      <c r="AR103" s="286">
        <f>IFERROR(VLOOKUP(AR$3,'Info planes y paquetes'!$C$1254:$N$1362,2,FALSE)/VLOOKUP(AR$8,'Info planes y paquetes'!$A$595:$K$703,11,FALSE),0)</f>
        <v>5.389102479119714</v>
      </c>
      <c r="AS103" s="286">
        <f>IFERROR(VLOOKUP(AS$3,'Info planes y paquetes'!$C$1254:$N$1362,2,FALSE)/VLOOKUP(AS$8,'Info planes y paquetes'!$A$595:$K$703,11,FALSE),0)</f>
        <v>6.1034878008842313</v>
      </c>
      <c r="AT103" s="286">
        <f>IFERROR(VLOOKUP(AT$3,'Info planes y paquetes'!$C$1254:$N$1362,2,FALSE)/VLOOKUP(AT$8,'Info planes y paquetes'!$A$595:$K$703,11,FALSE),0)</f>
        <v>7.9401820546163853</v>
      </c>
      <c r="AU103" s="286">
        <f>IFERROR(VLOOKUP(AU$3,'Info planes y paquetes'!$C$1254:$N$1362,2,FALSE)/VLOOKUP(AU$8,'Info planes y paquetes'!$A$595:$K$703,11,FALSE),0)</f>
        <v>10.041001817814584</v>
      </c>
      <c r="AV103" s="286">
        <f>IFERROR(VLOOKUP(AV$3,'Info planes y paquetes'!$C$1254:$N$1362,2,FALSE)/VLOOKUP(AV$8,'Info planes y paquetes'!$A$595:$K$703,11,FALSE),0)</f>
        <v>7.5614929176347152</v>
      </c>
      <c r="AW103" s="286">
        <f>IFERROR(VLOOKUP(AW$3,'Info planes y paquetes'!$C$1254:$N$1362,2,FALSE)/VLOOKUP(AW$8,'Info planes y paquetes'!$A$595:$K$703,11,FALSE),0)</f>
        <v>9.4796784956020623</v>
      </c>
      <c r="AX103" s="286">
        <f>IFERROR(VLOOKUP(AX$3,'Info planes y paquetes'!$C$1254:$N$1362,2,FALSE)/VLOOKUP(AX$8,'Info planes y paquetes'!$A$595:$K$703,11,FALSE),0)</f>
        <v>5.9308236808236812</v>
      </c>
      <c r="AY103" s="286">
        <f>IFERROR(VLOOKUP(AY$3,'Info planes y paquetes'!$C$1254:$N$1362,2,FALSE)/VLOOKUP(AY$8,'Info planes y paquetes'!$A$595:$K$703,11,FALSE),0)</f>
        <v>8.8507936507936513</v>
      </c>
      <c r="AZ103" s="286">
        <f>IFERROR(VLOOKUP(AZ$3,'Info planes y paquetes'!$C$1254:$N$1362,2,FALSE)/VLOOKUP(AZ$8,'Info planes y paquetes'!$A$595:$K$703,11,FALSE),0)</f>
        <v>0</v>
      </c>
      <c r="BA103" s="286">
        <f>IFERROR(VLOOKUP(BA$3,'Info planes y paquetes'!$C$1254:$N$1362,2,FALSE)/VLOOKUP(BA$8,'Info planes y paquetes'!$A$595:$K$703,11,FALSE),0)</f>
        <v>0</v>
      </c>
      <c r="BB103" s="286">
        <f>IFERROR(VLOOKUP(BB$3,'Info planes y paquetes'!$C$1254:$N$1362,2,FALSE)/VLOOKUP(BB$8,'Info planes y paquetes'!$A$595:$K$703,11,FALSE),0)</f>
        <v>0</v>
      </c>
      <c r="BC103" s="286">
        <f>IFERROR(VLOOKUP(BC$3,'Info planes y paquetes'!$C$1254:$N$1362,2,FALSE)/VLOOKUP(BC$8,'Info planes y paquetes'!$A$595:$K$703,11,FALSE),0)</f>
        <v>0</v>
      </c>
      <c r="BD103" s="286">
        <f>IFERROR(VLOOKUP(BD$3,'Info planes y paquetes'!$C$1254:$N$1362,2,FALSE)/VLOOKUP(BD$8,'Info planes y paquetes'!$A$595:$K$703,11,FALSE),0)</f>
        <v>0</v>
      </c>
      <c r="BE103" s="286">
        <f>IFERROR(VLOOKUP(BE$3,'Info planes y paquetes'!$C$1254:$N$1362,2,FALSE)/VLOOKUP(BE$8,'Info planes y paquetes'!$A$595:$K$703,11,FALSE),0)</f>
        <v>0</v>
      </c>
      <c r="BF103" s="286">
        <f>IFERROR(VLOOKUP(BF$3,'Info planes y paquetes'!$C$1254:$N$1362,2,FALSE)/VLOOKUP(BF$8,'Info planes y paquetes'!$A$595:$K$703,11,FALSE),0)</f>
        <v>0</v>
      </c>
      <c r="BG103" s="286">
        <f>IFERROR(VLOOKUP(BG$3,'Info planes y paquetes'!$C$1254:$N$1362,2,FALSE)/VLOOKUP(BG$8,'Info planes y paquetes'!$A$595:$K$703,11,FALSE),0)</f>
        <v>0</v>
      </c>
      <c r="BH103" s="286">
        <f>IFERROR(VLOOKUP(BH$3,'Info planes y paquetes'!$C$1254:$N$1362,2,FALSE)/VLOOKUP(BH$8,'Info planes y paquetes'!$A$595:$K$703,11,FALSE),0)</f>
        <v>0</v>
      </c>
      <c r="BI103" s="286">
        <f>IFERROR(VLOOKUP(BI$3,'Info planes y paquetes'!$C$1254:$N$1362,2,FALSE)/VLOOKUP(BI$8,'Info planes y paquetes'!$A$595:$K$703,11,FALSE),0)</f>
        <v>5.6623580101840973</v>
      </c>
      <c r="BJ103" s="286">
        <f>IFERROR(VLOOKUP(BJ$3,'Info planes y paquetes'!$C$1254:$N$1362,2,FALSE)/VLOOKUP(BJ$8,'Info planes y paquetes'!$A$595:$K$703,11,FALSE),0)</f>
        <v>7.9088983050847457</v>
      </c>
      <c r="BK103" s="286">
        <f>IFERROR(VLOOKUP(BK$3,'Info planes y paquetes'!$C$1254:$N$1362,2,FALSE)/VLOOKUP(BK$8,'Info planes y paquetes'!$A$595:$K$703,11,FALSE),0)</f>
        <v>8.1134930643127365</v>
      </c>
      <c r="BL103" s="286">
        <f>IFERROR(VLOOKUP(BL$3,'Info planes y paquetes'!$C$1254:$N$1362,2,FALSE)/VLOOKUP(BL$8,'Info planes y paquetes'!$A$595:$K$703,11,FALSE),0)</f>
        <v>9.1641468682505405</v>
      </c>
      <c r="BM103" s="286">
        <f>IFERROR(VLOOKUP(BM$3,'Info planes y paquetes'!$C$1254:$N$1362,2,FALSE)/VLOOKUP(BM$8,'Info planes y paquetes'!$A$595:$K$703,11,FALSE),0)</f>
        <v>13.182035928143712</v>
      </c>
      <c r="BN103" s="286">
        <f>IFERROR(VLOOKUP(BN$3,'Info planes y paquetes'!$C$1254:$N$1362,2,FALSE)/VLOOKUP(BN$8,'Info planes y paquetes'!$A$595:$K$703,11,FALSE),0)</f>
        <v>11.460829493087557</v>
      </c>
      <c r="BO103" s="286">
        <f>IFERROR(VLOOKUP(BO$3,'Info planes y paquetes'!$C$1254:$N$1362,2,FALSE)/VLOOKUP(BO$8,'Info planes y paquetes'!$A$595:$K$703,11,FALSE),0)</f>
        <v>19.009132420091323</v>
      </c>
      <c r="BP103" s="286">
        <f>IFERROR(VLOOKUP(BP$3,'Info planes y paquetes'!$C$1254:$N$1362,2,FALSE)/VLOOKUP(BP$8,'Info planes y paquetes'!$A$595:$K$703,11,FALSE),0)</f>
        <v>0</v>
      </c>
      <c r="BQ103" s="286">
        <f>IFERROR(VLOOKUP(BQ$3,'Info planes y paquetes'!$C$1254:$N$1362,2,FALSE)/VLOOKUP(BQ$8,'Info planes y paquetes'!$A$595:$K$703,11,FALSE),0)</f>
        <v>0</v>
      </c>
      <c r="BR103" s="286">
        <f>IFERROR(VLOOKUP(BR$3,'Info planes y paquetes'!$C$1254:$N$1362,2,FALSE)/VLOOKUP(BR$8,'Info planes y paquetes'!$A$595:$K$703,11,FALSE),0)</f>
        <v>0</v>
      </c>
      <c r="BS103" s="286">
        <f>IFERROR(VLOOKUP(BS$3,'Info planes y paquetes'!$C$1254:$N$1362,2,FALSE)/VLOOKUP(BS$8,'Info planes y paquetes'!$A$595:$K$703,11,FALSE),0)</f>
        <v>0</v>
      </c>
      <c r="BT103" s="286">
        <f>IFERROR(VLOOKUP(BT$3,'Info planes y paquetes'!$C$1254:$N$1362,2,FALSE)/VLOOKUP(BT$8,'Info planes y paquetes'!$A$595:$K$703,11,FALSE),0)</f>
        <v>0</v>
      </c>
      <c r="BU103" s="286">
        <f>IFERROR(VLOOKUP(BU$3,'Info planes y paquetes'!$C$1254:$N$1362,2,FALSE)/VLOOKUP(BU$8,'Info planes y paquetes'!$A$595:$K$703,11,FALSE),0)</f>
        <v>0</v>
      </c>
      <c r="BV103" s="286">
        <f>IFERROR(VLOOKUP(BV$3,'Info planes y paquetes'!$C$1254:$N$1362,2,FALSE)/VLOOKUP(BV$8,'Info planes y paquetes'!$A$595:$K$703,11,FALSE),0)</f>
        <v>0</v>
      </c>
      <c r="BW103" s="286">
        <f>IFERROR(VLOOKUP(BW$3,'Info planes y paquetes'!$C$1254:$N$1362,2,FALSE)/VLOOKUP(BW$8,'Info planes y paquetes'!$A$595:$K$703,11,FALSE),0)</f>
        <v>0</v>
      </c>
      <c r="BX103" s="286">
        <f>IFERROR(VLOOKUP(BX$3,'Info planes y paquetes'!$C$1254:$N$1362,2,FALSE)/VLOOKUP(BX$8,'Info planes y paquetes'!$A$595:$K$703,11,FALSE),0)</f>
        <v>0</v>
      </c>
      <c r="BY103" s="286">
        <f>IFERROR(VLOOKUP(BY$3,'Info planes y paquetes'!$C$1254:$N$1362,2,FALSE)/VLOOKUP(BY$8,'Info planes y paquetes'!$A$595:$K$703,11,FALSE),0)</f>
        <v>2.8184223932428281</v>
      </c>
      <c r="BZ103" s="286">
        <f>IFERROR(VLOOKUP(BZ$3,'Info planes y paquetes'!$C$1254:$N$1362,2,FALSE)/VLOOKUP(BZ$8,'Info planes y paquetes'!$A$595:$K$703,11,FALSE),0)</f>
        <v>4.0344255392921715</v>
      </c>
      <c r="CA103" s="286">
        <f>IFERROR(VLOOKUP(CA$3,'Info planes y paquetes'!$C$1254:$N$1362,2,FALSE)/VLOOKUP(CA$8,'Info planes y paquetes'!$A$595:$K$703,11,FALSE),0)</f>
        <v>3.8274069104327406</v>
      </c>
      <c r="CB103" s="286">
        <f>IFERROR(VLOOKUP(CB$3,'Info planes y paquetes'!$C$1254:$N$1362,2,FALSE)/VLOOKUP(CB$8,'Info planes y paquetes'!$A$595:$K$703,11,FALSE),0)</f>
        <v>4.1652572684073377</v>
      </c>
      <c r="CC103" s="286">
        <f>IFERROR(VLOOKUP(CC$3,'Info planes y paquetes'!$C$1254:$N$1362,2,FALSE)/VLOOKUP(CC$8,'Info planes y paquetes'!$A$595:$K$703,11,FALSE),0)</f>
        <v>5.2801757276221855</v>
      </c>
      <c r="CD103" s="286">
        <f>IFERROR(VLOOKUP(CD$3,'Info planes y paquetes'!$C$1254:$N$1362,2,FALSE)/VLOOKUP(CD$8,'Info planes y paquetes'!$A$595:$K$703,11,FALSE),0)</f>
        <v>0</v>
      </c>
      <c r="CE103" s="286">
        <f>IFERROR(VLOOKUP(CE$3,'Info planes y paquetes'!$C$1254:$N$1362,2,FALSE)/VLOOKUP(CE$8,'Info planes y paquetes'!$A$595:$K$703,11,FALSE),0)</f>
        <v>0</v>
      </c>
      <c r="CF103" s="286">
        <f>IFERROR(VLOOKUP(CF$3,'Info planes y paquetes'!$C$1254:$N$1362,2,FALSE)/VLOOKUP(CF$8,'Info planes y paquetes'!$A$595:$K$703,11,FALSE),0)</f>
        <v>0</v>
      </c>
      <c r="CG103" s="286">
        <f>IFERROR(VLOOKUP(CG$3,'Info planes y paquetes'!$C$1254:$N$1362,2,FALSE)/VLOOKUP(CG$8,'Info planes y paquetes'!$A$595:$K$703,11,FALSE),0)</f>
        <v>0</v>
      </c>
      <c r="CH103" s="286">
        <f>IFERROR(VLOOKUP(CH$3,'Info planes y paquetes'!$C$1254:$N$1362,2,FALSE)/VLOOKUP(CH$8,'Info planes y paquetes'!$A$595:$K$703,11,FALSE),0)</f>
        <v>3.5275370880924251</v>
      </c>
      <c r="CI103" s="286">
        <f>IFERROR(VLOOKUP(CI$3,'Info planes y paquetes'!$C$1254:$N$1362,2,FALSE)/VLOOKUP(CI$8,'Info planes y paquetes'!$A$595:$K$703,11,FALSE),0)</f>
        <v>3.7069820679130103</v>
      </c>
      <c r="CJ103" s="286">
        <f>IFERROR(VLOOKUP(CJ$3,'Info planes y paquetes'!$C$1254:$N$1362,2,FALSE)/VLOOKUP(CJ$8,'Info planes y paquetes'!$A$595:$K$703,11,FALSE),0)</f>
        <v>2.811908542394411</v>
      </c>
      <c r="CK103" s="286">
        <f>IFERROR(VLOOKUP(CK$3,'Info planes y paquetes'!$C$1254:$N$1362,2,FALSE)/VLOOKUP(CK$8,'Info planes y paquetes'!$A$595:$K$703,11,FALSE),0)</f>
        <v>3.7844376091113143</v>
      </c>
      <c r="CL103" s="286">
        <f>IFERROR(VLOOKUP(CL$3,'Info planes y paquetes'!$C$1254:$N$1362,2,FALSE)/VLOOKUP(CL$8,'Info planes y paquetes'!$A$595:$K$703,11,FALSE),0)</f>
        <v>5.4238543125875527</v>
      </c>
      <c r="CM103" s="286">
        <f>IFERROR(VLOOKUP(CM$3,'Info planes y paquetes'!$C$1254:$N$1362,2,FALSE)/VLOOKUP(CM$8,'Info planes y paquetes'!$A$595:$K$703,11,FALSE),0)</f>
        <v>3.8589931063296428</v>
      </c>
      <c r="CN103" s="286">
        <f>IFERROR(VLOOKUP(CN$3,'Info planes y paquetes'!$C$1254:$N$1362,2,FALSE)/VLOOKUP(CN$8,'Info planes y paquetes'!$A$595:$K$703,11,FALSE),0)</f>
        <v>3.6593862316837158</v>
      </c>
      <c r="CO103" s="286">
        <f>IFERROR(VLOOKUP(CO$3,'Info planes y paquetes'!$C$1254:$N$1362,2,FALSE)/VLOOKUP(CO$8,'Info planes y paquetes'!$A$595:$K$703,11,FALSE),0)</f>
        <v>4.7884589932500994</v>
      </c>
      <c r="CP103" s="286">
        <f>IFERROR(VLOOKUP(CP$3,'Info planes y paquetes'!$C$1254:$N$1362,2,FALSE)/VLOOKUP(CP$8,'Info planes y paquetes'!$A$595:$K$703,11,FALSE),0)</f>
        <v>4.397817752875258</v>
      </c>
      <c r="CQ103" s="286">
        <f>IFERROR(VLOOKUP(CQ$3,'Info planes y paquetes'!$C$1254:$N$1362,2,FALSE)/VLOOKUP(CQ$8,'Info planes y paquetes'!$A$595:$K$703,11,FALSE),0)</f>
        <v>4.3437366395895678</v>
      </c>
      <c r="CR103" s="286">
        <f>IFERROR(VLOOKUP(CR$3,'Info planes y paquetes'!$C$1254:$N$1362,2,FALSE)/VLOOKUP(CR$8,'Info planes y paquetes'!$A$595:$K$703,11,FALSE),0)</f>
        <v>5.8321678321678325</v>
      </c>
      <c r="CS103" s="286">
        <f>IFERROR(VLOOKUP(CS$3,'Info planes y paquetes'!$C$1254:$N$1362,2,FALSE)/VLOOKUP(CS$8,'Info planes y paquetes'!$A$595:$K$703,11,FALSE),0)</f>
        <v>0</v>
      </c>
      <c r="CT103" s="286">
        <f>IFERROR(VLOOKUP(CT$3,'Info planes y paquetes'!$C$1254:$N$1362,2,FALSE)/VLOOKUP(CT$8,'Info planes y paquetes'!$A$595:$K$703,11,FALSE),0)</f>
        <v>0</v>
      </c>
      <c r="CU103" s="286">
        <f>IFERROR(VLOOKUP(CU$3,'Info planes y paquetes'!$C$1254:$N$1362,2,FALSE)/VLOOKUP(CU$8,'Info planes y paquetes'!$A$595:$K$703,11,FALSE),0)</f>
        <v>0</v>
      </c>
      <c r="CV103" s="286">
        <f>IFERROR(VLOOKUP(CV$3,'Info planes y paquetes'!$C$1254:$N$1362,2,FALSE)/VLOOKUP(CV$8,'Info planes y paquetes'!$A$595:$K$703,11,FALSE),0)</f>
        <v>0</v>
      </c>
      <c r="CW103" s="286">
        <f>IFERROR(VLOOKUP(CW$3,'Info planes y paquetes'!$C$1254:$N$1362,2,FALSE)/VLOOKUP(CW$8,'Info planes y paquetes'!$A$595:$K$703,11,FALSE),0)</f>
        <v>0</v>
      </c>
      <c r="CX103" s="286">
        <f>IFERROR(VLOOKUP(CX$3,'Info planes y paquetes'!$C$1254:$N$1362,2,FALSE)/VLOOKUP(CX$8,'Info planes y paquetes'!$A$595:$K$703,11,FALSE),0)</f>
        <v>0</v>
      </c>
      <c r="CY103" s="286">
        <f>IFERROR(VLOOKUP(CY$3,'Info planes y paquetes'!$C$1254:$N$1362,2,FALSE)/VLOOKUP(CY$8,'Info planes y paquetes'!$A$595:$K$703,11,FALSE),0)</f>
        <v>0</v>
      </c>
      <c r="CZ103" s="286">
        <f>IFERROR(VLOOKUP(CZ$3,'Info planes y paquetes'!$C$1254:$N$1362,2,FALSE)/VLOOKUP(CZ$8,'Info planes y paquetes'!$A$595:$K$703,11,FALSE),0)</f>
        <v>0</v>
      </c>
      <c r="DA103" s="286">
        <f>IFERROR(VLOOKUP(DA$3,'Info planes y paquetes'!$C$1254:$N$1362,2,FALSE)/VLOOKUP(DA$8,'Info planes y paquetes'!$A$595:$K$703,11,FALSE),0)</f>
        <v>0</v>
      </c>
      <c r="DB103" s="286">
        <f>IFERROR(VLOOKUP(DB$3,'Info planes y paquetes'!$C$1254:$N$1362,2,FALSE)/VLOOKUP(DB$8,'Info planes y paquetes'!$A$595:$K$703,11,FALSE),0)</f>
        <v>7.0852095600969864</v>
      </c>
      <c r="DC103" s="286">
        <f>IFERROR(VLOOKUP(DC$3,'Info planes y paquetes'!$C$1254:$N$1362,2,FALSE)/VLOOKUP(DC$8,'Info planes y paquetes'!$A$595:$K$703,11,FALSE),0)</f>
        <v>18.868537666174298</v>
      </c>
      <c r="DD103" s="286">
        <f>IFERROR(VLOOKUP(DD$3,'Info planes y paquetes'!$C$1254:$N$1362,2,FALSE)/VLOOKUP(DD$8,'Info planes y paquetes'!$A$595:$K$703,11,FALSE),0)</f>
        <v>26.293540176948248</v>
      </c>
      <c r="DE103" s="286">
        <f>IFERROR(VLOOKUP(DE$3,'Info planes y paquetes'!$C$1254:$N$1362,2,FALSE)/VLOOKUP(DE$8,'Info planes y paquetes'!$A$595:$K$703,11,FALSE),0)</f>
        <v>54.589201877934272</v>
      </c>
      <c r="DF103" s="286">
        <f>IFERROR(VLOOKUP(DF$3,'Info planes y paquetes'!$C$1254:$N$1362,2,FALSE)/VLOOKUP(DF$8,'Info planes y paquetes'!$A$595:$K$703,11,FALSE),0)</f>
        <v>9.186208746981487</v>
      </c>
      <c r="DG103" s="286">
        <f>IFERROR(VLOOKUP(DG$3,'Info planes y paquetes'!$C$1254:$N$1362,2,FALSE)/VLOOKUP(DG$8,'Info planes y paquetes'!$A$595:$K$703,11,FALSE),0)</f>
        <v>12.55565371024735</v>
      </c>
      <c r="DH103" s="286">
        <f>IFERROR(VLOOKUP(DH$3,'Info planes y paquetes'!$C$1254:$N$1362,2,FALSE)/VLOOKUP(DH$8,'Info planes y paquetes'!$A$595:$K$703,11,FALSE),0)</f>
        <v>0</v>
      </c>
      <c r="DI103" s="286">
        <f>IFERROR(VLOOKUP(DI$3,'Info planes y paquetes'!$C$1254:$N$1362,2,FALSE)/VLOOKUP(DI$8,'Info planes y paquetes'!$A$595:$K$703,11,FALSE),0)</f>
        <v>9.6</v>
      </c>
      <c r="DJ103" s="286">
        <f>IFERROR(VLOOKUP(DJ$3,'Info planes y paquetes'!$C$1254:$N$1362,2,FALSE)/VLOOKUP(DJ$8,'Info planes y paquetes'!$A$595:$K$703,11,FALSE),0)</f>
        <v>16.25</v>
      </c>
      <c r="DK103" s="286">
        <f>IFERROR(VLOOKUP(DK$3,'Info planes y paquetes'!$C$1254:$N$1362,2,FALSE)/VLOOKUP(DK$8,'Info planes y paquetes'!$A$595:$K$703,11,FALSE),0)</f>
        <v>7.5</v>
      </c>
      <c r="DL103" s="286">
        <f>IFERROR(VLOOKUP(DL$3,'Info planes y paquetes'!$C$1254:$N$1362,2,FALSE)/VLOOKUP(DL$8,'Info planes y paquetes'!$A$595:$K$703,11,FALSE),0)</f>
        <v>17.5</v>
      </c>
      <c r="DM103" s="286">
        <f>IFERROR(VLOOKUP(DM$3,'Info planes y paquetes'!$C$1254:$N$1362,2,FALSE)/VLOOKUP(DM$8,'Info planes y paquetes'!$A$595:$K$703,11,FALSE),0)</f>
        <v>27.394736842105264</v>
      </c>
      <c r="DN103" s="286">
        <f>IFERROR(VLOOKUP(DN$3,'Info planes y paquetes'!$C$1254:$N$1362,2,FALSE)/VLOOKUP(DN$8,'Info planes y paquetes'!$A$595:$K$703,11,FALSE),0)</f>
        <v>15.555555555555555</v>
      </c>
      <c r="DO103" s="286"/>
      <c r="DP103" s="286"/>
      <c r="DQ103" s="286"/>
      <c r="DR103" s="286"/>
      <c r="DS103" s="286"/>
      <c r="DT103" s="286"/>
      <c r="DU103" s="286"/>
      <c r="DV103" s="286"/>
      <c r="DW103" s="286"/>
      <c r="DX103" s="286"/>
      <c r="DY103" s="286"/>
      <c r="DZ103" s="286"/>
      <c r="EA103" s="286"/>
      <c r="EB103" s="286"/>
      <c r="EC103" s="286"/>
      <c r="ED103" s="286"/>
      <c r="EE103" s="286"/>
      <c r="EF103" s="286"/>
      <c r="EG103" s="286"/>
      <c r="EH103" s="286"/>
      <c r="EI103" s="286"/>
      <c r="EJ103" s="286"/>
      <c r="EK103" s="286"/>
      <c r="EL103" s="286"/>
      <c r="EM103" s="286"/>
      <c r="EN103" s="286"/>
      <c r="EO103" s="286"/>
      <c r="EP103" s="286"/>
      <c r="EQ103" s="286"/>
      <c r="ER103" s="286"/>
      <c r="ES103" s="286"/>
      <c r="ET103" s="286"/>
      <c r="EU103" s="286"/>
      <c r="EV103" s="286"/>
      <c r="EW103" s="286"/>
      <c r="EX103" s="286"/>
      <c r="EY103" s="286"/>
      <c r="EZ103" s="286"/>
      <c r="FA103" s="286"/>
      <c r="FB103" s="286"/>
      <c r="FC103" s="286"/>
      <c r="FD103" s="286"/>
      <c r="FE103" s="286"/>
      <c r="FF103" s="286"/>
      <c r="FG103" s="286"/>
      <c r="FH103" s="286"/>
      <c r="FI103" s="286"/>
      <c r="FJ103" s="286"/>
      <c r="FK103" s="286"/>
      <c r="FL103" s="286"/>
      <c r="FM103" s="286"/>
      <c r="FN103" s="286"/>
      <c r="FO103" s="286"/>
      <c r="FP103" s="286"/>
      <c r="FQ103" s="286"/>
      <c r="FR103" s="286"/>
      <c r="FS103" s="286"/>
      <c r="FT103" s="286"/>
      <c r="FU103" s="286"/>
      <c r="FV103" s="286"/>
      <c r="FW103" s="286"/>
      <c r="FX103" s="286"/>
      <c r="FY103" s="286"/>
      <c r="FZ103" s="286"/>
      <c r="GA103" s="286"/>
      <c r="GB103" s="286"/>
      <c r="GC103" s="286"/>
      <c r="GD103" s="286"/>
      <c r="GE103" s="286"/>
      <c r="GF103" s="286"/>
      <c r="GG103" s="286"/>
      <c r="GH103" s="286"/>
      <c r="GI103" s="286"/>
      <c r="GJ103" s="286"/>
      <c r="GK103" s="286"/>
      <c r="GL103" s="286"/>
      <c r="GM103" s="286"/>
      <c r="GN103" s="286"/>
      <c r="GO103" s="286"/>
      <c r="GP103" s="286"/>
      <c r="GQ103" s="286"/>
      <c r="GR103" s="286"/>
      <c r="GS103" s="286"/>
      <c r="GT103" s="286"/>
      <c r="GU103" s="286"/>
      <c r="GV103" s="286"/>
      <c r="GW103" s="286"/>
      <c r="GX103" s="286"/>
      <c r="GY103" s="286"/>
      <c r="GZ103" s="286"/>
      <c r="HA103" s="286"/>
      <c r="HB103" s="286"/>
      <c r="HC103" s="286"/>
      <c r="HD103" s="286"/>
      <c r="HE103" s="286"/>
      <c r="HF103" s="286"/>
      <c r="HG103" s="286"/>
      <c r="HH103" s="286"/>
      <c r="HI103" s="286"/>
      <c r="HJ103" s="286"/>
      <c r="HK103" s="286"/>
      <c r="HL103" s="286"/>
    </row>
    <row r="104" spans="1:220" s="44" customFormat="1" x14ac:dyDescent="0.25">
      <c r="C104" s="103" t="s">
        <v>590</v>
      </c>
      <c r="G104" s="263" t="s">
        <v>161</v>
      </c>
      <c r="I104" s="286">
        <f t="shared" ref="I104:AN104" si="136">IF(I7&lt;&gt;"Internet Fijo",IF(I7="Residencial",MIN(100,I103),0),0)</f>
        <v>7.2288109911322538</v>
      </c>
      <c r="J104" s="286">
        <f t="shared" si="136"/>
        <v>0</v>
      </c>
      <c r="K104" s="286">
        <f t="shared" si="136"/>
        <v>0</v>
      </c>
      <c r="L104" s="286">
        <f t="shared" si="136"/>
        <v>0</v>
      </c>
      <c r="M104" s="286">
        <f t="shared" si="136"/>
        <v>0</v>
      </c>
      <c r="N104" s="286">
        <f t="shared" si="136"/>
        <v>0</v>
      </c>
      <c r="O104" s="286">
        <f t="shared" si="136"/>
        <v>0</v>
      </c>
      <c r="P104" s="286">
        <f t="shared" si="136"/>
        <v>0</v>
      </c>
      <c r="Q104" s="286">
        <f t="shared" si="136"/>
        <v>0</v>
      </c>
      <c r="R104" s="286">
        <f t="shared" si="136"/>
        <v>0</v>
      </c>
      <c r="S104" s="286">
        <f t="shared" si="136"/>
        <v>0</v>
      </c>
      <c r="T104" s="286">
        <f t="shared" si="136"/>
        <v>0</v>
      </c>
      <c r="U104" s="286">
        <f t="shared" si="136"/>
        <v>0</v>
      </c>
      <c r="V104" s="286">
        <f t="shared" si="136"/>
        <v>0</v>
      </c>
      <c r="W104" s="286">
        <f t="shared" si="136"/>
        <v>3.1349581666060384</v>
      </c>
      <c r="X104" s="286">
        <f t="shared" si="136"/>
        <v>8.3913253098103642</v>
      </c>
      <c r="Y104" s="286">
        <f t="shared" si="136"/>
        <v>6.4191561588901136</v>
      </c>
      <c r="Z104" s="286">
        <f t="shared" si="136"/>
        <v>6.9855110034360699</v>
      </c>
      <c r="AA104" s="286">
        <f t="shared" si="136"/>
        <v>19.650864701471189</v>
      </c>
      <c r="AB104" s="286">
        <f t="shared" si="136"/>
        <v>4.6320041705871882</v>
      </c>
      <c r="AC104" s="286">
        <f t="shared" si="136"/>
        <v>0</v>
      </c>
      <c r="AD104" s="286">
        <f t="shared" si="136"/>
        <v>1.1947554925584691</v>
      </c>
      <c r="AE104" s="286">
        <f t="shared" si="136"/>
        <v>4.1524211644199314</v>
      </c>
      <c r="AF104" s="286">
        <f t="shared" si="136"/>
        <v>0</v>
      </c>
      <c r="AG104" s="286">
        <f t="shared" si="136"/>
        <v>0</v>
      </c>
      <c r="AH104" s="286">
        <f t="shared" si="136"/>
        <v>19.131532993925084</v>
      </c>
      <c r="AI104" s="286">
        <f t="shared" si="136"/>
        <v>0</v>
      </c>
      <c r="AJ104" s="286">
        <f t="shared" si="136"/>
        <v>0</v>
      </c>
      <c r="AK104" s="286">
        <f t="shared" si="136"/>
        <v>0</v>
      </c>
      <c r="AL104" s="286">
        <f t="shared" si="136"/>
        <v>0</v>
      </c>
      <c r="AM104" s="286">
        <f t="shared" si="136"/>
        <v>0</v>
      </c>
      <c r="AN104" s="286">
        <f t="shared" si="136"/>
        <v>0</v>
      </c>
      <c r="AO104" s="286">
        <f t="shared" ref="AO104:BT104" si="137">IF(AO7&lt;&gt;"Internet Fijo",IF(AO7="Residencial",MIN(100,AO103),0),0)</f>
        <v>9.3999197805610191</v>
      </c>
      <c r="AP104" s="286">
        <f t="shared" si="137"/>
        <v>9.1847303114712577</v>
      </c>
      <c r="AQ104" s="286">
        <f t="shared" si="137"/>
        <v>9.9412625881726626</v>
      </c>
      <c r="AR104" s="286">
        <f t="shared" si="137"/>
        <v>5.389102479119714</v>
      </c>
      <c r="AS104" s="286">
        <f t="shared" si="137"/>
        <v>6.1034878008842313</v>
      </c>
      <c r="AT104" s="286">
        <f t="shared" si="137"/>
        <v>7.9401820546163853</v>
      </c>
      <c r="AU104" s="286">
        <f t="shared" si="137"/>
        <v>10.041001817814584</v>
      </c>
      <c r="AV104" s="286">
        <f t="shared" si="137"/>
        <v>7.5614929176347152</v>
      </c>
      <c r="AW104" s="286">
        <f t="shared" si="137"/>
        <v>9.4796784956020623</v>
      </c>
      <c r="AX104" s="286">
        <f t="shared" si="137"/>
        <v>5.9308236808236812</v>
      </c>
      <c r="AY104" s="286">
        <f t="shared" si="137"/>
        <v>8.8507936507936513</v>
      </c>
      <c r="AZ104" s="286">
        <f t="shared" si="137"/>
        <v>0</v>
      </c>
      <c r="BA104" s="286">
        <f t="shared" si="137"/>
        <v>0</v>
      </c>
      <c r="BB104" s="286">
        <f t="shared" si="137"/>
        <v>0</v>
      </c>
      <c r="BC104" s="286">
        <f t="shared" si="137"/>
        <v>0</v>
      </c>
      <c r="BD104" s="286">
        <f t="shared" si="137"/>
        <v>0</v>
      </c>
      <c r="BE104" s="286">
        <f t="shared" si="137"/>
        <v>0</v>
      </c>
      <c r="BF104" s="286">
        <f t="shared" si="137"/>
        <v>0</v>
      </c>
      <c r="BG104" s="286">
        <f t="shared" si="137"/>
        <v>0</v>
      </c>
      <c r="BH104" s="286">
        <f t="shared" si="137"/>
        <v>0</v>
      </c>
      <c r="BI104" s="286">
        <f t="shared" si="137"/>
        <v>0</v>
      </c>
      <c r="BJ104" s="286">
        <f t="shared" si="137"/>
        <v>0</v>
      </c>
      <c r="BK104" s="286">
        <f t="shared" si="137"/>
        <v>0</v>
      </c>
      <c r="BL104" s="286">
        <f t="shared" si="137"/>
        <v>0</v>
      </c>
      <c r="BM104" s="286">
        <f t="shared" si="137"/>
        <v>0</v>
      </c>
      <c r="BN104" s="286">
        <f t="shared" si="137"/>
        <v>0</v>
      </c>
      <c r="BO104" s="286">
        <f t="shared" si="137"/>
        <v>0</v>
      </c>
      <c r="BP104" s="286">
        <f t="shared" si="137"/>
        <v>0</v>
      </c>
      <c r="BQ104" s="286">
        <f t="shared" si="137"/>
        <v>0</v>
      </c>
      <c r="BR104" s="286">
        <f t="shared" si="137"/>
        <v>0</v>
      </c>
      <c r="BS104" s="286">
        <f t="shared" si="137"/>
        <v>0</v>
      </c>
      <c r="BT104" s="286">
        <f t="shared" si="137"/>
        <v>0</v>
      </c>
      <c r="BU104" s="286">
        <f t="shared" ref="BU104:CZ104" si="138">IF(BU7&lt;&gt;"Internet Fijo",IF(BU7="Residencial",MIN(100,BU103),0),0)</f>
        <v>0</v>
      </c>
      <c r="BV104" s="286">
        <f t="shared" si="138"/>
        <v>0</v>
      </c>
      <c r="BW104" s="286">
        <f t="shared" si="138"/>
        <v>0</v>
      </c>
      <c r="BX104" s="286">
        <f t="shared" si="138"/>
        <v>0</v>
      </c>
      <c r="BY104" s="286">
        <f t="shared" si="138"/>
        <v>2.8184223932428281</v>
      </c>
      <c r="BZ104" s="286">
        <f t="shared" si="138"/>
        <v>4.0344255392921715</v>
      </c>
      <c r="CA104" s="286">
        <f t="shared" si="138"/>
        <v>3.8274069104327406</v>
      </c>
      <c r="CB104" s="286">
        <f t="shared" si="138"/>
        <v>4.1652572684073377</v>
      </c>
      <c r="CC104" s="286">
        <f t="shared" si="138"/>
        <v>5.2801757276221855</v>
      </c>
      <c r="CD104" s="286">
        <f t="shared" si="138"/>
        <v>0</v>
      </c>
      <c r="CE104" s="286">
        <f t="shared" si="138"/>
        <v>0</v>
      </c>
      <c r="CF104" s="286">
        <f t="shared" si="138"/>
        <v>0</v>
      </c>
      <c r="CG104" s="286">
        <f t="shared" si="138"/>
        <v>0</v>
      </c>
      <c r="CH104" s="286">
        <f t="shared" si="138"/>
        <v>3.5275370880924251</v>
      </c>
      <c r="CI104" s="286">
        <f t="shared" si="138"/>
        <v>3.7069820679130103</v>
      </c>
      <c r="CJ104" s="286">
        <f t="shared" si="138"/>
        <v>2.811908542394411</v>
      </c>
      <c r="CK104" s="286">
        <f t="shared" si="138"/>
        <v>3.7844376091113143</v>
      </c>
      <c r="CL104" s="286">
        <f t="shared" si="138"/>
        <v>5.4238543125875527</v>
      </c>
      <c r="CM104" s="286">
        <f t="shared" si="138"/>
        <v>3.8589931063296428</v>
      </c>
      <c r="CN104" s="286">
        <f t="shared" si="138"/>
        <v>3.6593862316837158</v>
      </c>
      <c r="CO104" s="286">
        <f t="shared" si="138"/>
        <v>4.7884589932500994</v>
      </c>
      <c r="CP104" s="286">
        <f t="shared" si="138"/>
        <v>4.397817752875258</v>
      </c>
      <c r="CQ104" s="286">
        <f t="shared" si="138"/>
        <v>4.3437366395895678</v>
      </c>
      <c r="CR104" s="286">
        <f t="shared" si="138"/>
        <v>5.8321678321678325</v>
      </c>
      <c r="CS104" s="286">
        <f t="shared" si="138"/>
        <v>0</v>
      </c>
      <c r="CT104" s="286">
        <f t="shared" si="138"/>
        <v>0</v>
      </c>
      <c r="CU104" s="286">
        <f t="shared" si="138"/>
        <v>0</v>
      </c>
      <c r="CV104" s="286">
        <f t="shared" si="138"/>
        <v>0</v>
      </c>
      <c r="CW104" s="286">
        <f t="shared" si="138"/>
        <v>0</v>
      </c>
      <c r="CX104" s="286">
        <f t="shared" si="138"/>
        <v>0</v>
      </c>
      <c r="CY104" s="286">
        <f t="shared" si="138"/>
        <v>0</v>
      </c>
      <c r="CZ104" s="286">
        <f t="shared" si="138"/>
        <v>0</v>
      </c>
      <c r="DA104" s="286">
        <f t="shared" ref="DA104:DN104" si="139">IF(DA7&lt;&gt;"Internet Fijo",IF(DA7="Residencial",MIN(100,DA103),0),0)</f>
        <v>0</v>
      </c>
      <c r="DB104" s="286">
        <f t="shared" si="139"/>
        <v>0</v>
      </c>
      <c r="DC104" s="286">
        <f t="shared" si="139"/>
        <v>0</v>
      </c>
      <c r="DD104" s="286">
        <f t="shared" si="139"/>
        <v>0</v>
      </c>
      <c r="DE104" s="286">
        <f t="shared" si="139"/>
        <v>0</v>
      </c>
      <c r="DF104" s="286">
        <f t="shared" si="139"/>
        <v>0</v>
      </c>
      <c r="DG104" s="286">
        <f t="shared" si="139"/>
        <v>0</v>
      </c>
      <c r="DH104" s="286">
        <f t="shared" si="139"/>
        <v>0</v>
      </c>
      <c r="DI104" s="286">
        <f t="shared" si="139"/>
        <v>0</v>
      </c>
      <c r="DJ104" s="286">
        <f t="shared" si="139"/>
        <v>0</v>
      </c>
      <c r="DK104" s="286">
        <f t="shared" si="139"/>
        <v>0</v>
      </c>
      <c r="DL104" s="286">
        <f t="shared" si="139"/>
        <v>0</v>
      </c>
      <c r="DM104" s="286">
        <f t="shared" si="139"/>
        <v>0</v>
      </c>
      <c r="DN104" s="286">
        <f t="shared" si="139"/>
        <v>0</v>
      </c>
      <c r="DO104" s="286"/>
      <c r="DP104" s="286"/>
      <c r="DQ104" s="286"/>
      <c r="DR104" s="286"/>
      <c r="DS104" s="286"/>
      <c r="DT104" s="286"/>
      <c r="DU104" s="286"/>
      <c r="DV104" s="286"/>
      <c r="DW104" s="286"/>
      <c r="DX104" s="286"/>
      <c r="DY104" s="286"/>
      <c r="DZ104" s="286"/>
      <c r="EA104" s="286"/>
      <c r="EB104" s="286"/>
      <c r="EC104" s="286"/>
      <c r="ED104" s="286"/>
      <c r="EE104" s="286"/>
      <c r="EF104" s="286"/>
      <c r="EG104" s="286"/>
      <c r="EH104" s="286"/>
      <c r="EI104" s="286"/>
      <c r="EJ104" s="286"/>
      <c r="EK104" s="286"/>
      <c r="EL104" s="286"/>
      <c r="EM104" s="286"/>
      <c r="EN104" s="286"/>
      <c r="EO104" s="286"/>
      <c r="EP104" s="286"/>
      <c r="EQ104" s="286"/>
      <c r="ER104" s="286"/>
      <c r="ES104" s="286"/>
      <c r="ET104" s="286"/>
      <c r="EU104" s="286"/>
      <c r="EV104" s="286"/>
      <c r="EW104" s="286"/>
      <c r="EX104" s="286"/>
      <c r="EY104" s="286"/>
      <c r="EZ104" s="286"/>
      <c r="FA104" s="286"/>
      <c r="FB104" s="286"/>
      <c r="FC104" s="286"/>
      <c r="FD104" s="286"/>
      <c r="FE104" s="286"/>
      <c r="FF104" s="286"/>
      <c r="FG104" s="286"/>
      <c r="FH104" s="286"/>
      <c r="FI104" s="286"/>
      <c r="FJ104" s="286"/>
      <c r="FK104" s="286"/>
      <c r="FL104" s="286"/>
      <c r="FM104" s="286"/>
      <c r="FN104" s="286"/>
      <c r="FO104" s="286"/>
      <c r="FP104" s="286"/>
      <c r="FQ104" s="286"/>
      <c r="FR104" s="286"/>
      <c r="FS104" s="286"/>
      <c r="FT104" s="286"/>
      <c r="FU104" s="286"/>
      <c r="FV104" s="286"/>
      <c r="FW104" s="286"/>
      <c r="FX104" s="286"/>
      <c r="FY104" s="286"/>
      <c r="FZ104" s="286"/>
      <c r="GA104" s="286"/>
      <c r="GB104" s="286"/>
      <c r="GC104" s="286"/>
      <c r="GD104" s="286"/>
      <c r="GE104" s="286"/>
      <c r="GF104" s="286"/>
      <c r="GG104" s="286"/>
      <c r="GH104" s="286"/>
      <c r="GI104" s="286"/>
      <c r="GJ104" s="286"/>
      <c r="GK104" s="286"/>
      <c r="GL104" s="286"/>
      <c r="GM104" s="286"/>
      <c r="GN104" s="286"/>
      <c r="GO104" s="286"/>
      <c r="GP104" s="286"/>
      <c r="GQ104" s="286"/>
      <c r="GR104" s="286"/>
      <c r="GS104" s="286"/>
      <c r="GT104" s="286"/>
      <c r="GU104" s="286"/>
      <c r="GV104" s="286"/>
      <c r="GW104" s="286"/>
      <c r="GX104" s="286"/>
      <c r="GY104" s="286"/>
      <c r="GZ104" s="286"/>
      <c r="HA104" s="286"/>
      <c r="HB104" s="286"/>
      <c r="HC104" s="286"/>
      <c r="HD104" s="286"/>
      <c r="HE104" s="286"/>
      <c r="HF104" s="286"/>
      <c r="HG104" s="286"/>
      <c r="HH104" s="286"/>
      <c r="HI104" s="286"/>
      <c r="HJ104" s="286"/>
      <c r="HK104" s="286"/>
      <c r="HL104" s="286"/>
    </row>
    <row r="105" spans="1:220" s="2" customFormat="1" x14ac:dyDescent="0.25">
      <c r="C105" s="309"/>
      <c r="G105" s="310"/>
      <c r="I105" s="311"/>
      <c r="J105" s="311"/>
      <c r="K105" s="311"/>
      <c r="L105" s="311"/>
      <c r="M105" s="311"/>
      <c r="N105" s="311"/>
      <c r="O105" s="311"/>
      <c r="P105" s="311"/>
      <c r="Q105" s="311"/>
      <c r="R105" s="311"/>
      <c r="S105" s="311"/>
      <c r="T105" s="311"/>
      <c r="U105" s="311"/>
      <c r="V105" s="311"/>
      <c r="W105" s="311"/>
      <c r="X105" s="311"/>
      <c r="Y105" s="311"/>
      <c r="Z105" s="311"/>
      <c r="AA105" s="311"/>
      <c r="AB105" s="311"/>
      <c r="AC105" s="311"/>
      <c r="AD105" s="311"/>
      <c r="AE105" s="311"/>
      <c r="AF105" s="311"/>
      <c r="AG105" s="311"/>
      <c r="AH105" s="311"/>
      <c r="AI105" s="311"/>
      <c r="AJ105" s="311"/>
      <c r="AK105" s="311"/>
      <c r="AL105" s="311"/>
      <c r="AM105" s="311"/>
      <c r="AN105" s="311"/>
      <c r="AO105" s="311"/>
      <c r="AP105" s="311"/>
      <c r="AQ105" s="311"/>
      <c r="AR105" s="311"/>
      <c r="AS105" s="311"/>
      <c r="AT105" s="311"/>
      <c r="AU105" s="311"/>
      <c r="AV105" s="311"/>
      <c r="AW105" s="311"/>
      <c r="AX105" s="311"/>
      <c r="AY105" s="311"/>
      <c r="AZ105" s="311"/>
      <c r="BA105" s="311"/>
      <c r="BB105" s="311"/>
      <c r="BC105" s="311"/>
      <c r="BD105" s="311"/>
      <c r="BE105" s="311"/>
      <c r="BF105" s="311"/>
      <c r="BG105" s="311"/>
      <c r="BH105" s="311"/>
      <c r="BI105" s="311"/>
      <c r="BJ105" s="311"/>
      <c r="BK105" s="311"/>
      <c r="BL105" s="311"/>
      <c r="BM105" s="311"/>
      <c r="BN105" s="311"/>
      <c r="BO105" s="311"/>
      <c r="BP105" s="311"/>
      <c r="BQ105" s="311"/>
      <c r="BR105" s="311"/>
      <c r="BS105" s="311"/>
      <c r="BT105" s="311"/>
      <c r="BU105" s="311"/>
      <c r="BV105" s="311"/>
      <c r="BW105" s="311"/>
      <c r="BX105" s="311"/>
      <c r="BY105" s="311"/>
      <c r="BZ105" s="311"/>
      <c r="CA105" s="311"/>
      <c r="CB105" s="311"/>
      <c r="CC105" s="311"/>
      <c r="CD105" s="311"/>
      <c r="CE105" s="311"/>
      <c r="CF105" s="311"/>
      <c r="CG105" s="311"/>
      <c r="CH105" s="311"/>
      <c r="CI105" s="311"/>
      <c r="CJ105" s="311"/>
      <c r="CK105" s="311"/>
      <c r="CL105" s="311"/>
      <c r="CM105" s="311"/>
      <c r="CN105" s="311"/>
      <c r="CO105" s="311"/>
      <c r="CP105" s="311"/>
      <c r="CQ105" s="311"/>
      <c r="CR105" s="311"/>
      <c r="CS105" s="311"/>
      <c r="CT105" s="311"/>
      <c r="CU105" s="311"/>
      <c r="CV105" s="311"/>
      <c r="CW105" s="311"/>
      <c r="CX105" s="311"/>
      <c r="CY105" s="311"/>
      <c r="CZ105" s="311"/>
      <c r="DA105" s="311"/>
      <c r="DB105" s="311"/>
      <c r="DC105" s="311"/>
      <c r="DD105" s="311"/>
      <c r="DE105" s="311"/>
      <c r="DF105" s="311"/>
      <c r="DG105" s="311"/>
      <c r="DH105" s="311"/>
      <c r="DI105" s="311"/>
      <c r="DJ105" s="311"/>
      <c r="DK105" s="311"/>
      <c r="DL105" s="311"/>
      <c r="DM105" s="311"/>
      <c r="DN105" s="311"/>
      <c r="DO105" s="311"/>
      <c r="DP105" s="311"/>
      <c r="DQ105" s="311"/>
      <c r="DR105" s="311"/>
      <c r="DS105" s="311"/>
      <c r="DT105" s="311"/>
      <c r="DU105" s="311"/>
      <c r="DV105" s="311"/>
      <c r="DW105" s="311"/>
      <c r="DX105" s="311"/>
      <c r="DY105" s="311"/>
      <c r="DZ105" s="311"/>
      <c r="EA105" s="311"/>
      <c r="EB105" s="311"/>
      <c r="EC105" s="311"/>
      <c r="ED105" s="311"/>
      <c r="EE105" s="311"/>
      <c r="EF105" s="311"/>
      <c r="EG105" s="311"/>
      <c r="EH105" s="311"/>
      <c r="EI105" s="311"/>
      <c r="EJ105" s="311"/>
      <c r="EK105" s="311"/>
      <c r="EL105" s="311"/>
      <c r="EM105" s="311"/>
      <c r="EN105" s="311"/>
      <c r="EO105" s="311"/>
      <c r="EP105" s="311"/>
      <c r="EQ105" s="311"/>
      <c r="ER105" s="311"/>
      <c r="ES105" s="311"/>
      <c r="ET105" s="311"/>
      <c r="EU105" s="311"/>
      <c r="EV105" s="311"/>
      <c r="EW105" s="311"/>
      <c r="EX105" s="311"/>
      <c r="EY105" s="311"/>
      <c r="EZ105" s="311"/>
      <c r="FA105" s="311"/>
      <c r="FB105" s="311"/>
      <c r="FC105" s="311"/>
      <c r="FD105" s="311"/>
      <c r="FE105" s="311"/>
      <c r="FF105" s="311"/>
      <c r="FG105" s="311"/>
      <c r="FH105" s="311"/>
      <c r="FI105" s="311"/>
      <c r="FJ105" s="311"/>
      <c r="FK105" s="311"/>
      <c r="FL105" s="311"/>
      <c r="FM105" s="311"/>
      <c r="FN105" s="311"/>
      <c r="FO105" s="311"/>
      <c r="FP105" s="311"/>
      <c r="FQ105" s="311"/>
      <c r="FR105" s="311"/>
      <c r="FS105" s="311"/>
      <c r="FT105" s="311"/>
      <c r="FU105" s="311"/>
      <c r="FV105" s="311"/>
      <c r="FW105" s="311"/>
      <c r="FX105" s="311"/>
      <c r="FY105" s="311"/>
      <c r="FZ105" s="311"/>
      <c r="GA105" s="311"/>
      <c r="GB105" s="311"/>
      <c r="GC105" s="311"/>
      <c r="GD105" s="311"/>
      <c r="GE105" s="311"/>
      <c r="GF105" s="311"/>
      <c r="GG105" s="311"/>
      <c r="GH105" s="311"/>
      <c r="GI105" s="311"/>
      <c r="GJ105" s="311"/>
      <c r="GK105" s="311"/>
      <c r="GL105" s="311"/>
      <c r="GM105" s="311"/>
      <c r="GN105" s="311"/>
      <c r="GO105" s="311"/>
      <c r="GP105" s="311"/>
      <c r="GQ105" s="311"/>
      <c r="GR105" s="311"/>
      <c r="GS105" s="311"/>
      <c r="GT105" s="311"/>
      <c r="GU105" s="311"/>
      <c r="GV105" s="311"/>
      <c r="GW105" s="311"/>
      <c r="GX105" s="311"/>
      <c r="GY105" s="311"/>
      <c r="GZ105" s="311"/>
      <c r="HA105" s="311"/>
      <c r="HB105" s="311"/>
      <c r="HC105" s="311"/>
      <c r="HD105" s="311"/>
      <c r="HE105" s="311"/>
      <c r="HF105" s="311"/>
      <c r="HG105" s="311"/>
      <c r="HH105" s="311"/>
      <c r="HI105" s="311"/>
      <c r="HJ105" s="311"/>
      <c r="HK105" s="311"/>
      <c r="HL105" s="311"/>
    </row>
    <row r="106" spans="1:220" s="44" customFormat="1" x14ac:dyDescent="0.25">
      <c r="C106" s="103" t="s">
        <v>593</v>
      </c>
      <c r="G106" s="77" t="s">
        <v>591</v>
      </c>
      <c r="H106" s="44" t="s">
        <v>534</v>
      </c>
      <c r="I106" s="307">
        <f t="shared" ref="I106:AN106" si="140">IFERROR(I104*loading.call.durations.to.local.fixed.numbers,"")</f>
        <v>28.915243964529015</v>
      </c>
      <c r="J106" s="307">
        <f t="shared" si="140"/>
        <v>0</v>
      </c>
      <c r="K106" s="307">
        <f t="shared" si="140"/>
        <v>0</v>
      </c>
      <c r="L106" s="307">
        <f t="shared" si="140"/>
        <v>0</v>
      </c>
      <c r="M106" s="307">
        <f t="shared" si="140"/>
        <v>0</v>
      </c>
      <c r="N106" s="307">
        <f t="shared" si="140"/>
        <v>0</v>
      </c>
      <c r="O106" s="307">
        <f t="shared" si="140"/>
        <v>0</v>
      </c>
      <c r="P106" s="307">
        <f t="shared" si="140"/>
        <v>0</v>
      </c>
      <c r="Q106" s="307">
        <f t="shared" si="140"/>
        <v>0</v>
      </c>
      <c r="R106" s="307">
        <f t="shared" si="140"/>
        <v>0</v>
      </c>
      <c r="S106" s="307">
        <f t="shared" si="140"/>
        <v>0</v>
      </c>
      <c r="T106" s="307">
        <f t="shared" si="140"/>
        <v>0</v>
      </c>
      <c r="U106" s="307">
        <f t="shared" si="140"/>
        <v>0</v>
      </c>
      <c r="V106" s="307">
        <f t="shared" si="140"/>
        <v>0</v>
      </c>
      <c r="W106" s="307">
        <f t="shared" si="140"/>
        <v>12.539832666424154</v>
      </c>
      <c r="X106" s="307">
        <f t="shared" si="140"/>
        <v>33.565301239241457</v>
      </c>
      <c r="Y106" s="307">
        <f t="shared" si="140"/>
        <v>25.676624635560454</v>
      </c>
      <c r="Z106" s="307">
        <f t="shared" si="140"/>
        <v>27.94204401374428</v>
      </c>
      <c r="AA106" s="307">
        <f t="shared" si="140"/>
        <v>78.603458805884756</v>
      </c>
      <c r="AB106" s="307">
        <f t="shared" si="140"/>
        <v>18.528016682348753</v>
      </c>
      <c r="AC106" s="307">
        <f t="shared" si="140"/>
        <v>0</v>
      </c>
      <c r="AD106" s="307">
        <f t="shared" si="140"/>
        <v>4.7790219702338765</v>
      </c>
      <c r="AE106" s="307">
        <f t="shared" si="140"/>
        <v>16.609684657679725</v>
      </c>
      <c r="AF106" s="307">
        <f t="shared" si="140"/>
        <v>0</v>
      </c>
      <c r="AG106" s="307">
        <f t="shared" si="140"/>
        <v>0</v>
      </c>
      <c r="AH106" s="307">
        <f t="shared" si="140"/>
        <v>76.526131975700338</v>
      </c>
      <c r="AI106" s="307">
        <f t="shared" si="140"/>
        <v>0</v>
      </c>
      <c r="AJ106" s="307">
        <f t="shared" si="140"/>
        <v>0</v>
      </c>
      <c r="AK106" s="307">
        <f t="shared" si="140"/>
        <v>0</v>
      </c>
      <c r="AL106" s="307">
        <f t="shared" si="140"/>
        <v>0</v>
      </c>
      <c r="AM106" s="307">
        <f t="shared" si="140"/>
        <v>0</v>
      </c>
      <c r="AN106" s="307">
        <f t="shared" si="140"/>
        <v>0</v>
      </c>
      <c r="AO106" s="307">
        <f t="shared" ref="AO106:BT106" si="141">IFERROR(AO104*loading.call.durations.to.local.fixed.numbers,"")</f>
        <v>37.599679122244076</v>
      </c>
      <c r="AP106" s="307">
        <f t="shared" si="141"/>
        <v>36.738921245885031</v>
      </c>
      <c r="AQ106" s="307">
        <f t="shared" si="141"/>
        <v>39.76505035269065</v>
      </c>
      <c r="AR106" s="307">
        <f t="shared" si="141"/>
        <v>21.556409916478856</v>
      </c>
      <c r="AS106" s="307">
        <f t="shared" si="141"/>
        <v>24.413951203536925</v>
      </c>
      <c r="AT106" s="307">
        <f t="shared" si="141"/>
        <v>31.760728218465541</v>
      </c>
      <c r="AU106" s="307">
        <f t="shared" si="141"/>
        <v>40.164007271258335</v>
      </c>
      <c r="AV106" s="307">
        <f t="shared" si="141"/>
        <v>30.245971670538861</v>
      </c>
      <c r="AW106" s="307">
        <f t="shared" si="141"/>
        <v>37.918713982408249</v>
      </c>
      <c r="AX106" s="307">
        <f t="shared" si="141"/>
        <v>23.723294723294725</v>
      </c>
      <c r="AY106" s="307">
        <f t="shared" si="141"/>
        <v>35.403174603174605</v>
      </c>
      <c r="AZ106" s="307">
        <f t="shared" si="141"/>
        <v>0</v>
      </c>
      <c r="BA106" s="307">
        <f t="shared" si="141"/>
        <v>0</v>
      </c>
      <c r="BB106" s="307">
        <f t="shared" si="141"/>
        <v>0</v>
      </c>
      <c r="BC106" s="307">
        <f t="shared" si="141"/>
        <v>0</v>
      </c>
      <c r="BD106" s="307">
        <f t="shared" si="141"/>
        <v>0</v>
      </c>
      <c r="BE106" s="307">
        <f t="shared" si="141"/>
        <v>0</v>
      </c>
      <c r="BF106" s="307">
        <f t="shared" si="141"/>
        <v>0</v>
      </c>
      <c r="BG106" s="307">
        <f t="shared" si="141"/>
        <v>0</v>
      </c>
      <c r="BH106" s="307">
        <f t="shared" si="141"/>
        <v>0</v>
      </c>
      <c r="BI106" s="307">
        <f t="shared" si="141"/>
        <v>0</v>
      </c>
      <c r="BJ106" s="307">
        <f t="shared" si="141"/>
        <v>0</v>
      </c>
      <c r="BK106" s="307">
        <f t="shared" si="141"/>
        <v>0</v>
      </c>
      <c r="BL106" s="307">
        <f t="shared" si="141"/>
        <v>0</v>
      </c>
      <c r="BM106" s="307">
        <f t="shared" si="141"/>
        <v>0</v>
      </c>
      <c r="BN106" s="307">
        <f t="shared" si="141"/>
        <v>0</v>
      </c>
      <c r="BO106" s="307">
        <f t="shared" si="141"/>
        <v>0</v>
      </c>
      <c r="BP106" s="307">
        <f t="shared" si="141"/>
        <v>0</v>
      </c>
      <c r="BQ106" s="307">
        <f t="shared" si="141"/>
        <v>0</v>
      </c>
      <c r="BR106" s="307">
        <f t="shared" si="141"/>
        <v>0</v>
      </c>
      <c r="BS106" s="307">
        <f t="shared" si="141"/>
        <v>0</v>
      </c>
      <c r="BT106" s="307">
        <f t="shared" si="141"/>
        <v>0</v>
      </c>
      <c r="BU106" s="307">
        <f t="shared" ref="BU106:DN106" si="142">IFERROR(BU104*loading.call.durations.to.local.fixed.numbers,"")</f>
        <v>0</v>
      </c>
      <c r="BV106" s="307">
        <f t="shared" si="142"/>
        <v>0</v>
      </c>
      <c r="BW106" s="307">
        <f t="shared" si="142"/>
        <v>0</v>
      </c>
      <c r="BX106" s="307">
        <f t="shared" si="142"/>
        <v>0</v>
      </c>
      <c r="BY106" s="307">
        <f t="shared" si="142"/>
        <v>11.273689572971312</v>
      </c>
      <c r="BZ106" s="307">
        <f t="shared" si="142"/>
        <v>16.137702157168686</v>
      </c>
      <c r="CA106" s="307">
        <f t="shared" si="142"/>
        <v>15.309627641730962</v>
      </c>
      <c r="CB106" s="307">
        <f t="shared" si="142"/>
        <v>16.661029073629351</v>
      </c>
      <c r="CC106" s="307">
        <f t="shared" si="142"/>
        <v>21.120702910488742</v>
      </c>
      <c r="CD106" s="307">
        <f t="shared" si="142"/>
        <v>0</v>
      </c>
      <c r="CE106" s="307">
        <f t="shared" si="142"/>
        <v>0</v>
      </c>
      <c r="CF106" s="307">
        <f t="shared" si="142"/>
        <v>0</v>
      </c>
      <c r="CG106" s="307">
        <f t="shared" si="142"/>
        <v>0</v>
      </c>
      <c r="CH106" s="307">
        <f t="shared" si="142"/>
        <v>14.1101483523697</v>
      </c>
      <c r="CI106" s="307">
        <f t="shared" si="142"/>
        <v>14.827928271652041</v>
      </c>
      <c r="CJ106" s="307">
        <f t="shared" si="142"/>
        <v>11.247634169577644</v>
      </c>
      <c r="CK106" s="307">
        <f t="shared" si="142"/>
        <v>15.137750436445257</v>
      </c>
      <c r="CL106" s="307">
        <f t="shared" si="142"/>
        <v>21.695417250350211</v>
      </c>
      <c r="CM106" s="307">
        <f t="shared" si="142"/>
        <v>15.435972425318571</v>
      </c>
      <c r="CN106" s="307">
        <f t="shared" si="142"/>
        <v>14.637544926734863</v>
      </c>
      <c r="CO106" s="307">
        <f t="shared" si="142"/>
        <v>19.153835973000398</v>
      </c>
      <c r="CP106" s="307">
        <f t="shared" si="142"/>
        <v>17.591271011501032</v>
      </c>
      <c r="CQ106" s="307">
        <f t="shared" si="142"/>
        <v>17.374946558358271</v>
      </c>
      <c r="CR106" s="307">
        <f t="shared" si="142"/>
        <v>23.32867132867133</v>
      </c>
      <c r="CS106" s="307">
        <f t="shared" si="142"/>
        <v>0</v>
      </c>
      <c r="CT106" s="307">
        <f t="shared" si="142"/>
        <v>0</v>
      </c>
      <c r="CU106" s="307">
        <f t="shared" si="142"/>
        <v>0</v>
      </c>
      <c r="CV106" s="307">
        <f t="shared" si="142"/>
        <v>0</v>
      </c>
      <c r="CW106" s="307">
        <f t="shared" si="142"/>
        <v>0</v>
      </c>
      <c r="CX106" s="307">
        <f t="shared" si="142"/>
        <v>0</v>
      </c>
      <c r="CY106" s="307">
        <f t="shared" si="142"/>
        <v>0</v>
      </c>
      <c r="CZ106" s="307">
        <f t="shared" si="142"/>
        <v>0</v>
      </c>
      <c r="DA106" s="307">
        <f t="shared" si="142"/>
        <v>0</v>
      </c>
      <c r="DB106" s="307">
        <f t="shared" si="142"/>
        <v>0</v>
      </c>
      <c r="DC106" s="307">
        <f t="shared" si="142"/>
        <v>0</v>
      </c>
      <c r="DD106" s="307">
        <f t="shared" si="142"/>
        <v>0</v>
      </c>
      <c r="DE106" s="307">
        <f t="shared" si="142"/>
        <v>0</v>
      </c>
      <c r="DF106" s="307">
        <f t="shared" si="142"/>
        <v>0</v>
      </c>
      <c r="DG106" s="307">
        <f t="shared" si="142"/>
        <v>0</v>
      </c>
      <c r="DH106" s="307">
        <f t="shared" si="142"/>
        <v>0</v>
      </c>
      <c r="DI106" s="307">
        <f t="shared" si="142"/>
        <v>0</v>
      </c>
      <c r="DJ106" s="307">
        <f t="shared" si="142"/>
        <v>0</v>
      </c>
      <c r="DK106" s="307">
        <f t="shared" si="142"/>
        <v>0</v>
      </c>
      <c r="DL106" s="307">
        <f t="shared" si="142"/>
        <v>0</v>
      </c>
      <c r="DM106" s="307">
        <f t="shared" si="142"/>
        <v>0</v>
      </c>
      <c r="DN106" s="307">
        <f t="shared" si="142"/>
        <v>0</v>
      </c>
      <c r="DO106" s="307"/>
      <c r="DP106" s="307"/>
      <c r="DQ106" s="307"/>
      <c r="DR106" s="307"/>
      <c r="DS106" s="307"/>
      <c r="DT106" s="307"/>
      <c r="DU106" s="307"/>
      <c r="DV106" s="307"/>
      <c r="DW106" s="307"/>
      <c r="DX106" s="307"/>
      <c r="DY106" s="307"/>
      <c r="DZ106" s="307"/>
      <c r="EA106" s="307"/>
      <c r="EB106" s="307"/>
      <c r="EC106" s="307"/>
      <c r="ED106" s="307"/>
      <c r="EE106" s="307"/>
      <c r="EF106" s="307"/>
      <c r="EG106" s="307"/>
      <c r="EH106" s="307"/>
      <c r="EI106" s="307"/>
      <c r="EJ106" s="307"/>
      <c r="EK106" s="307"/>
      <c r="EL106" s="307"/>
      <c r="EM106" s="307"/>
      <c r="EN106" s="307"/>
      <c r="EO106" s="307"/>
      <c r="EP106" s="307"/>
      <c r="EQ106" s="307"/>
      <c r="ER106" s="307"/>
      <c r="ES106" s="307"/>
      <c r="ET106" s="307"/>
      <c r="EU106" s="307"/>
      <c r="EV106" s="307"/>
      <c r="EW106" s="307"/>
      <c r="EX106" s="307"/>
      <c r="EY106" s="307"/>
      <c r="EZ106" s="307"/>
      <c r="FA106" s="307"/>
      <c r="FB106" s="307"/>
      <c r="FC106" s="307"/>
      <c r="FD106" s="307"/>
      <c r="FE106" s="307"/>
      <c r="FF106" s="307"/>
      <c r="FG106" s="307"/>
      <c r="FH106" s="307"/>
      <c r="FI106" s="307"/>
      <c r="FJ106" s="307"/>
      <c r="FK106" s="307"/>
      <c r="FL106" s="307"/>
      <c r="FM106" s="307"/>
      <c r="FN106" s="307"/>
      <c r="FO106" s="307"/>
      <c r="FP106" s="307"/>
      <c r="FQ106" s="307"/>
      <c r="FR106" s="307"/>
      <c r="FS106" s="307"/>
      <c r="FT106" s="307"/>
      <c r="FU106" s="307"/>
      <c r="FV106" s="307"/>
      <c r="FW106" s="307"/>
      <c r="FX106" s="307"/>
      <c r="FY106" s="307"/>
      <c r="FZ106" s="307"/>
      <c r="GA106" s="307"/>
      <c r="GB106" s="307"/>
      <c r="GC106" s="307"/>
      <c r="GD106" s="307"/>
      <c r="GE106" s="307"/>
      <c r="GF106" s="307"/>
      <c r="GG106" s="307"/>
      <c r="GH106" s="307"/>
      <c r="GI106" s="307"/>
      <c r="GJ106" s="307"/>
      <c r="GK106" s="307"/>
      <c r="GL106" s="307"/>
      <c r="GM106" s="307"/>
      <c r="GN106" s="307"/>
      <c r="GO106" s="307"/>
      <c r="GP106" s="307"/>
      <c r="GQ106" s="307"/>
      <c r="GR106" s="307"/>
      <c r="GS106" s="307"/>
      <c r="GT106" s="307"/>
      <c r="GU106" s="307"/>
      <c r="GV106" s="307"/>
      <c r="GW106" s="307"/>
      <c r="GX106" s="307"/>
      <c r="GY106" s="307"/>
      <c r="GZ106" s="307"/>
      <c r="HA106" s="307"/>
      <c r="HB106" s="307"/>
      <c r="HC106" s="307"/>
      <c r="HD106" s="307"/>
      <c r="HE106" s="307"/>
      <c r="HF106" s="307"/>
      <c r="HG106" s="307"/>
      <c r="HH106" s="307"/>
      <c r="HI106" s="307"/>
      <c r="HJ106" s="307"/>
      <c r="HK106" s="307"/>
      <c r="HL106" s="307"/>
    </row>
    <row r="107" spans="1:220" x14ac:dyDescent="0.25">
      <c r="C107" s="103" t="s">
        <v>592</v>
      </c>
      <c r="G107" s="77" t="s">
        <v>427</v>
      </c>
      <c r="H107" t="s">
        <v>534</v>
      </c>
      <c r="I107" s="285">
        <f t="shared" ref="I107:AN107" si="143">I106*IF(I7="Residencial",loading.call.durations.to.local.fixed.numbers.cost.minute.residential,1)</f>
        <v>15.603672753756355</v>
      </c>
      <c r="J107" s="285">
        <f t="shared" si="143"/>
        <v>0</v>
      </c>
      <c r="K107" s="285">
        <f t="shared" si="143"/>
        <v>0</v>
      </c>
      <c r="L107" s="285">
        <f t="shared" si="143"/>
        <v>0</v>
      </c>
      <c r="M107" s="285">
        <f t="shared" si="143"/>
        <v>0</v>
      </c>
      <c r="N107" s="285">
        <f t="shared" si="143"/>
        <v>0</v>
      </c>
      <c r="O107" s="285">
        <f t="shared" si="143"/>
        <v>0</v>
      </c>
      <c r="P107" s="285">
        <f t="shared" si="143"/>
        <v>0</v>
      </c>
      <c r="Q107" s="285">
        <f t="shared" si="143"/>
        <v>0</v>
      </c>
      <c r="R107" s="285">
        <f t="shared" si="143"/>
        <v>0</v>
      </c>
      <c r="S107" s="285">
        <f t="shared" si="143"/>
        <v>0</v>
      </c>
      <c r="T107" s="285">
        <f t="shared" si="143"/>
        <v>0</v>
      </c>
      <c r="U107" s="285">
        <f t="shared" si="143"/>
        <v>0</v>
      </c>
      <c r="V107" s="285">
        <f t="shared" si="143"/>
        <v>0</v>
      </c>
      <c r="W107" s="285">
        <f t="shared" si="143"/>
        <v>6.7669304659430214</v>
      </c>
      <c r="X107" s="285">
        <f t="shared" si="143"/>
        <v>18.113005619487854</v>
      </c>
      <c r="Y107" s="285">
        <f t="shared" si="143"/>
        <v>13.856000963568208</v>
      </c>
      <c r="Z107" s="285">
        <f t="shared" si="143"/>
        <v>15.078500164009396</v>
      </c>
      <c r="AA107" s="285">
        <f t="shared" si="143"/>
        <v>42.417164109871337</v>
      </c>
      <c r="AB107" s="285">
        <f t="shared" si="143"/>
        <v>9.9983631278421932</v>
      </c>
      <c r="AC107" s="285">
        <f t="shared" si="143"/>
        <v>0</v>
      </c>
      <c r="AD107" s="285">
        <f t="shared" si="143"/>
        <v>2.5789267072419801</v>
      </c>
      <c r="AE107" s="285">
        <f t="shared" si="143"/>
        <v>8.9631643523206765</v>
      </c>
      <c r="AF107" s="285">
        <f t="shared" si="143"/>
        <v>0</v>
      </c>
      <c r="AG107" s="285">
        <f t="shared" si="143"/>
        <v>0</v>
      </c>
      <c r="AH107" s="285">
        <f t="shared" si="143"/>
        <v>41.29616619954561</v>
      </c>
      <c r="AI107" s="285">
        <f t="shared" si="143"/>
        <v>0</v>
      </c>
      <c r="AJ107" s="285">
        <f t="shared" si="143"/>
        <v>0</v>
      </c>
      <c r="AK107" s="285">
        <f t="shared" si="143"/>
        <v>0</v>
      </c>
      <c r="AL107" s="285">
        <f t="shared" si="143"/>
        <v>0</v>
      </c>
      <c r="AM107" s="285">
        <f t="shared" si="143"/>
        <v>0</v>
      </c>
      <c r="AN107" s="285">
        <f t="shared" si="143"/>
        <v>0</v>
      </c>
      <c r="AO107" s="285">
        <f t="shared" ref="AO107:BT107" si="144">AO106*IF(AO7="Residencial",loading.call.durations.to.local.fixed.numbers.cost.minute.residential,1)</f>
        <v>20.290096441498168</v>
      </c>
      <c r="AP107" s="285">
        <f t="shared" si="144"/>
        <v>19.825601511439789</v>
      </c>
      <c r="AQ107" s="285">
        <f t="shared" si="144"/>
        <v>21.458606176769131</v>
      </c>
      <c r="AR107" s="285">
        <f t="shared" si="144"/>
        <v>11.632589595134796</v>
      </c>
      <c r="AS107" s="285">
        <f t="shared" si="144"/>
        <v>13.174618401058035</v>
      </c>
      <c r="AT107" s="285">
        <f t="shared" si="144"/>
        <v>17.139195164663853</v>
      </c>
      <c r="AU107" s="285">
        <f t="shared" si="144"/>
        <v>21.673897225594924</v>
      </c>
      <c r="AV107" s="285">
        <f t="shared" si="144"/>
        <v>16.321779772822371</v>
      </c>
      <c r="AW107" s="285">
        <f t="shared" si="144"/>
        <v>20.462258763944728</v>
      </c>
      <c r="AX107" s="285">
        <f t="shared" si="144"/>
        <v>12.801916108932105</v>
      </c>
      <c r="AY107" s="285">
        <f t="shared" si="144"/>
        <v>19.104786099321871</v>
      </c>
      <c r="AZ107" s="285">
        <f t="shared" si="144"/>
        <v>0</v>
      </c>
      <c r="BA107" s="285">
        <f t="shared" si="144"/>
        <v>0</v>
      </c>
      <c r="BB107" s="285">
        <f t="shared" si="144"/>
        <v>0</v>
      </c>
      <c r="BC107" s="285">
        <f t="shared" si="144"/>
        <v>0</v>
      </c>
      <c r="BD107" s="285">
        <f t="shared" si="144"/>
        <v>0</v>
      </c>
      <c r="BE107" s="285">
        <f t="shared" si="144"/>
        <v>0</v>
      </c>
      <c r="BF107" s="285">
        <f t="shared" si="144"/>
        <v>0</v>
      </c>
      <c r="BG107" s="285">
        <f t="shared" si="144"/>
        <v>0</v>
      </c>
      <c r="BH107" s="285">
        <f t="shared" si="144"/>
        <v>0</v>
      </c>
      <c r="BI107" s="285">
        <f t="shared" si="144"/>
        <v>0</v>
      </c>
      <c r="BJ107" s="285">
        <f t="shared" si="144"/>
        <v>0</v>
      </c>
      <c r="BK107" s="285">
        <f t="shared" si="144"/>
        <v>0</v>
      </c>
      <c r="BL107" s="285">
        <f t="shared" si="144"/>
        <v>0</v>
      </c>
      <c r="BM107" s="285">
        <f t="shared" si="144"/>
        <v>0</v>
      </c>
      <c r="BN107" s="285">
        <f t="shared" si="144"/>
        <v>0</v>
      </c>
      <c r="BO107" s="285">
        <f t="shared" si="144"/>
        <v>0</v>
      </c>
      <c r="BP107" s="285">
        <f t="shared" si="144"/>
        <v>0</v>
      </c>
      <c r="BQ107" s="285">
        <f t="shared" si="144"/>
        <v>0</v>
      </c>
      <c r="BR107" s="285">
        <f t="shared" si="144"/>
        <v>0</v>
      </c>
      <c r="BS107" s="285">
        <f t="shared" si="144"/>
        <v>0</v>
      </c>
      <c r="BT107" s="285">
        <f t="shared" si="144"/>
        <v>0</v>
      </c>
      <c r="BU107" s="285">
        <f t="shared" ref="BU107:CZ107" si="145">BU106*IF(BU7="Residencial",loading.call.durations.to.local.fixed.numbers.cost.minute.residential,1)</f>
        <v>0</v>
      </c>
      <c r="BV107" s="285">
        <f t="shared" si="145"/>
        <v>0</v>
      </c>
      <c r="BW107" s="285">
        <f t="shared" si="145"/>
        <v>0</v>
      </c>
      <c r="BX107" s="285">
        <f t="shared" si="145"/>
        <v>0</v>
      </c>
      <c r="BY107" s="285">
        <f t="shared" si="145"/>
        <v>6.0836755532781792</v>
      </c>
      <c r="BZ107" s="285">
        <f t="shared" si="145"/>
        <v>8.7084661560160459</v>
      </c>
      <c r="CA107" s="285">
        <f t="shared" si="145"/>
        <v>8.2616083058638541</v>
      </c>
      <c r="CB107" s="285">
        <f t="shared" si="145"/>
        <v>8.990871587479873</v>
      </c>
      <c r="CC107" s="285">
        <f t="shared" si="145"/>
        <v>11.397466919139783</v>
      </c>
      <c r="CD107" s="285">
        <f t="shared" si="145"/>
        <v>0</v>
      </c>
      <c r="CE107" s="285">
        <f t="shared" si="145"/>
        <v>0</v>
      </c>
      <c r="CF107" s="285">
        <f t="shared" si="145"/>
        <v>0</v>
      </c>
      <c r="CG107" s="285">
        <f t="shared" si="145"/>
        <v>0</v>
      </c>
      <c r="CH107" s="285">
        <f t="shared" si="145"/>
        <v>7.614327503769946</v>
      </c>
      <c r="CI107" s="285">
        <f t="shared" si="145"/>
        <v>8.0016665483043301</v>
      </c>
      <c r="CJ107" s="285">
        <f t="shared" si="145"/>
        <v>6.069615150103969</v>
      </c>
      <c r="CK107" s="285">
        <f t="shared" si="145"/>
        <v>8.1688573794529162</v>
      </c>
      <c r="CL107" s="285">
        <f t="shared" si="145"/>
        <v>11.707602794081399</v>
      </c>
      <c r="CM107" s="285">
        <f t="shared" si="145"/>
        <v>8.3297883516439839</v>
      </c>
      <c r="CN107" s="285">
        <f t="shared" si="145"/>
        <v>7.8989290643841752</v>
      </c>
      <c r="CO107" s="285">
        <f t="shared" si="145"/>
        <v>10.336077014202456</v>
      </c>
      <c r="CP107" s="285">
        <f t="shared" si="145"/>
        <v>9.4928625372424253</v>
      </c>
      <c r="CQ107" s="285">
        <f t="shared" si="145"/>
        <v>9.3761263278016305</v>
      </c>
      <c r="CR107" s="285">
        <f t="shared" si="145"/>
        <v>12.58896358056217</v>
      </c>
      <c r="CS107" s="285">
        <f t="shared" si="145"/>
        <v>0</v>
      </c>
      <c r="CT107" s="285">
        <f t="shared" si="145"/>
        <v>0</v>
      </c>
      <c r="CU107" s="285">
        <f t="shared" si="145"/>
        <v>0</v>
      </c>
      <c r="CV107" s="285">
        <f t="shared" si="145"/>
        <v>0</v>
      </c>
      <c r="CW107" s="285">
        <f t="shared" si="145"/>
        <v>0</v>
      </c>
      <c r="CX107" s="285">
        <f t="shared" si="145"/>
        <v>0</v>
      </c>
      <c r="CY107" s="285">
        <f t="shared" si="145"/>
        <v>0</v>
      </c>
      <c r="CZ107" s="285">
        <f t="shared" si="145"/>
        <v>0</v>
      </c>
      <c r="DA107" s="285">
        <f t="shared" ref="DA107:DN107" si="146">DA106*IF(DA7="Residencial",loading.call.durations.to.local.fixed.numbers.cost.minute.residential,1)</f>
        <v>0</v>
      </c>
      <c r="DB107" s="285">
        <f t="shared" si="146"/>
        <v>0</v>
      </c>
      <c r="DC107" s="285">
        <f t="shared" si="146"/>
        <v>0</v>
      </c>
      <c r="DD107" s="285">
        <f t="shared" si="146"/>
        <v>0</v>
      </c>
      <c r="DE107" s="285">
        <f t="shared" si="146"/>
        <v>0</v>
      </c>
      <c r="DF107" s="285">
        <f t="shared" si="146"/>
        <v>0</v>
      </c>
      <c r="DG107" s="285">
        <f t="shared" si="146"/>
        <v>0</v>
      </c>
      <c r="DH107" s="285">
        <f t="shared" si="146"/>
        <v>0</v>
      </c>
      <c r="DI107" s="285">
        <f t="shared" si="146"/>
        <v>0</v>
      </c>
      <c r="DJ107" s="285">
        <f t="shared" si="146"/>
        <v>0</v>
      </c>
      <c r="DK107" s="285">
        <f t="shared" si="146"/>
        <v>0</v>
      </c>
      <c r="DL107" s="285">
        <f t="shared" si="146"/>
        <v>0</v>
      </c>
      <c r="DM107" s="285">
        <f t="shared" si="146"/>
        <v>0</v>
      </c>
      <c r="DN107" s="285">
        <f t="shared" si="146"/>
        <v>0</v>
      </c>
      <c r="DO107" s="285"/>
      <c r="DP107" s="285"/>
      <c r="DQ107" s="285"/>
      <c r="DR107" s="285"/>
      <c r="DS107" s="285"/>
      <c r="DT107" s="285"/>
      <c r="DU107" s="285"/>
      <c r="DV107" s="285"/>
      <c r="DW107" s="285"/>
      <c r="DX107" s="285"/>
      <c r="DY107" s="285"/>
      <c r="DZ107" s="285"/>
      <c r="EA107" s="285"/>
      <c r="EB107" s="285"/>
      <c r="EC107" s="285"/>
      <c r="ED107" s="285"/>
      <c r="EE107" s="285"/>
      <c r="EF107" s="285"/>
      <c r="EG107" s="285"/>
      <c r="EH107" s="285"/>
      <c r="EI107" s="285"/>
      <c r="EJ107" s="285"/>
      <c r="EK107" s="285"/>
      <c r="EL107" s="285"/>
      <c r="EM107" s="285"/>
      <c r="EN107" s="285"/>
      <c r="EO107" s="285"/>
      <c r="EP107" s="285"/>
      <c r="EQ107" s="285"/>
      <c r="ER107" s="285"/>
      <c r="ES107" s="285"/>
      <c r="ET107" s="285"/>
      <c r="EU107" s="285"/>
      <c r="EV107" s="285"/>
      <c r="EW107" s="285"/>
      <c r="EX107" s="285"/>
      <c r="EY107" s="285"/>
      <c r="EZ107" s="285"/>
      <c r="FA107" s="285"/>
      <c r="FB107" s="285"/>
      <c r="FC107" s="285"/>
      <c r="FD107" s="285"/>
      <c r="FE107" s="285"/>
      <c r="FF107" s="285"/>
      <c r="FG107" s="285"/>
      <c r="FH107" s="285"/>
      <c r="FI107" s="285"/>
      <c r="FJ107" s="285"/>
      <c r="FK107" s="285"/>
      <c r="FL107" s="285"/>
      <c r="FM107" s="285"/>
      <c r="FN107" s="285"/>
      <c r="FO107" s="285"/>
      <c r="FP107" s="285"/>
      <c r="FQ107" s="285"/>
      <c r="FR107" s="285"/>
      <c r="FS107" s="285"/>
      <c r="FT107" s="285"/>
      <c r="FU107" s="285"/>
      <c r="FV107" s="285"/>
      <c r="FW107" s="285"/>
      <c r="FX107" s="285"/>
      <c r="FY107" s="285"/>
      <c r="FZ107" s="285"/>
      <c r="GA107" s="285"/>
      <c r="GB107" s="285"/>
      <c r="GC107" s="285"/>
      <c r="GD107" s="285"/>
      <c r="GE107" s="285"/>
      <c r="GF107" s="285"/>
      <c r="GG107" s="285"/>
      <c r="GH107" s="285"/>
      <c r="GI107" s="285"/>
      <c r="GJ107" s="285"/>
      <c r="GK107" s="285"/>
      <c r="GL107" s="285"/>
      <c r="GM107" s="285"/>
      <c r="GN107" s="285"/>
      <c r="GO107" s="285"/>
      <c r="GP107" s="285"/>
      <c r="GQ107" s="285"/>
      <c r="GR107" s="285"/>
      <c r="GS107" s="285"/>
      <c r="GT107" s="285"/>
      <c r="GU107" s="285"/>
      <c r="GV107" s="285"/>
      <c r="GW107" s="285"/>
      <c r="GX107" s="285"/>
      <c r="GY107" s="285"/>
      <c r="GZ107" s="285"/>
      <c r="HA107" s="285"/>
      <c r="HB107" s="285"/>
      <c r="HC107" s="285"/>
      <c r="HD107" s="285"/>
      <c r="HE107" s="285"/>
      <c r="HF107" s="285"/>
      <c r="HG107" s="285"/>
      <c r="HH107" s="285"/>
      <c r="HI107" s="285"/>
      <c r="HJ107" s="285"/>
      <c r="HK107" s="285"/>
      <c r="HL107" s="285"/>
    </row>
    <row r="108" spans="1:220" x14ac:dyDescent="0.25">
      <c r="J108" s="44"/>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c r="AQ108" s="44"/>
      <c r="AR108" s="44"/>
      <c r="AS108" s="44"/>
      <c r="AT108" s="44"/>
      <c r="AU108" s="44"/>
      <c r="AV108" s="44"/>
      <c r="AW108" s="44"/>
      <c r="AX108" s="44"/>
      <c r="AY108" s="44"/>
      <c r="AZ108" s="44"/>
      <c r="BA108" s="44"/>
      <c r="BB108" s="44"/>
      <c r="BC108" s="44"/>
      <c r="BD108" s="44"/>
      <c r="BE108" s="44"/>
      <c r="BF108" s="44"/>
    </row>
    <row r="109" spans="1:220" x14ac:dyDescent="0.25">
      <c r="C109" s="102" t="s">
        <v>585</v>
      </c>
      <c r="D109" s="130"/>
      <c r="E109" s="130"/>
      <c r="F109" s="130"/>
      <c r="G109" s="408" t="s">
        <v>427</v>
      </c>
      <c r="H109" s="130"/>
      <c r="I109" s="161">
        <f>I111</f>
        <v>2.5</v>
      </c>
      <c r="J109" s="161">
        <f>J111</f>
        <v>0</v>
      </c>
      <c r="K109" s="161">
        <f t="shared" ref="K109:Y109" si="147">K111</f>
        <v>0</v>
      </c>
      <c r="L109" s="161">
        <f t="shared" si="147"/>
        <v>0</v>
      </c>
      <c r="M109" s="161">
        <f t="shared" si="147"/>
        <v>0</v>
      </c>
      <c r="N109" s="161">
        <f t="shared" si="147"/>
        <v>0</v>
      </c>
      <c r="O109" s="161">
        <f t="shared" si="147"/>
        <v>0</v>
      </c>
      <c r="P109" s="161">
        <f t="shared" si="147"/>
        <v>0</v>
      </c>
      <c r="Q109" s="161">
        <f t="shared" si="147"/>
        <v>0</v>
      </c>
      <c r="R109" s="161">
        <f t="shared" si="147"/>
        <v>0</v>
      </c>
      <c r="S109" s="161">
        <f t="shared" si="147"/>
        <v>0</v>
      </c>
      <c r="T109" s="161">
        <f t="shared" si="147"/>
        <v>0</v>
      </c>
      <c r="U109" s="161">
        <f t="shared" si="147"/>
        <v>0</v>
      </c>
      <c r="V109" s="161">
        <f t="shared" si="147"/>
        <v>0</v>
      </c>
      <c r="W109" s="161">
        <f t="shared" si="147"/>
        <v>2.5</v>
      </c>
      <c r="X109" s="161">
        <f t="shared" si="147"/>
        <v>2.5</v>
      </c>
      <c r="Y109" s="161">
        <f t="shared" si="147"/>
        <v>2.5</v>
      </c>
      <c r="Z109" s="161">
        <f>Z111</f>
        <v>2.5</v>
      </c>
      <c r="AA109" s="161">
        <f t="shared" ref="AA109:BF109" si="148">AA111</f>
        <v>5</v>
      </c>
      <c r="AB109" s="161">
        <f t="shared" si="148"/>
        <v>2.5</v>
      </c>
      <c r="AC109" s="161">
        <f t="shared" si="148"/>
        <v>2.5</v>
      </c>
      <c r="AD109" s="161">
        <f t="shared" si="148"/>
        <v>15</v>
      </c>
      <c r="AE109" s="161">
        <f t="shared" si="148"/>
        <v>2.5</v>
      </c>
      <c r="AF109" s="161">
        <f t="shared" si="148"/>
        <v>5</v>
      </c>
      <c r="AG109" s="161">
        <f t="shared" si="148"/>
        <v>5</v>
      </c>
      <c r="AH109" s="161">
        <f t="shared" si="148"/>
        <v>7.5</v>
      </c>
      <c r="AI109" s="161">
        <f t="shared" si="148"/>
        <v>5</v>
      </c>
      <c r="AJ109" s="161">
        <f t="shared" si="148"/>
        <v>10</v>
      </c>
      <c r="AK109" s="161">
        <f t="shared" si="148"/>
        <v>15</v>
      </c>
      <c r="AL109" s="161">
        <f t="shared" si="148"/>
        <v>0</v>
      </c>
      <c r="AM109" s="161">
        <f t="shared" si="148"/>
        <v>0</v>
      </c>
      <c r="AN109" s="161">
        <f t="shared" si="148"/>
        <v>0</v>
      </c>
      <c r="AO109" s="161">
        <f t="shared" si="148"/>
        <v>2.5</v>
      </c>
      <c r="AP109" s="161">
        <f t="shared" si="148"/>
        <v>2.5</v>
      </c>
      <c r="AQ109" s="161">
        <f t="shared" si="148"/>
        <v>2.5</v>
      </c>
      <c r="AR109" s="161">
        <f t="shared" si="148"/>
        <v>2.5</v>
      </c>
      <c r="AS109" s="161">
        <f t="shared" si="148"/>
        <v>2.5</v>
      </c>
      <c r="AT109" s="161">
        <f t="shared" si="148"/>
        <v>2.5</v>
      </c>
      <c r="AU109" s="161">
        <f t="shared" si="148"/>
        <v>2.5</v>
      </c>
      <c r="AV109" s="161">
        <f t="shared" si="148"/>
        <v>2.5</v>
      </c>
      <c r="AW109" s="161">
        <f t="shared" si="148"/>
        <v>2.5</v>
      </c>
      <c r="AX109" s="161">
        <f t="shared" si="148"/>
        <v>7.5</v>
      </c>
      <c r="AY109" s="161">
        <f t="shared" si="148"/>
        <v>7.5</v>
      </c>
      <c r="AZ109" s="161">
        <f t="shared" si="148"/>
        <v>0</v>
      </c>
      <c r="BA109" s="161">
        <f t="shared" si="148"/>
        <v>0</v>
      </c>
      <c r="BB109" s="161">
        <f t="shared" si="148"/>
        <v>0</v>
      </c>
      <c r="BC109" s="161">
        <f t="shared" si="148"/>
        <v>0</v>
      </c>
      <c r="BD109" s="161">
        <f t="shared" si="148"/>
        <v>0</v>
      </c>
      <c r="BE109" s="161">
        <f t="shared" si="148"/>
        <v>0</v>
      </c>
      <c r="BF109" s="161">
        <f t="shared" si="148"/>
        <v>0</v>
      </c>
      <c r="BG109" s="161">
        <f t="shared" ref="BG109:BZ109" si="149">BG111</f>
        <v>0</v>
      </c>
      <c r="BH109" s="161">
        <f t="shared" si="149"/>
        <v>0</v>
      </c>
      <c r="BI109" s="161">
        <f t="shared" si="149"/>
        <v>2.5</v>
      </c>
      <c r="BJ109" s="161">
        <f t="shared" si="149"/>
        <v>2.5</v>
      </c>
      <c r="BK109" s="161">
        <f t="shared" si="149"/>
        <v>2.5</v>
      </c>
      <c r="BL109" s="161">
        <f t="shared" si="149"/>
        <v>5</v>
      </c>
      <c r="BM109" s="161">
        <f t="shared" si="149"/>
        <v>5</v>
      </c>
      <c r="BN109" s="161">
        <f t="shared" si="149"/>
        <v>5</v>
      </c>
      <c r="BO109" s="161">
        <f t="shared" si="149"/>
        <v>5</v>
      </c>
      <c r="BP109" s="161">
        <f t="shared" si="149"/>
        <v>0</v>
      </c>
      <c r="BQ109" s="161">
        <f t="shared" si="149"/>
        <v>0</v>
      </c>
      <c r="BR109" s="161">
        <f t="shared" si="149"/>
        <v>0</v>
      </c>
      <c r="BS109" s="161">
        <f t="shared" si="149"/>
        <v>0</v>
      </c>
      <c r="BT109" s="161">
        <f t="shared" si="149"/>
        <v>0</v>
      </c>
      <c r="BU109" s="161">
        <f t="shared" si="149"/>
        <v>0</v>
      </c>
      <c r="BV109" s="161">
        <f t="shared" si="149"/>
        <v>0</v>
      </c>
      <c r="BW109" s="161">
        <f t="shared" si="149"/>
        <v>0</v>
      </c>
      <c r="BX109" s="161">
        <f t="shared" si="149"/>
        <v>0</v>
      </c>
      <c r="BY109" s="161">
        <f t="shared" si="149"/>
        <v>2.5</v>
      </c>
      <c r="BZ109" s="161">
        <f t="shared" si="149"/>
        <v>2.5</v>
      </c>
      <c r="CA109" s="161">
        <f t="shared" ref="CA109:DN109" si="150">CA111</f>
        <v>2.5</v>
      </c>
      <c r="CB109" s="161">
        <f t="shared" si="150"/>
        <v>5</v>
      </c>
      <c r="CC109" s="161">
        <f t="shared" si="150"/>
        <v>7.5</v>
      </c>
      <c r="CD109" s="161">
        <f t="shared" si="150"/>
        <v>0</v>
      </c>
      <c r="CE109" s="161">
        <f t="shared" si="150"/>
        <v>0</v>
      </c>
      <c r="CF109" s="161">
        <f t="shared" si="150"/>
        <v>0</v>
      </c>
      <c r="CG109" s="161">
        <f t="shared" si="150"/>
        <v>0</v>
      </c>
      <c r="CH109" s="161">
        <f t="shared" si="150"/>
        <v>2.5</v>
      </c>
      <c r="CI109" s="161">
        <f t="shared" si="150"/>
        <v>2.5</v>
      </c>
      <c r="CJ109" s="161">
        <f t="shared" si="150"/>
        <v>2.5</v>
      </c>
      <c r="CK109" s="161">
        <f t="shared" si="150"/>
        <v>2.5</v>
      </c>
      <c r="CL109" s="161">
        <f t="shared" si="150"/>
        <v>2.5</v>
      </c>
      <c r="CM109" s="161">
        <f t="shared" si="150"/>
        <v>2.5</v>
      </c>
      <c r="CN109" s="161">
        <f t="shared" si="150"/>
        <v>2.5</v>
      </c>
      <c r="CO109" s="161">
        <f t="shared" si="150"/>
        <v>5</v>
      </c>
      <c r="CP109" s="161">
        <f t="shared" si="150"/>
        <v>5</v>
      </c>
      <c r="CQ109" s="161">
        <f t="shared" si="150"/>
        <v>7.5</v>
      </c>
      <c r="CR109" s="161">
        <f t="shared" si="150"/>
        <v>7.5</v>
      </c>
      <c r="CS109" s="161">
        <f t="shared" si="150"/>
        <v>0</v>
      </c>
      <c r="CT109" s="161">
        <f t="shared" si="150"/>
        <v>0</v>
      </c>
      <c r="CU109" s="161">
        <f t="shared" si="150"/>
        <v>0</v>
      </c>
      <c r="CV109" s="161">
        <f t="shared" si="150"/>
        <v>0</v>
      </c>
      <c r="CW109" s="161">
        <f t="shared" si="150"/>
        <v>0</v>
      </c>
      <c r="CX109" s="161">
        <f t="shared" si="150"/>
        <v>0</v>
      </c>
      <c r="CY109" s="161">
        <f t="shared" si="150"/>
        <v>0</v>
      </c>
      <c r="CZ109" s="161">
        <f t="shared" si="150"/>
        <v>0</v>
      </c>
      <c r="DA109" s="161">
        <f t="shared" si="150"/>
        <v>0</v>
      </c>
      <c r="DB109" s="161">
        <f t="shared" si="150"/>
        <v>2.5</v>
      </c>
      <c r="DC109" s="161">
        <f t="shared" si="150"/>
        <v>5</v>
      </c>
      <c r="DD109" s="161">
        <f t="shared" si="150"/>
        <v>5</v>
      </c>
      <c r="DE109" s="161">
        <f t="shared" si="150"/>
        <v>5</v>
      </c>
      <c r="DF109" s="161">
        <f t="shared" si="150"/>
        <v>10</v>
      </c>
      <c r="DG109" s="161">
        <f t="shared" si="150"/>
        <v>15</v>
      </c>
      <c r="DH109" s="161">
        <f t="shared" si="150"/>
        <v>2.5</v>
      </c>
      <c r="DI109" s="161">
        <f t="shared" si="150"/>
        <v>2.5</v>
      </c>
      <c r="DJ109" s="161">
        <f t="shared" si="150"/>
        <v>2.5</v>
      </c>
      <c r="DK109" s="161">
        <f t="shared" si="150"/>
        <v>5</v>
      </c>
      <c r="DL109" s="161">
        <f t="shared" si="150"/>
        <v>5</v>
      </c>
      <c r="DM109" s="161">
        <f t="shared" si="150"/>
        <v>5</v>
      </c>
      <c r="DN109" s="161">
        <f t="shared" si="150"/>
        <v>5</v>
      </c>
      <c r="DO109" s="161"/>
      <c r="DP109" s="161"/>
      <c r="DQ109" s="161"/>
      <c r="DR109" s="161"/>
      <c r="DS109" s="161"/>
      <c r="DT109" s="161"/>
      <c r="DU109" s="161"/>
      <c r="DV109" s="161"/>
      <c r="DW109" s="161"/>
      <c r="DX109" s="161"/>
      <c r="DY109" s="161"/>
      <c r="DZ109" s="161"/>
      <c r="EA109" s="161"/>
      <c r="EB109" s="161"/>
      <c r="EC109" s="161"/>
      <c r="ED109" s="161"/>
      <c r="EE109" s="161"/>
      <c r="EF109" s="161"/>
      <c r="EG109" s="161"/>
      <c r="EH109" s="161"/>
      <c r="EI109" s="161"/>
      <c r="EJ109" s="161"/>
      <c r="EK109" s="161"/>
      <c r="EL109" s="161"/>
      <c r="EM109" s="161"/>
      <c r="EN109" s="161"/>
      <c r="EO109" s="161"/>
      <c r="EP109" s="161"/>
      <c r="EQ109" s="161"/>
      <c r="ER109" s="161"/>
      <c r="ES109" s="161"/>
      <c r="ET109" s="161"/>
      <c r="EU109" s="161"/>
      <c r="EV109" s="161"/>
      <c r="EW109" s="161"/>
      <c r="EX109" s="161"/>
      <c r="EY109" s="161"/>
      <c r="EZ109" s="161"/>
      <c r="FA109" s="161"/>
      <c r="FB109" s="161"/>
      <c r="FC109" s="161"/>
      <c r="FD109" s="161"/>
      <c r="FE109" s="161"/>
      <c r="FF109" s="161"/>
      <c r="FG109" s="161"/>
      <c r="FH109" s="161"/>
      <c r="FI109" s="161"/>
      <c r="FJ109" s="161"/>
      <c r="FK109" s="161"/>
      <c r="FL109" s="161"/>
      <c r="FM109" s="161"/>
      <c r="FN109" s="161"/>
      <c r="FO109" s="161"/>
      <c r="FP109" s="161"/>
      <c r="FQ109" s="161"/>
      <c r="FR109" s="161"/>
      <c r="FS109" s="161"/>
      <c r="FT109" s="161"/>
      <c r="FU109" s="161"/>
      <c r="FV109" s="161"/>
      <c r="FW109" s="161"/>
      <c r="FX109" s="161"/>
      <c r="FY109" s="161"/>
      <c r="FZ109" s="161"/>
      <c r="GA109" s="161"/>
      <c r="GB109" s="161"/>
      <c r="GC109" s="161"/>
      <c r="GD109" s="161"/>
      <c r="GE109" s="161"/>
      <c r="GF109" s="161"/>
      <c r="GG109" s="161"/>
      <c r="GH109" s="161"/>
      <c r="GI109" s="161"/>
      <c r="GJ109" s="161"/>
      <c r="GK109" s="161"/>
      <c r="GL109" s="161"/>
      <c r="GM109" s="161"/>
      <c r="GN109" s="161"/>
      <c r="GO109" s="161"/>
      <c r="GP109" s="161"/>
      <c r="GQ109" s="161"/>
      <c r="GR109" s="161"/>
      <c r="GS109" s="161"/>
      <c r="GT109" s="161"/>
      <c r="GU109" s="161"/>
      <c r="GV109" s="161"/>
      <c r="GW109" s="161"/>
      <c r="GX109" s="161"/>
      <c r="GY109" s="161"/>
      <c r="GZ109" s="161"/>
      <c r="HA109" s="161"/>
      <c r="HB109" s="161"/>
      <c r="HC109" s="161"/>
      <c r="HD109" s="161"/>
      <c r="HE109" s="161"/>
      <c r="HF109" s="161"/>
      <c r="HG109" s="161"/>
      <c r="HH109" s="161"/>
      <c r="HI109" s="161"/>
      <c r="HJ109" s="161"/>
      <c r="HK109" s="161"/>
      <c r="HL109" s="161"/>
    </row>
    <row r="110" spans="1:220" x14ac:dyDescent="0.25">
      <c r="C110" s="130" t="s">
        <v>536</v>
      </c>
      <c r="D110" s="130"/>
      <c r="E110" s="130"/>
      <c r="F110" s="130"/>
      <c r="G110" s="408" t="s">
        <v>161</v>
      </c>
      <c r="H110" s="130" t="s">
        <v>938</v>
      </c>
      <c r="I110" s="168">
        <f t="shared" ref="I110:W110" si="151">I36</f>
        <v>3</v>
      </c>
      <c r="J110" s="168">
        <f t="shared" si="151"/>
        <v>0</v>
      </c>
      <c r="K110" s="158">
        <f t="shared" si="151"/>
        <v>0</v>
      </c>
      <c r="L110" s="158">
        <f t="shared" si="151"/>
        <v>0</v>
      </c>
      <c r="M110" s="158">
        <f t="shared" si="151"/>
        <v>0</v>
      </c>
      <c r="N110" s="158">
        <f t="shared" si="151"/>
        <v>0</v>
      </c>
      <c r="O110" s="158">
        <f t="shared" si="151"/>
        <v>0</v>
      </c>
      <c r="P110" s="158">
        <f t="shared" si="151"/>
        <v>0</v>
      </c>
      <c r="Q110" s="158">
        <f t="shared" si="151"/>
        <v>0</v>
      </c>
      <c r="R110" s="158">
        <f t="shared" si="151"/>
        <v>0</v>
      </c>
      <c r="S110" s="158">
        <f t="shared" si="151"/>
        <v>0</v>
      </c>
      <c r="T110" s="158">
        <f t="shared" si="151"/>
        <v>0</v>
      </c>
      <c r="U110" s="158">
        <f t="shared" si="151"/>
        <v>0</v>
      </c>
      <c r="V110" s="158">
        <f t="shared" si="151"/>
        <v>0</v>
      </c>
      <c r="W110" s="158">
        <f t="shared" si="151"/>
        <v>0</v>
      </c>
      <c r="X110" s="158">
        <f>$W110</f>
        <v>0</v>
      </c>
      <c r="Y110" s="158">
        <f>$W110</f>
        <v>0</v>
      </c>
      <c r="Z110" s="158">
        <f t="shared" ref="Z110:BE110" si="152">Z36</f>
        <v>5</v>
      </c>
      <c r="AA110" s="158">
        <f t="shared" si="152"/>
        <v>5</v>
      </c>
      <c r="AB110" s="158">
        <f t="shared" si="152"/>
        <v>5</v>
      </c>
      <c r="AC110" s="158">
        <f t="shared" si="152"/>
        <v>5</v>
      </c>
      <c r="AD110" s="158">
        <f t="shared" si="152"/>
        <v>5</v>
      </c>
      <c r="AE110" s="158">
        <f t="shared" si="152"/>
        <v>0</v>
      </c>
      <c r="AF110" s="158">
        <f t="shared" si="152"/>
        <v>5</v>
      </c>
      <c r="AG110" s="158">
        <f t="shared" si="152"/>
        <v>5</v>
      </c>
      <c r="AH110" s="158">
        <f t="shared" si="152"/>
        <v>5</v>
      </c>
      <c r="AI110" s="158">
        <f t="shared" si="152"/>
        <v>5</v>
      </c>
      <c r="AJ110" s="158">
        <f t="shared" si="152"/>
        <v>5</v>
      </c>
      <c r="AK110" s="158">
        <f t="shared" si="152"/>
        <v>5</v>
      </c>
      <c r="AL110" s="158">
        <f t="shared" si="152"/>
        <v>0</v>
      </c>
      <c r="AM110" s="158">
        <f t="shared" si="152"/>
        <v>0</v>
      </c>
      <c r="AN110" s="158">
        <f t="shared" si="152"/>
        <v>0</v>
      </c>
      <c r="AO110" s="158">
        <f t="shared" si="152"/>
        <v>5</v>
      </c>
      <c r="AP110" s="158">
        <f t="shared" si="152"/>
        <v>5</v>
      </c>
      <c r="AQ110" s="158">
        <f t="shared" si="152"/>
        <v>5</v>
      </c>
      <c r="AR110" s="158">
        <f t="shared" si="152"/>
        <v>5</v>
      </c>
      <c r="AS110" s="158">
        <f t="shared" si="152"/>
        <v>5</v>
      </c>
      <c r="AT110" s="158">
        <f t="shared" si="152"/>
        <v>5</v>
      </c>
      <c r="AU110" s="158">
        <f t="shared" si="152"/>
        <v>5</v>
      </c>
      <c r="AV110" s="158">
        <f t="shared" si="152"/>
        <v>5</v>
      </c>
      <c r="AW110" s="158">
        <f t="shared" si="152"/>
        <v>5</v>
      </c>
      <c r="AX110" s="158">
        <f t="shared" si="152"/>
        <v>5</v>
      </c>
      <c r="AY110" s="158">
        <f t="shared" si="152"/>
        <v>5</v>
      </c>
      <c r="AZ110" s="158">
        <f t="shared" si="152"/>
        <v>0</v>
      </c>
      <c r="BA110" s="158">
        <f t="shared" si="152"/>
        <v>0</v>
      </c>
      <c r="BB110" s="158">
        <f t="shared" si="152"/>
        <v>0</v>
      </c>
      <c r="BC110" s="158">
        <f t="shared" si="152"/>
        <v>0</v>
      </c>
      <c r="BD110" s="158">
        <f t="shared" si="152"/>
        <v>0</v>
      </c>
      <c r="BE110" s="158">
        <f t="shared" si="152"/>
        <v>0</v>
      </c>
      <c r="BF110" s="158">
        <f t="shared" ref="BF110:CK110" si="153">BF36</f>
        <v>0</v>
      </c>
      <c r="BG110" s="158">
        <f t="shared" si="153"/>
        <v>0</v>
      </c>
      <c r="BH110" s="158">
        <f t="shared" si="153"/>
        <v>0</v>
      </c>
      <c r="BI110" s="158">
        <f t="shared" si="153"/>
        <v>5</v>
      </c>
      <c r="BJ110" s="158">
        <f t="shared" si="153"/>
        <v>5</v>
      </c>
      <c r="BK110" s="158">
        <f t="shared" si="153"/>
        <v>5</v>
      </c>
      <c r="BL110" s="158">
        <f t="shared" si="153"/>
        <v>5</v>
      </c>
      <c r="BM110" s="158">
        <f t="shared" si="153"/>
        <v>5</v>
      </c>
      <c r="BN110" s="158">
        <f t="shared" si="153"/>
        <v>5</v>
      </c>
      <c r="BO110" s="158">
        <f t="shared" si="153"/>
        <v>5</v>
      </c>
      <c r="BP110" s="158">
        <f t="shared" si="153"/>
        <v>0</v>
      </c>
      <c r="BQ110" s="158">
        <f t="shared" si="153"/>
        <v>0</v>
      </c>
      <c r="BR110" s="158">
        <f t="shared" si="153"/>
        <v>0</v>
      </c>
      <c r="BS110" s="158">
        <f t="shared" si="153"/>
        <v>0</v>
      </c>
      <c r="BT110" s="158">
        <f t="shared" si="153"/>
        <v>0</v>
      </c>
      <c r="BU110" s="158">
        <f t="shared" si="153"/>
        <v>0</v>
      </c>
      <c r="BV110" s="158">
        <f t="shared" si="153"/>
        <v>0</v>
      </c>
      <c r="BW110" s="158">
        <f t="shared" si="153"/>
        <v>0</v>
      </c>
      <c r="BX110" s="158">
        <f t="shared" si="153"/>
        <v>0</v>
      </c>
      <c r="BY110" s="158">
        <f t="shared" si="153"/>
        <v>5</v>
      </c>
      <c r="BZ110" s="158">
        <f t="shared" si="153"/>
        <v>5</v>
      </c>
      <c r="CA110" s="158">
        <f t="shared" si="153"/>
        <v>5</v>
      </c>
      <c r="CB110" s="158">
        <f t="shared" si="153"/>
        <v>5</v>
      </c>
      <c r="CC110" s="158">
        <f t="shared" si="153"/>
        <v>5</v>
      </c>
      <c r="CD110" s="158">
        <f t="shared" si="153"/>
        <v>0</v>
      </c>
      <c r="CE110" s="158">
        <f t="shared" si="153"/>
        <v>0</v>
      </c>
      <c r="CF110" s="158">
        <f t="shared" si="153"/>
        <v>0</v>
      </c>
      <c r="CG110" s="158">
        <f t="shared" si="153"/>
        <v>0</v>
      </c>
      <c r="CH110" s="158">
        <f t="shared" si="153"/>
        <v>5</v>
      </c>
      <c r="CI110" s="158">
        <f t="shared" si="153"/>
        <v>5</v>
      </c>
      <c r="CJ110" s="158">
        <f t="shared" si="153"/>
        <v>5</v>
      </c>
      <c r="CK110" s="158">
        <f t="shared" si="153"/>
        <v>5</v>
      </c>
      <c r="CL110" s="158">
        <f t="shared" ref="CL110:DN110" si="154">CL36</f>
        <v>5</v>
      </c>
      <c r="CM110" s="158">
        <f t="shared" si="154"/>
        <v>5</v>
      </c>
      <c r="CN110" s="158">
        <f t="shared" si="154"/>
        <v>5</v>
      </c>
      <c r="CO110" s="158">
        <f t="shared" si="154"/>
        <v>5</v>
      </c>
      <c r="CP110" s="158">
        <f t="shared" si="154"/>
        <v>5</v>
      </c>
      <c r="CQ110" s="158">
        <f t="shared" si="154"/>
        <v>5</v>
      </c>
      <c r="CR110" s="158">
        <f t="shared" si="154"/>
        <v>5</v>
      </c>
      <c r="CS110" s="158">
        <f t="shared" si="154"/>
        <v>0</v>
      </c>
      <c r="CT110" s="158">
        <f t="shared" si="154"/>
        <v>0</v>
      </c>
      <c r="CU110" s="158">
        <f t="shared" si="154"/>
        <v>0</v>
      </c>
      <c r="CV110" s="158">
        <f t="shared" si="154"/>
        <v>0</v>
      </c>
      <c r="CW110" s="158">
        <f t="shared" si="154"/>
        <v>0</v>
      </c>
      <c r="CX110" s="158">
        <f t="shared" si="154"/>
        <v>0</v>
      </c>
      <c r="CY110" s="158">
        <f t="shared" si="154"/>
        <v>0</v>
      </c>
      <c r="CZ110" s="158">
        <f t="shared" si="154"/>
        <v>0</v>
      </c>
      <c r="DA110" s="158">
        <f t="shared" si="154"/>
        <v>0</v>
      </c>
      <c r="DB110" s="158">
        <f t="shared" si="154"/>
        <v>5</v>
      </c>
      <c r="DC110" s="158">
        <f t="shared" si="154"/>
        <v>5</v>
      </c>
      <c r="DD110" s="158">
        <f t="shared" si="154"/>
        <v>5</v>
      </c>
      <c r="DE110" s="158">
        <f t="shared" si="154"/>
        <v>5</v>
      </c>
      <c r="DF110" s="158">
        <f t="shared" si="154"/>
        <v>5</v>
      </c>
      <c r="DG110" s="158">
        <f t="shared" si="154"/>
        <v>5</v>
      </c>
      <c r="DH110" s="158">
        <f t="shared" si="154"/>
        <v>5</v>
      </c>
      <c r="DI110" s="158">
        <f t="shared" si="154"/>
        <v>5</v>
      </c>
      <c r="DJ110" s="158">
        <f t="shared" si="154"/>
        <v>5</v>
      </c>
      <c r="DK110" s="158">
        <f t="shared" si="154"/>
        <v>5</v>
      </c>
      <c r="DL110" s="158">
        <f t="shared" si="154"/>
        <v>5</v>
      </c>
      <c r="DM110" s="158">
        <f t="shared" si="154"/>
        <v>5</v>
      </c>
      <c r="DN110" s="158">
        <f t="shared" si="154"/>
        <v>5</v>
      </c>
      <c r="DO110" s="158"/>
      <c r="DP110" s="158"/>
      <c r="DQ110" s="158"/>
      <c r="DR110" s="158"/>
      <c r="DS110" s="158"/>
      <c r="DT110" s="158"/>
      <c r="DU110" s="158"/>
      <c r="DV110" s="158"/>
      <c r="DW110" s="158"/>
      <c r="DX110" s="158"/>
      <c r="DY110" s="158"/>
      <c r="DZ110" s="158"/>
      <c r="EA110" s="158"/>
      <c r="EB110" s="158"/>
      <c r="EC110" s="158"/>
      <c r="ED110" s="158"/>
      <c r="EE110" s="158"/>
      <c r="EF110" s="158"/>
      <c r="EG110" s="158"/>
      <c r="EH110" s="158"/>
      <c r="EI110" s="158"/>
      <c r="EJ110" s="158"/>
      <c r="EK110" s="158"/>
      <c r="EL110" s="158"/>
      <c r="EM110" s="158"/>
      <c r="EN110" s="158"/>
      <c r="EO110" s="158"/>
      <c r="EP110" s="158"/>
      <c r="EQ110" s="158"/>
      <c r="ER110" s="158"/>
      <c r="ES110" s="158"/>
      <c r="ET110" s="158"/>
      <c r="EU110" s="158"/>
      <c r="EV110" s="158"/>
      <c r="EW110" s="158"/>
      <c r="EX110" s="158"/>
      <c r="EY110" s="158"/>
      <c r="EZ110" s="158"/>
      <c r="FA110" s="158"/>
      <c r="FB110" s="158"/>
      <c r="FC110" s="158"/>
      <c r="FD110" s="158"/>
      <c r="FE110" s="158"/>
      <c r="FF110" s="158"/>
      <c r="FG110" s="158"/>
      <c r="FH110" s="158"/>
      <c r="FI110" s="158"/>
      <c r="FJ110" s="158"/>
      <c r="FK110" s="158"/>
      <c r="FL110" s="158"/>
      <c r="FM110" s="158"/>
      <c r="FN110" s="158"/>
      <c r="FO110" s="158"/>
      <c r="FP110" s="158"/>
      <c r="FQ110" s="158"/>
      <c r="FR110" s="158"/>
      <c r="FS110" s="158"/>
      <c r="FT110" s="158"/>
      <c r="FU110" s="158"/>
      <c r="FV110" s="158"/>
      <c r="FW110" s="158"/>
      <c r="FX110" s="158"/>
      <c r="FY110" s="158"/>
      <c r="FZ110" s="158"/>
      <c r="GA110" s="158"/>
      <c r="GB110" s="158"/>
      <c r="GC110" s="158"/>
      <c r="GD110" s="158"/>
      <c r="GE110" s="158"/>
      <c r="GF110" s="158"/>
      <c r="GG110" s="158"/>
      <c r="GH110" s="158"/>
      <c r="GI110" s="158"/>
      <c r="GJ110" s="158"/>
      <c r="GK110" s="158"/>
      <c r="GL110" s="158"/>
      <c r="GM110" s="158"/>
      <c r="GN110" s="158"/>
      <c r="GO110" s="158"/>
      <c r="GP110" s="158"/>
      <c r="GQ110" s="158"/>
      <c r="GR110" s="158"/>
      <c r="GS110" s="158"/>
      <c r="GT110" s="158"/>
      <c r="GU110" s="158"/>
      <c r="GV110" s="158"/>
      <c r="GW110" s="158"/>
      <c r="GX110" s="158"/>
      <c r="GY110" s="158"/>
      <c r="GZ110" s="158"/>
      <c r="HA110" s="158"/>
      <c r="HB110" s="158"/>
      <c r="HC110" s="158"/>
      <c r="HD110" s="158"/>
      <c r="HE110" s="158"/>
      <c r="HF110" s="158"/>
      <c r="HG110" s="158"/>
      <c r="HH110" s="158"/>
      <c r="HI110" s="158"/>
      <c r="HJ110" s="158"/>
      <c r="HK110" s="158"/>
      <c r="HL110" s="158"/>
    </row>
    <row r="111" spans="1:220" x14ac:dyDescent="0.25">
      <c r="C111" s="104" t="s">
        <v>937</v>
      </c>
      <c r="D111" s="130"/>
      <c r="E111" s="130"/>
      <c r="F111" s="130"/>
      <c r="G111" s="408" t="s">
        <v>569</v>
      </c>
      <c r="H111" s="130"/>
      <c r="I111" s="307">
        <f>I40</f>
        <v>2.5</v>
      </c>
      <c r="J111" s="307">
        <f>J40</f>
        <v>0</v>
      </c>
      <c r="K111" s="307">
        <f>K40</f>
        <v>0</v>
      </c>
      <c r="L111" s="307">
        <f>L40</f>
        <v>0</v>
      </c>
      <c r="M111" s="307">
        <f>M40</f>
        <v>0</v>
      </c>
      <c r="N111" s="307">
        <f t="shared" ref="N111:AS111" si="155">3*3*unit.cost.digital.service.3/(12*years.client.retention)*N25</f>
        <v>0</v>
      </c>
      <c r="O111" s="307">
        <f t="shared" si="155"/>
        <v>0</v>
      </c>
      <c r="P111" s="307">
        <f t="shared" si="155"/>
        <v>0</v>
      </c>
      <c r="Q111" s="307">
        <f t="shared" si="155"/>
        <v>0</v>
      </c>
      <c r="R111" s="307">
        <f t="shared" si="155"/>
        <v>0</v>
      </c>
      <c r="S111" s="307">
        <f t="shared" si="155"/>
        <v>0</v>
      </c>
      <c r="T111" s="307">
        <f t="shared" si="155"/>
        <v>0</v>
      </c>
      <c r="U111" s="307">
        <f t="shared" si="155"/>
        <v>0</v>
      </c>
      <c r="V111" s="307">
        <f t="shared" si="155"/>
        <v>0</v>
      </c>
      <c r="W111" s="307">
        <f t="shared" si="155"/>
        <v>2.5</v>
      </c>
      <c r="X111" s="307">
        <f t="shared" si="155"/>
        <v>2.5</v>
      </c>
      <c r="Y111" s="307">
        <f t="shared" si="155"/>
        <v>2.5</v>
      </c>
      <c r="Z111" s="307">
        <f t="shared" si="155"/>
        <v>2.5</v>
      </c>
      <c r="AA111" s="307">
        <f t="shared" si="155"/>
        <v>5</v>
      </c>
      <c r="AB111" s="307">
        <f t="shared" si="155"/>
        <v>2.5</v>
      </c>
      <c r="AC111" s="307">
        <f t="shared" si="155"/>
        <v>2.5</v>
      </c>
      <c r="AD111" s="307">
        <f t="shared" si="155"/>
        <v>15</v>
      </c>
      <c r="AE111" s="307">
        <f t="shared" si="155"/>
        <v>2.5</v>
      </c>
      <c r="AF111" s="307">
        <f t="shared" si="155"/>
        <v>5</v>
      </c>
      <c r="AG111" s="307">
        <f t="shared" si="155"/>
        <v>5</v>
      </c>
      <c r="AH111" s="307">
        <f t="shared" si="155"/>
        <v>7.5</v>
      </c>
      <c r="AI111" s="307">
        <f t="shared" si="155"/>
        <v>5</v>
      </c>
      <c r="AJ111" s="307">
        <f t="shared" si="155"/>
        <v>10</v>
      </c>
      <c r="AK111" s="307">
        <f t="shared" si="155"/>
        <v>15</v>
      </c>
      <c r="AL111" s="307">
        <f t="shared" si="155"/>
        <v>0</v>
      </c>
      <c r="AM111" s="307">
        <f t="shared" si="155"/>
        <v>0</v>
      </c>
      <c r="AN111" s="307">
        <f t="shared" si="155"/>
        <v>0</v>
      </c>
      <c r="AO111" s="307">
        <f t="shared" si="155"/>
        <v>2.5</v>
      </c>
      <c r="AP111" s="307">
        <f t="shared" si="155"/>
        <v>2.5</v>
      </c>
      <c r="AQ111" s="307">
        <f t="shared" si="155"/>
        <v>2.5</v>
      </c>
      <c r="AR111" s="307">
        <f t="shared" si="155"/>
        <v>2.5</v>
      </c>
      <c r="AS111" s="307">
        <f t="shared" si="155"/>
        <v>2.5</v>
      </c>
      <c r="AT111" s="307">
        <f t="shared" ref="AT111:BY111" si="156">3*3*unit.cost.digital.service.3/(12*years.client.retention)*AT25</f>
        <v>2.5</v>
      </c>
      <c r="AU111" s="307">
        <f t="shared" si="156"/>
        <v>2.5</v>
      </c>
      <c r="AV111" s="307">
        <f t="shared" si="156"/>
        <v>2.5</v>
      </c>
      <c r="AW111" s="307">
        <f t="shared" si="156"/>
        <v>2.5</v>
      </c>
      <c r="AX111" s="307">
        <f t="shared" si="156"/>
        <v>7.5</v>
      </c>
      <c r="AY111" s="307">
        <f t="shared" si="156"/>
        <v>7.5</v>
      </c>
      <c r="AZ111" s="307">
        <f t="shared" si="156"/>
        <v>0</v>
      </c>
      <c r="BA111" s="307">
        <f t="shared" si="156"/>
        <v>0</v>
      </c>
      <c r="BB111" s="307">
        <f t="shared" si="156"/>
        <v>0</v>
      </c>
      <c r="BC111" s="307">
        <f t="shared" si="156"/>
        <v>0</v>
      </c>
      <c r="BD111" s="307">
        <f t="shared" si="156"/>
        <v>0</v>
      </c>
      <c r="BE111" s="307">
        <f t="shared" si="156"/>
        <v>0</v>
      </c>
      <c r="BF111" s="307">
        <f t="shared" si="156"/>
        <v>0</v>
      </c>
      <c r="BG111" s="307">
        <f t="shared" si="156"/>
        <v>0</v>
      </c>
      <c r="BH111" s="307">
        <f t="shared" si="156"/>
        <v>0</v>
      </c>
      <c r="BI111" s="307">
        <f t="shared" si="156"/>
        <v>2.5</v>
      </c>
      <c r="BJ111" s="307">
        <f t="shared" si="156"/>
        <v>2.5</v>
      </c>
      <c r="BK111" s="307">
        <f t="shared" si="156"/>
        <v>2.5</v>
      </c>
      <c r="BL111" s="307">
        <f t="shared" si="156"/>
        <v>5</v>
      </c>
      <c r="BM111" s="307">
        <f t="shared" si="156"/>
        <v>5</v>
      </c>
      <c r="BN111" s="307">
        <f t="shared" si="156"/>
        <v>5</v>
      </c>
      <c r="BO111" s="307">
        <f t="shared" si="156"/>
        <v>5</v>
      </c>
      <c r="BP111" s="307">
        <f t="shared" si="156"/>
        <v>0</v>
      </c>
      <c r="BQ111" s="307">
        <f t="shared" si="156"/>
        <v>0</v>
      </c>
      <c r="BR111" s="307">
        <f t="shared" si="156"/>
        <v>0</v>
      </c>
      <c r="BS111" s="307">
        <f t="shared" si="156"/>
        <v>0</v>
      </c>
      <c r="BT111" s="307">
        <f t="shared" si="156"/>
        <v>0</v>
      </c>
      <c r="BU111" s="307">
        <f t="shared" si="156"/>
        <v>0</v>
      </c>
      <c r="BV111" s="307">
        <f t="shared" si="156"/>
        <v>0</v>
      </c>
      <c r="BW111" s="307">
        <f t="shared" si="156"/>
        <v>0</v>
      </c>
      <c r="BX111" s="307">
        <f t="shared" si="156"/>
        <v>0</v>
      </c>
      <c r="BY111" s="307">
        <f t="shared" si="156"/>
        <v>2.5</v>
      </c>
      <c r="BZ111" s="307">
        <f t="shared" ref="BZ111:DE111" si="157">3*3*unit.cost.digital.service.3/(12*years.client.retention)*BZ25</f>
        <v>2.5</v>
      </c>
      <c r="CA111" s="307">
        <f t="shared" si="157"/>
        <v>2.5</v>
      </c>
      <c r="CB111" s="307">
        <f t="shared" si="157"/>
        <v>5</v>
      </c>
      <c r="CC111" s="307">
        <f t="shared" si="157"/>
        <v>7.5</v>
      </c>
      <c r="CD111" s="307">
        <f t="shared" si="157"/>
        <v>0</v>
      </c>
      <c r="CE111" s="307">
        <f t="shared" si="157"/>
        <v>0</v>
      </c>
      <c r="CF111" s="307">
        <f t="shared" si="157"/>
        <v>0</v>
      </c>
      <c r="CG111" s="307">
        <f t="shared" si="157"/>
        <v>0</v>
      </c>
      <c r="CH111" s="307">
        <f t="shared" si="157"/>
        <v>2.5</v>
      </c>
      <c r="CI111" s="307">
        <f t="shared" si="157"/>
        <v>2.5</v>
      </c>
      <c r="CJ111" s="307">
        <f t="shared" si="157"/>
        <v>2.5</v>
      </c>
      <c r="CK111" s="307">
        <f t="shared" si="157"/>
        <v>2.5</v>
      </c>
      <c r="CL111" s="307">
        <f t="shared" si="157"/>
        <v>2.5</v>
      </c>
      <c r="CM111" s="307">
        <f t="shared" si="157"/>
        <v>2.5</v>
      </c>
      <c r="CN111" s="307">
        <f t="shared" si="157"/>
        <v>2.5</v>
      </c>
      <c r="CO111" s="307">
        <f t="shared" si="157"/>
        <v>5</v>
      </c>
      <c r="CP111" s="307">
        <f t="shared" si="157"/>
        <v>5</v>
      </c>
      <c r="CQ111" s="307">
        <f t="shared" si="157"/>
        <v>7.5</v>
      </c>
      <c r="CR111" s="307">
        <f t="shared" si="157"/>
        <v>7.5</v>
      </c>
      <c r="CS111" s="307">
        <f t="shared" si="157"/>
        <v>0</v>
      </c>
      <c r="CT111" s="307">
        <f t="shared" si="157"/>
        <v>0</v>
      </c>
      <c r="CU111" s="307">
        <f t="shared" si="157"/>
        <v>0</v>
      </c>
      <c r="CV111" s="307">
        <f t="shared" si="157"/>
        <v>0</v>
      </c>
      <c r="CW111" s="307">
        <f t="shared" si="157"/>
        <v>0</v>
      </c>
      <c r="CX111" s="307">
        <f t="shared" si="157"/>
        <v>0</v>
      </c>
      <c r="CY111" s="307">
        <f t="shared" si="157"/>
        <v>0</v>
      </c>
      <c r="CZ111" s="307">
        <f t="shared" si="157"/>
        <v>0</v>
      </c>
      <c r="DA111" s="307">
        <f t="shared" si="157"/>
        <v>0</v>
      </c>
      <c r="DB111" s="307">
        <f t="shared" si="157"/>
        <v>2.5</v>
      </c>
      <c r="DC111" s="307">
        <f t="shared" si="157"/>
        <v>5</v>
      </c>
      <c r="DD111" s="307">
        <f t="shared" si="157"/>
        <v>5</v>
      </c>
      <c r="DE111" s="307">
        <f t="shared" si="157"/>
        <v>5</v>
      </c>
      <c r="DF111" s="307">
        <f t="shared" ref="DF111:DN111" si="158">3*3*unit.cost.digital.service.3/(12*years.client.retention)*DF25</f>
        <v>10</v>
      </c>
      <c r="DG111" s="307">
        <f t="shared" si="158"/>
        <v>15</v>
      </c>
      <c r="DH111" s="307">
        <f t="shared" si="158"/>
        <v>2.5</v>
      </c>
      <c r="DI111" s="307">
        <f t="shared" si="158"/>
        <v>2.5</v>
      </c>
      <c r="DJ111" s="307">
        <f t="shared" si="158"/>
        <v>2.5</v>
      </c>
      <c r="DK111" s="307">
        <f t="shared" si="158"/>
        <v>5</v>
      </c>
      <c r="DL111" s="307">
        <f t="shared" si="158"/>
        <v>5</v>
      </c>
      <c r="DM111" s="307">
        <f t="shared" si="158"/>
        <v>5</v>
      </c>
      <c r="DN111" s="307">
        <f t="shared" si="158"/>
        <v>5</v>
      </c>
      <c r="DO111" s="307"/>
      <c r="DP111" s="307"/>
      <c r="DQ111" s="307"/>
      <c r="DR111" s="307"/>
      <c r="DS111" s="307"/>
      <c r="DT111" s="307"/>
      <c r="DU111" s="307"/>
      <c r="DV111" s="307"/>
      <c r="DW111" s="307"/>
      <c r="DX111" s="307"/>
      <c r="DY111" s="307"/>
      <c r="DZ111" s="307"/>
      <c r="EA111" s="307"/>
      <c r="EB111" s="307"/>
      <c r="EC111" s="307"/>
      <c r="ED111" s="307"/>
      <c r="EE111" s="307"/>
      <c r="EF111" s="307"/>
      <c r="EG111" s="307"/>
      <c r="EH111" s="307"/>
      <c r="EI111" s="307"/>
      <c r="EJ111" s="307"/>
      <c r="EK111" s="307"/>
      <c r="EL111" s="307"/>
      <c r="EM111" s="307"/>
      <c r="EN111" s="307"/>
      <c r="EO111" s="307"/>
      <c r="EP111" s="307"/>
      <c r="EQ111" s="307"/>
      <c r="ER111" s="307"/>
      <c r="ES111" s="307"/>
      <c r="ET111" s="307"/>
      <c r="EU111" s="307"/>
      <c r="EV111" s="307"/>
      <c r="EW111" s="307"/>
      <c r="EX111" s="307"/>
      <c r="EY111" s="307"/>
      <c r="EZ111" s="307"/>
      <c r="FA111" s="307"/>
      <c r="FB111" s="307"/>
      <c r="FC111" s="307"/>
      <c r="FD111" s="307"/>
      <c r="FE111" s="307"/>
      <c r="FF111" s="307"/>
      <c r="FG111" s="307"/>
      <c r="FH111" s="307"/>
      <c r="FI111" s="307"/>
      <c r="FJ111" s="307"/>
      <c r="FK111" s="307"/>
      <c r="FL111" s="307"/>
      <c r="FM111" s="307"/>
      <c r="FN111" s="307"/>
      <c r="FO111" s="307"/>
      <c r="FP111" s="307"/>
      <c r="FQ111" s="307"/>
      <c r="FR111" s="307"/>
      <c r="FS111" s="307"/>
      <c r="FT111" s="307"/>
      <c r="FU111" s="307"/>
      <c r="FV111" s="307"/>
      <c r="FW111" s="307"/>
      <c r="FX111" s="307"/>
      <c r="FY111" s="307"/>
      <c r="FZ111" s="307"/>
      <c r="GA111" s="307"/>
      <c r="GB111" s="307"/>
      <c r="GC111" s="307"/>
      <c r="GD111" s="307"/>
      <c r="GE111" s="307"/>
      <c r="GF111" s="307"/>
      <c r="GG111" s="307"/>
      <c r="GH111" s="307"/>
      <c r="GI111" s="307"/>
      <c r="GJ111" s="307"/>
      <c r="GK111" s="307"/>
      <c r="GL111" s="307"/>
      <c r="GM111" s="307"/>
      <c r="GN111" s="307"/>
      <c r="GO111" s="307"/>
      <c r="GP111" s="307"/>
      <c r="GQ111" s="307"/>
      <c r="GR111" s="307"/>
      <c r="GS111" s="307"/>
      <c r="GT111" s="307"/>
      <c r="GU111" s="307"/>
      <c r="GV111" s="307"/>
      <c r="GW111" s="307"/>
      <c r="GX111" s="307"/>
      <c r="GY111" s="307"/>
      <c r="GZ111" s="307"/>
      <c r="HA111" s="307"/>
      <c r="HB111" s="307"/>
      <c r="HC111" s="307"/>
      <c r="HD111" s="307"/>
      <c r="HE111" s="307"/>
      <c r="HF111" s="307"/>
      <c r="HG111" s="307"/>
      <c r="HH111" s="307"/>
      <c r="HI111" s="307"/>
      <c r="HJ111" s="307"/>
      <c r="HK111" s="307"/>
      <c r="HL111" s="307"/>
    </row>
    <row r="112" spans="1:220" x14ac:dyDescent="0.25">
      <c r="K112" s="262"/>
      <c r="L112" s="44"/>
      <c r="M112" s="44"/>
      <c r="N112" s="44"/>
      <c r="O112" s="44"/>
      <c r="P112" s="44"/>
      <c r="Q112" s="44"/>
      <c r="R112" s="44"/>
      <c r="S112" s="44"/>
      <c r="T112" s="44"/>
      <c r="U112" s="44"/>
      <c r="V112" s="44"/>
      <c r="W112" s="44"/>
    </row>
    <row r="113" spans="1:221" x14ac:dyDescent="0.25">
      <c r="B113" s="100">
        <v>4.2</v>
      </c>
      <c r="C113" s="100" t="s">
        <v>733</v>
      </c>
      <c r="D113" s="100"/>
      <c r="E113" s="100"/>
      <c r="F113" s="100"/>
      <c r="G113" s="100"/>
      <c r="H113" s="100"/>
      <c r="I113" s="415"/>
      <c r="J113" s="416"/>
      <c r="K113" s="416"/>
      <c r="L113" s="416"/>
      <c r="M113" s="415"/>
      <c r="N113" s="415"/>
      <c r="O113" s="415"/>
      <c r="P113" s="415"/>
      <c r="Q113" s="415"/>
      <c r="R113" s="169"/>
      <c r="S113" s="169"/>
      <c r="T113" s="169"/>
      <c r="U113" s="169"/>
      <c r="V113" s="169"/>
      <c r="W113" s="169"/>
      <c r="X113" s="169"/>
      <c r="Y113" s="169"/>
      <c r="Z113" s="169"/>
      <c r="AA113" s="169"/>
      <c r="AB113" s="169"/>
      <c r="AC113" s="169"/>
      <c r="AD113" s="169"/>
      <c r="AE113" s="169"/>
      <c r="AF113" s="169"/>
      <c r="AG113" s="169"/>
      <c r="AH113" s="169"/>
      <c r="AI113" s="169"/>
      <c r="AJ113" s="169"/>
      <c r="AK113" s="169"/>
      <c r="AL113" s="169"/>
      <c r="AM113" s="169"/>
      <c r="AN113" s="169"/>
      <c r="AO113" s="169"/>
      <c r="AP113" s="169"/>
      <c r="AQ113" s="169"/>
      <c r="AR113" s="169"/>
      <c r="AS113" s="169"/>
      <c r="AT113" s="169"/>
      <c r="AU113" s="169"/>
      <c r="AV113" s="169"/>
      <c r="AW113" s="169"/>
      <c r="AX113" s="169"/>
      <c r="AY113" s="169"/>
      <c r="AZ113" s="169"/>
      <c r="BA113" s="169"/>
      <c r="BB113" s="169"/>
      <c r="BC113" s="169"/>
      <c r="BD113" s="169"/>
      <c r="BE113" s="169"/>
      <c r="BF113" s="169"/>
      <c r="BG113" s="169"/>
      <c r="BH113" s="169"/>
      <c r="BI113" s="169"/>
      <c r="BJ113" s="169"/>
      <c r="BK113" s="169"/>
      <c r="BL113" s="169"/>
      <c r="BM113" s="169"/>
      <c r="BN113" s="169"/>
      <c r="BO113" s="169"/>
      <c r="BP113" s="169"/>
      <c r="BQ113" s="169"/>
      <c r="BR113" s="169"/>
      <c r="BS113" s="169"/>
      <c r="BT113" s="169"/>
      <c r="BU113" s="169"/>
      <c r="BV113" s="169"/>
      <c r="BW113" s="169"/>
      <c r="BX113" s="169"/>
      <c r="BY113" s="169"/>
      <c r="BZ113" s="169"/>
      <c r="CA113" s="169"/>
      <c r="CB113" s="169"/>
      <c r="CC113" s="169"/>
      <c r="CD113" s="169"/>
      <c r="CE113" s="169"/>
      <c r="CF113" s="169"/>
      <c r="CG113" s="169"/>
      <c r="CH113" s="169"/>
      <c r="CI113" s="169"/>
      <c r="CJ113" s="169"/>
      <c r="CK113" s="169"/>
      <c r="CL113" s="169"/>
      <c r="CM113" s="169"/>
      <c r="CN113" s="169"/>
      <c r="CO113" s="169"/>
      <c r="CP113" s="169"/>
      <c r="CQ113" s="169"/>
      <c r="CR113" s="169"/>
      <c r="CS113" s="169"/>
      <c r="CT113" s="169"/>
      <c r="CU113" s="169"/>
      <c r="CV113" s="169"/>
      <c r="CW113" s="169"/>
      <c r="CX113" s="169"/>
      <c r="CY113" s="169"/>
      <c r="CZ113" s="169"/>
      <c r="DA113" s="169"/>
      <c r="DB113" s="169"/>
      <c r="DC113" s="169"/>
      <c r="DD113" s="169"/>
      <c r="DE113" s="169"/>
      <c r="DF113" s="169"/>
      <c r="DG113" s="169"/>
      <c r="DH113" s="169"/>
      <c r="DI113" s="169"/>
      <c r="DJ113" s="169"/>
      <c r="DK113" s="169"/>
      <c r="DL113" s="169"/>
      <c r="DM113" s="169"/>
      <c r="DN113" s="169"/>
      <c r="DO113" s="169"/>
      <c r="DP113" s="169"/>
      <c r="DQ113" s="169"/>
      <c r="DR113" s="169"/>
      <c r="DS113" s="169"/>
      <c r="DT113" s="169"/>
      <c r="DU113" s="169"/>
      <c r="DV113" s="169"/>
      <c r="DW113" s="169"/>
      <c r="DX113" s="169"/>
      <c r="DY113" s="169"/>
      <c r="DZ113" s="169"/>
      <c r="EA113" s="169"/>
      <c r="EB113" s="169"/>
      <c r="EC113" s="169"/>
      <c r="ED113" s="169"/>
      <c r="EE113" s="169"/>
      <c r="EF113" s="169"/>
      <c r="EG113" s="169"/>
      <c r="EH113" s="169"/>
      <c r="EI113" s="169"/>
      <c r="EJ113" s="169"/>
      <c r="EK113" s="169"/>
      <c r="EL113" s="169"/>
      <c r="EM113" s="169"/>
      <c r="EN113" s="169"/>
      <c r="EO113" s="169"/>
      <c r="EP113" s="169"/>
      <c r="EQ113" s="169"/>
      <c r="ER113" s="169"/>
      <c r="ES113" s="169"/>
      <c r="ET113" s="169"/>
      <c r="EU113" s="169"/>
      <c r="EV113" s="169"/>
      <c r="EW113" s="169"/>
      <c r="EX113" s="169"/>
      <c r="EY113" s="169"/>
      <c r="EZ113" s="169"/>
      <c r="FA113" s="169"/>
      <c r="FB113" s="169"/>
      <c r="FC113" s="169"/>
      <c r="FD113" s="169"/>
      <c r="FE113" s="169"/>
      <c r="FF113" s="169"/>
      <c r="FG113" s="169"/>
      <c r="FH113" s="169"/>
      <c r="FI113" s="169"/>
      <c r="FJ113" s="169"/>
      <c r="FK113" s="169"/>
      <c r="FL113" s="169"/>
      <c r="FM113" s="169"/>
      <c r="FN113" s="169"/>
      <c r="FO113" s="169"/>
      <c r="FP113" s="169"/>
      <c r="FQ113" s="169"/>
      <c r="FR113" s="169"/>
      <c r="FS113" s="169"/>
      <c r="FT113" s="169"/>
      <c r="FU113" s="169"/>
      <c r="FV113" s="169"/>
      <c r="FW113" s="169"/>
      <c r="FX113" s="169"/>
      <c r="FY113" s="169"/>
      <c r="FZ113" s="169"/>
      <c r="GA113" s="169"/>
      <c r="GB113" s="169"/>
      <c r="GC113" s="169"/>
      <c r="GD113" s="169"/>
      <c r="GE113" s="169"/>
      <c r="GF113" s="169"/>
      <c r="GG113" s="169"/>
      <c r="GH113" s="169"/>
      <c r="GI113" s="169"/>
      <c r="GJ113" s="169"/>
      <c r="GK113" s="169"/>
      <c r="GL113" s="169"/>
      <c r="GM113" s="169"/>
      <c r="GN113" s="169"/>
      <c r="GO113" s="169"/>
      <c r="GP113" s="169"/>
      <c r="GQ113" s="169"/>
      <c r="GR113" s="169"/>
      <c r="GS113" s="169"/>
      <c r="GT113" s="169"/>
      <c r="GU113" s="169"/>
      <c r="GV113" s="169"/>
      <c r="GW113" s="169"/>
      <c r="GX113" s="169"/>
      <c r="GY113" s="169"/>
      <c r="GZ113" s="169"/>
      <c r="HA113" s="169"/>
      <c r="HB113" s="169"/>
      <c r="HC113" s="169"/>
      <c r="HD113" s="169"/>
      <c r="HE113" s="169"/>
      <c r="HF113" s="169"/>
      <c r="HG113" s="169"/>
      <c r="HH113" s="169"/>
      <c r="HI113" s="169"/>
      <c r="HJ113" s="169"/>
      <c r="HK113" s="169"/>
      <c r="HL113" s="169"/>
    </row>
    <row r="114" spans="1:221" x14ac:dyDescent="0.25">
      <c r="K114" s="44"/>
      <c r="L114" s="44"/>
      <c r="M114" s="44"/>
      <c r="N114" s="415"/>
      <c r="O114" s="44"/>
      <c r="P114" s="44"/>
      <c r="Q114" s="44"/>
      <c r="R114" s="44"/>
      <c r="S114" s="44"/>
      <c r="T114" s="44"/>
      <c r="U114" s="44"/>
      <c r="V114" s="44"/>
      <c r="W114" s="44"/>
    </row>
    <row r="115" spans="1:221" ht="12" x14ac:dyDescent="0.25">
      <c r="C115" s="103" t="s">
        <v>943</v>
      </c>
      <c r="G115" s="77" t="s">
        <v>172</v>
      </c>
      <c r="I115" s="106">
        <f>IFERROR(SUM(I109,I100)/SUM(I97,I100,I109),0)</f>
        <v>0.11382378342506354</v>
      </c>
      <c r="J115" s="106">
        <f t="shared" ref="J115:BU115" si="159">IFERROR(SUM(J109,J100)/SUM(J97,J100,J109),0)</f>
        <v>0</v>
      </c>
      <c r="K115" s="106">
        <f t="shared" si="159"/>
        <v>0</v>
      </c>
      <c r="L115" s="106">
        <f t="shared" si="159"/>
        <v>0</v>
      </c>
      <c r="M115" s="106">
        <f t="shared" si="159"/>
        <v>0</v>
      </c>
      <c r="N115" s="106">
        <f t="shared" si="159"/>
        <v>0</v>
      </c>
      <c r="O115" s="106">
        <f t="shared" si="159"/>
        <v>0</v>
      </c>
      <c r="P115" s="106">
        <f t="shared" si="159"/>
        <v>0</v>
      </c>
      <c r="Q115" s="106">
        <f t="shared" si="159"/>
        <v>0</v>
      </c>
      <c r="R115" s="106">
        <f t="shared" si="159"/>
        <v>0</v>
      </c>
      <c r="S115" s="106">
        <f t="shared" si="159"/>
        <v>0</v>
      </c>
      <c r="T115" s="106">
        <f t="shared" si="159"/>
        <v>0</v>
      </c>
      <c r="U115" s="106">
        <f t="shared" si="159"/>
        <v>0</v>
      </c>
      <c r="V115" s="106">
        <f t="shared" si="159"/>
        <v>0</v>
      </c>
      <c r="W115" s="106">
        <f t="shared" si="159"/>
        <v>5.5886515568121353E-2</v>
      </c>
      <c r="X115" s="106">
        <f t="shared" si="159"/>
        <v>0.11635050753067845</v>
      </c>
      <c r="Y115" s="106">
        <f t="shared" si="159"/>
        <v>9.4594755950746096E-2</v>
      </c>
      <c r="Z115" s="106">
        <f t="shared" si="159"/>
        <v>0.10095130979393054</v>
      </c>
      <c r="AA115" s="106">
        <f t="shared" si="159"/>
        <v>0.22295029717783432</v>
      </c>
      <c r="AB115" s="106">
        <f t="shared" si="159"/>
        <v>7.3933653639641286E-2</v>
      </c>
      <c r="AC115" s="106">
        <f t="shared" si="159"/>
        <v>1.2468827930174564E-2</v>
      </c>
      <c r="AD115" s="106">
        <f t="shared" si="159"/>
        <v>3.142337705701298E-2</v>
      </c>
      <c r="AE115" s="106">
        <f t="shared" si="159"/>
        <v>6.8227774868180088E-2</v>
      </c>
      <c r="AF115" s="106">
        <f t="shared" si="159"/>
        <v>1.2468827930174564E-2</v>
      </c>
      <c r="AG115" s="106">
        <f t="shared" si="159"/>
        <v>1.2468827930174564E-2</v>
      </c>
      <c r="AH115" s="106">
        <f t="shared" si="159"/>
        <v>0.2186024670715408</v>
      </c>
      <c r="AI115" s="106">
        <f t="shared" si="159"/>
        <v>1.2468827930174564E-2</v>
      </c>
      <c r="AJ115" s="106">
        <f t="shared" si="159"/>
        <v>1.2468827930174564E-2</v>
      </c>
      <c r="AK115" s="106">
        <f t="shared" si="159"/>
        <v>1.2468827930174564E-2</v>
      </c>
      <c r="AL115" s="106">
        <f t="shared" si="159"/>
        <v>0</v>
      </c>
      <c r="AM115" s="106">
        <f t="shared" si="159"/>
        <v>0</v>
      </c>
      <c r="AN115" s="106">
        <f t="shared" si="159"/>
        <v>0</v>
      </c>
      <c r="AO115" s="106">
        <f t="shared" si="159"/>
        <v>0.1270775297532665</v>
      </c>
      <c r="AP115" s="106">
        <f t="shared" si="159"/>
        <v>0.12481076973492093</v>
      </c>
      <c r="AQ115" s="106">
        <f t="shared" si="159"/>
        <v>0.13272833181874363</v>
      </c>
      <c r="AR115" s="106">
        <f t="shared" si="159"/>
        <v>8.2800417011821781E-2</v>
      </c>
      <c r="AS115" s="106">
        <f t="shared" si="159"/>
        <v>9.1012647010525985E-2</v>
      </c>
      <c r="AT115" s="106">
        <f t="shared" si="159"/>
        <v>0.11146651272405976</v>
      </c>
      <c r="AU115" s="106">
        <f t="shared" si="159"/>
        <v>0.13376148697932855</v>
      </c>
      <c r="AV115" s="106">
        <f t="shared" si="159"/>
        <v>0.10732502000723385</v>
      </c>
      <c r="AW115" s="106">
        <f t="shared" si="159"/>
        <v>0.12791471135205126</v>
      </c>
      <c r="AX115" s="106">
        <f t="shared" si="159"/>
        <v>8.9041288892191636E-2</v>
      </c>
      <c r="AY115" s="106">
        <f t="shared" si="159"/>
        <v>0.12126974847185487</v>
      </c>
      <c r="AZ115" s="106">
        <f t="shared" si="159"/>
        <v>0</v>
      </c>
      <c r="BA115" s="106">
        <f t="shared" si="159"/>
        <v>0</v>
      </c>
      <c r="BB115" s="106">
        <f t="shared" si="159"/>
        <v>0</v>
      </c>
      <c r="BC115" s="106">
        <f t="shared" si="159"/>
        <v>0</v>
      </c>
      <c r="BD115" s="106">
        <f t="shared" si="159"/>
        <v>0</v>
      </c>
      <c r="BE115" s="106">
        <f t="shared" si="159"/>
        <v>0</v>
      </c>
      <c r="BF115" s="106">
        <f t="shared" si="159"/>
        <v>0</v>
      </c>
      <c r="BG115" s="106">
        <f t="shared" si="159"/>
        <v>0</v>
      </c>
      <c r="BH115" s="106">
        <f t="shared" si="159"/>
        <v>0</v>
      </c>
      <c r="BI115" s="106">
        <f t="shared" si="159"/>
        <v>1.2468827930174564E-2</v>
      </c>
      <c r="BJ115" s="106">
        <f t="shared" si="159"/>
        <v>1.2468827930174564E-2</v>
      </c>
      <c r="BK115" s="106">
        <f t="shared" si="159"/>
        <v>1.2468827930174564E-2</v>
      </c>
      <c r="BL115" s="106">
        <f t="shared" si="159"/>
        <v>1.2468827930174564E-2</v>
      </c>
      <c r="BM115" s="106">
        <f t="shared" si="159"/>
        <v>1.2468827930174564E-2</v>
      </c>
      <c r="BN115" s="106">
        <f t="shared" si="159"/>
        <v>1.2468827930174564E-2</v>
      </c>
      <c r="BO115" s="106">
        <f t="shared" si="159"/>
        <v>1.2468827930174564E-2</v>
      </c>
      <c r="BP115" s="106">
        <f t="shared" si="159"/>
        <v>0</v>
      </c>
      <c r="BQ115" s="106">
        <f t="shared" si="159"/>
        <v>0</v>
      </c>
      <c r="BR115" s="106">
        <f t="shared" si="159"/>
        <v>0</v>
      </c>
      <c r="BS115" s="106">
        <f t="shared" si="159"/>
        <v>0</v>
      </c>
      <c r="BT115" s="106">
        <f t="shared" si="159"/>
        <v>0</v>
      </c>
      <c r="BU115" s="106">
        <f t="shared" si="159"/>
        <v>0</v>
      </c>
      <c r="BV115" s="106">
        <f t="shared" ref="BV115:DN115" si="160">IFERROR(SUM(BV109,BV100)/SUM(BV97,BV100,BV109),0)</f>
        <v>0</v>
      </c>
      <c r="BW115" s="106">
        <f t="shared" si="160"/>
        <v>0</v>
      </c>
      <c r="BX115" s="106">
        <f t="shared" si="160"/>
        <v>0</v>
      </c>
      <c r="BY115" s="106">
        <f t="shared" si="160"/>
        <v>5.1980164097472484E-2</v>
      </c>
      <c r="BZ115" s="106">
        <f t="shared" si="160"/>
        <v>6.6813117768924554E-2</v>
      </c>
      <c r="CA115" s="106">
        <f t="shared" si="160"/>
        <v>6.4320751051477915E-2</v>
      </c>
      <c r="CB115" s="106">
        <f t="shared" si="160"/>
        <v>6.8381409111520075E-2</v>
      </c>
      <c r="CC115" s="106">
        <f t="shared" si="160"/>
        <v>8.1535191870775847E-2</v>
      </c>
      <c r="CD115" s="106">
        <f t="shared" si="160"/>
        <v>0</v>
      </c>
      <c r="CE115" s="106">
        <f t="shared" si="160"/>
        <v>0</v>
      </c>
      <c r="CF115" s="106">
        <f t="shared" si="160"/>
        <v>0</v>
      </c>
      <c r="CG115" s="106">
        <f t="shared" si="160"/>
        <v>0</v>
      </c>
      <c r="CH115" s="106">
        <f t="shared" si="160"/>
        <v>6.0686816760720193E-2</v>
      </c>
      <c r="CI115" s="106">
        <f t="shared" si="160"/>
        <v>6.2864781688769841E-2</v>
      </c>
      <c r="CJ115" s="106">
        <f t="shared" si="160"/>
        <v>5.1899437521784782E-2</v>
      </c>
      <c r="CK115" s="106">
        <f t="shared" si="160"/>
        <v>6.380175984125494E-2</v>
      </c>
      <c r="CL115" s="106">
        <f t="shared" si="160"/>
        <v>8.3203339480084612E-2</v>
      </c>
      <c r="CM115" s="106">
        <f t="shared" si="160"/>
        <v>6.4701888192688795E-2</v>
      </c>
      <c r="CN115" s="106">
        <f t="shared" si="160"/>
        <v>6.2288084881178291E-2</v>
      </c>
      <c r="CO115" s="106">
        <f t="shared" si="160"/>
        <v>7.5780000578950721E-2</v>
      </c>
      <c r="CP115" s="106">
        <f t="shared" si="160"/>
        <v>7.1156157885905125E-2</v>
      </c>
      <c r="CQ115" s="106">
        <f t="shared" si="160"/>
        <v>7.0512375880969674E-2</v>
      </c>
      <c r="CR115" s="106">
        <f t="shared" si="160"/>
        <v>8.7911062067674767E-2</v>
      </c>
      <c r="CS115" s="106">
        <f t="shared" si="160"/>
        <v>0</v>
      </c>
      <c r="CT115" s="106">
        <f t="shared" si="160"/>
        <v>0</v>
      </c>
      <c r="CU115" s="106">
        <f t="shared" si="160"/>
        <v>0</v>
      </c>
      <c r="CV115" s="106">
        <f t="shared" si="160"/>
        <v>0</v>
      </c>
      <c r="CW115" s="106">
        <f t="shared" si="160"/>
        <v>0</v>
      </c>
      <c r="CX115" s="106">
        <f t="shared" si="160"/>
        <v>0</v>
      </c>
      <c r="CY115" s="106">
        <f t="shared" si="160"/>
        <v>0</v>
      </c>
      <c r="CZ115" s="106">
        <f t="shared" si="160"/>
        <v>0</v>
      </c>
      <c r="DA115" s="106">
        <f t="shared" si="160"/>
        <v>0</v>
      </c>
      <c r="DB115" s="106">
        <f t="shared" si="160"/>
        <v>1.2468827930174564E-2</v>
      </c>
      <c r="DC115" s="106">
        <f t="shared" si="160"/>
        <v>1.2468827930174564E-2</v>
      </c>
      <c r="DD115" s="106">
        <f t="shared" si="160"/>
        <v>1.2468827930174564E-2</v>
      </c>
      <c r="DE115" s="106">
        <f t="shared" si="160"/>
        <v>1.2468827930174564E-2</v>
      </c>
      <c r="DF115" s="106">
        <f t="shared" si="160"/>
        <v>1.2468827930174564E-2</v>
      </c>
      <c r="DG115" s="106">
        <f t="shared" si="160"/>
        <v>1.2468827930174564E-2</v>
      </c>
      <c r="DH115" s="106">
        <f t="shared" si="160"/>
        <v>1.2468827930174564E-2</v>
      </c>
      <c r="DI115" s="106">
        <f t="shared" si="160"/>
        <v>1.2468827930174564E-2</v>
      </c>
      <c r="DJ115" s="106">
        <f t="shared" si="160"/>
        <v>1.2468827930174564E-2</v>
      </c>
      <c r="DK115" s="106">
        <f t="shared" si="160"/>
        <v>1.2468827930174564E-2</v>
      </c>
      <c r="DL115" s="106">
        <f t="shared" si="160"/>
        <v>1.2468827930174564E-2</v>
      </c>
      <c r="DM115" s="106">
        <f t="shared" si="160"/>
        <v>1.2468827930174564E-2</v>
      </c>
      <c r="DN115" s="106">
        <f t="shared" si="160"/>
        <v>1.2468827930174564E-2</v>
      </c>
      <c r="DO115" s="106"/>
      <c r="DP115" s="106"/>
      <c r="DQ115" s="106"/>
      <c r="DR115" s="106"/>
      <c r="DS115" s="106"/>
      <c r="DT115" s="106"/>
      <c r="DU115" s="106"/>
      <c r="DV115" s="106"/>
      <c r="DW115" s="106"/>
      <c r="DX115" s="106"/>
      <c r="DY115" s="106"/>
      <c r="DZ115" s="106"/>
      <c r="EA115" s="106"/>
      <c r="EB115" s="106"/>
      <c r="EC115" s="106"/>
      <c r="ED115" s="106"/>
      <c r="EE115" s="106"/>
      <c r="EF115" s="106"/>
      <c r="EG115" s="106"/>
      <c r="EH115" s="106"/>
      <c r="EI115" s="106"/>
      <c r="EJ115" s="106"/>
      <c r="EK115" s="106"/>
      <c r="EL115" s="106"/>
      <c r="EM115" s="106"/>
      <c r="EN115" s="106"/>
      <c r="EO115" s="106"/>
      <c r="EP115" s="106"/>
      <c r="EQ115" s="106"/>
      <c r="ER115" s="106"/>
      <c r="ES115" s="106"/>
      <c r="ET115" s="106"/>
      <c r="EU115" s="106"/>
      <c r="EV115" s="106"/>
      <c r="EW115" s="106"/>
      <c r="EX115" s="106"/>
      <c r="EY115" s="106"/>
      <c r="EZ115" s="106"/>
      <c r="FA115" s="106"/>
      <c r="FB115" s="106"/>
      <c r="FC115" s="106"/>
      <c r="FD115" s="106"/>
      <c r="FE115" s="106"/>
      <c r="FF115" s="106"/>
      <c r="FG115" s="106"/>
      <c r="FH115" s="106"/>
      <c r="FI115" s="106"/>
      <c r="FJ115" s="106"/>
      <c r="FK115" s="106"/>
      <c r="FL115" s="106"/>
      <c r="FM115" s="106"/>
      <c r="FN115" s="106"/>
      <c r="FO115" s="106"/>
      <c r="FP115" s="106"/>
      <c r="FQ115" s="106"/>
      <c r="FR115" s="106"/>
      <c r="FS115" s="106"/>
      <c r="FT115" s="106"/>
      <c r="FU115" s="106"/>
      <c r="FV115" s="106"/>
      <c r="FW115" s="106"/>
      <c r="FX115" s="106"/>
      <c r="FY115" s="106"/>
      <c r="FZ115" s="106"/>
      <c r="GA115" s="106"/>
      <c r="GB115" s="106"/>
      <c r="GC115" s="106"/>
      <c r="GD115" s="106"/>
      <c r="GE115" s="106"/>
      <c r="GF115" s="106"/>
      <c r="GG115" s="106"/>
      <c r="GH115" s="106"/>
      <c r="GI115" s="106"/>
      <c r="GJ115" s="106"/>
      <c r="GK115" s="106"/>
      <c r="GL115" s="106"/>
      <c r="GM115" s="106"/>
      <c r="GN115" s="106"/>
      <c r="GO115" s="106"/>
      <c r="GP115" s="106"/>
      <c r="GQ115" s="106"/>
      <c r="GR115" s="106"/>
      <c r="GS115" s="106"/>
      <c r="GT115" s="106"/>
      <c r="GU115" s="106"/>
      <c r="GV115" s="106"/>
      <c r="GW115" s="106"/>
      <c r="GX115" s="106"/>
      <c r="GY115" s="106"/>
      <c r="GZ115" s="106"/>
      <c r="HA115" s="106"/>
      <c r="HB115" s="106"/>
      <c r="HC115" s="106"/>
      <c r="HD115" s="106"/>
      <c r="HE115" s="106"/>
      <c r="HF115" s="106"/>
      <c r="HG115" s="106"/>
      <c r="HH115" s="106"/>
      <c r="HI115" s="106"/>
      <c r="HJ115" s="106"/>
      <c r="HK115" s="106"/>
      <c r="HL115" s="106"/>
      <c r="HM115" s="45" t="s">
        <v>587</v>
      </c>
    </row>
    <row r="116" spans="1:221" ht="12" x14ac:dyDescent="0.25">
      <c r="C116" s="103" t="s">
        <v>734</v>
      </c>
      <c r="G116" s="77" t="s">
        <v>558</v>
      </c>
      <c r="I116" s="133">
        <f t="shared" ref="I116:AA116" si="161">I94*(1-I115)</f>
        <v>138.73088670480632</v>
      </c>
      <c r="J116" s="133">
        <f t="shared" si="161"/>
        <v>198</v>
      </c>
      <c r="K116" s="133">
        <f t="shared" si="161"/>
        <v>0</v>
      </c>
      <c r="L116" s="133">
        <f t="shared" si="161"/>
        <v>0</v>
      </c>
      <c r="M116" s="133">
        <f t="shared" si="161"/>
        <v>0</v>
      </c>
      <c r="N116" s="133">
        <f t="shared" si="161"/>
        <v>0</v>
      </c>
      <c r="O116" s="133">
        <f t="shared" si="161"/>
        <v>0</v>
      </c>
      <c r="P116" s="133">
        <f t="shared" si="161"/>
        <v>0</v>
      </c>
      <c r="Q116" s="133">
        <f t="shared" si="161"/>
        <v>0</v>
      </c>
      <c r="R116" s="133">
        <f t="shared" si="161"/>
        <v>0</v>
      </c>
      <c r="S116" s="133">
        <f t="shared" si="161"/>
        <v>0</v>
      </c>
      <c r="T116" s="133">
        <f t="shared" si="161"/>
        <v>0</v>
      </c>
      <c r="U116" s="133">
        <f t="shared" si="161"/>
        <v>0</v>
      </c>
      <c r="V116" s="133">
        <f t="shared" si="161"/>
        <v>0</v>
      </c>
      <c r="W116" s="133">
        <f t="shared" si="161"/>
        <v>147.8009659878106</v>
      </c>
      <c r="X116" s="133">
        <f t="shared" si="161"/>
        <v>138.33532804607231</v>
      </c>
      <c r="Y116" s="133">
        <f t="shared" si="161"/>
        <v>141.74119095591072</v>
      </c>
      <c r="Z116" s="133">
        <f t="shared" si="161"/>
        <v>140.7460724517602</v>
      </c>
      <c r="AA116" s="133">
        <f t="shared" si="161"/>
        <v>121.64713097681005</v>
      </c>
      <c r="AB116" s="133">
        <f>AB94*(1-AB115)</f>
        <v>144.97568652271417</v>
      </c>
      <c r="AC116" s="133">
        <f t="shared" ref="AC116:CN116" si="162">AC94*(1-AC115)</f>
        <v>195.53117206982543</v>
      </c>
      <c r="AD116" s="133">
        <f t="shared" si="162"/>
        <v>151.63067032172464</v>
      </c>
      <c r="AE116" s="133">
        <f t="shared" si="162"/>
        <v>145.86894184438643</v>
      </c>
      <c r="AF116" s="133">
        <f t="shared" si="162"/>
        <v>195.53117206982543</v>
      </c>
      <c r="AG116" s="133">
        <f t="shared" si="162"/>
        <v>195.53117206982543</v>
      </c>
      <c r="AH116" s="133">
        <f t="shared" si="162"/>
        <v>122.32778377995031</v>
      </c>
      <c r="AI116" s="133">
        <f t="shared" si="162"/>
        <v>195.53117206982543</v>
      </c>
      <c r="AJ116" s="133">
        <f t="shared" si="162"/>
        <v>195.53117206982543</v>
      </c>
      <c r="AK116" s="133">
        <f t="shared" si="162"/>
        <v>195.53117206982543</v>
      </c>
      <c r="AL116" s="133">
        <f t="shared" si="162"/>
        <v>198</v>
      </c>
      <c r="AM116" s="133">
        <f t="shared" si="162"/>
        <v>198</v>
      </c>
      <c r="AN116" s="133">
        <f t="shared" si="162"/>
        <v>198</v>
      </c>
      <c r="AO116" s="133">
        <f t="shared" si="162"/>
        <v>136.65601271712615</v>
      </c>
      <c r="AP116" s="133">
        <f t="shared" si="162"/>
        <v>137.01087399799815</v>
      </c>
      <c r="AQ116" s="133">
        <f t="shared" si="162"/>
        <v>135.77137965377568</v>
      </c>
      <c r="AR116" s="133">
        <f t="shared" si="162"/>
        <v>143.58759471679932</v>
      </c>
      <c r="AS116" s="133">
        <f t="shared" si="162"/>
        <v>142.30197011050217</v>
      </c>
      <c r="AT116" s="133">
        <f t="shared" si="162"/>
        <v>139.09991743304846</v>
      </c>
      <c r="AU116" s="133">
        <f t="shared" si="162"/>
        <v>135.60963921338612</v>
      </c>
      <c r="AV116" s="133">
        <f t="shared" si="162"/>
        <v>139.74826811786755</v>
      </c>
      <c r="AW116" s="133">
        <f t="shared" si="162"/>
        <v>136.52495193783639</v>
      </c>
      <c r="AX116" s="133">
        <f t="shared" si="162"/>
        <v>142.61058622392741</v>
      </c>
      <c r="AY116" s="133">
        <f t="shared" si="162"/>
        <v>137.56522087673113</v>
      </c>
      <c r="AZ116" s="133">
        <f t="shared" si="162"/>
        <v>0</v>
      </c>
      <c r="BA116" s="133">
        <f t="shared" si="162"/>
        <v>0</v>
      </c>
      <c r="BB116" s="133">
        <f t="shared" si="162"/>
        <v>0</v>
      </c>
      <c r="BC116" s="133">
        <f t="shared" si="162"/>
        <v>0</v>
      </c>
      <c r="BD116" s="133">
        <f t="shared" si="162"/>
        <v>0</v>
      </c>
      <c r="BE116" s="133">
        <f t="shared" si="162"/>
        <v>0</v>
      </c>
      <c r="BF116" s="133">
        <f t="shared" si="162"/>
        <v>0</v>
      </c>
      <c r="BG116" s="133">
        <f t="shared" si="162"/>
        <v>0</v>
      </c>
      <c r="BH116" s="133">
        <f t="shared" si="162"/>
        <v>0</v>
      </c>
      <c r="BI116" s="133">
        <f t="shared" si="162"/>
        <v>195.53117206982543</v>
      </c>
      <c r="BJ116" s="133">
        <f t="shared" si="162"/>
        <v>195.53117206982543</v>
      </c>
      <c r="BK116" s="133">
        <f t="shared" si="162"/>
        <v>195.53117206982543</v>
      </c>
      <c r="BL116" s="133">
        <f t="shared" si="162"/>
        <v>195.53117206982543</v>
      </c>
      <c r="BM116" s="133">
        <f t="shared" si="162"/>
        <v>195.53117206982543</v>
      </c>
      <c r="BN116" s="133">
        <f t="shared" si="162"/>
        <v>195.53117206982543</v>
      </c>
      <c r="BO116" s="133">
        <f t="shared" si="162"/>
        <v>195.53117206982543</v>
      </c>
      <c r="BP116" s="133">
        <f t="shared" si="162"/>
        <v>0</v>
      </c>
      <c r="BQ116" s="133">
        <f t="shared" si="162"/>
        <v>0</v>
      </c>
      <c r="BR116" s="133">
        <f t="shared" si="162"/>
        <v>0</v>
      </c>
      <c r="BS116" s="133">
        <f t="shared" si="162"/>
        <v>0</v>
      </c>
      <c r="BT116" s="133">
        <f t="shared" si="162"/>
        <v>0</v>
      </c>
      <c r="BU116" s="133">
        <f t="shared" si="162"/>
        <v>0</v>
      </c>
      <c r="BV116" s="133">
        <f t="shared" si="162"/>
        <v>0</v>
      </c>
      <c r="BW116" s="133">
        <f t="shared" si="162"/>
        <v>0</v>
      </c>
      <c r="BX116" s="133">
        <f t="shared" si="162"/>
        <v>0</v>
      </c>
      <c r="BY116" s="133">
        <f t="shared" si="162"/>
        <v>148.41250531054069</v>
      </c>
      <c r="BZ116" s="133">
        <f t="shared" si="162"/>
        <v>146.09040641327488</v>
      </c>
      <c r="CA116" s="133">
        <f t="shared" si="162"/>
        <v>146.48058642289115</v>
      </c>
      <c r="CB116" s="133">
        <f t="shared" si="162"/>
        <v>145.84489040359156</v>
      </c>
      <c r="CC116" s="133">
        <f t="shared" si="162"/>
        <v>143.78566571263005</v>
      </c>
      <c r="CD116" s="133">
        <f t="shared" si="162"/>
        <v>0</v>
      </c>
      <c r="CE116" s="133">
        <f t="shared" si="162"/>
        <v>0</v>
      </c>
      <c r="CF116" s="133">
        <f t="shared" si="162"/>
        <v>0</v>
      </c>
      <c r="CG116" s="133">
        <f t="shared" si="162"/>
        <v>0</v>
      </c>
      <c r="CH116" s="133">
        <f t="shared" si="162"/>
        <v>147.04947883610927</v>
      </c>
      <c r="CI116" s="133">
        <f t="shared" si="162"/>
        <v>146.7085184266231</v>
      </c>
      <c r="CJ116" s="133">
        <f t="shared" si="162"/>
        <v>148.42514305596458</v>
      </c>
      <c r="CK116" s="133">
        <f t="shared" si="162"/>
        <v>146.56183449685156</v>
      </c>
      <c r="CL116" s="133">
        <f t="shared" si="162"/>
        <v>143.52451720439277</v>
      </c>
      <c r="CM116" s="133">
        <f t="shared" si="162"/>
        <v>146.42091940343457</v>
      </c>
      <c r="CN116" s="133">
        <f t="shared" si="162"/>
        <v>146.79880031185155</v>
      </c>
      <c r="CO116" s="133">
        <f t="shared" ref="CO116:DN116" si="163">CO94*(1-CO115)</f>
        <v>144.68664090936528</v>
      </c>
      <c r="CP116" s="133">
        <f t="shared" si="163"/>
        <v>145.41050348296156</v>
      </c>
      <c r="CQ116" s="133">
        <f t="shared" si="163"/>
        <v>145.5112875558342</v>
      </c>
      <c r="CR116" s="133">
        <f t="shared" si="163"/>
        <v>142.78752323330554</v>
      </c>
      <c r="CS116" s="133">
        <f t="shared" si="163"/>
        <v>0</v>
      </c>
      <c r="CT116" s="133">
        <f t="shared" si="163"/>
        <v>0</v>
      </c>
      <c r="CU116" s="133">
        <f t="shared" si="163"/>
        <v>0</v>
      </c>
      <c r="CV116" s="133">
        <f t="shared" si="163"/>
        <v>0</v>
      </c>
      <c r="CW116" s="133">
        <f t="shared" si="163"/>
        <v>0</v>
      </c>
      <c r="CX116" s="133">
        <f t="shared" si="163"/>
        <v>0</v>
      </c>
      <c r="CY116" s="133">
        <f t="shared" si="163"/>
        <v>0</v>
      </c>
      <c r="CZ116" s="133">
        <f t="shared" si="163"/>
        <v>0</v>
      </c>
      <c r="DA116" s="133">
        <f t="shared" si="163"/>
        <v>0</v>
      </c>
      <c r="DB116" s="133">
        <f t="shared" si="163"/>
        <v>195.53117206982543</v>
      </c>
      <c r="DC116" s="133">
        <f t="shared" si="163"/>
        <v>195.53117206982543</v>
      </c>
      <c r="DD116" s="133">
        <f t="shared" si="163"/>
        <v>195.53117206982543</v>
      </c>
      <c r="DE116" s="133">
        <f t="shared" si="163"/>
        <v>195.53117206982543</v>
      </c>
      <c r="DF116" s="133">
        <f t="shared" si="163"/>
        <v>195.53117206982543</v>
      </c>
      <c r="DG116" s="133">
        <f t="shared" si="163"/>
        <v>195.53117206982543</v>
      </c>
      <c r="DH116" s="133">
        <f t="shared" si="163"/>
        <v>195.53117206982543</v>
      </c>
      <c r="DI116" s="133">
        <f t="shared" si="163"/>
        <v>195.53117206982543</v>
      </c>
      <c r="DJ116" s="133">
        <f t="shared" si="163"/>
        <v>195.53117206982543</v>
      </c>
      <c r="DK116" s="133">
        <f t="shared" si="163"/>
        <v>195.53117206982543</v>
      </c>
      <c r="DL116" s="133">
        <f t="shared" si="163"/>
        <v>195.53117206982543</v>
      </c>
      <c r="DM116" s="133">
        <f t="shared" si="163"/>
        <v>195.53117206982543</v>
      </c>
      <c r="DN116" s="133">
        <f t="shared" si="163"/>
        <v>195.53117206982543</v>
      </c>
      <c r="DO116" s="133"/>
      <c r="DP116" s="133"/>
      <c r="DQ116" s="133"/>
      <c r="DR116" s="133"/>
      <c r="DS116" s="133"/>
      <c r="DT116" s="133"/>
      <c r="DU116" s="133"/>
      <c r="DV116" s="133"/>
      <c r="DW116" s="133"/>
      <c r="DX116" s="133"/>
      <c r="DY116" s="133"/>
      <c r="DZ116" s="133"/>
      <c r="EA116" s="133"/>
      <c r="EB116" s="133"/>
      <c r="EC116" s="133"/>
      <c r="ED116" s="133"/>
      <c r="EE116" s="133"/>
      <c r="EF116" s="133"/>
      <c r="EG116" s="133"/>
      <c r="EH116" s="133"/>
      <c r="EI116" s="133"/>
      <c r="EJ116" s="133"/>
      <c r="EK116" s="133"/>
      <c r="EL116" s="133"/>
      <c r="EM116" s="133"/>
      <c r="EN116" s="133"/>
      <c r="EO116" s="133"/>
      <c r="EP116" s="133"/>
      <c r="EQ116" s="133"/>
      <c r="ER116" s="133"/>
      <c r="ES116" s="133"/>
      <c r="ET116" s="133"/>
      <c r="EU116" s="133"/>
      <c r="EV116" s="133"/>
      <c r="EW116" s="133"/>
      <c r="EX116" s="133"/>
      <c r="EY116" s="133"/>
      <c r="EZ116" s="133"/>
      <c r="FA116" s="133"/>
      <c r="FB116" s="133"/>
      <c r="FC116" s="133"/>
      <c r="FD116" s="133"/>
      <c r="FE116" s="133"/>
      <c r="FF116" s="133"/>
      <c r="FG116" s="133"/>
      <c r="FH116" s="133"/>
      <c r="FI116" s="133"/>
      <c r="FJ116" s="133"/>
      <c r="FK116" s="133"/>
      <c r="FL116" s="133"/>
      <c r="FM116" s="133"/>
      <c r="FN116" s="133"/>
      <c r="FO116" s="133"/>
      <c r="FP116" s="133"/>
      <c r="FQ116" s="133"/>
      <c r="FR116" s="133"/>
      <c r="FS116" s="133"/>
      <c r="FT116" s="133"/>
      <c r="FU116" s="133"/>
      <c r="FV116" s="133"/>
      <c r="FW116" s="133"/>
      <c r="FX116" s="133"/>
      <c r="FY116" s="133"/>
      <c r="FZ116" s="133"/>
      <c r="GA116" s="133"/>
      <c r="GB116" s="133"/>
      <c r="GC116" s="133"/>
      <c r="GD116" s="133"/>
      <c r="GE116" s="133"/>
      <c r="GF116" s="133"/>
      <c r="GG116" s="133"/>
      <c r="GH116" s="133"/>
      <c r="GI116" s="133"/>
      <c r="GJ116" s="133"/>
      <c r="GK116" s="133"/>
      <c r="GL116" s="133"/>
      <c r="GM116" s="133"/>
      <c r="GN116" s="133"/>
      <c r="GO116" s="133"/>
      <c r="GP116" s="133"/>
      <c r="GQ116" s="133"/>
      <c r="GR116" s="133"/>
      <c r="GS116" s="133"/>
      <c r="GT116" s="133"/>
      <c r="GU116" s="133"/>
      <c r="GV116" s="133"/>
      <c r="GW116" s="133"/>
      <c r="GX116" s="133"/>
      <c r="GY116" s="133"/>
      <c r="GZ116" s="133"/>
      <c r="HA116" s="133"/>
      <c r="HB116" s="133"/>
      <c r="HC116" s="133"/>
      <c r="HD116" s="133"/>
      <c r="HE116" s="133"/>
      <c r="HF116" s="133"/>
      <c r="HG116" s="133"/>
      <c r="HH116" s="133"/>
      <c r="HI116" s="133"/>
      <c r="HJ116" s="133"/>
      <c r="HK116" s="133"/>
      <c r="HL116" s="133"/>
      <c r="HM116" s="460" t="s">
        <v>588</v>
      </c>
    </row>
    <row r="117" spans="1:221" x14ac:dyDescent="0.25">
      <c r="G117" s="77"/>
      <c r="O117" s="209"/>
      <c r="R117" s="262"/>
      <c r="S117" s="262"/>
    </row>
    <row r="118" spans="1:221" x14ac:dyDescent="0.25">
      <c r="C118" s="102" t="s">
        <v>735</v>
      </c>
      <c r="G118" s="77"/>
      <c r="O118" s="169"/>
    </row>
    <row r="119" spans="1:221" ht="12" x14ac:dyDescent="0.25">
      <c r="C119" s="103" t="s">
        <v>240</v>
      </c>
      <c r="G119" s="77" t="s">
        <v>558</v>
      </c>
      <c r="H119" s="161">
        <f>SUMPRODUCT(vector.implicit.prices.line.rental.inside.wlr,vector.users.distribution.telephone,vector.plans.available,vector.plans.with.line.rental.residential)/SUMPRODUCT(vector.users.distribution.telephone,vector.plans.available,vector.plans.with.line.rental.residential)</f>
        <v>142.86181813082604</v>
      </c>
      <c r="I119" s="45" t="s">
        <v>602</v>
      </c>
      <c r="N119" s="209"/>
    </row>
    <row r="120" spans="1:221" ht="12" x14ac:dyDescent="0.25">
      <c r="C120" s="103" t="s">
        <v>582</v>
      </c>
      <c r="G120" s="77" t="s">
        <v>558</v>
      </c>
      <c r="H120" s="161">
        <f>SUMPRODUCT(vector.implicit.prices.line.rental.inside.wlr,vector.users.distribution.telephone,vector.plans.available,vector.plans.with.line.rental.noresidential)/SUMPRODUCT(vector.users.distribution.telephone,vector.plans.available,vector.plans.with.line.rental.noresidential)</f>
        <v>196.88845896419366</v>
      </c>
      <c r="I120" s="45" t="s">
        <v>603</v>
      </c>
    </row>
    <row r="121" spans="1:221" x14ac:dyDescent="0.25">
      <c r="G121" s="77"/>
    </row>
    <row r="122" spans="1:221" s="44" customFormat="1" x14ac:dyDescent="0.25">
      <c r="A122" s="100" t="s">
        <v>425</v>
      </c>
      <c r="B122" s="100" t="s">
        <v>400</v>
      </c>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c r="AA122" s="40"/>
      <c r="AB122" s="40"/>
      <c r="AC122" s="40"/>
      <c r="AD122" s="40"/>
      <c r="AE122" s="40"/>
      <c r="AF122" s="40"/>
      <c r="AG122" s="40"/>
      <c r="AH122" s="40"/>
      <c r="AI122" s="40"/>
      <c r="AJ122" s="40"/>
      <c r="AK122" s="40"/>
      <c r="AL122" s="40"/>
      <c r="AM122" s="40"/>
      <c r="AN122" s="40"/>
      <c r="AO122" s="40"/>
      <c r="AP122" s="40"/>
      <c r="AQ122" s="40"/>
      <c r="AR122" s="40"/>
      <c r="AS122" s="40"/>
      <c r="AT122" s="40"/>
      <c r="AU122" s="40"/>
      <c r="AV122" s="40"/>
      <c r="AW122" s="40"/>
      <c r="AX122" s="40"/>
      <c r="AY122" s="40"/>
      <c r="AZ122" s="40"/>
      <c r="BA122" s="40"/>
      <c r="BG122" s="262"/>
      <c r="BH122" s="262"/>
      <c r="BI122" s="262"/>
      <c r="BJ122" s="262"/>
      <c r="BK122" s="262"/>
      <c r="BL122" s="262"/>
      <c r="BM122" s="262"/>
      <c r="BN122" s="262"/>
      <c r="BO122" s="262"/>
      <c r="BP122" s="262"/>
      <c r="BQ122" s="262"/>
      <c r="BR122" s="262"/>
      <c r="BS122" s="262"/>
      <c r="BT122" s="262"/>
      <c r="BU122" s="262"/>
      <c r="BV122" s="262"/>
      <c r="BW122" s="262"/>
      <c r="BX122" s="262"/>
      <c r="BY122" s="262"/>
      <c r="BZ122" s="262"/>
      <c r="CA122" s="262"/>
      <c r="CB122" s="262"/>
      <c r="CC122" s="262"/>
      <c r="CD122" s="262"/>
      <c r="CE122" s="262"/>
      <c r="CF122" s="262"/>
      <c r="CG122" s="262"/>
      <c r="CH122" s="262"/>
      <c r="CI122" s="262"/>
      <c r="CJ122" s="262"/>
      <c r="CK122" s="262"/>
      <c r="CL122" s="262"/>
      <c r="CM122" s="262"/>
      <c r="CN122" s="262"/>
      <c r="CO122" s="262"/>
      <c r="CP122" s="262"/>
      <c r="CQ122" s="262"/>
      <c r="CR122" s="262"/>
      <c r="CS122" s="262"/>
      <c r="CT122" s="262"/>
      <c r="CU122" s="262"/>
      <c r="CV122" s="262"/>
      <c r="CW122" s="262"/>
      <c r="CX122" s="262"/>
      <c r="CY122" s="262"/>
      <c r="CZ122" s="262"/>
      <c r="DA122" s="262"/>
      <c r="DB122" s="262"/>
      <c r="DC122" s="262"/>
      <c r="DD122" s="262"/>
      <c r="DE122" s="262"/>
      <c r="DF122" s="262"/>
      <c r="DG122" s="262"/>
      <c r="DH122" s="262"/>
      <c r="DI122" s="262"/>
      <c r="DJ122" s="262"/>
      <c r="DK122" s="262"/>
      <c r="DL122" s="262"/>
      <c r="DM122" s="262"/>
      <c r="DN122" s="262"/>
      <c r="DO122" s="262"/>
      <c r="DP122" s="262"/>
      <c r="DQ122" s="262"/>
      <c r="DR122" s="262"/>
      <c r="DS122" s="262"/>
      <c r="DT122" s="262"/>
      <c r="DU122" s="262"/>
      <c r="DV122" s="262"/>
      <c r="DW122" s="262"/>
      <c r="DX122" s="262"/>
      <c r="DY122" s="262"/>
      <c r="DZ122" s="262"/>
      <c r="EA122" s="262"/>
      <c r="EB122" s="262"/>
      <c r="EC122" s="262"/>
      <c r="ED122" s="262"/>
      <c r="EE122" s="262"/>
      <c r="EF122" s="262"/>
      <c r="EG122" s="262"/>
      <c r="EH122" s="262"/>
      <c r="EI122" s="262"/>
      <c r="EJ122" s="262"/>
      <c r="EK122" s="262"/>
      <c r="EL122" s="262"/>
      <c r="EM122" s="262"/>
      <c r="EN122" s="262"/>
      <c r="EO122" s="262"/>
      <c r="EP122" s="262"/>
      <c r="EQ122" s="262"/>
      <c r="ER122" s="262"/>
      <c r="ES122" s="262"/>
      <c r="ET122" s="262"/>
      <c r="EU122" s="262"/>
      <c r="EV122" s="262"/>
      <c r="EW122" s="262"/>
      <c r="EX122" s="262"/>
      <c r="EY122" s="262"/>
      <c r="EZ122" s="262"/>
      <c r="FA122" s="262"/>
      <c r="FB122" s="262"/>
      <c r="FC122" s="262"/>
      <c r="FD122" s="262"/>
      <c r="FE122" s="262"/>
      <c r="FF122" s="262"/>
      <c r="FG122" s="262"/>
      <c r="FH122" s="262"/>
      <c r="FI122" s="262"/>
      <c r="FJ122" s="262"/>
      <c r="FK122" s="262"/>
      <c r="FL122" s="262"/>
      <c r="FM122" s="262"/>
      <c r="FN122" s="262"/>
      <c r="FO122" s="262"/>
      <c r="FP122" s="262"/>
      <c r="FQ122" s="262"/>
      <c r="FR122" s="262"/>
      <c r="FS122" s="262"/>
      <c r="FT122" s="262"/>
      <c r="FU122" s="262"/>
      <c r="FV122" s="262"/>
      <c r="FW122" s="262"/>
      <c r="FX122" s="262"/>
      <c r="FY122" s="262"/>
      <c r="FZ122" s="262"/>
      <c r="GA122" s="262"/>
      <c r="GB122" s="262"/>
      <c r="GC122" s="262"/>
      <c r="GD122" s="262"/>
      <c r="GE122" s="262"/>
      <c r="GF122" s="262"/>
      <c r="GG122" s="262"/>
      <c r="GH122" s="262"/>
      <c r="GI122" s="262"/>
      <c r="GJ122" s="262"/>
      <c r="GK122" s="262"/>
      <c r="GL122" s="262"/>
      <c r="GM122" s="262"/>
      <c r="GN122" s="262"/>
      <c r="GO122" s="262"/>
      <c r="GP122" s="262"/>
      <c r="GQ122" s="262"/>
      <c r="GR122" s="262"/>
      <c r="GS122" s="262"/>
      <c r="GT122" s="262"/>
      <c r="GU122" s="262"/>
      <c r="GV122" s="262"/>
      <c r="GW122" s="262"/>
      <c r="GX122" s="262"/>
      <c r="GY122" s="262"/>
      <c r="GZ122" s="262"/>
      <c r="HA122" s="262"/>
      <c r="HB122" s="262"/>
      <c r="HC122" s="262"/>
      <c r="HD122" s="262"/>
      <c r="HE122" s="262"/>
      <c r="HF122" s="262"/>
      <c r="HG122" s="262"/>
      <c r="HH122" s="262"/>
      <c r="HI122" s="262"/>
      <c r="HJ122" s="262"/>
      <c r="HK122" s="262"/>
      <c r="HL122" s="262"/>
    </row>
    <row r="123" spans="1:221" x14ac:dyDescent="0.25">
      <c r="C123" s="44"/>
      <c r="D123" s="44"/>
      <c r="E123" s="44"/>
      <c r="G123" s="44"/>
      <c r="H123" s="44"/>
    </row>
    <row r="124" spans="1:221" x14ac:dyDescent="0.25">
      <c r="C124" s="44"/>
      <c r="D124" s="44"/>
      <c r="E124" s="44"/>
      <c r="G124" s="44"/>
      <c r="H124" s="44"/>
    </row>
    <row r="125" spans="1:221" x14ac:dyDescent="0.25">
      <c r="C125" s="44"/>
      <c r="D125" s="44"/>
      <c r="E125" s="44"/>
      <c r="G125" s="44"/>
      <c r="H125" s="44"/>
    </row>
    <row r="126" spans="1:221" x14ac:dyDescent="0.25">
      <c r="C126" s="44"/>
      <c r="D126" s="44"/>
      <c r="E126" s="44"/>
      <c r="G126" s="44"/>
      <c r="H126" s="44"/>
    </row>
    <row r="127" spans="1:221" x14ac:dyDescent="0.25">
      <c r="C127" s="44"/>
      <c r="D127" s="44"/>
      <c r="E127" s="44"/>
      <c r="G127" s="44"/>
      <c r="H127" s="44"/>
    </row>
    <row r="128" spans="1:221" x14ac:dyDescent="0.25">
      <c r="C128" s="44"/>
      <c r="D128" s="44"/>
      <c r="E128" s="44"/>
      <c r="G128" s="44"/>
      <c r="H128" s="44"/>
    </row>
  </sheetData>
  <pageMargins left="0.7" right="0.7" top="0.75" bottom="0.75" header="0.3" footer="0.3"/>
  <pageSetup orientation="portrait" r:id="rId1"/>
  <ignoredErrors>
    <ignoredError sqref="J110:BF110 I41:BF41 I11:BF11 J27:L27 AA27:AG27 I64:BF64 I14:BF15 I17:BF18 I16:AH16 I22:BF22 K19:BF19 K20:AH20 AJ20:BF20 I26:BF26 I45:BF45 I53:BF53 J48:AE48 AI27:AR27 I90:BF91 I95:BF95 I108:BF108 K109:BF109 AG48:AP48 AR48:BF48 AT27:BF27 N27:R27 T27:W27 T81 I93:BF93 J92:BF92 M46:BF47 I6:O6 K21:BF21 I19:J21 Z40 I37:CF39 I40:W40 K58:CF58 I76:CF76 I51:AP51 I104:CF107 HM83:HM89 I98 I111 K94:CF94 CB40:CF40 HM49:HM52 AB40:BZ40 I43:AG43 J42:BF42 I84:CF84 AR51:CF51 K5:DN5 I5:J5 I7:J7 K7:Q7 Q6:CF6 S7:HL7 I10:DN10 I13:DN13 BG19:DN21 K25:DN25 I24:BF24 I23:J23 L23:BF23 K28:DN28 I36:J36 K36:DN36 I44:DN44 I49:K49 L49:HL49 CG38:DN38 CG40:DN40 I50:K50 L50:DN50 CG51:DN51 CG58:DN58 CG76:DN76 K77:DN77 CG84:DN84 CG94:DN94 AI43:BF43 I55:BF56 I54:AC54 AE54:BF54 I89:J89 CG89:DN89 K61:DN61 I60:DN60 L89:CF89" unlockedFormula="1"/>
  </ignoredError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7"/>
  <dimension ref="A1:XFD101"/>
  <sheetViews>
    <sheetView showGridLines="0" zoomScaleNormal="100" workbookViewId="0">
      <pane xSplit="9" ySplit="2" topLeftCell="J3" activePane="bottomRight" state="frozen"/>
      <selection pane="topRight" activeCell="J1" sqref="J1"/>
      <selection pane="bottomLeft" activeCell="A3" sqref="A3"/>
      <selection pane="bottomRight" sqref="A1:XFD1048576"/>
    </sheetView>
  </sheetViews>
  <sheetFormatPr baseColWidth="10" defaultRowHeight="11.5" x14ac:dyDescent="0.25"/>
  <cols>
    <col min="1" max="2" width="6.796875" customWidth="1"/>
    <col min="3" max="3" width="4.796875" customWidth="1"/>
    <col min="4" max="4" width="26.19921875" customWidth="1"/>
    <col min="5" max="5" width="23" customWidth="1"/>
    <col min="6" max="6" width="10.796875" customWidth="1"/>
    <col min="7" max="7" width="5.796875" customWidth="1"/>
    <col min="8" max="8" width="10.59765625" customWidth="1"/>
    <col min="9" max="9" width="8.19921875" customWidth="1"/>
    <col min="10" max="10" width="25.796875" customWidth="1"/>
    <col min="11" max="11" width="23.09765625" style="44" customWidth="1"/>
    <col min="12" max="12" width="24" customWidth="1"/>
    <col min="13" max="13" width="25.796875" customWidth="1"/>
    <col min="14" max="14" width="20.796875" bestFit="1" customWidth="1"/>
    <col min="15" max="15" width="11.3984375" style="44"/>
    <col min="16" max="16" width="11.3984375" customWidth="1"/>
    <col min="17" max="17" width="14.796875" customWidth="1"/>
    <col min="19" max="19" width="14.3984375" customWidth="1"/>
  </cols>
  <sheetData>
    <row r="1" spans="1:16384" s="93" customFormat="1" ht="33.75" customHeight="1" x14ac:dyDescent="0.25">
      <c r="C1" s="94" t="s">
        <v>621</v>
      </c>
      <c r="D1" s="94"/>
      <c r="E1" s="94"/>
      <c r="F1" s="94"/>
    </row>
    <row r="2" spans="1:16384" s="44" customFormat="1" x14ac:dyDescent="0.25">
      <c r="C2" s="72"/>
      <c r="D2" s="72" t="s">
        <v>166</v>
      </c>
      <c r="E2" s="1"/>
      <c r="F2" s="1"/>
      <c r="G2" s="1"/>
      <c r="H2" s="1" t="s">
        <v>167</v>
      </c>
      <c r="I2" s="1"/>
      <c r="J2" s="1" t="s">
        <v>622</v>
      </c>
      <c r="K2" s="1"/>
      <c r="L2" s="1"/>
      <c r="M2" s="1" t="s">
        <v>623</v>
      </c>
      <c r="N2" s="1"/>
      <c r="O2" s="1"/>
      <c r="P2" s="1" t="s">
        <v>170</v>
      </c>
      <c r="Q2" s="1"/>
      <c r="R2" s="1"/>
      <c r="S2" s="1"/>
      <c r="T2" s="1"/>
      <c r="U2" s="1"/>
      <c r="V2" s="1"/>
      <c r="W2" s="1"/>
      <c r="X2" s="1"/>
      <c r="Y2" s="1"/>
      <c r="Z2" s="1"/>
      <c r="AA2" s="1"/>
      <c r="AB2" s="1"/>
      <c r="AC2" s="1"/>
      <c r="AD2" s="1"/>
      <c r="AE2" s="1"/>
    </row>
    <row r="3" spans="1:16384" s="44" customFormat="1" x14ac:dyDescent="0.25">
      <c r="A3" s="100">
        <v>1</v>
      </c>
      <c r="B3" s="100" t="s">
        <v>472</v>
      </c>
      <c r="C3" s="40"/>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row>
    <row r="4" spans="1:16384" x14ac:dyDescent="0.25">
      <c r="I4" s="44"/>
    </row>
    <row r="5" spans="1:16384" x14ac:dyDescent="0.25">
      <c r="B5" s="100">
        <v>1.1000000000000001</v>
      </c>
      <c r="C5" s="100" t="s">
        <v>624</v>
      </c>
      <c r="D5" s="100"/>
      <c r="E5" s="100"/>
      <c r="F5" s="100"/>
      <c r="G5" s="10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F5" s="44"/>
      <c r="DG5" s="44"/>
      <c r="DH5" s="44"/>
      <c r="DI5" s="44"/>
      <c r="DJ5" s="44"/>
      <c r="DK5" s="44"/>
      <c r="DL5" s="44"/>
      <c r="DM5" s="44"/>
      <c r="DN5" s="44"/>
      <c r="DO5" s="44"/>
      <c r="DP5" s="44"/>
      <c r="DQ5" s="44"/>
      <c r="DR5" s="44"/>
      <c r="DS5" s="44"/>
      <c r="DT5" s="44"/>
      <c r="DU5" s="44"/>
      <c r="DV5" s="44"/>
      <c r="DW5" s="44"/>
      <c r="DX5" s="44"/>
      <c r="DY5" s="44"/>
      <c r="DZ5" s="44"/>
      <c r="EA5" s="44"/>
      <c r="EB5" s="44"/>
      <c r="EC5" s="44"/>
      <c r="ED5" s="44"/>
      <c r="EE5" s="44"/>
      <c r="EF5" s="44"/>
      <c r="EG5" s="44"/>
      <c r="EH5" s="44"/>
      <c r="EI5" s="44"/>
      <c r="EJ5" s="44"/>
      <c r="EK5" s="44"/>
      <c r="EL5" s="44"/>
      <c r="EM5" s="44"/>
      <c r="EN5" s="44"/>
      <c r="EO5" s="44"/>
      <c r="EP5" s="44"/>
      <c r="EQ5" s="44"/>
      <c r="ER5" s="44"/>
      <c r="ES5" s="44"/>
      <c r="ET5" s="44"/>
      <c r="EU5" s="44"/>
      <c r="EV5" s="44"/>
      <c r="EW5" s="44"/>
      <c r="EX5" s="44"/>
      <c r="EY5" s="44"/>
      <c r="EZ5" s="44"/>
      <c r="FA5" s="44"/>
      <c r="FB5" s="44"/>
      <c r="FC5" s="44"/>
      <c r="FD5" s="44"/>
      <c r="FE5" s="44"/>
      <c r="FF5" s="44"/>
      <c r="FG5" s="44"/>
      <c r="FH5" s="44"/>
      <c r="FI5" s="44"/>
      <c r="FJ5" s="44"/>
      <c r="FK5" s="44"/>
      <c r="FL5" s="44"/>
      <c r="FM5" s="44"/>
      <c r="FN5" s="44"/>
      <c r="FO5" s="44"/>
      <c r="FP5" s="44"/>
      <c r="FQ5" s="44"/>
      <c r="FR5" s="44"/>
      <c r="FS5" s="44"/>
      <c r="FT5" s="44"/>
      <c r="FU5" s="44"/>
      <c r="FV5" s="44"/>
      <c r="FW5" s="44"/>
      <c r="FX5" s="44"/>
      <c r="FY5" s="44"/>
      <c r="FZ5" s="44"/>
      <c r="GA5" s="44"/>
      <c r="GB5" s="44"/>
      <c r="GC5" s="44"/>
      <c r="GD5" s="44"/>
      <c r="GE5" s="44"/>
      <c r="GF5" s="44"/>
      <c r="GG5" s="44"/>
      <c r="GH5" s="44"/>
      <c r="GI5" s="44"/>
      <c r="GJ5" s="44"/>
      <c r="GK5" s="44"/>
      <c r="GL5" s="44"/>
      <c r="GM5" s="44"/>
      <c r="GN5" s="44"/>
      <c r="GO5" s="44"/>
      <c r="GP5" s="44"/>
      <c r="GQ5" s="44"/>
      <c r="GR5" s="44"/>
      <c r="GS5" s="44"/>
      <c r="GT5" s="44"/>
      <c r="GU5" s="44"/>
      <c r="GV5" s="44"/>
      <c r="GW5" s="44"/>
      <c r="GX5" s="44"/>
      <c r="GY5" s="44"/>
      <c r="GZ5" s="44"/>
      <c r="HA5" s="44"/>
      <c r="HB5" s="44"/>
      <c r="HC5" s="44"/>
      <c r="HD5" s="44"/>
      <c r="HE5" s="44"/>
      <c r="HF5" s="44"/>
      <c r="HG5" s="44"/>
      <c r="HH5" s="44"/>
      <c r="HI5" s="44"/>
      <c r="HJ5" s="44"/>
      <c r="HK5" s="44"/>
      <c r="HL5" s="44"/>
      <c r="HM5" s="44"/>
      <c r="HN5" s="44"/>
      <c r="HO5" s="44"/>
      <c r="HP5" s="44"/>
      <c r="HQ5" s="44"/>
      <c r="HR5" s="44"/>
      <c r="HS5" s="44"/>
      <c r="HT5" s="44"/>
      <c r="HU5" s="44"/>
      <c r="HV5" s="44"/>
      <c r="HW5" s="44"/>
      <c r="HX5" s="44"/>
      <c r="HY5" s="44"/>
      <c r="HZ5" s="44"/>
      <c r="IA5" s="44"/>
      <c r="IB5" s="44"/>
      <c r="IC5" s="44"/>
      <c r="ID5" s="44"/>
      <c r="IE5" s="44"/>
      <c r="IF5" s="44"/>
      <c r="IG5" s="44"/>
      <c r="IH5" s="44"/>
      <c r="II5" s="44"/>
      <c r="IJ5" s="44"/>
      <c r="IK5" s="44"/>
      <c r="IL5" s="44"/>
      <c r="IM5" s="44"/>
      <c r="IN5" s="44"/>
      <c r="IO5" s="44"/>
      <c r="IP5" s="44"/>
      <c r="IQ5" s="44"/>
      <c r="IR5" s="44"/>
      <c r="IS5" s="44"/>
      <c r="IT5" s="44"/>
      <c r="IU5" s="44"/>
      <c r="IV5" s="44"/>
      <c r="IW5" s="44"/>
      <c r="IX5" s="44"/>
      <c r="IY5" s="44"/>
      <c r="IZ5" s="44"/>
      <c r="JA5" s="44"/>
      <c r="JB5" s="44"/>
      <c r="JC5" s="44"/>
      <c r="JD5" s="44"/>
      <c r="JE5" s="44"/>
      <c r="JF5" s="44"/>
      <c r="JG5" s="44"/>
      <c r="JH5" s="44"/>
      <c r="JI5" s="44"/>
      <c r="JJ5" s="44"/>
      <c r="JK5" s="44"/>
      <c r="JL5" s="44"/>
      <c r="JM5" s="44"/>
      <c r="JN5" s="44"/>
      <c r="JO5" s="44"/>
      <c r="JP5" s="44"/>
      <c r="JQ5" s="44"/>
      <c r="JR5" s="44"/>
      <c r="JS5" s="44"/>
      <c r="JT5" s="44"/>
      <c r="JU5" s="44"/>
      <c r="JV5" s="44"/>
      <c r="JW5" s="44"/>
      <c r="JX5" s="44"/>
      <c r="JY5" s="44"/>
      <c r="JZ5" s="44"/>
      <c r="KA5" s="44"/>
      <c r="KB5" s="44"/>
      <c r="KC5" s="44"/>
      <c r="KD5" s="44"/>
      <c r="KE5" s="44"/>
      <c r="KF5" s="44"/>
      <c r="KG5" s="44"/>
      <c r="KH5" s="44"/>
      <c r="KI5" s="44"/>
      <c r="KJ5" s="44"/>
      <c r="KK5" s="44"/>
      <c r="KL5" s="44"/>
      <c r="KM5" s="44"/>
      <c r="KN5" s="44"/>
      <c r="KO5" s="44"/>
      <c r="KP5" s="44"/>
      <c r="KQ5" s="44"/>
      <c r="KR5" s="44"/>
      <c r="KS5" s="44"/>
      <c r="KT5" s="44"/>
      <c r="KU5" s="44"/>
      <c r="KV5" s="44"/>
      <c r="KW5" s="44"/>
      <c r="KX5" s="44"/>
      <c r="KY5" s="44"/>
      <c r="KZ5" s="44"/>
      <c r="LA5" s="44"/>
      <c r="LB5" s="44"/>
      <c r="LC5" s="44"/>
      <c r="LD5" s="44"/>
      <c r="LE5" s="44"/>
      <c r="LF5" s="44"/>
      <c r="LG5" s="44"/>
      <c r="LH5" s="44"/>
      <c r="LI5" s="44"/>
      <c r="LJ5" s="44"/>
      <c r="LK5" s="44"/>
      <c r="LL5" s="44"/>
      <c r="LM5" s="44"/>
      <c r="LN5" s="44"/>
      <c r="LO5" s="44"/>
      <c r="LP5" s="44"/>
      <c r="LQ5" s="44"/>
      <c r="LR5" s="44"/>
      <c r="LS5" s="44"/>
      <c r="LT5" s="44"/>
      <c r="LU5" s="44"/>
      <c r="LV5" s="44"/>
      <c r="LW5" s="44"/>
      <c r="LX5" s="44"/>
      <c r="LY5" s="44"/>
      <c r="LZ5" s="44"/>
      <c r="MA5" s="44"/>
      <c r="MB5" s="44"/>
      <c r="MC5" s="44"/>
      <c r="MD5" s="44"/>
      <c r="ME5" s="44"/>
      <c r="MF5" s="44"/>
      <c r="MG5" s="44"/>
      <c r="MH5" s="44"/>
      <c r="MI5" s="44"/>
      <c r="MJ5" s="44"/>
      <c r="MK5" s="44"/>
      <c r="ML5" s="44"/>
      <c r="MM5" s="44"/>
      <c r="MN5" s="44"/>
      <c r="MO5" s="44"/>
      <c r="MP5" s="44"/>
      <c r="MQ5" s="44"/>
      <c r="MR5" s="44"/>
      <c r="MS5" s="44"/>
      <c r="MT5" s="44"/>
      <c r="MU5" s="44"/>
      <c r="MV5" s="44"/>
      <c r="MW5" s="44"/>
      <c r="MX5" s="44"/>
      <c r="MY5" s="44"/>
      <c r="MZ5" s="44"/>
      <c r="NA5" s="44"/>
      <c r="NB5" s="44"/>
      <c r="NC5" s="44"/>
      <c r="ND5" s="44"/>
      <c r="NE5" s="44"/>
      <c r="NF5" s="44"/>
      <c r="NG5" s="44"/>
      <c r="NH5" s="44"/>
      <c r="NI5" s="44"/>
      <c r="NJ5" s="44"/>
      <c r="NK5" s="44"/>
      <c r="NL5" s="44"/>
      <c r="NM5" s="44"/>
      <c r="NN5" s="44"/>
      <c r="NO5" s="44"/>
      <c r="NP5" s="44"/>
      <c r="NQ5" s="44"/>
      <c r="NR5" s="44"/>
      <c r="NS5" s="44"/>
      <c r="NT5" s="44"/>
      <c r="NU5" s="44"/>
      <c r="NV5" s="44"/>
      <c r="NW5" s="44"/>
      <c r="NX5" s="44"/>
      <c r="NY5" s="44"/>
      <c r="NZ5" s="44"/>
      <c r="OA5" s="44"/>
      <c r="OB5" s="44"/>
      <c r="OC5" s="44"/>
      <c r="OD5" s="44"/>
      <c r="OE5" s="44"/>
      <c r="OF5" s="44"/>
      <c r="OG5" s="44"/>
      <c r="OH5" s="44"/>
      <c r="OI5" s="44"/>
      <c r="OJ5" s="44"/>
      <c r="OK5" s="44"/>
      <c r="OL5" s="44"/>
      <c r="OM5" s="44"/>
      <c r="ON5" s="44"/>
      <c r="OO5" s="44"/>
      <c r="OP5" s="44"/>
      <c r="OQ5" s="44"/>
      <c r="OR5" s="44"/>
      <c r="OS5" s="44"/>
      <c r="OT5" s="44"/>
      <c r="OU5" s="44"/>
      <c r="OV5" s="44"/>
      <c r="OW5" s="44"/>
      <c r="OX5" s="44"/>
      <c r="OY5" s="44"/>
      <c r="OZ5" s="44"/>
      <c r="PA5" s="44"/>
      <c r="PB5" s="44"/>
      <c r="PC5" s="44"/>
      <c r="PD5" s="44"/>
      <c r="PE5" s="44"/>
      <c r="PF5" s="44"/>
      <c r="PG5" s="44"/>
      <c r="PH5" s="44"/>
      <c r="PI5" s="44"/>
      <c r="PJ5" s="44"/>
      <c r="PK5" s="44"/>
      <c r="PL5" s="44"/>
      <c r="PM5" s="44"/>
      <c r="PN5" s="44"/>
      <c r="PO5" s="44"/>
      <c r="PP5" s="44"/>
      <c r="PQ5" s="44"/>
      <c r="PR5" s="44"/>
      <c r="PS5" s="44"/>
      <c r="PT5" s="44"/>
      <c r="PU5" s="44"/>
      <c r="PV5" s="44"/>
      <c r="PW5" s="44"/>
      <c r="PX5" s="44"/>
      <c r="PY5" s="44"/>
      <c r="PZ5" s="44"/>
      <c r="QA5" s="44"/>
      <c r="QB5" s="44"/>
      <c r="QC5" s="44"/>
      <c r="QD5" s="44"/>
      <c r="QE5" s="44"/>
      <c r="QF5" s="44"/>
      <c r="QG5" s="44"/>
      <c r="QH5" s="44"/>
      <c r="QI5" s="44"/>
      <c r="QJ5" s="44"/>
      <c r="QK5" s="44"/>
      <c r="QL5" s="44"/>
      <c r="QM5" s="44"/>
      <c r="QN5" s="44"/>
      <c r="QO5" s="44"/>
      <c r="QP5" s="44"/>
      <c r="QQ5" s="44"/>
      <c r="QR5" s="44"/>
      <c r="QS5" s="44"/>
      <c r="QT5" s="44"/>
      <c r="QU5" s="44"/>
      <c r="QV5" s="44"/>
      <c r="QW5" s="44"/>
      <c r="QX5" s="44"/>
      <c r="QY5" s="44"/>
      <c r="QZ5" s="44"/>
      <c r="RA5" s="44"/>
      <c r="RB5" s="44"/>
      <c r="RC5" s="44"/>
      <c r="RD5" s="44"/>
      <c r="RE5" s="44"/>
      <c r="RF5" s="44"/>
      <c r="RG5" s="44"/>
      <c r="RH5" s="44"/>
      <c r="RI5" s="44"/>
      <c r="RJ5" s="44"/>
      <c r="RK5" s="44"/>
      <c r="RL5" s="44"/>
      <c r="RM5" s="44"/>
      <c r="RN5" s="44"/>
      <c r="RO5" s="44"/>
      <c r="RP5" s="44"/>
      <c r="RQ5" s="44"/>
      <c r="RR5" s="44"/>
      <c r="RS5" s="44"/>
      <c r="RT5" s="44"/>
      <c r="RU5" s="44"/>
      <c r="RV5" s="44"/>
      <c r="RW5" s="44"/>
      <c r="RX5" s="44"/>
      <c r="RY5" s="44"/>
      <c r="RZ5" s="44"/>
      <c r="SA5" s="44"/>
      <c r="SB5" s="44"/>
      <c r="SC5" s="44"/>
      <c r="SD5" s="44"/>
      <c r="SE5" s="44"/>
      <c r="SF5" s="44"/>
      <c r="SG5" s="44"/>
      <c r="SH5" s="44"/>
      <c r="SI5" s="44"/>
      <c r="SJ5" s="44"/>
      <c r="SK5" s="44"/>
      <c r="SL5" s="44"/>
      <c r="SM5" s="44"/>
      <c r="SN5" s="44"/>
      <c r="SO5" s="44"/>
      <c r="SP5" s="44"/>
      <c r="SQ5" s="44"/>
      <c r="SR5" s="44"/>
      <c r="SS5" s="44"/>
      <c r="ST5" s="44"/>
      <c r="SU5" s="44"/>
      <c r="SV5" s="44"/>
      <c r="SW5" s="44"/>
      <c r="SX5" s="44"/>
      <c r="SY5" s="44"/>
      <c r="SZ5" s="44"/>
      <c r="TA5" s="44"/>
      <c r="TB5" s="44"/>
      <c r="TC5" s="44"/>
      <c r="TD5" s="44"/>
      <c r="TE5" s="44"/>
      <c r="TF5" s="44"/>
      <c r="TG5" s="44"/>
      <c r="TH5" s="44"/>
      <c r="TI5" s="44"/>
      <c r="TJ5" s="44"/>
      <c r="TK5" s="44"/>
      <c r="TL5" s="44"/>
      <c r="TM5" s="44"/>
      <c r="TN5" s="44"/>
      <c r="TO5" s="44"/>
      <c r="TP5" s="44"/>
      <c r="TQ5" s="44"/>
      <c r="TR5" s="44"/>
      <c r="TS5" s="44"/>
      <c r="TT5" s="44"/>
      <c r="TU5" s="44"/>
      <c r="TV5" s="44"/>
      <c r="TW5" s="44"/>
      <c r="TX5" s="44"/>
      <c r="TY5" s="44"/>
      <c r="TZ5" s="44"/>
      <c r="UA5" s="44"/>
      <c r="UB5" s="44"/>
      <c r="UC5" s="44"/>
      <c r="UD5" s="44"/>
      <c r="UE5" s="44"/>
      <c r="UF5" s="44"/>
      <c r="UG5" s="44"/>
      <c r="UH5" s="44"/>
      <c r="UI5" s="44"/>
      <c r="UJ5" s="44"/>
      <c r="UK5" s="44"/>
      <c r="UL5" s="44"/>
      <c r="UM5" s="44"/>
      <c r="UN5" s="44"/>
      <c r="UO5" s="44"/>
      <c r="UP5" s="44"/>
      <c r="UQ5" s="44"/>
      <c r="UR5" s="44"/>
      <c r="US5" s="44"/>
      <c r="UT5" s="44"/>
      <c r="UU5" s="44"/>
      <c r="UV5" s="44"/>
      <c r="UW5" s="44"/>
      <c r="UX5" s="44"/>
      <c r="UY5" s="44"/>
      <c r="UZ5" s="44"/>
      <c r="VA5" s="44"/>
      <c r="VB5" s="44"/>
      <c r="VC5" s="44"/>
      <c r="VD5" s="44"/>
      <c r="VE5" s="44"/>
      <c r="VF5" s="44"/>
      <c r="VG5" s="44"/>
      <c r="VH5" s="44"/>
      <c r="VI5" s="44"/>
      <c r="VJ5" s="44"/>
      <c r="VK5" s="44"/>
      <c r="VL5" s="44"/>
      <c r="VM5" s="44"/>
      <c r="VN5" s="44"/>
      <c r="VO5" s="44"/>
      <c r="VP5" s="44"/>
      <c r="VQ5" s="44"/>
      <c r="VR5" s="44"/>
      <c r="VS5" s="44"/>
      <c r="VT5" s="44"/>
      <c r="VU5" s="44"/>
      <c r="VV5" s="44"/>
      <c r="VW5" s="44"/>
      <c r="VX5" s="44"/>
      <c r="VY5" s="44"/>
      <c r="VZ5" s="44"/>
      <c r="WA5" s="44"/>
      <c r="WB5" s="44"/>
      <c r="WC5" s="44"/>
      <c r="WD5" s="44"/>
      <c r="WE5" s="44"/>
      <c r="WF5" s="44"/>
      <c r="WG5" s="44"/>
      <c r="WH5" s="44"/>
      <c r="WI5" s="44"/>
      <c r="WJ5" s="44"/>
      <c r="WK5" s="44"/>
      <c r="WL5" s="44"/>
      <c r="WM5" s="44"/>
      <c r="WN5" s="44"/>
      <c r="WO5" s="44"/>
      <c r="WP5" s="44"/>
      <c r="WQ5" s="44"/>
      <c r="WR5" s="44"/>
      <c r="WS5" s="44"/>
      <c r="WT5" s="44"/>
      <c r="WU5" s="44"/>
      <c r="WV5" s="44"/>
      <c r="WW5" s="44"/>
      <c r="WX5" s="44"/>
      <c r="WY5" s="44"/>
      <c r="WZ5" s="44"/>
      <c r="XA5" s="44"/>
      <c r="XB5" s="44"/>
      <c r="XC5" s="44"/>
      <c r="XD5" s="44"/>
      <c r="XE5" s="44"/>
      <c r="XF5" s="44"/>
      <c r="XG5" s="44"/>
      <c r="XH5" s="44"/>
      <c r="XI5" s="44"/>
      <c r="XJ5" s="44"/>
      <c r="XK5" s="44"/>
      <c r="XL5" s="44"/>
      <c r="XM5" s="44"/>
      <c r="XN5" s="44"/>
      <c r="XO5" s="44"/>
      <c r="XP5" s="44"/>
      <c r="XQ5" s="44"/>
      <c r="XR5" s="44"/>
      <c r="XS5" s="44"/>
      <c r="XT5" s="44"/>
      <c r="XU5" s="44"/>
      <c r="XV5" s="44"/>
      <c r="XW5" s="44"/>
      <c r="XX5" s="44"/>
      <c r="XY5" s="44"/>
      <c r="XZ5" s="44"/>
      <c r="YA5" s="44"/>
      <c r="YB5" s="44"/>
      <c r="YC5" s="44"/>
      <c r="YD5" s="44"/>
      <c r="YE5" s="44"/>
      <c r="YF5" s="44"/>
      <c r="YG5" s="44"/>
      <c r="YH5" s="44"/>
      <c r="YI5" s="44"/>
      <c r="YJ5" s="44"/>
      <c r="YK5" s="44"/>
      <c r="YL5" s="44"/>
      <c r="YM5" s="44"/>
      <c r="YN5" s="44"/>
      <c r="YO5" s="44"/>
      <c r="YP5" s="44"/>
      <c r="YQ5" s="44"/>
      <c r="YR5" s="44"/>
      <c r="YS5" s="44"/>
      <c r="YT5" s="44"/>
      <c r="YU5" s="44"/>
      <c r="YV5" s="44"/>
      <c r="YW5" s="44"/>
      <c r="YX5" s="44"/>
      <c r="YY5" s="44"/>
      <c r="YZ5" s="44"/>
      <c r="ZA5" s="44"/>
      <c r="ZB5" s="44"/>
      <c r="ZC5" s="44"/>
      <c r="ZD5" s="44"/>
      <c r="ZE5" s="44"/>
      <c r="ZF5" s="44"/>
      <c r="ZG5" s="44"/>
      <c r="ZH5" s="44"/>
      <c r="ZI5" s="44"/>
      <c r="ZJ5" s="44"/>
      <c r="ZK5" s="44"/>
      <c r="ZL5" s="44"/>
      <c r="ZM5" s="44"/>
      <c r="ZN5" s="44"/>
      <c r="ZO5" s="44"/>
      <c r="ZP5" s="44"/>
      <c r="ZQ5" s="44"/>
      <c r="ZR5" s="44"/>
      <c r="ZS5" s="44"/>
      <c r="ZT5" s="44"/>
      <c r="ZU5" s="44"/>
      <c r="ZV5" s="44"/>
      <c r="ZW5" s="44"/>
      <c r="ZX5" s="44"/>
      <c r="ZY5" s="44"/>
      <c r="ZZ5" s="44"/>
      <c r="AAA5" s="44"/>
      <c r="AAB5" s="44"/>
      <c r="AAC5" s="44"/>
      <c r="AAD5" s="44"/>
      <c r="AAE5" s="44"/>
      <c r="AAF5" s="44"/>
      <c r="AAG5" s="44"/>
      <c r="AAH5" s="44"/>
      <c r="AAI5" s="44"/>
      <c r="AAJ5" s="44"/>
      <c r="AAK5" s="44"/>
      <c r="AAL5" s="44"/>
      <c r="AAM5" s="44"/>
      <c r="AAN5" s="44"/>
      <c r="AAO5" s="44"/>
      <c r="AAP5" s="44"/>
      <c r="AAQ5" s="44"/>
      <c r="AAR5" s="44"/>
      <c r="AAS5" s="44"/>
      <c r="AAT5" s="44"/>
      <c r="AAU5" s="44"/>
      <c r="AAV5" s="44"/>
      <c r="AAW5" s="44"/>
      <c r="AAX5" s="44"/>
      <c r="AAY5" s="44"/>
      <c r="AAZ5" s="44"/>
      <c r="ABA5" s="44"/>
      <c r="ABB5" s="44"/>
      <c r="ABC5" s="44"/>
      <c r="ABD5" s="44"/>
      <c r="ABE5" s="44"/>
      <c r="ABF5" s="44"/>
      <c r="ABG5" s="44"/>
      <c r="ABH5" s="44"/>
      <c r="ABI5" s="44"/>
      <c r="ABJ5" s="44"/>
      <c r="ABK5" s="44"/>
      <c r="ABL5" s="44"/>
      <c r="ABM5" s="44"/>
      <c r="ABN5" s="44"/>
      <c r="ABO5" s="44"/>
      <c r="ABP5" s="44"/>
      <c r="ABQ5" s="44"/>
      <c r="ABR5" s="44"/>
      <c r="ABS5" s="44"/>
      <c r="ABT5" s="44"/>
      <c r="ABU5" s="44"/>
      <c r="ABV5" s="44"/>
      <c r="ABW5" s="44"/>
      <c r="ABX5" s="44"/>
      <c r="ABY5" s="44"/>
      <c r="ABZ5" s="44"/>
      <c r="ACA5" s="44"/>
      <c r="ACB5" s="44"/>
      <c r="ACC5" s="44"/>
      <c r="ACD5" s="44"/>
      <c r="ACE5" s="44"/>
      <c r="ACF5" s="44"/>
      <c r="ACG5" s="44"/>
      <c r="ACH5" s="44"/>
      <c r="ACI5" s="44"/>
      <c r="ACJ5" s="44"/>
      <c r="ACK5" s="44"/>
      <c r="ACL5" s="44"/>
      <c r="ACM5" s="44"/>
      <c r="ACN5" s="44"/>
      <c r="ACO5" s="44"/>
      <c r="ACP5" s="44"/>
      <c r="ACQ5" s="44"/>
      <c r="ACR5" s="44"/>
      <c r="ACS5" s="44"/>
      <c r="ACT5" s="44"/>
      <c r="ACU5" s="44"/>
      <c r="ACV5" s="44"/>
      <c r="ACW5" s="44"/>
      <c r="ACX5" s="44"/>
      <c r="ACY5" s="44"/>
      <c r="ACZ5" s="44"/>
      <c r="ADA5" s="44"/>
      <c r="ADB5" s="44"/>
      <c r="ADC5" s="44"/>
      <c r="ADD5" s="44"/>
      <c r="ADE5" s="44"/>
      <c r="ADF5" s="44"/>
      <c r="ADG5" s="44"/>
      <c r="ADH5" s="44"/>
      <c r="ADI5" s="44"/>
      <c r="ADJ5" s="44"/>
      <c r="ADK5" s="44"/>
      <c r="ADL5" s="44"/>
      <c r="ADM5" s="44"/>
      <c r="ADN5" s="44"/>
      <c r="ADO5" s="44"/>
      <c r="ADP5" s="44"/>
      <c r="ADQ5" s="44"/>
      <c r="ADR5" s="44"/>
      <c r="ADS5" s="44"/>
      <c r="ADT5" s="44"/>
      <c r="ADU5" s="44"/>
      <c r="ADV5" s="44"/>
      <c r="ADW5" s="44"/>
      <c r="ADX5" s="44"/>
      <c r="ADY5" s="44"/>
      <c r="ADZ5" s="44"/>
      <c r="AEA5" s="44"/>
      <c r="AEB5" s="44"/>
      <c r="AEC5" s="44"/>
      <c r="AED5" s="44"/>
      <c r="AEE5" s="44"/>
      <c r="AEF5" s="44"/>
      <c r="AEG5" s="44"/>
      <c r="AEH5" s="44"/>
      <c r="AEI5" s="44"/>
      <c r="AEJ5" s="44"/>
      <c r="AEK5" s="44"/>
      <c r="AEL5" s="44"/>
      <c r="AEM5" s="44"/>
      <c r="AEN5" s="44"/>
      <c r="AEO5" s="44"/>
      <c r="AEP5" s="44"/>
      <c r="AEQ5" s="44"/>
      <c r="AER5" s="44"/>
      <c r="AES5" s="44"/>
      <c r="AET5" s="44"/>
      <c r="AEU5" s="44"/>
      <c r="AEV5" s="44"/>
      <c r="AEW5" s="44"/>
      <c r="AEX5" s="44"/>
      <c r="AEY5" s="44"/>
      <c r="AEZ5" s="44"/>
      <c r="AFA5" s="44"/>
      <c r="AFB5" s="44"/>
      <c r="AFC5" s="44"/>
      <c r="AFD5" s="44"/>
      <c r="AFE5" s="44"/>
      <c r="AFF5" s="44"/>
      <c r="AFG5" s="44"/>
      <c r="AFH5" s="44"/>
      <c r="AFI5" s="44"/>
      <c r="AFJ5" s="44"/>
      <c r="AFK5" s="44"/>
      <c r="AFL5" s="44"/>
      <c r="AFM5" s="44"/>
      <c r="AFN5" s="44"/>
      <c r="AFO5" s="44"/>
      <c r="AFP5" s="44"/>
      <c r="AFQ5" s="44"/>
      <c r="AFR5" s="44"/>
      <c r="AFS5" s="44"/>
      <c r="AFT5" s="44"/>
      <c r="AFU5" s="44"/>
      <c r="AFV5" s="44"/>
      <c r="AFW5" s="44"/>
      <c r="AFX5" s="44"/>
      <c r="AFY5" s="44"/>
      <c r="AFZ5" s="44"/>
      <c r="AGA5" s="44"/>
      <c r="AGB5" s="44"/>
      <c r="AGC5" s="44"/>
      <c r="AGD5" s="44"/>
      <c r="AGE5" s="44"/>
      <c r="AGF5" s="44"/>
      <c r="AGG5" s="44"/>
      <c r="AGH5" s="44"/>
      <c r="AGI5" s="44"/>
      <c r="AGJ5" s="44"/>
      <c r="AGK5" s="44"/>
      <c r="AGL5" s="44"/>
      <c r="AGM5" s="44"/>
      <c r="AGN5" s="44"/>
      <c r="AGO5" s="44"/>
      <c r="AGP5" s="44"/>
      <c r="AGQ5" s="44"/>
      <c r="AGR5" s="44"/>
      <c r="AGS5" s="44"/>
      <c r="AGT5" s="44"/>
      <c r="AGU5" s="44"/>
      <c r="AGV5" s="44"/>
      <c r="AGW5" s="44"/>
      <c r="AGX5" s="44"/>
      <c r="AGY5" s="44"/>
      <c r="AGZ5" s="44"/>
      <c r="AHA5" s="44"/>
      <c r="AHB5" s="44"/>
      <c r="AHC5" s="44"/>
      <c r="AHD5" s="44"/>
      <c r="AHE5" s="44"/>
      <c r="AHF5" s="44"/>
      <c r="AHG5" s="44"/>
      <c r="AHH5" s="44"/>
      <c r="AHI5" s="44"/>
      <c r="AHJ5" s="44"/>
      <c r="AHK5" s="44"/>
      <c r="AHL5" s="44"/>
      <c r="AHM5" s="44"/>
      <c r="AHN5" s="44"/>
      <c r="AHO5" s="44"/>
      <c r="AHP5" s="44"/>
      <c r="AHQ5" s="44"/>
      <c r="AHR5" s="44"/>
      <c r="AHS5" s="44"/>
      <c r="AHT5" s="44"/>
      <c r="AHU5" s="44"/>
      <c r="AHV5" s="44"/>
      <c r="AHW5" s="44"/>
      <c r="AHX5" s="44"/>
      <c r="AHY5" s="44"/>
      <c r="AHZ5" s="44"/>
      <c r="AIA5" s="44"/>
      <c r="AIB5" s="44"/>
      <c r="AIC5" s="44"/>
      <c r="AID5" s="44"/>
      <c r="AIE5" s="44"/>
      <c r="AIF5" s="44"/>
      <c r="AIG5" s="44"/>
      <c r="AIH5" s="44"/>
      <c r="AII5" s="44"/>
      <c r="AIJ5" s="44"/>
      <c r="AIK5" s="44"/>
      <c r="AIL5" s="44"/>
      <c r="AIM5" s="44"/>
      <c r="AIN5" s="44"/>
      <c r="AIO5" s="44"/>
      <c r="AIP5" s="44"/>
      <c r="AIQ5" s="44"/>
      <c r="AIR5" s="44"/>
      <c r="AIS5" s="44"/>
      <c r="AIT5" s="44"/>
      <c r="AIU5" s="44"/>
      <c r="AIV5" s="44"/>
      <c r="AIW5" s="44"/>
      <c r="AIX5" s="44"/>
      <c r="AIY5" s="44"/>
      <c r="AIZ5" s="44"/>
      <c r="AJA5" s="44"/>
      <c r="AJB5" s="44"/>
      <c r="AJC5" s="44"/>
      <c r="AJD5" s="44"/>
      <c r="AJE5" s="44"/>
      <c r="AJF5" s="44"/>
      <c r="AJG5" s="44"/>
      <c r="AJH5" s="44"/>
      <c r="AJI5" s="44"/>
      <c r="AJJ5" s="44"/>
      <c r="AJK5" s="44"/>
      <c r="AJL5" s="44"/>
      <c r="AJM5" s="44"/>
      <c r="AJN5" s="44"/>
      <c r="AJO5" s="44"/>
      <c r="AJP5" s="44"/>
      <c r="AJQ5" s="44"/>
      <c r="AJR5" s="44"/>
      <c r="AJS5" s="44"/>
      <c r="AJT5" s="44"/>
      <c r="AJU5" s="44"/>
      <c r="AJV5" s="44"/>
      <c r="AJW5" s="44"/>
      <c r="AJX5" s="44"/>
      <c r="AJY5" s="44"/>
      <c r="AJZ5" s="44"/>
      <c r="AKA5" s="44"/>
      <c r="AKB5" s="44"/>
      <c r="AKC5" s="44"/>
      <c r="AKD5" s="44"/>
      <c r="AKE5" s="44"/>
      <c r="AKF5" s="44"/>
      <c r="AKG5" s="44"/>
      <c r="AKH5" s="44"/>
      <c r="AKI5" s="44"/>
      <c r="AKJ5" s="44"/>
      <c r="AKK5" s="44"/>
      <c r="AKL5" s="44"/>
      <c r="AKM5" s="44"/>
      <c r="AKN5" s="44"/>
      <c r="AKO5" s="44"/>
      <c r="AKP5" s="44"/>
      <c r="AKQ5" s="44"/>
      <c r="AKR5" s="44"/>
      <c r="AKS5" s="44"/>
      <c r="AKT5" s="44"/>
      <c r="AKU5" s="44"/>
      <c r="AKV5" s="44"/>
      <c r="AKW5" s="44"/>
      <c r="AKX5" s="44"/>
      <c r="AKY5" s="44"/>
      <c r="AKZ5" s="44"/>
      <c r="ALA5" s="44"/>
      <c r="ALB5" s="44"/>
      <c r="ALC5" s="44"/>
      <c r="ALD5" s="44"/>
      <c r="ALE5" s="44"/>
      <c r="ALF5" s="44"/>
      <c r="ALG5" s="44"/>
      <c r="ALH5" s="44"/>
      <c r="ALI5" s="44"/>
      <c r="ALJ5" s="44"/>
      <c r="ALK5" s="44"/>
      <c r="ALL5" s="44"/>
      <c r="ALM5" s="44"/>
      <c r="ALN5" s="44"/>
      <c r="ALO5" s="44"/>
      <c r="ALP5" s="44"/>
      <c r="ALQ5" s="44"/>
      <c r="ALR5" s="44"/>
      <c r="ALS5" s="44"/>
      <c r="ALT5" s="44"/>
      <c r="ALU5" s="44"/>
      <c r="ALV5" s="44"/>
      <c r="ALW5" s="44"/>
      <c r="ALX5" s="44"/>
      <c r="ALY5" s="44"/>
      <c r="ALZ5" s="44"/>
      <c r="AMA5" s="44"/>
      <c r="AMB5" s="44"/>
      <c r="AMC5" s="44"/>
      <c r="AMD5" s="44"/>
      <c r="AME5" s="44"/>
      <c r="AMF5" s="44"/>
      <c r="AMG5" s="44"/>
      <c r="AMH5" s="44"/>
      <c r="AMI5" s="44"/>
      <c r="AMJ5" s="44"/>
      <c r="AMK5" s="44"/>
      <c r="AML5" s="44"/>
      <c r="AMM5" s="44"/>
      <c r="AMN5" s="44"/>
      <c r="AMO5" s="44"/>
      <c r="AMP5" s="44"/>
      <c r="AMQ5" s="44"/>
      <c r="AMR5" s="44"/>
      <c r="AMS5" s="44"/>
      <c r="AMT5" s="44"/>
      <c r="AMU5" s="44"/>
      <c r="AMV5" s="44"/>
      <c r="AMW5" s="44"/>
      <c r="AMX5" s="44"/>
      <c r="AMY5" s="44"/>
      <c r="AMZ5" s="44"/>
      <c r="ANA5" s="44"/>
      <c r="ANB5" s="44"/>
      <c r="ANC5" s="44"/>
      <c r="AND5" s="44"/>
      <c r="ANE5" s="44"/>
      <c r="ANF5" s="44"/>
      <c r="ANG5" s="44"/>
      <c r="ANH5" s="44"/>
      <c r="ANI5" s="44"/>
      <c r="ANJ5" s="44"/>
      <c r="ANK5" s="44"/>
      <c r="ANL5" s="44"/>
      <c r="ANM5" s="44"/>
      <c r="ANN5" s="44"/>
      <c r="ANO5" s="44"/>
      <c r="ANP5" s="44"/>
      <c r="ANQ5" s="44"/>
      <c r="ANR5" s="44"/>
      <c r="ANS5" s="44"/>
      <c r="ANT5" s="44"/>
      <c r="ANU5" s="44"/>
      <c r="ANV5" s="44"/>
      <c r="ANW5" s="44"/>
      <c r="ANX5" s="44"/>
      <c r="ANY5" s="44"/>
      <c r="ANZ5" s="44"/>
      <c r="AOA5" s="44"/>
      <c r="AOB5" s="44"/>
      <c r="AOC5" s="44"/>
      <c r="AOD5" s="44"/>
      <c r="AOE5" s="44"/>
      <c r="AOF5" s="44"/>
      <c r="AOG5" s="44"/>
      <c r="AOH5" s="44"/>
      <c r="AOI5" s="44"/>
      <c r="AOJ5" s="44"/>
      <c r="AOK5" s="44"/>
      <c r="AOL5" s="44"/>
      <c r="AOM5" s="44"/>
      <c r="AON5" s="44"/>
      <c r="AOO5" s="44"/>
      <c r="AOP5" s="44"/>
      <c r="AOQ5" s="44"/>
      <c r="AOR5" s="44"/>
      <c r="AOS5" s="44"/>
      <c r="AOT5" s="44"/>
      <c r="AOU5" s="44"/>
      <c r="AOV5" s="44"/>
      <c r="AOW5" s="44"/>
      <c r="AOX5" s="44"/>
      <c r="AOY5" s="44"/>
      <c r="AOZ5" s="44"/>
      <c r="APA5" s="44"/>
      <c r="APB5" s="44"/>
      <c r="APC5" s="44"/>
      <c r="APD5" s="44"/>
      <c r="APE5" s="44"/>
      <c r="APF5" s="44"/>
      <c r="APG5" s="44"/>
      <c r="APH5" s="44"/>
      <c r="API5" s="44"/>
      <c r="APJ5" s="44"/>
      <c r="APK5" s="44"/>
      <c r="APL5" s="44"/>
      <c r="APM5" s="44"/>
      <c r="APN5" s="44"/>
      <c r="APO5" s="44"/>
      <c r="APP5" s="44"/>
      <c r="APQ5" s="44"/>
      <c r="APR5" s="44"/>
      <c r="APS5" s="44"/>
      <c r="APT5" s="44"/>
      <c r="APU5" s="44"/>
      <c r="APV5" s="44"/>
      <c r="APW5" s="44"/>
      <c r="APX5" s="44"/>
      <c r="APY5" s="44"/>
      <c r="APZ5" s="44"/>
      <c r="AQA5" s="44"/>
      <c r="AQB5" s="44"/>
      <c r="AQC5" s="44"/>
      <c r="AQD5" s="44"/>
      <c r="AQE5" s="44"/>
      <c r="AQF5" s="44"/>
      <c r="AQG5" s="44"/>
      <c r="AQH5" s="44"/>
      <c r="AQI5" s="44"/>
      <c r="AQJ5" s="44"/>
      <c r="AQK5" s="44"/>
      <c r="AQL5" s="44"/>
      <c r="AQM5" s="44"/>
      <c r="AQN5" s="44"/>
      <c r="AQO5" s="44"/>
      <c r="AQP5" s="44"/>
      <c r="AQQ5" s="44"/>
      <c r="AQR5" s="44"/>
      <c r="AQS5" s="44"/>
      <c r="AQT5" s="44"/>
      <c r="AQU5" s="44"/>
      <c r="AQV5" s="44"/>
      <c r="AQW5" s="44"/>
      <c r="AQX5" s="44"/>
      <c r="AQY5" s="44"/>
      <c r="AQZ5" s="44"/>
      <c r="ARA5" s="44"/>
      <c r="ARB5" s="44"/>
      <c r="ARC5" s="44"/>
      <c r="ARD5" s="44"/>
      <c r="ARE5" s="44"/>
      <c r="ARF5" s="44"/>
      <c r="ARG5" s="44"/>
      <c r="ARH5" s="44"/>
      <c r="ARI5" s="44"/>
      <c r="ARJ5" s="44"/>
      <c r="ARK5" s="44"/>
      <c r="ARL5" s="44"/>
      <c r="ARM5" s="44"/>
      <c r="ARN5" s="44"/>
      <c r="ARO5" s="44"/>
      <c r="ARP5" s="44"/>
      <c r="ARQ5" s="44"/>
      <c r="ARR5" s="44"/>
      <c r="ARS5" s="44"/>
      <c r="ART5" s="44"/>
      <c r="ARU5" s="44"/>
      <c r="ARV5" s="44"/>
      <c r="ARW5" s="44"/>
      <c r="ARX5" s="44"/>
      <c r="ARY5" s="44"/>
      <c r="ARZ5" s="44"/>
      <c r="ASA5" s="44"/>
      <c r="ASB5" s="44"/>
      <c r="ASC5" s="44"/>
      <c r="ASD5" s="44"/>
      <c r="ASE5" s="44"/>
      <c r="ASF5" s="44"/>
      <c r="ASG5" s="44"/>
      <c r="ASH5" s="44"/>
      <c r="ASI5" s="44"/>
      <c r="ASJ5" s="44"/>
      <c r="ASK5" s="44"/>
      <c r="ASL5" s="44"/>
      <c r="ASM5" s="44"/>
      <c r="ASN5" s="44"/>
      <c r="ASO5" s="44"/>
      <c r="ASP5" s="44"/>
      <c r="ASQ5" s="44"/>
      <c r="ASR5" s="44"/>
      <c r="ASS5" s="44"/>
      <c r="AST5" s="44"/>
      <c r="ASU5" s="44"/>
      <c r="ASV5" s="44"/>
      <c r="ASW5" s="44"/>
      <c r="ASX5" s="44"/>
      <c r="ASY5" s="44"/>
      <c r="ASZ5" s="44"/>
      <c r="ATA5" s="44"/>
      <c r="ATB5" s="44"/>
      <c r="ATC5" s="44"/>
      <c r="ATD5" s="44"/>
      <c r="ATE5" s="44"/>
      <c r="ATF5" s="44"/>
      <c r="ATG5" s="44"/>
      <c r="ATH5" s="44"/>
      <c r="ATI5" s="44"/>
      <c r="ATJ5" s="44"/>
      <c r="ATK5" s="44"/>
      <c r="ATL5" s="44"/>
      <c r="ATM5" s="44"/>
      <c r="ATN5" s="44"/>
      <c r="ATO5" s="44"/>
      <c r="ATP5" s="44"/>
      <c r="ATQ5" s="44"/>
      <c r="ATR5" s="44"/>
      <c r="ATS5" s="44"/>
      <c r="ATT5" s="44"/>
      <c r="ATU5" s="44"/>
      <c r="ATV5" s="44"/>
      <c r="ATW5" s="44"/>
      <c r="ATX5" s="44"/>
      <c r="ATY5" s="44"/>
      <c r="ATZ5" s="44"/>
      <c r="AUA5" s="44"/>
      <c r="AUB5" s="44"/>
      <c r="AUC5" s="44"/>
      <c r="AUD5" s="44"/>
      <c r="AUE5" s="44"/>
      <c r="AUF5" s="44"/>
      <c r="AUG5" s="44"/>
      <c r="AUH5" s="44"/>
      <c r="AUI5" s="44"/>
      <c r="AUJ5" s="44"/>
      <c r="AUK5" s="44"/>
      <c r="AUL5" s="44"/>
      <c r="AUM5" s="44"/>
      <c r="AUN5" s="44"/>
      <c r="AUO5" s="44"/>
      <c r="AUP5" s="44"/>
      <c r="AUQ5" s="44"/>
      <c r="AUR5" s="44"/>
      <c r="AUS5" s="44"/>
      <c r="AUT5" s="44"/>
      <c r="AUU5" s="44"/>
      <c r="AUV5" s="44"/>
      <c r="AUW5" s="44"/>
      <c r="AUX5" s="44"/>
      <c r="AUY5" s="44"/>
      <c r="AUZ5" s="44"/>
      <c r="AVA5" s="44"/>
      <c r="AVB5" s="44"/>
      <c r="AVC5" s="44"/>
      <c r="AVD5" s="44"/>
      <c r="AVE5" s="44"/>
      <c r="AVF5" s="44"/>
      <c r="AVG5" s="44"/>
      <c r="AVH5" s="44"/>
      <c r="AVI5" s="44"/>
      <c r="AVJ5" s="44"/>
      <c r="AVK5" s="44"/>
      <c r="AVL5" s="44"/>
      <c r="AVM5" s="44"/>
      <c r="AVN5" s="44"/>
      <c r="AVO5" s="44"/>
      <c r="AVP5" s="44"/>
      <c r="AVQ5" s="44"/>
      <c r="AVR5" s="44"/>
      <c r="AVS5" s="44"/>
      <c r="AVT5" s="44"/>
      <c r="AVU5" s="44"/>
      <c r="AVV5" s="44"/>
      <c r="AVW5" s="44"/>
      <c r="AVX5" s="44"/>
      <c r="AVY5" s="44"/>
      <c r="AVZ5" s="44"/>
      <c r="AWA5" s="44"/>
      <c r="AWB5" s="44"/>
      <c r="AWC5" s="44"/>
      <c r="AWD5" s="44"/>
      <c r="AWE5" s="44"/>
      <c r="AWF5" s="44"/>
      <c r="AWG5" s="44"/>
      <c r="AWH5" s="44"/>
      <c r="AWI5" s="44"/>
      <c r="AWJ5" s="44"/>
      <c r="AWK5" s="44"/>
      <c r="AWL5" s="44"/>
      <c r="AWM5" s="44"/>
      <c r="AWN5" s="44"/>
      <c r="AWO5" s="44"/>
      <c r="AWP5" s="44"/>
      <c r="AWQ5" s="44"/>
      <c r="AWR5" s="44"/>
      <c r="AWS5" s="44"/>
      <c r="AWT5" s="44"/>
      <c r="AWU5" s="44"/>
      <c r="AWV5" s="44"/>
      <c r="AWW5" s="44"/>
      <c r="AWX5" s="44"/>
      <c r="AWY5" s="44"/>
      <c r="AWZ5" s="44"/>
      <c r="AXA5" s="44"/>
      <c r="AXB5" s="44"/>
      <c r="AXC5" s="44"/>
      <c r="AXD5" s="44"/>
      <c r="AXE5" s="44"/>
      <c r="AXF5" s="44"/>
      <c r="AXG5" s="44"/>
      <c r="AXH5" s="44"/>
      <c r="AXI5" s="44"/>
      <c r="AXJ5" s="44"/>
      <c r="AXK5" s="44"/>
      <c r="AXL5" s="44"/>
      <c r="AXM5" s="44"/>
      <c r="AXN5" s="44"/>
      <c r="AXO5" s="44"/>
      <c r="AXP5" s="44"/>
      <c r="AXQ5" s="44"/>
      <c r="AXR5" s="44"/>
      <c r="AXS5" s="44"/>
      <c r="AXT5" s="44"/>
      <c r="AXU5" s="44"/>
      <c r="AXV5" s="44"/>
      <c r="AXW5" s="44"/>
      <c r="AXX5" s="44"/>
      <c r="AXY5" s="44"/>
      <c r="AXZ5" s="44"/>
      <c r="AYA5" s="44"/>
      <c r="AYB5" s="44"/>
      <c r="AYC5" s="44"/>
      <c r="AYD5" s="44"/>
      <c r="AYE5" s="44"/>
      <c r="AYF5" s="44"/>
      <c r="AYG5" s="44"/>
      <c r="AYH5" s="44"/>
      <c r="AYI5" s="44"/>
      <c r="AYJ5" s="44"/>
      <c r="AYK5" s="44"/>
      <c r="AYL5" s="44"/>
      <c r="AYM5" s="44"/>
      <c r="AYN5" s="44"/>
      <c r="AYO5" s="44"/>
      <c r="AYP5" s="44"/>
      <c r="AYQ5" s="44"/>
      <c r="AYR5" s="44"/>
      <c r="AYS5" s="44"/>
      <c r="AYT5" s="44"/>
      <c r="AYU5" s="44"/>
      <c r="AYV5" s="44"/>
      <c r="AYW5" s="44"/>
      <c r="AYX5" s="44"/>
      <c r="AYY5" s="44"/>
      <c r="AYZ5" s="44"/>
      <c r="AZA5" s="44"/>
      <c r="AZB5" s="44"/>
      <c r="AZC5" s="44"/>
      <c r="AZD5" s="44"/>
      <c r="AZE5" s="44"/>
      <c r="AZF5" s="44"/>
      <c r="AZG5" s="44"/>
      <c r="AZH5" s="44"/>
      <c r="AZI5" s="44"/>
      <c r="AZJ5" s="44"/>
      <c r="AZK5" s="44"/>
      <c r="AZL5" s="44"/>
      <c r="AZM5" s="44"/>
      <c r="AZN5" s="44"/>
      <c r="AZO5" s="44"/>
      <c r="AZP5" s="44"/>
      <c r="AZQ5" s="44"/>
      <c r="AZR5" s="44"/>
      <c r="AZS5" s="44"/>
      <c r="AZT5" s="44"/>
      <c r="AZU5" s="44"/>
      <c r="AZV5" s="44"/>
      <c r="AZW5" s="44"/>
      <c r="AZX5" s="44"/>
      <c r="AZY5" s="44"/>
      <c r="AZZ5" s="44"/>
      <c r="BAA5" s="44"/>
      <c r="BAB5" s="44"/>
      <c r="BAC5" s="44"/>
      <c r="BAD5" s="44"/>
      <c r="BAE5" s="44"/>
      <c r="BAF5" s="44"/>
      <c r="BAG5" s="44"/>
      <c r="BAH5" s="44"/>
      <c r="BAI5" s="44"/>
      <c r="BAJ5" s="44"/>
      <c r="BAK5" s="44"/>
      <c r="BAL5" s="44"/>
      <c r="BAM5" s="44"/>
      <c r="BAN5" s="44"/>
      <c r="BAO5" s="44"/>
      <c r="BAP5" s="44"/>
      <c r="BAQ5" s="44"/>
      <c r="BAR5" s="44"/>
      <c r="BAS5" s="44"/>
      <c r="BAT5" s="44"/>
      <c r="BAU5" s="44"/>
      <c r="BAV5" s="44"/>
      <c r="BAW5" s="44"/>
      <c r="BAX5" s="44"/>
      <c r="BAY5" s="44"/>
      <c r="BAZ5" s="44"/>
      <c r="BBA5" s="44"/>
      <c r="BBB5" s="44"/>
      <c r="BBC5" s="44"/>
      <c r="BBD5" s="44"/>
      <c r="BBE5" s="44"/>
      <c r="BBF5" s="44"/>
      <c r="BBG5" s="44"/>
      <c r="BBH5" s="44"/>
      <c r="BBI5" s="44"/>
      <c r="BBJ5" s="44"/>
      <c r="BBK5" s="44"/>
      <c r="BBL5" s="44"/>
      <c r="BBM5" s="44"/>
      <c r="BBN5" s="44"/>
      <c r="BBO5" s="44"/>
      <c r="BBP5" s="44"/>
      <c r="BBQ5" s="44"/>
      <c r="BBR5" s="44"/>
      <c r="BBS5" s="44"/>
      <c r="BBT5" s="44"/>
      <c r="BBU5" s="44"/>
      <c r="BBV5" s="44"/>
      <c r="BBW5" s="44"/>
      <c r="BBX5" s="44"/>
      <c r="BBY5" s="44"/>
      <c r="BBZ5" s="44"/>
      <c r="BCA5" s="44"/>
      <c r="BCB5" s="44"/>
      <c r="BCC5" s="44"/>
      <c r="BCD5" s="44"/>
      <c r="BCE5" s="44"/>
      <c r="BCF5" s="44"/>
      <c r="BCG5" s="44"/>
      <c r="BCH5" s="44"/>
      <c r="BCI5" s="44"/>
      <c r="BCJ5" s="44"/>
      <c r="BCK5" s="44"/>
      <c r="BCL5" s="44"/>
      <c r="BCM5" s="44"/>
      <c r="BCN5" s="44"/>
      <c r="BCO5" s="44"/>
      <c r="BCP5" s="44"/>
      <c r="BCQ5" s="44"/>
      <c r="BCR5" s="44"/>
      <c r="BCS5" s="44"/>
      <c r="BCT5" s="44"/>
      <c r="BCU5" s="44"/>
      <c r="BCV5" s="44"/>
      <c r="BCW5" s="44"/>
      <c r="BCX5" s="44"/>
      <c r="BCY5" s="44"/>
      <c r="BCZ5" s="44"/>
      <c r="BDA5" s="44"/>
      <c r="BDB5" s="44"/>
      <c r="BDC5" s="44"/>
      <c r="BDD5" s="44"/>
      <c r="BDE5" s="44"/>
      <c r="BDF5" s="44"/>
      <c r="BDG5" s="44"/>
      <c r="BDH5" s="44"/>
      <c r="BDI5" s="44"/>
      <c r="BDJ5" s="44"/>
      <c r="BDK5" s="44"/>
      <c r="BDL5" s="44"/>
      <c r="BDM5" s="44"/>
      <c r="BDN5" s="44"/>
      <c r="BDO5" s="44"/>
      <c r="BDP5" s="44"/>
      <c r="BDQ5" s="44"/>
      <c r="BDR5" s="44"/>
      <c r="BDS5" s="44"/>
      <c r="BDT5" s="44"/>
      <c r="BDU5" s="44"/>
      <c r="BDV5" s="44"/>
      <c r="BDW5" s="44"/>
      <c r="BDX5" s="44"/>
      <c r="BDY5" s="44"/>
      <c r="BDZ5" s="44"/>
      <c r="BEA5" s="44"/>
      <c r="BEB5" s="44"/>
      <c r="BEC5" s="44"/>
      <c r="BED5" s="44"/>
      <c r="BEE5" s="44"/>
      <c r="BEF5" s="44"/>
      <c r="BEG5" s="44"/>
      <c r="BEH5" s="44"/>
      <c r="BEI5" s="44"/>
      <c r="BEJ5" s="44"/>
      <c r="BEK5" s="44"/>
      <c r="BEL5" s="44"/>
      <c r="BEM5" s="44"/>
      <c r="BEN5" s="44"/>
      <c r="BEO5" s="44"/>
      <c r="BEP5" s="44"/>
      <c r="BEQ5" s="44"/>
      <c r="BER5" s="44"/>
      <c r="BES5" s="44"/>
      <c r="BET5" s="44"/>
      <c r="BEU5" s="44"/>
      <c r="BEV5" s="44"/>
      <c r="BEW5" s="44"/>
      <c r="BEX5" s="44"/>
      <c r="BEY5" s="44"/>
      <c r="BEZ5" s="44"/>
      <c r="BFA5" s="44"/>
      <c r="BFB5" s="44"/>
      <c r="BFC5" s="44"/>
      <c r="BFD5" s="44"/>
      <c r="BFE5" s="44"/>
      <c r="BFF5" s="44"/>
      <c r="BFG5" s="44"/>
      <c r="BFH5" s="44"/>
      <c r="BFI5" s="44"/>
      <c r="BFJ5" s="44"/>
      <c r="BFK5" s="44"/>
      <c r="BFL5" s="44"/>
      <c r="BFM5" s="44"/>
      <c r="BFN5" s="44"/>
      <c r="BFO5" s="44"/>
      <c r="BFP5" s="44"/>
      <c r="BFQ5" s="44"/>
      <c r="BFR5" s="44"/>
      <c r="BFS5" s="44"/>
      <c r="BFT5" s="44"/>
      <c r="BFU5" s="44"/>
      <c r="BFV5" s="44"/>
      <c r="BFW5" s="44"/>
      <c r="BFX5" s="44"/>
      <c r="BFY5" s="44"/>
      <c r="BFZ5" s="44"/>
      <c r="BGA5" s="44"/>
      <c r="BGB5" s="44"/>
      <c r="BGC5" s="44"/>
      <c r="BGD5" s="44"/>
      <c r="BGE5" s="44"/>
      <c r="BGF5" s="44"/>
      <c r="BGG5" s="44"/>
      <c r="BGH5" s="44"/>
      <c r="BGI5" s="44"/>
      <c r="BGJ5" s="44"/>
      <c r="BGK5" s="44"/>
      <c r="BGL5" s="44"/>
      <c r="BGM5" s="44"/>
      <c r="BGN5" s="44"/>
      <c r="BGO5" s="44"/>
      <c r="BGP5" s="44"/>
      <c r="BGQ5" s="44"/>
      <c r="BGR5" s="44"/>
      <c r="BGS5" s="44"/>
      <c r="BGT5" s="44"/>
      <c r="BGU5" s="44"/>
      <c r="BGV5" s="44"/>
      <c r="BGW5" s="44"/>
      <c r="BGX5" s="44"/>
      <c r="BGY5" s="44"/>
      <c r="BGZ5" s="44"/>
      <c r="BHA5" s="44"/>
      <c r="BHB5" s="44"/>
      <c r="BHC5" s="44"/>
      <c r="BHD5" s="44"/>
      <c r="BHE5" s="44"/>
      <c r="BHF5" s="44"/>
      <c r="BHG5" s="44"/>
      <c r="BHH5" s="44"/>
      <c r="BHI5" s="44"/>
      <c r="BHJ5" s="44"/>
      <c r="BHK5" s="44"/>
      <c r="BHL5" s="44"/>
      <c r="BHM5" s="44"/>
      <c r="BHN5" s="44"/>
      <c r="BHO5" s="44"/>
      <c r="BHP5" s="44"/>
      <c r="BHQ5" s="44"/>
      <c r="BHR5" s="44"/>
      <c r="BHS5" s="44"/>
      <c r="BHT5" s="44"/>
      <c r="BHU5" s="44"/>
      <c r="BHV5" s="44"/>
      <c r="BHW5" s="44"/>
      <c r="BHX5" s="44"/>
      <c r="BHY5" s="44"/>
      <c r="BHZ5" s="44"/>
      <c r="BIA5" s="44"/>
      <c r="BIB5" s="44"/>
      <c r="BIC5" s="44"/>
      <c r="BID5" s="44"/>
      <c r="BIE5" s="44"/>
      <c r="BIF5" s="44"/>
      <c r="BIG5" s="44"/>
      <c r="BIH5" s="44"/>
      <c r="BII5" s="44"/>
      <c r="BIJ5" s="44"/>
      <c r="BIK5" s="44"/>
      <c r="BIL5" s="44"/>
      <c r="BIM5" s="44"/>
      <c r="BIN5" s="44"/>
      <c r="BIO5" s="44"/>
      <c r="BIP5" s="44"/>
      <c r="BIQ5" s="44"/>
      <c r="BIR5" s="44"/>
      <c r="BIS5" s="44"/>
      <c r="BIT5" s="44"/>
      <c r="BIU5" s="44"/>
      <c r="BIV5" s="44"/>
      <c r="BIW5" s="44"/>
      <c r="BIX5" s="44"/>
      <c r="BIY5" s="44"/>
      <c r="BIZ5" s="44"/>
      <c r="BJA5" s="44"/>
      <c r="BJB5" s="44"/>
      <c r="BJC5" s="44"/>
      <c r="BJD5" s="44"/>
      <c r="BJE5" s="44"/>
      <c r="BJF5" s="44"/>
      <c r="BJG5" s="44"/>
      <c r="BJH5" s="44"/>
      <c r="BJI5" s="44"/>
      <c r="BJJ5" s="44"/>
      <c r="BJK5" s="44"/>
      <c r="BJL5" s="44"/>
      <c r="BJM5" s="44"/>
      <c r="BJN5" s="44"/>
      <c r="BJO5" s="44"/>
      <c r="BJP5" s="44"/>
      <c r="BJQ5" s="44"/>
      <c r="BJR5" s="44"/>
      <c r="BJS5" s="44"/>
      <c r="BJT5" s="44"/>
      <c r="BJU5" s="44"/>
      <c r="BJV5" s="44"/>
      <c r="BJW5" s="44"/>
      <c r="BJX5" s="44"/>
      <c r="BJY5" s="44"/>
      <c r="BJZ5" s="44"/>
      <c r="BKA5" s="44"/>
      <c r="BKB5" s="44"/>
      <c r="BKC5" s="44"/>
      <c r="BKD5" s="44"/>
      <c r="BKE5" s="44"/>
      <c r="BKF5" s="44"/>
      <c r="BKG5" s="44"/>
      <c r="BKH5" s="44"/>
      <c r="BKI5" s="44"/>
      <c r="BKJ5" s="44"/>
      <c r="BKK5" s="44"/>
      <c r="BKL5" s="44"/>
      <c r="BKM5" s="44"/>
      <c r="BKN5" s="44"/>
      <c r="BKO5" s="44"/>
      <c r="BKP5" s="44"/>
      <c r="BKQ5" s="44"/>
      <c r="BKR5" s="44"/>
      <c r="BKS5" s="44"/>
      <c r="BKT5" s="44"/>
      <c r="BKU5" s="44"/>
      <c r="BKV5" s="44"/>
      <c r="BKW5" s="44"/>
      <c r="BKX5" s="44"/>
      <c r="BKY5" s="44"/>
      <c r="BKZ5" s="44"/>
      <c r="BLA5" s="44"/>
      <c r="BLB5" s="44"/>
      <c r="BLC5" s="44"/>
      <c r="BLD5" s="44"/>
      <c r="BLE5" s="44"/>
      <c r="BLF5" s="44"/>
      <c r="BLG5" s="44"/>
      <c r="BLH5" s="44"/>
      <c r="BLI5" s="44"/>
      <c r="BLJ5" s="44"/>
      <c r="BLK5" s="44"/>
      <c r="BLL5" s="44"/>
      <c r="BLM5" s="44"/>
      <c r="BLN5" s="44"/>
      <c r="BLO5" s="44"/>
      <c r="BLP5" s="44"/>
      <c r="BLQ5" s="44"/>
      <c r="BLR5" s="44"/>
      <c r="BLS5" s="44"/>
      <c r="BLT5" s="44"/>
      <c r="BLU5" s="44"/>
      <c r="BLV5" s="44"/>
      <c r="BLW5" s="44"/>
      <c r="BLX5" s="44"/>
      <c r="BLY5" s="44"/>
      <c r="BLZ5" s="44"/>
      <c r="BMA5" s="44"/>
      <c r="BMB5" s="44"/>
      <c r="BMC5" s="44"/>
      <c r="BMD5" s="44"/>
      <c r="BME5" s="44"/>
      <c r="BMF5" s="44"/>
      <c r="BMG5" s="44"/>
      <c r="BMH5" s="44"/>
      <c r="BMI5" s="44"/>
      <c r="BMJ5" s="44"/>
      <c r="BMK5" s="44"/>
      <c r="BML5" s="44"/>
      <c r="BMM5" s="44"/>
      <c r="BMN5" s="44"/>
      <c r="BMO5" s="44"/>
      <c r="BMP5" s="44"/>
      <c r="BMQ5" s="44"/>
      <c r="BMR5" s="44"/>
      <c r="BMS5" s="44"/>
      <c r="BMT5" s="44"/>
      <c r="BMU5" s="44"/>
      <c r="BMV5" s="44"/>
      <c r="BMW5" s="44"/>
      <c r="BMX5" s="44"/>
      <c r="BMY5" s="44"/>
      <c r="BMZ5" s="44"/>
      <c r="BNA5" s="44"/>
      <c r="BNB5" s="44"/>
      <c r="BNC5" s="44"/>
      <c r="BND5" s="44"/>
      <c r="BNE5" s="44"/>
      <c r="BNF5" s="44"/>
      <c r="BNG5" s="44"/>
      <c r="BNH5" s="44"/>
      <c r="BNI5" s="44"/>
      <c r="BNJ5" s="44"/>
      <c r="BNK5" s="44"/>
      <c r="BNL5" s="44"/>
      <c r="BNM5" s="44"/>
      <c r="BNN5" s="44"/>
      <c r="BNO5" s="44"/>
      <c r="BNP5" s="44"/>
      <c r="BNQ5" s="44"/>
      <c r="BNR5" s="44"/>
      <c r="BNS5" s="44"/>
      <c r="BNT5" s="44"/>
      <c r="BNU5" s="44"/>
      <c r="BNV5" s="44"/>
      <c r="BNW5" s="44"/>
      <c r="BNX5" s="44"/>
      <c r="BNY5" s="44"/>
      <c r="BNZ5" s="44"/>
      <c r="BOA5" s="44"/>
      <c r="BOB5" s="44"/>
      <c r="BOC5" s="44"/>
      <c r="BOD5" s="44"/>
      <c r="BOE5" s="44"/>
      <c r="BOF5" s="44"/>
      <c r="BOG5" s="44"/>
      <c r="BOH5" s="44"/>
      <c r="BOI5" s="44"/>
      <c r="BOJ5" s="44"/>
      <c r="BOK5" s="44"/>
      <c r="BOL5" s="44"/>
      <c r="BOM5" s="44"/>
      <c r="BON5" s="44"/>
      <c r="BOO5" s="44"/>
      <c r="BOP5" s="44"/>
      <c r="BOQ5" s="44"/>
      <c r="BOR5" s="44"/>
      <c r="BOS5" s="44"/>
      <c r="BOT5" s="44"/>
      <c r="BOU5" s="44"/>
      <c r="BOV5" s="44"/>
      <c r="BOW5" s="44"/>
      <c r="BOX5" s="44"/>
      <c r="BOY5" s="44"/>
      <c r="BOZ5" s="44"/>
      <c r="BPA5" s="44"/>
      <c r="BPB5" s="44"/>
      <c r="BPC5" s="44"/>
      <c r="BPD5" s="44"/>
      <c r="BPE5" s="44"/>
      <c r="BPF5" s="44"/>
      <c r="BPG5" s="44"/>
      <c r="BPH5" s="44"/>
      <c r="BPI5" s="44"/>
      <c r="BPJ5" s="44"/>
      <c r="BPK5" s="44"/>
      <c r="BPL5" s="44"/>
      <c r="BPM5" s="44"/>
      <c r="BPN5" s="44"/>
      <c r="BPO5" s="44"/>
      <c r="BPP5" s="44"/>
      <c r="BPQ5" s="44"/>
      <c r="BPR5" s="44"/>
      <c r="BPS5" s="44"/>
      <c r="BPT5" s="44"/>
      <c r="BPU5" s="44"/>
      <c r="BPV5" s="44"/>
      <c r="BPW5" s="44"/>
      <c r="BPX5" s="44"/>
      <c r="BPY5" s="44"/>
      <c r="BPZ5" s="44"/>
      <c r="BQA5" s="44"/>
      <c r="BQB5" s="44"/>
      <c r="BQC5" s="44"/>
      <c r="BQD5" s="44"/>
      <c r="BQE5" s="44"/>
      <c r="BQF5" s="44"/>
      <c r="BQG5" s="44"/>
      <c r="BQH5" s="44"/>
      <c r="BQI5" s="44"/>
      <c r="BQJ5" s="44"/>
      <c r="BQK5" s="44"/>
      <c r="BQL5" s="44"/>
      <c r="BQM5" s="44"/>
      <c r="BQN5" s="44"/>
      <c r="BQO5" s="44"/>
      <c r="BQP5" s="44"/>
      <c r="BQQ5" s="44"/>
      <c r="BQR5" s="44"/>
      <c r="BQS5" s="44"/>
      <c r="BQT5" s="44"/>
      <c r="BQU5" s="44"/>
      <c r="BQV5" s="44"/>
      <c r="BQW5" s="44"/>
      <c r="BQX5" s="44"/>
      <c r="BQY5" s="44"/>
      <c r="BQZ5" s="44"/>
      <c r="BRA5" s="44"/>
      <c r="BRB5" s="44"/>
      <c r="BRC5" s="44"/>
      <c r="BRD5" s="44"/>
      <c r="BRE5" s="44"/>
      <c r="BRF5" s="44"/>
      <c r="BRG5" s="44"/>
      <c r="BRH5" s="44"/>
      <c r="BRI5" s="44"/>
      <c r="BRJ5" s="44"/>
      <c r="BRK5" s="44"/>
      <c r="BRL5" s="44"/>
      <c r="BRM5" s="44"/>
      <c r="BRN5" s="44"/>
      <c r="BRO5" s="44"/>
      <c r="BRP5" s="44"/>
      <c r="BRQ5" s="44"/>
      <c r="BRR5" s="44"/>
      <c r="BRS5" s="44"/>
      <c r="BRT5" s="44"/>
      <c r="BRU5" s="44"/>
      <c r="BRV5" s="44"/>
      <c r="BRW5" s="44"/>
      <c r="BRX5" s="44"/>
      <c r="BRY5" s="44"/>
      <c r="BRZ5" s="44"/>
      <c r="BSA5" s="44"/>
      <c r="BSB5" s="44"/>
      <c r="BSC5" s="44"/>
      <c r="BSD5" s="44"/>
      <c r="BSE5" s="44"/>
      <c r="BSF5" s="44"/>
      <c r="BSG5" s="44"/>
      <c r="BSH5" s="44"/>
      <c r="BSI5" s="44"/>
      <c r="BSJ5" s="44"/>
      <c r="BSK5" s="44"/>
      <c r="BSL5" s="44"/>
      <c r="BSM5" s="44"/>
      <c r="BSN5" s="44"/>
      <c r="BSO5" s="44"/>
      <c r="BSP5" s="44"/>
      <c r="BSQ5" s="44"/>
      <c r="BSR5" s="44"/>
      <c r="BSS5" s="44"/>
      <c r="BST5" s="44"/>
      <c r="BSU5" s="44"/>
      <c r="BSV5" s="44"/>
      <c r="BSW5" s="44"/>
      <c r="BSX5" s="44"/>
      <c r="BSY5" s="44"/>
      <c r="BSZ5" s="44"/>
      <c r="BTA5" s="44"/>
      <c r="BTB5" s="44"/>
      <c r="BTC5" s="44"/>
      <c r="BTD5" s="44"/>
      <c r="BTE5" s="44"/>
      <c r="BTF5" s="44"/>
      <c r="BTG5" s="44"/>
      <c r="BTH5" s="44"/>
      <c r="BTI5" s="44"/>
      <c r="BTJ5" s="44"/>
      <c r="BTK5" s="44"/>
      <c r="BTL5" s="44"/>
      <c r="BTM5" s="44"/>
      <c r="BTN5" s="44"/>
      <c r="BTO5" s="44"/>
      <c r="BTP5" s="44"/>
      <c r="BTQ5" s="44"/>
      <c r="BTR5" s="44"/>
      <c r="BTS5" s="44"/>
      <c r="BTT5" s="44"/>
      <c r="BTU5" s="44"/>
      <c r="BTV5" s="44"/>
      <c r="BTW5" s="44"/>
      <c r="BTX5" s="44"/>
      <c r="BTY5" s="44"/>
      <c r="BTZ5" s="44"/>
      <c r="BUA5" s="44"/>
      <c r="BUB5" s="44"/>
      <c r="BUC5" s="44"/>
      <c r="BUD5" s="44"/>
      <c r="BUE5" s="44"/>
      <c r="BUF5" s="44"/>
      <c r="BUG5" s="44"/>
      <c r="BUH5" s="44"/>
      <c r="BUI5" s="44"/>
      <c r="BUJ5" s="44"/>
      <c r="BUK5" s="44"/>
      <c r="BUL5" s="44"/>
      <c r="BUM5" s="44"/>
      <c r="BUN5" s="44"/>
      <c r="BUO5" s="44"/>
      <c r="BUP5" s="44"/>
      <c r="BUQ5" s="44"/>
      <c r="BUR5" s="44"/>
      <c r="BUS5" s="44"/>
      <c r="BUT5" s="44"/>
      <c r="BUU5" s="44"/>
      <c r="BUV5" s="44"/>
      <c r="BUW5" s="44"/>
      <c r="BUX5" s="44"/>
      <c r="BUY5" s="44"/>
      <c r="BUZ5" s="44"/>
      <c r="BVA5" s="44"/>
      <c r="BVB5" s="44"/>
      <c r="BVC5" s="44"/>
      <c r="BVD5" s="44"/>
      <c r="BVE5" s="44"/>
      <c r="BVF5" s="44"/>
      <c r="BVG5" s="44"/>
      <c r="BVH5" s="44"/>
      <c r="BVI5" s="44"/>
      <c r="BVJ5" s="44"/>
      <c r="BVK5" s="44"/>
      <c r="BVL5" s="44"/>
      <c r="BVM5" s="44"/>
      <c r="BVN5" s="44"/>
      <c r="BVO5" s="44"/>
      <c r="BVP5" s="44"/>
      <c r="BVQ5" s="44"/>
      <c r="BVR5" s="44"/>
      <c r="BVS5" s="44"/>
      <c r="BVT5" s="44"/>
      <c r="BVU5" s="44"/>
      <c r="BVV5" s="44"/>
      <c r="BVW5" s="44"/>
      <c r="BVX5" s="44"/>
      <c r="BVY5" s="44"/>
      <c r="BVZ5" s="44"/>
      <c r="BWA5" s="44"/>
      <c r="BWB5" s="44"/>
      <c r="BWC5" s="44"/>
      <c r="BWD5" s="44"/>
      <c r="BWE5" s="44"/>
      <c r="BWF5" s="44"/>
      <c r="BWG5" s="44"/>
      <c r="BWH5" s="44"/>
      <c r="BWI5" s="44"/>
      <c r="BWJ5" s="44"/>
      <c r="BWK5" s="44"/>
      <c r="BWL5" s="44"/>
      <c r="BWM5" s="44"/>
      <c r="BWN5" s="44"/>
      <c r="BWO5" s="44"/>
      <c r="BWP5" s="44"/>
      <c r="BWQ5" s="44"/>
      <c r="BWR5" s="44"/>
      <c r="BWS5" s="44"/>
      <c r="BWT5" s="44"/>
      <c r="BWU5" s="44"/>
      <c r="BWV5" s="44"/>
      <c r="BWW5" s="44"/>
      <c r="BWX5" s="44"/>
      <c r="BWY5" s="44"/>
      <c r="BWZ5" s="44"/>
      <c r="BXA5" s="44"/>
      <c r="BXB5" s="44"/>
      <c r="BXC5" s="44"/>
      <c r="BXD5" s="44"/>
      <c r="BXE5" s="44"/>
      <c r="BXF5" s="44"/>
      <c r="BXG5" s="44"/>
      <c r="BXH5" s="44"/>
      <c r="BXI5" s="44"/>
      <c r="BXJ5" s="44"/>
      <c r="BXK5" s="44"/>
      <c r="BXL5" s="44"/>
      <c r="BXM5" s="44"/>
      <c r="BXN5" s="44"/>
      <c r="BXO5" s="44"/>
      <c r="BXP5" s="44"/>
      <c r="BXQ5" s="44"/>
      <c r="BXR5" s="44"/>
      <c r="BXS5" s="44"/>
      <c r="BXT5" s="44"/>
      <c r="BXU5" s="44"/>
      <c r="BXV5" s="44"/>
      <c r="BXW5" s="44"/>
      <c r="BXX5" s="44"/>
      <c r="BXY5" s="44"/>
      <c r="BXZ5" s="44"/>
      <c r="BYA5" s="44"/>
      <c r="BYB5" s="44"/>
      <c r="BYC5" s="44"/>
      <c r="BYD5" s="44"/>
      <c r="BYE5" s="44"/>
      <c r="BYF5" s="44"/>
      <c r="BYG5" s="44"/>
      <c r="BYH5" s="44"/>
      <c r="BYI5" s="44"/>
      <c r="BYJ5" s="44"/>
      <c r="BYK5" s="44"/>
      <c r="BYL5" s="44"/>
      <c r="BYM5" s="44"/>
      <c r="BYN5" s="44"/>
      <c r="BYO5" s="44"/>
      <c r="BYP5" s="44"/>
      <c r="BYQ5" s="44"/>
      <c r="BYR5" s="44"/>
      <c r="BYS5" s="44"/>
      <c r="BYT5" s="44"/>
      <c r="BYU5" s="44"/>
      <c r="BYV5" s="44"/>
      <c r="BYW5" s="44"/>
      <c r="BYX5" s="44"/>
      <c r="BYY5" s="44"/>
      <c r="BYZ5" s="44"/>
      <c r="BZA5" s="44"/>
      <c r="BZB5" s="44"/>
      <c r="BZC5" s="44"/>
      <c r="BZD5" s="44"/>
      <c r="BZE5" s="44"/>
      <c r="BZF5" s="44"/>
      <c r="BZG5" s="44"/>
      <c r="BZH5" s="44"/>
      <c r="BZI5" s="44"/>
      <c r="BZJ5" s="44"/>
      <c r="BZK5" s="44"/>
      <c r="BZL5" s="44"/>
      <c r="BZM5" s="44"/>
      <c r="BZN5" s="44"/>
      <c r="BZO5" s="44"/>
      <c r="BZP5" s="44"/>
      <c r="BZQ5" s="44"/>
      <c r="BZR5" s="44"/>
      <c r="BZS5" s="44"/>
      <c r="BZT5" s="44"/>
      <c r="BZU5" s="44"/>
      <c r="BZV5" s="44"/>
      <c r="BZW5" s="44"/>
      <c r="BZX5" s="44"/>
      <c r="BZY5" s="44"/>
      <c r="BZZ5" s="44"/>
      <c r="CAA5" s="44"/>
      <c r="CAB5" s="44"/>
      <c r="CAC5" s="44"/>
      <c r="CAD5" s="44"/>
      <c r="CAE5" s="44"/>
      <c r="CAF5" s="44"/>
      <c r="CAG5" s="44"/>
      <c r="CAH5" s="44"/>
      <c r="CAI5" s="44"/>
      <c r="CAJ5" s="44"/>
      <c r="CAK5" s="44"/>
      <c r="CAL5" s="44"/>
      <c r="CAM5" s="44"/>
      <c r="CAN5" s="44"/>
      <c r="CAO5" s="44"/>
      <c r="CAP5" s="44"/>
      <c r="CAQ5" s="44"/>
      <c r="CAR5" s="44"/>
      <c r="CAS5" s="44"/>
      <c r="CAT5" s="44"/>
      <c r="CAU5" s="44"/>
      <c r="CAV5" s="44"/>
      <c r="CAW5" s="44"/>
      <c r="CAX5" s="44"/>
      <c r="CAY5" s="44"/>
      <c r="CAZ5" s="44"/>
      <c r="CBA5" s="44"/>
      <c r="CBB5" s="44"/>
      <c r="CBC5" s="44"/>
      <c r="CBD5" s="44"/>
      <c r="CBE5" s="44"/>
      <c r="CBF5" s="44"/>
      <c r="CBG5" s="44"/>
      <c r="CBH5" s="44"/>
      <c r="CBI5" s="44"/>
      <c r="CBJ5" s="44"/>
      <c r="CBK5" s="44"/>
      <c r="CBL5" s="44"/>
      <c r="CBM5" s="44"/>
      <c r="CBN5" s="44"/>
      <c r="CBO5" s="44"/>
      <c r="CBP5" s="44"/>
      <c r="CBQ5" s="44"/>
      <c r="CBR5" s="44"/>
      <c r="CBS5" s="44"/>
      <c r="CBT5" s="44"/>
      <c r="CBU5" s="44"/>
      <c r="CBV5" s="44"/>
      <c r="CBW5" s="44"/>
      <c r="CBX5" s="44"/>
      <c r="CBY5" s="44"/>
      <c r="CBZ5" s="44"/>
      <c r="CCA5" s="44"/>
      <c r="CCB5" s="44"/>
      <c r="CCC5" s="44"/>
      <c r="CCD5" s="44"/>
      <c r="CCE5" s="44"/>
      <c r="CCF5" s="44"/>
      <c r="CCG5" s="44"/>
      <c r="CCH5" s="44"/>
      <c r="CCI5" s="44"/>
      <c r="CCJ5" s="44"/>
      <c r="CCK5" s="44"/>
      <c r="CCL5" s="44"/>
      <c r="CCM5" s="44"/>
      <c r="CCN5" s="44"/>
      <c r="CCO5" s="44"/>
      <c r="CCP5" s="44"/>
      <c r="CCQ5" s="44"/>
      <c r="CCR5" s="44"/>
      <c r="CCS5" s="44"/>
      <c r="CCT5" s="44"/>
      <c r="CCU5" s="44"/>
      <c r="CCV5" s="44"/>
      <c r="CCW5" s="44"/>
      <c r="CCX5" s="44"/>
      <c r="CCY5" s="44"/>
      <c r="CCZ5" s="44"/>
      <c r="CDA5" s="44"/>
      <c r="CDB5" s="44"/>
      <c r="CDC5" s="44"/>
      <c r="CDD5" s="44"/>
      <c r="CDE5" s="44"/>
      <c r="CDF5" s="44"/>
      <c r="CDG5" s="44"/>
      <c r="CDH5" s="44"/>
      <c r="CDI5" s="44"/>
      <c r="CDJ5" s="44"/>
      <c r="CDK5" s="44"/>
      <c r="CDL5" s="44"/>
      <c r="CDM5" s="44"/>
      <c r="CDN5" s="44"/>
      <c r="CDO5" s="44"/>
      <c r="CDP5" s="44"/>
      <c r="CDQ5" s="44"/>
      <c r="CDR5" s="44"/>
      <c r="CDS5" s="44"/>
      <c r="CDT5" s="44"/>
      <c r="CDU5" s="44"/>
      <c r="CDV5" s="44"/>
      <c r="CDW5" s="44"/>
      <c r="CDX5" s="44"/>
      <c r="CDY5" s="44"/>
      <c r="CDZ5" s="44"/>
      <c r="CEA5" s="44"/>
      <c r="CEB5" s="44"/>
      <c r="CEC5" s="44"/>
      <c r="CED5" s="44"/>
      <c r="CEE5" s="44"/>
      <c r="CEF5" s="44"/>
      <c r="CEG5" s="44"/>
      <c r="CEH5" s="44"/>
      <c r="CEI5" s="44"/>
      <c r="CEJ5" s="44"/>
      <c r="CEK5" s="44"/>
      <c r="CEL5" s="44"/>
      <c r="CEM5" s="44"/>
      <c r="CEN5" s="44"/>
      <c r="CEO5" s="44"/>
      <c r="CEP5" s="44"/>
      <c r="CEQ5" s="44"/>
      <c r="CER5" s="44"/>
      <c r="CES5" s="44"/>
      <c r="CET5" s="44"/>
      <c r="CEU5" s="44"/>
      <c r="CEV5" s="44"/>
      <c r="CEW5" s="44"/>
      <c r="CEX5" s="44"/>
      <c r="CEY5" s="44"/>
      <c r="CEZ5" s="44"/>
      <c r="CFA5" s="44"/>
      <c r="CFB5" s="44"/>
      <c r="CFC5" s="44"/>
      <c r="CFD5" s="44"/>
      <c r="CFE5" s="44"/>
      <c r="CFF5" s="44"/>
      <c r="CFG5" s="44"/>
      <c r="CFH5" s="44"/>
      <c r="CFI5" s="44"/>
      <c r="CFJ5" s="44"/>
      <c r="CFK5" s="44"/>
      <c r="CFL5" s="44"/>
      <c r="CFM5" s="44"/>
      <c r="CFN5" s="44"/>
      <c r="CFO5" s="44"/>
      <c r="CFP5" s="44"/>
      <c r="CFQ5" s="44"/>
      <c r="CFR5" s="44"/>
      <c r="CFS5" s="44"/>
      <c r="CFT5" s="44"/>
      <c r="CFU5" s="44"/>
      <c r="CFV5" s="44"/>
      <c r="CFW5" s="44"/>
      <c r="CFX5" s="44"/>
      <c r="CFY5" s="44"/>
      <c r="CFZ5" s="44"/>
      <c r="CGA5" s="44"/>
      <c r="CGB5" s="44"/>
      <c r="CGC5" s="44"/>
      <c r="CGD5" s="44"/>
      <c r="CGE5" s="44"/>
      <c r="CGF5" s="44"/>
      <c r="CGG5" s="44"/>
      <c r="CGH5" s="44"/>
      <c r="CGI5" s="44"/>
      <c r="CGJ5" s="44"/>
      <c r="CGK5" s="44"/>
      <c r="CGL5" s="44"/>
      <c r="CGM5" s="44"/>
      <c r="CGN5" s="44"/>
      <c r="CGO5" s="44"/>
      <c r="CGP5" s="44"/>
      <c r="CGQ5" s="44"/>
      <c r="CGR5" s="44"/>
      <c r="CGS5" s="44"/>
      <c r="CGT5" s="44"/>
      <c r="CGU5" s="44"/>
      <c r="CGV5" s="44"/>
      <c r="CGW5" s="44"/>
      <c r="CGX5" s="44"/>
      <c r="CGY5" s="44"/>
      <c r="CGZ5" s="44"/>
      <c r="CHA5" s="44"/>
      <c r="CHB5" s="44"/>
      <c r="CHC5" s="44"/>
      <c r="CHD5" s="44"/>
      <c r="CHE5" s="44"/>
      <c r="CHF5" s="44"/>
      <c r="CHG5" s="44"/>
      <c r="CHH5" s="44"/>
      <c r="CHI5" s="44"/>
      <c r="CHJ5" s="44"/>
      <c r="CHK5" s="44"/>
      <c r="CHL5" s="44"/>
      <c r="CHM5" s="44"/>
      <c r="CHN5" s="44"/>
      <c r="CHO5" s="44"/>
      <c r="CHP5" s="44"/>
      <c r="CHQ5" s="44"/>
      <c r="CHR5" s="44"/>
      <c r="CHS5" s="44"/>
      <c r="CHT5" s="44"/>
      <c r="CHU5" s="44"/>
      <c r="CHV5" s="44"/>
      <c r="CHW5" s="44"/>
      <c r="CHX5" s="44"/>
      <c r="CHY5" s="44"/>
      <c r="CHZ5" s="44"/>
      <c r="CIA5" s="44"/>
      <c r="CIB5" s="44"/>
      <c r="CIC5" s="44"/>
      <c r="CID5" s="44"/>
      <c r="CIE5" s="44"/>
      <c r="CIF5" s="44"/>
      <c r="CIG5" s="44"/>
      <c r="CIH5" s="44"/>
      <c r="CII5" s="44"/>
      <c r="CIJ5" s="44"/>
      <c r="CIK5" s="44"/>
      <c r="CIL5" s="44"/>
      <c r="CIM5" s="44"/>
      <c r="CIN5" s="44"/>
      <c r="CIO5" s="44"/>
      <c r="CIP5" s="44"/>
      <c r="CIQ5" s="44"/>
      <c r="CIR5" s="44"/>
      <c r="CIS5" s="44"/>
      <c r="CIT5" s="44"/>
      <c r="CIU5" s="44"/>
      <c r="CIV5" s="44"/>
      <c r="CIW5" s="44"/>
      <c r="CIX5" s="44"/>
      <c r="CIY5" s="44"/>
      <c r="CIZ5" s="44"/>
      <c r="CJA5" s="44"/>
      <c r="CJB5" s="44"/>
      <c r="CJC5" s="44"/>
      <c r="CJD5" s="44"/>
      <c r="CJE5" s="44"/>
      <c r="CJF5" s="44"/>
      <c r="CJG5" s="44"/>
      <c r="CJH5" s="44"/>
      <c r="CJI5" s="44"/>
      <c r="CJJ5" s="44"/>
      <c r="CJK5" s="44"/>
      <c r="CJL5" s="44"/>
      <c r="CJM5" s="44"/>
      <c r="CJN5" s="44"/>
      <c r="CJO5" s="44"/>
      <c r="CJP5" s="44"/>
      <c r="CJQ5" s="44"/>
      <c r="CJR5" s="44"/>
      <c r="CJS5" s="44"/>
      <c r="CJT5" s="44"/>
      <c r="CJU5" s="44"/>
      <c r="CJV5" s="44"/>
      <c r="CJW5" s="44"/>
      <c r="CJX5" s="44"/>
      <c r="CJY5" s="44"/>
      <c r="CJZ5" s="44"/>
      <c r="CKA5" s="44"/>
      <c r="CKB5" s="44"/>
      <c r="CKC5" s="44"/>
      <c r="CKD5" s="44"/>
      <c r="CKE5" s="44"/>
      <c r="CKF5" s="44"/>
      <c r="CKG5" s="44"/>
      <c r="CKH5" s="44"/>
      <c r="CKI5" s="44"/>
      <c r="CKJ5" s="44"/>
      <c r="CKK5" s="44"/>
      <c r="CKL5" s="44"/>
      <c r="CKM5" s="44"/>
      <c r="CKN5" s="44"/>
      <c r="CKO5" s="44"/>
      <c r="CKP5" s="44"/>
      <c r="CKQ5" s="44"/>
      <c r="CKR5" s="44"/>
      <c r="CKS5" s="44"/>
      <c r="CKT5" s="44"/>
      <c r="CKU5" s="44"/>
      <c r="CKV5" s="44"/>
      <c r="CKW5" s="44"/>
      <c r="CKX5" s="44"/>
      <c r="CKY5" s="44"/>
      <c r="CKZ5" s="44"/>
      <c r="CLA5" s="44"/>
      <c r="CLB5" s="44"/>
      <c r="CLC5" s="44"/>
      <c r="CLD5" s="44"/>
      <c r="CLE5" s="44"/>
      <c r="CLF5" s="44"/>
      <c r="CLG5" s="44"/>
      <c r="CLH5" s="44"/>
      <c r="CLI5" s="44"/>
      <c r="CLJ5" s="44"/>
      <c r="CLK5" s="44"/>
      <c r="CLL5" s="44"/>
      <c r="CLM5" s="44"/>
      <c r="CLN5" s="44"/>
      <c r="CLO5" s="44"/>
      <c r="CLP5" s="44"/>
      <c r="CLQ5" s="44"/>
      <c r="CLR5" s="44"/>
      <c r="CLS5" s="44"/>
      <c r="CLT5" s="44"/>
      <c r="CLU5" s="44"/>
      <c r="CLV5" s="44"/>
      <c r="CLW5" s="44"/>
      <c r="CLX5" s="44"/>
      <c r="CLY5" s="44"/>
      <c r="CLZ5" s="44"/>
      <c r="CMA5" s="44"/>
      <c r="CMB5" s="44"/>
      <c r="CMC5" s="44"/>
      <c r="CMD5" s="44"/>
      <c r="CME5" s="44"/>
      <c r="CMF5" s="44"/>
      <c r="CMG5" s="44"/>
      <c r="CMH5" s="44"/>
      <c r="CMI5" s="44"/>
      <c r="CMJ5" s="44"/>
      <c r="CMK5" s="44"/>
      <c r="CML5" s="44"/>
      <c r="CMM5" s="44"/>
      <c r="CMN5" s="44"/>
      <c r="CMO5" s="44"/>
      <c r="CMP5" s="44"/>
      <c r="CMQ5" s="44"/>
      <c r="CMR5" s="44"/>
      <c r="CMS5" s="44"/>
      <c r="CMT5" s="44"/>
      <c r="CMU5" s="44"/>
      <c r="CMV5" s="44"/>
      <c r="CMW5" s="44"/>
      <c r="CMX5" s="44"/>
      <c r="CMY5" s="44"/>
      <c r="CMZ5" s="44"/>
      <c r="CNA5" s="44"/>
      <c r="CNB5" s="44"/>
      <c r="CNC5" s="44"/>
      <c r="CND5" s="44"/>
      <c r="CNE5" s="44"/>
      <c r="CNF5" s="44"/>
      <c r="CNG5" s="44"/>
      <c r="CNH5" s="44"/>
      <c r="CNI5" s="44"/>
      <c r="CNJ5" s="44"/>
      <c r="CNK5" s="44"/>
      <c r="CNL5" s="44"/>
      <c r="CNM5" s="44"/>
      <c r="CNN5" s="44"/>
      <c r="CNO5" s="44"/>
      <c r="CNP5" s="44"/>
      <c r="CNQ5" s="44"/>
      <c r="CNR5" s="44"/>
      <c r="CNS5" s="44"/>
      <c r="CNT5" s="44"/>
      <c r="CNU5" s="44"/>
      <c r="CNV5" s="44"/>
      <c r="CNW5" s="44"/>
      <c r="CNX5" s="44"/>
      <c r="CNY5" s="44"/>
      <c r="CNZ5" s="44"/>
      <c r="COA5" s="44"/>
      <c r="COB5" s="44"/>
      <c r="COC5" s="44"/>
      <c r="COD5" s="44"/>
      <c r="COE5" s="44"/>
      <c r="COF5" s="44"/>
      <c r="COG5" s="44"/>
      <c r="COH5" s="44"/>
      <c r="COI5" s="44"/>
      <c r="COJ5" s="44"/>
      <c r="COK5" s="44"/>
      <c r="COL5" s="44"/>
      <c r="COM5" s="44"/>
      <c r="CON5" s="44"/>
      <c r="COO5" s="44"/>
      <c r="COP5" s="44"/>
      <c r="COQ5" s="44"/>
      <c r="COR5" s="44"/>
      <c r="COS5" s="44"/>
      <c r="COT5" s="44"/>
      <c r="COU5" s="44"/>
      <c r="COV5" s="44"/>
      <c r="COW5" s="44"/>
      <c r="COX5" s="44"/>
      <c r="COY5" s="44"/>
      <c r="COZ5" s="44"/>
      <c r="CPA5" s="44"/>
      <c r="CPB5" s="44"/>
      <c r="CPC5" s="44"/>
      <c r="CPD5" s="44"/>
      <c r="CPE5" s="44"/>
      <c r="CPF5" s="44"/>
      <c r="CPG5" s="44"/>
      <c r="CPH5" s="44"/>
      <c r="CPI5" s="44"/>
      <c r="CPJ5" s="44"/>
      <c r="CPK5" s="44"/>
      <c r="CPL5" s="44"/>
      <c r="CPM5" s="44"/>
      <c r="CPN5" s="44"/>
      <c r="CPO5" s="44"/>
      <c r="CPP5" s="44"/>
      <c r="CPQ5" s="44"/>
      <c r="CPR5" s="44"/>
      <c r="CPS5" s="44"/>
      <c r="CPT5" s="44"/>
      <c r="CPU5" s="44"/>
      <c r="CPV5" s="44"/>
      <c r="CPW5" s="44"/>
      <c r="CPX5" s="44"/>
      <c r="CPY5" s="44"/>
      <c r="CPZ5" s="44"/>
      <c r="CQA5" s="44"/>
      <c r="CQB5" s="44"/>
      <c r="CQC5" s="44"/>
      <c r="CQD5" s="44"/>
      <c r="CQE5" s="44"/>
      <c r="CQF5" s="44"/>
      <c r="CQG5" s="44"/>
      <c r="CQH5" s="44"/>
      <c r="CQI5" s="44"/>
      <c r="CQJ5" s="44"/>
      <c r="CQK5" s="44"/>
      <c r="CQL5" s="44"/>
      <c r="CQM5" s="44"/>
      <c r="CQN5" s="44"/>
      <c r="CQO5" s="44"/>
      <c r="CQP5" s="44"/>
      <c r="CQQ5" s="44"/>
      <c r="CQR5" s="44"/>
      <c r="CQS5" s="44"/>
      <c r="CQT5" s="44"/>
      <c r="CQU5" s="44"/>
      <c r="CQV5" s="44"/>
      <c r="CQW5" s="44"/>
      <c r="CQX5" s="44"/>
      <c r="CQY5" s="44"/>
      <c r="CQZ5" s="44"/>
      <c r="CRA5" s="44"/>
      <c r="CRB5" s="44"/>
      <c r="CRC5" s="44"/>
      <c r="CRD5" s="44"/>
      <c r="CRE5" s="44"/>
      <c r="CRF5" s="44"/>
      <c r="CRG5" s="44"/>
      <c r="CRH5" s="44"/>
      <c r="CRI5" s="44"/>
      <c r="CRJ5" s="44"/>
      <c r="CRK5" s="44"/>
      <c r="CRL5" s="44"/>
      <c r="CRM5" s="44"/>
      <c r="CRN5" s="44"/>
      <c r="CRO5" s="44"/>
      <c r="CRP5" s="44"/>
      <c r="CRQ5" s="44"/>
      <c r="CRR5" s="44"/>
      <c r="CRS5" s="44"/>
      <c r="CRT5" s="44"/>
      <c r="CRU5" s="44"/>
      <c r="CRV5" s="44"/>
      <c r="CRW5" s="44"/>
      <c r="CRX5" s="44"/>
      <c r="CRY5" s="44"/>
      <c r="CRZ5" s="44"/>
      <c r="CSA5" s="44"/>
      <c r="CSB5" s="44"/>
      <c r="CSC5" s="44"/>
      <c r="CSD5" s="44"/>
      <c r="CSE5" s="44"/>
      <c r="CSF5" s="44"/>
      <c r="CSG5" s="44"/>
      <c r="CSH5" s="44"/>
      <c r="CSI5" s="44"/>
      <c r="CSJ5" s="44"/>
      <c r="CSK5" s="44"/>
      <c r="CSL5" s="44"/>
      <c r="CSM5" s="44"/>
      <c r="CSN5" s="44"/>
      <c r="CSO5" s="44"/>
      <c r="CSP5" s="44"/>
      <c r="CSQ5" s="44"/>
      <c r="CSR5" s="44"/>
      <c r="CSS5" s="44"/>
      <c r="CST5" s="44"/>
      <c r="CSU5" s="44"/>
      <c r="CSV5" s="44"/>
      <c r="CSW5" s="44"/>
      <c r="CSX5" s="44"/>
      <c r="CSY5" s="44"/>
      <c r="CSZ5" s="44"/>
      <c r="CTA5" s="44"/>
      <c r="CTB5" s="44"/>
      <c r="CTC5" s="44"/>
      <c r="CTD5" s="44"/>
      <c r="CTE5" s="44"/>
      <c r="CTF5" s="44"/>
      <c r="CTG5" s="44"/>
      <c r="CTH5" s="44"/>
      <c r="CTI5" s="44"/>
      <c r="CTJ5" s="44"/>
      <c r="CTK5" s="44"/>
      <c r="CTL5" s="44"/>
      <c r="CTM5" s="44"/>
      <c r="CTN5" s="44"/>
      <c r="CTO5" s="44"/>
      <c r="CTP5" s="44"/>
      <c r="CTQ5" s="44"/>
      <c r="CTR5" s="44"/>
      <c r="CTS5" s="44"/>
      <c r="CTT5" s="44"/>
      <c r="CTU5" s="44"/>
      <c r="CTV5" s="44"/>
      <c r="CTW5" s="44"/>
      <c r="CTX5" s="44"/>
      <c r="CTY5" s="44"/>
      <c r="CTZ5" s="44"/>
      <c r="CUA5" s="44"/>
      <c r="CUB5" s="44"/>
      <c r="CUC5" s="44"/>
      <c r="CUD5" s="44"/>
      <c r="CUE5" s="44"/>
      <c r="CUF5" s="44"/>
      <c r="CUG5" s="44"/>
      <c r="CUH5" s="44"/>
      <c r="CUI5" s="44"/>
      <c r="CUJ5" s="44"/>
      <c r="CUK5" s="44"/>
      <c r="CUL5" s="44"/>
      <c r="CUM5" s="44"/>
      <c r="CUN5" s="44"/>
      <c r="CUO5" s="44"/>
      <c r="CUP5" s="44"/>
      <c r="CUQ5" s="44"/>
      <c r="CUR5" s="44"/>
      <c r="CUS5" s="44"/>
      <c r="CUT5" s="44"/>
      <c r="CUU5" s="44"/>
      <c r="CUV5" s="44"/>
      <c r="CUW5" s="44"/>
      <c r="CUX5" s="44"/>
      <c r="CUY5" s="44"/>
      <c r="CUZ5" s="44"/>
      <c r="CVA5" s="44"/>
      <c r="CVB5" s="44"/>
      <c r="CVC5" s="44"/>
      <c r="CVD5" s="44"/>
      <c r="CVE5" s="44"/>
      <c r="CVF5" s="44"/>
      <c r="CVG5" s="44"/>
      <c r="CVH5" s="44"/>
      <c r="CVI5" s="44"/>
      <c r="CVJ5" s="44"/>
      <c r="CVK5" s="44"/>
      <c r="CVL5" s="44"/>
      <c r="CVM5" s="44"/>
      <c r="CVN5" s="44"/>
      <c r="CVO5" s="44"/>
      <c r="CVP5" s="44"/>
      <c r="CVQ5" s="44"/>
      <c r="CVR5" s="44"/>
      <c r="CVS5" s="44"/>
      <c r="CVT5" s="44"/>
      <c r="CVU5" s="44"/>
      <c r="CVV5" s="44"/>
      <c r="CVW5" s="44"/>
      <c r="CVX5" s="44"/>
      <c r="CVY5" s="44"/>
      <c r="CVZ5" s="44"/>
      <c r="CWA5" s="44"/>
      <c r="CWB5" s="44"/>
      <c r="CWC5" s="44"/>
      <c r="CWD5" s="44"/>
      <c r="CWE5" s="44"/>
      <c r="CWF5" s="44"/>
      <c r="CWG5" s="44"/>
      <c r="CWH5" s="44"/>
      <c r="CWI5" s="44"/>
      <c r="CWJ5" s="44"/>
      <c r="CWK5" s="44"/>
      <c r="CWL5" s="44"/>
      <c r="CWM5" s="44"/>
      <c r="CWN5" s="44"/>
      <c r="CWO5" s="44"/>
      <c r="CWP5" s="44"/>
      <c r="CWQ5" s="44"/>
      <c r="CWR5" s="44"/>
      <c r="CWS5" s="44"/>
      <c r="CWT5" s="44"/>
      <c r="CWU5" s="44"/>
      <c r="CWV5" s="44"/>
      <c r="CWW5" s="44"/>
      <c r="CWX5" s="44"/>
      <c r="CWY5" s="44"/>
      <c r="CWZ5" s="44"/>
      <c r="CXA5" s="44"/>
      <c r="CXB5" s="44"/>
      <c r="CXC5" s="44"/>
      <c r="CXD5" s="44"/>
      <c r="CXE5" s="44"/>
      <c r="CXF5" s="44"/>
      <c r="CXG5" s="44"/>
      <c r="CXH5" s="44"/>
      <c r="CXI5" s="44"/>
      <c r="CXJ5" s="44"/>
      <c r="CXK5" s="44"/>
      <c r="CXL5" s="44"/>
      <c r="CXM5" s="44"/>
      <c r="CXN5" s="44"/>
      <c r="CXO5" s="44"/>
      <c r="CXP5" s="44"/>
      <c r="CXQ5" s="44"/>
      <c r="CXR5" s="44"/>
      <c r="CXS5" s="44"/>
      <c r="CXT5" s="44"/>
      <c r="CXU5" s="44"/>
      <c r="CXV5" s="44"/>
      <c r="CXW5" s="44"/>
      <c r="CXX5" s="44"/>
      <c r="CXY5" s="44"/>
      <c r="CXZ5" s="44"/>
      <c r="CYA5" s="44"/>
      <c r="CYB5" s="44"/>
      <c r="CYC5" s="44"/>
      <c r="CYD5" s="44"/>
      <c r="CYE5" s="44"/>
      <c r="CYF5" s="44"/>
      <c r="CYG5" s="44"/>
      <c r="CYH5" s="44"/>
      <c r="CYI5" s="44"/>
      <c r="CYJ5" s="44"/>
      <c r="CYK5" s="44"/>
      <c r="CYL5" s="44"/>
      <c r="CYM5" s="44"/>
      <c r="CYN5" s="44"/>
      <c r="CYO5" s="44"/>
      <c r="CYP5" s="44"/>
      <c r="CYQ5" s="44"/>
      <c r="CYR5" s="44"/>
      <c r="CYS5" s="44"/>
      <c r="CYT5" s="44"/>
      <c r="CYU5" s="44"/>
      <c r="CYV5" s="44"/>
      <c r="CYW5" s="44"/>
      <c r="CYX5" s="44"/>
      <c r="CYY5" s="44"/>
      <c r="CYZ5" s="44"/>
      <c r="CZA5" s="44"/>
      <c r="CZB5" s="44"/>
      <c r="CZC5" s="44"/>
      <c r="CZD5" s="44"/>
      <c r="CZE5" s="44"/>
      <c r="CZF5" s="44"/>
      <c r="CZG5" s="44"/>
      <c r="CZH5" s="44"/>
      <c r="CZI5" s="44"/>
      <c r="CZJ5" s="44"/>
      <c r="CZK5" s="44"/>
      <c r="CZL5" s="44"/>
      <c r="CZM5" s="44"/>
      <c r="CZN5" s="44"/>
      <c r="CZO5" s="44"/>
      <c r="CZP5" s="44"/>
      <c r="CZQ5" s="44"/>
      <c r="CZR5" s="44"/>
      <c r="CZS5" s="44"/>
      <c r="CZT5" s="44"/>
      <c r="CZU5" s="44"/>
      <c r="CZV5" s="44"/>
      <c r="CZW5" s="44"/>
      <c r="CZX5" s="44"/>
      <c r="CZY5" s="44"/>
      <c r="CZZ5" s="44"/>
      <c r="DAA5" s="44"/>
      <c r="DAB5" s="44"/>
      <c r="DAC5" s="44"/>
      <c r="DAD5" s="44"/>
      <c r="DAE5" s="44"/>
      <c r="DAF5" s="44"/>
      <c r="DAG5" s="44"/>
      <c r="DAH5" s="44"/>
      <c r="DAI5" s="44"/>
      <c r="DAJ5" s="44"/>
      <c r="DAK5" s="44"/>
      <c r="DAL5" s="44"/>
      <c r="DAM5" s="44"/>
      <c r="DAN5" s="44"/>
      <c r="DAO5" s="44"/>
      <c r="DAP5" s="44"/>
      <c r="DAQ5" s="44"/>
      <c r="DAR5" s="44"/>
      <c r="DAS5" s="44"/>
      <c r="DAT5" s="44"/>
      <c r="DAU5" s="44"/>
      <c r="DAV5" s="44"/>
      <c r="DAW5" s="44"/>
      <c r="DAX5" s="44"/>
      <c r="DAY5" s="44"/>
      <c r="DAZ5" s="44"/>
      <c r="DBA5" s="44"/>
      <c r="DBB5" s="44"/>
      <c r="DBC5" s="44"/>
      <c r="DBD5" s="44"/>
      <c r="DBE5" s="44"/>
      <c r="DBF5" s="44"/>
      <c r="DBG5" s="44"/>
      <c r="DBH5" s="44"/>
      <c r="DBI5" s="44"/>
      <c r="DBJ5" s="44"/>
      <c r="DBK5" s="44"/>
      <c r="DBL5" s="44"/>
      <c r="DBM5" s="44"/>
      <c r="DBN5" s="44"/>
      <c r="DBO5" s="44"/>
      <c r="DBP5" s="44"/>
      <c r="DBQ5" s="44"/>
      <c r="DBR5" s="44"/>
      <c r="DBS5" s="44"/>
      <c r="DBT5" s="44"/>
      <c r="DBU5" s="44"/>
      <c r="DBV5" s="44"/>
      <c r="DBW5" s="44"/>
      <c r="DBX5" s="44"/>
      <c r="DBY5" s="44"/>
      <c r="DBZ5" s="44"/>
      <c r="DCA5" s="44"/>
      <c r="DCB5" s="44"/>
      <c r="DCC5" s="44"/>
      <c r="DCD5" s="44"/>
      <c r="DCE5" s="44"/>
      <c r="DCF5" s="44"/>
      <c r="DCG5" s="44"/>
      <c r="DCH5" s="44"/>
      <c r="DCI5" s="44"/>
      <c r="DCJ5" s="44"/>
      <c r="DCK5" s="44"/>
      <c r="DCL5" s="44"/>
      <c r="DCM5" s="44"/>
      <c r="DCN5" s="44"/>
      <c r="DCO5" s="44"/>
      <c r="DCP5" s="44"/>
      <c r="DCQ5" s="44"/>
      <c r="DCR5" s="44"/>
      <c r="DCS5" s="44"/>
      <c r="DCT5" s="44"/>
      <c r="DCU5" s="44"/>
      <c r="DCV5" s="44"/>
      <c r="DCW5" s="44"/>
      <c r="DCX5" s="44"/>
      <c r="DCY5" s="44"/>
      <c r="DCZ5" s="44"/>
      <c r="DDA5" s="44"/>
      <c r="DDB5" s="44"/>
      <c r="DDC5" s="44"/>
      <c r="DDD5" s="44"/>
      <c r="DDE5" s="44"/>
      <c r="DDF5" s="44"/>
      <c r="DDG5" s="44"/>
      <c r="DDH5" s="44"/>
      <c r="DDI5" s="44"/>
      <c r="DDJ5" s="44"/>
      <c r="DDK5" s="44"/>
      <c r="DDL5" s="44"/>
      <c r="DDM5" s="44"/>
      <c r="DDN5" s="44"/>
      <c r="DDO5" s="44"/>
      <c r="DDP5" s="44"/>
      <c r="DDQ5" s="44"/>
      <c r="DDR5" s="44"/>
      <c r="DDS5" s="44"/>
      <c r="DDT5" s="44"/>
      <c r="DDU5" s="44"/>
      <c r="DDV5" s="44"/>
      <c r="DDW5" s="44"/>
      <c r="DDX5" s="44"/>
      <c r="DDY5" s="44"/>
      <c r="DDZ5" s="44"/>
      <c r="DEA5" s="44"/>
      <c r="DEB5" s="44"/>
      <c r="DEC5" s="44"/>
      <c r="DED5" s="44"/>
      <c r="DEE5" s="44"/>
      <c r="DEF5" s="44"/>
      <c r="DEG5" s="44"/>
      <c r="DEH5" s="44"/>
      <c r="DEI5" s="44"/>
      <c r="DEJ5" s="44"/>
      <c r="DEK5" s="44"/>
      <c r="DEL5" s="44"/>
      <c r="DEM5" s="44"/>
      <c r="DEN5" s="44"/>
      <c r="DEO5" s="44"/>
      <c r="DEP5" s="44"/>
      <c r="DEQ5" s="44"/>
      <c r="DER5" s="44"/>
      <c r="DES5" s="44"/>
      <c r="DET5" s="44"/>
      <c r="DEU5" s="44"/>
      <c r="DEV5" s="44"/>
      <c r="DEW5" s="44"/>
      <c r="DEX5" s="44"/>
      <c r="DEY5" s="44"/>
      <c r="DEZ5" s="44"/>
      <c r="DFA5" s="44"/>
      <c r="DFB5" s="44"/>
      <c r="DFC5" s="44"/>
      <c r="DFD5" s="44"/>
      <c r="DFE5" s="44"/>
      <c r="DFF5" s="44"/>
      <c r="DFG5" s="44"/>
      <c r="DFH5" s="44"/>
      <c r="DFI5" s="44"/>
      <c r="DFJ5" s="44"/>
      <c r="DFK5" s="44"/>
      <c r="DFL5" s="44"/>
      <c r="DFM5" s="44"/>
      <c r="DFN5" s="44"/>
      <c r="DFO5" s="44"/>
      <c r="DFP5" s="44"/>
      <c r="DFQ5" s="44"/>
      <c r="DFR5" s="44"/>
      <c r="DFS5" s="44"/>
      <c r="DFT5" s="44"/>
      <c r="DFU5" s="44"/>
      <c r="DFV5" s="44"/>
      <c r="DFW5" s="44"/>
      <c r="DFX5" s="44"/>
      <c r="DFY5" s="44"/>
      <c r="DFZ5" s="44"/>
      <c r="DGA5" s="44"/>
      <c r="DGB5" s="44"/>
      <c r="DGC5" s="44"/>
      <c r="DGD5" s="44"/>
      <c r="DGE5" s="44"/>
      <c r="DGF5" s="44"/>
      <c r="DGG5" s="44"/>
      <c r="DGH5" s="44"/>
      <c r="DGI5" s="44"/>
      <c r="DGJ5" s="44"/>
      <c r="DGK5" s="44"/>
      <c r="DGL5" s="44"/>
      <c r="DGM5" s="44"/>
      <c r="DGN5" s="44"/>
      <c r="DGO5" s="44"/>
      <c r="DGP5" s="44"/>
      <c r="DGQ5" s="44"/>
      <c r="DGR5" s="44"/>
      <c r="DGS5" s="44"/>
      <c r="DGT5" s="44"/>
      <c r="DGU5" s="44"/>
      <c r="DGV5" s="44"/>
      <c r="DGW5" s="44"/>
      <c r="DGX5" s="44"/>
      <c r="DGY5" s="44"/>
      <c r="DGZ5" s="44"/>
      <c r="DHA5" s="44"/>
      <c r="DHB5" s="44"/>
      <c r="DHC5" s="44"/>
      <c r="DHD5" s="44"/>
      <c r="DHE5" s="44"/>
      <c r="DHF5" s="44"/>
      <c r="DHG5" s="44"/>
      <c r="DHH5" s="44"/>
      <c r="DHI5" s="44"/>
      <c r="DHJ5" s="44"/>
      <c r="DHK5" s="44"/>
      <c r="DHL5" s="44"/>
      <c r="DHM5" s="44"/>
      <c r="DHN5" s="44"/>
      <c r="DHO5" s="44"/>
      <c r="DHP5" s="44"/>
      <c r="DHQ5" s="44"/>
      <c r="DHR5" s="44"/>
      <c r="DHS5" s="44"/>
      <c r="DHT5" s="44"/>
      <c r="DHU5" s="44"/>
      <c r="DHV5" s="44"/>
      <c r="DHW5" s="44"/>
      <c r="DHX5" s="44"/>
      <c r="DHY5" s="44"/>
      <c r="DHZ5" s="44"/>
      <c r="DIA5" s="44"/>
      <c r="DIB5" s="44"/>
      <c r="DIC5" s="44"/>
      <c r="DID5" s="44"/>
      <c r="DIE5" s="44"/>
      <c r="DIF5" s="44"/>
      <c r="DIG5" s="44"/>
      <c r="DIH5" s="44"/>
      <c r="DII5" s="44"/>
      <c r="DIJ5" s="44"/>
      <c r="DIK5" s="44"/>
      <c r="DIL5" s="44"/>
      <c r="DIM5" s="44"/>
      <c r="DIN5" s="44"/>
      <c r="DIO5" s="44"/>
      <c r="DIP5" s="44"/>
      <c r="DIQ5" s="44"/>
      <c r="DIR5" s="44"/>
      <c r="DIS5" s="44"/>
      <c r="DIT5" s="44"/>
      <c r="DIU5" s="44"/>
      <c r="DIV5" s="44"/>
      <c r="DIW5" s="44"/>
      <c r="DIX5" s="44"/>
      <c r="DIY5" s="44"/>
      <c r="DIZ5" s="44"/>
      <c r="DJA5" s="44"/>
      <c r="DJB5" s="44"/>
      <c r="DJC5" s="44"/>
      <c r="DJD5" s="44"/>
      <c r="DJE5" s="44"/>
      <c r="DJF5" s="44"/>
      <c r="DJG5" s="44"/>
      <c r="DJH5" s="44"/>
      <c r="DJI5" s="44"/>
      <c r="DJJ5" s="44"/>
      <c r="DJK5" s="44"/>
      <c r="DJL5" s="44"/>
      <c r="DJM5" s="44"/>
      <c r="DJN5" s="44"/>
      <c r="DJO5" s="44"/>
      <c r="DJP5" s="44"/>
      <c r="DJQ5" s="44"/>
      <c r="DJR5" s="44"/>
      <c r="DJS5" s="44"/>
      <c r="DJT5" s="44"/>
      <c r="DJU5" s="44"/>
      <c r="DJV5" s="44"/>
      <c r="DJW5" s="44"/>
      <c r="DJX5" s="44"/>
      <c r="DJY5" s="44"/>
      <c r="DJZ5" s="44"/>
      <c r="DKA5" s="44"/>
      <c r="DKB5" s="44"/>
      <c r="DKC5" s="44"/>
      <c r="DKD5" s="44"/>
      <c r="DKE5" s="44"/>
      <c r="DKF5" s="44"/>
      <c r="DKG5" s="44"/>
      <c r="DKH5" s="44"/>
      <c r="DKI5" s="44"/>
      <c r="DKJ5" s="44"/>
      <c r="DKK5" s="44"/>
      <c r="DKL5" s="44"/>
      <c r="DKM5" s="44"/>
      <c r="DKN5" s="44"/>
      <c r="DKO5" s="44"/>
      <c r="DKP5" s="44"/>
      <c r="DKQ5" s="44"/>
      <c r="DKR5" s="44"/>
      <c r="DKS5" s="44"/>
      <c r="DKT5" s="44"/>
      <c r="DKU5" s="44"/>
      <c r="DKV5" s="44"/>
      <c r="DKW5" s="44"/>
      <c r="DKX5" s="44"/>
      <c r="DKY5" s="44"/>
      <c r="DKZ5" s="44"/>
      <c r="DLA5" s="44"/>
      <c r="DLB5" s="44"/>
      <c r="DLC5" s="44"/>
      <c r="DLD5" s="44"/>
      <c r="DLE5" s="44"/>
      <c r="DLF5" s="44"/>
      <c r="DLG5" s="44"/>
      <c r="DLH5" s="44"/>
      <c r="DLI5" s="44"/>
      <c r="DLJ5" s="44"/>
      <c r="DLK5" s="44"/>
      <c r="DLL5" s="44"/>
      <c r="DLM5" s="44"/>
      <c r="DLN5" s="44"/>
      <c r="DLO5" s="44"/>
      <c r="DLP5" s="44"/>
      <c r="DLQ5" s="44"/>
      <c r="DLR5" s="44"/>
      <c r="DLS5" s="44"/>
      <c r="DLT5" s="44"/>
      <c r="DLU5" s="44"/>
      <c r="DLV5" s="44"/>
      <c r="DLW5" s="44"/>
      <c r="DLX5" s="44"/>
      <c r="DLY5" s="44"/>
      <c r="DLZ5" s="44"/>
      <c r="DMA5" s="44"/>
      <c r="DMB5" s="44"/>
      <c r="DMC5" s="44"/>
      <c r="DMD5" s="44"/>
      <c r="DME5" s="44"/>
      <c r="DMF5" s="44"/>
      <c r="DMG5" s="44"/>
      <c r="DMH5" s="44"/>
      <c r="DMI5" s="44"/>
      <c r="DMJ5" s="44"/>
      <c r="DMK5" s="44"/>
      <c r="DML5" s="44"/>
      <c r="DMM5" s="44"/>
      <c r="DMN5" s="44"/>
      <c r="DMO5" s="44"/>
      <c r="DMP5" s="44"/>
      <c r="DMQ5" s="44"/>
      <c r="DMR5" s="44"/>
      <c r="DMS5" s="44"/>
      <c r="DMT5" s="44"/>
      <c r="DMU5" s="44"/>
      <c r="DMV5" s="44"/>
      <c r="DMW5" s="44"/>
      <c r="DMX5" s="44"/>
      <c r="DMY5" s="44"/>
      <c r="DMZ5" s="44"/>
      <c r="DNA5" s="44"/>
      <c r="DNB5" s="44"/>
      <c r="DNC5" s="44"/>
      <c r="DND5" s="44"/>
      <c r="DNE5" s="44"/>
      <c r="DNF5" s="44"/>
      <c r="DNG5" s="44"/>
      <c r="DNH5" s="44"/>
      <c r="DNI5" s="44"/>
      <c r="DNJ5" s="44"/>
      <c r="DNK5" s="44"/>
      <c r="DNL5" s="44"/>
      <c r="DNM5" s="44"/>
      <c r="DNN5" s="44"/>
      <c r="DNO5" s="44"/>
      <c r="DNP5" s="44"/>
      <c r="DNQ5" s="44"/>
      <c r="DNR5" s="44"/>
      <c r="DNS5" s="44"/>
      <c r="DNT5" s="44"/>
      <c r="DNU5" s="44"/>
      <c r="DNV5" s="44"/>
      <c r="DNW5" s="44"/>
      <c r="DNX5" s="44"/>
      <c r="DNY5" s="44"/>
      <c r="DNZ5" s="44"/>
      <c r="DOA5" s="44"/>
      <c r="DOB5" s="44"/>
      <c r="DOC5" s="44"/>
      <c r="DOD5" s="44"/>
      <c r="DOE5" s="44"/>
      <c r="DOF5" s="44"/>
      <c r="DOG5" s="44"/>
      <c r="DOH5" s="44"/>
      <c r="DOI5" s="44"/>
      <c r="DOJ5" s="44"/>
      <c r="DOK5" s="44"/>
      <c r="DOL5" s="44"/>
      <c r="DOM5" s="44"/>
      <c r="DON5" s="44"/>
      <c r="DOO5" s="44"/>
      <c r="DOP5" s="44"/>
      <c r="DOQ5" s="44"/>
      <c r="DOR5" s="44"/>
      <c r="DOS5" s="44"/>
      <c r="DOT5" s="44"/>
      <c r="DOU5" s="44"/>
      <c r="DOV5" s="44"/>
      <c r="DOW5" s="44"/>
      <c r="DOX5" s="44"/>
      <c r="DOY5" s="44"/>
      <c r="DOZ5" s="44"/>
      <c r="DPA5" s="44"/>
      <c r="DPB5" s="44"/>
      <c r="DPC5" s="44"/>
      <c r="DPD5" s="44"/>
      <c r="DPE5" s="44"/>
      <c r="DPF5" s="44"/>
      <c r="DPG5" s="44"/>
      <c r="DPH5" s="44"/>
      <c r="DPI5" s="44"/>
      <c r="DPJ5" s="44"/>
      <c r="DPK5" s="44"/>
      <c r="DPL5" s="44"/>
      <c r="DPM5" s="44"/>
      <c r="DPN5" s="44"/>
      <c r="DPO5" s="44"/>
      <c r="DPP5" s="44"/>
      <c r="DPQ5" s="44"/>
      <c r="DPR5" s="44"/>
      <c r="DPS5" s="44"/>
      <c r="DPT5" s="44"/>
      <c r="DPU5" s="44"/>
      <c r="DPV5" s="44"/>
      <c r="DPW5" s="44"/>
      <c r="DPX5" s="44"/>
      <c r="DPY5" s="44"/>
      <c r="DPZ5" s="44"/>
      <c r="DQA5" s="44"/>
      <c r="DQB5" s="44"/>
      <c r="DQC5" s="44"/>
      <c r="DQD5" s="44"/>
      <c r="DQE5" s="44"/>
      <c r="DQF5" s="44"/>
      <c r="DQG5" s="44"/>
      <c r="DQH5" s="44"/>
      <c r="DQI5" s="44"/>
      <c r="DQJ5" s="44"/>
      <c r="DQK5" s="44"/>
      <c r="DQL5" s="44"/>
      <c r="DQM5" s="44"/>
      <c r="DQN5" s="44"/>
      <c r="DQO5" s="44"/>
      <c r="DQP5" s="44"/>
      <c r="DQQ5" s="44"/>
      <c r="DQR5" s="44"/>
      <c r="DQS5" s="44"/>
      <c r="DQT5" s="44"/>
      <c r="DQU5" s="44"/>
      <c r="DQV5" s="44"/>
      <c r="DQW5" s="44"/>
      <c r="DQX5" s="44"/>
      <c r="DQY5" s="44"/>
      <c r="DQZ5" s="44"/>
      <c r="DRA5" s="44"/>
      <c r="DRB5" s="44"/>
      <c r="DRC5" s="44"/>
      <c r="DRD5" s="44"/>
      <c r="DRE5" s="44"/>
      <c r="DRF5" s="44"/>
      <c r="DRG5" s="44"/>
      <c r="DRH5" s="44"/>
      <c r="DRI5" s="44"/>
      <c r="DRJ5" s="44"/>
      <c r="DRK5" s="44"/>
      <c r="DRL5" s="44"/>
      <c r="DRM5" s="44"/>
      <c r="DRN5" s="44"/>
      <c r="DRO5" s="44"/>
      <c r="DRP5" s="44"/>
      <c r="DRQ5" s="44"/>
      <c r="DRR5" s="44"/>
      <c r="DRS5" s="44"/>
      <c r="DRT5" s="44"/>
      <c r="DRU5" s="44"/>
      <c r="DRV5" s="44"/>
      <c r="DRW5" s="44"/>
      <c r="DRX5" s="44"/>
      <c r="DRY5" s="44"/>
      <c r="DRZ5" s="44"/>
      <c r="DSA5" s="44"/>
      <c r="DSB5" s="44"/>
      <c r="DSC5" s="44"/>
      <c r="DSD5" s="44"/>
      <c r="DSE5" s="44"/>
      <c r="DSF5" s="44"/>
      <c r="DSG5" s="44"/>
      <c r="DSH5" s="44"/>
      <c r="DSI5" s="44"/>
      <c r="DSJ5" s="44"/>
      <c r="DSK5" s="44"/>
      <c r="DSL5" s="44"/>
      <c r="DSM5" s="44"/>
      <c r="DSN5" s="44"/>
      <c r="DSO5" s="44"/>
      <c r="DSP5" s="44"/>
      <c r="DSQ5" s="44"/>
      <c r="DSR5" s="44"/>
      <c r="DSS5" s="44"/>
      <c r="DST5" s="44"/>
      <c r="DSU5" s="44"/>
      <c r="DSV5" s="44"/>
      <c r="DSW5" s="44"/>
      <c r="DSX5" s="44"/>
      <c r="DSY5" s="44"/>
      <c r="DSZ5" s="44"/>
      <c r="DTA5" s="44"/>
      <c r="DTB5" s="44"/>
      <c r="DTC5" s="44"/>
      <c r="DTD5" s="44"/>
      <c r="DTE5" s="44"/>
      <c r="DTF5" s="44"/>
      <c r="DTG5" s="44"/>
      <c r="DTH5" s="44"/>
      <c r="DTI5" s="44"/>
      <c r="DTJ5" s="44"/>
      <c r="DTK5" s="44"/>
      <c r="DTL5" s="44"/>
      <c r="DTM5" s="44"/>
      <c r="DTN5" s="44"/>
      <c r="DTO5" s="44"/>
      <c r="DTP5" s="44"/>
      <c r="DTQ5" s="44"/>
      <c r="DTR5" s="44"/>
      <c r="DTS5" s="44"/>
      <c r="DTT5" s="44"/>
      <c r="DTU5" s="44"/>
      <c r="DTV5" s="44"/>
      <c r="DTW5" s="44"/>
      <c r="DTX5" s="44"/>
      <c r="DTY5" s="44"/>
      <c r="DTZ5" s="44"/>
      <c r="DUA5" s="44"/>
      <c r="DUB5" s="44"/>
      <c r="DUC5" s="44"/>
      <c r="DUD5" s="44"/>
      <c r="DUE5" s="44"/>
      <c r="DUF5" s="44"/>
      <c r="DUG5" s="44"/>
      <c r="DUH5" s="44"/>
      <c r="DUI5" s="44"/>
      <c r="DUJ5" s="44"/>
      <c r="DUK5" s="44"/>
      <c r="DUL5" s="44"/>
      <c r="DUM5" s="44"/>
      <c r="DUN5" s="44"/>
      <c r="DUO5" s="44"/>
      <c r="DUP5" s="44"/>
      <c r="DUQ5" s="44"/>
      <c r="DUR5" s="44"/>
      <c r="DUS5" s="44"/>
      <c r="DUT5" s="44"/>
      <c r="DUU5" s="44"/>
      <c r="DUV5" s="44"/>
      <c r="DUW5" s="44"/>
      <c r="DUX5" s="44"/>
      <c r="DUY5" s="44"/>
      <c r="DUZ5" s="44"/>
      <c r="DVA5" s="44"/>
      <c r="DVB5" s="44"/>
      <c r="DVC5" s="44"/>
      <c r="DVD5" s="44"/>
      <c r="DVE5" s="44"/>
      <c r="DVF5" s="44"/>
      <c r="DVG5" s="44"/>
      <c r="DVH5" s="44"/>
      <c r="DVI5" s="44"/>
      <c r="DVJ5" s="44"/>
      <c r="DVK5" s="44"/>
      <c r="DVL5" s="44"/>
      <c r="DVM5" s="44"/>
      <c r="DVN5" s="44"/>
      <c r="DVO5" s="44"/>
      <c r="DVP5" s="44"/>
      <c r="DVQ5" s="44"/>
      <c r="DVR5" s="44"/>
      <c r="DVS5" s="44"/>
      <c r="DVT5" s="44"/>
      <c r="DVU5" s="44"/>
      <c r="DVV5" s="44"/>
      <c r="DVW5" s="44"/>
      <c r="DVX5" s="44"/>
      <c r="DVY5" s="44"/>
      <c r="DVZ5" s="44"/>
      <c r="DWA5" s="44"/>
      <c r="DWB5" s="44"/>
      <c r="DWC5" s="44"/>
      <c r="DWD5" s="44"/>
      <c r="DWE5" s="44"/>
      <c r="DWF5" s="44"/>
      <c r="DWG5" s="44"/>
      <c r="DWH5" s="44"/>
      <c r="DWI5" s="44"/>
      <c r="DWJ5" s="44"/>
      <c r="DWK5" s="44"/>
      <c r="DWL5" s="44"/>
      <c r="DWM5" s="44"/>
      <c r="DWN5" s="44"/>
      <c r="DWO5" s="44"/>
      <c r="DWP5" s="44"/>
      <c r="DWQ5" s="44"/>
      <c r="DWR5" s="44"/>
      <c r="DWS5" s="44"/>
      <c r="DWT5" s="44"/>
      <c r="DWU5" s="44"/>
      <c r="DWV5" s="44"/>
      <c r="DWW5" s="44"/>
      <c r="DWX5" s="44"/>
      <c r="DWY5" s="44"/>
      <c r="DWZ5" s="44"/>
      <c r="DXA5" s="44"/>
      <c r="DXB5" s="44"/>
      <c r="DXC5" s="44"/>
      <c r="DXD5" s="44"/>
      <c r="DXE5" s="44"/>
      <c r="DXF5" s="44"/>
      <c r="DXG5" s="44"/>
      <c r="DXH5" s="44"/>
      <c r="DXI5" s="44"/>
      <c r="DXJ5" s="44"/>
      <c r="DXK5" s="44"/>
      <c r="DXL5" s="44"/>
      <c r="DXM5" s="44"/>
      <c r="DXN5" s="44"/>
      <c r="DXO5" s="44"/>
      <c r="DXP5" s="44"/>
      <c r="DXQ5" s="44"/>
      <c r="DXR5" s="44"/>
      <c r="DXS5" s="44"/>
      <c r="DXT5" s="44"/>
      <c r="DXU5" s="44"/>
      <c r="DXV5" s="44"/>
      <c r="DXW5" s="44"/>
      <c r="DXX5" s="44"/>
      <c r="DXY5" s="44"/>
      <c r="DXZ5" s="44"/>
      <c r="DYA5" s="44"/>
      <c r="DYB5" s="44"/>
      <c r="DYC5" s="44"/>
      <c r="DYD5" s="44"/>
      <c r="DYE5" s="44"/>
      <c r="DYF5" s="44"/>
      <c r="DYG5" s="44"/>
      <c r="DYH5" s="44"/>
      <c r="DYI5" s="44"/>
      <c r="DYJ5" s="44"/>
      <c r="DYK5" s="44"/>
      <c r="DYL5" s="44"/>
      <c r="DYM5" s="44"/>
      <c r="DYN5" s="44"/>
      <c r="DYO5" s="44"/>
      <c r="DYP5" s="44"/>
      <c r="DYQ5" s="44"/>
      <c r="DYR5" s="44"/>
      <c r="DYS5" s="44"/>
      <c r="DYT5" s="44"/>
      <c r="DYU5" s="44"/>
      <c r="DYV5" s="44"/>
      <c r="DYW5" s="44"/>
      <c r="DYX5" s="44"/>
      <c r="DYY5" s="44"/>
      <c r="DYZ5" s="44"/>
      <c r="DZA5" s="44"/>
      <c r="DZB5" s="44"/>
      <c r="DZC5" s="44"/>
      <c r="DZD5" s="44"/>
      <c r="DZE5" s="44"/>
      <c r="DZF5" s="44"/>
      <c r="DZG5" s="44"/>
      <c r="DZH5" s="44"/>
      <c r="DZI5" s="44"/>
      <c r="DZJ5" s="44"/>
      <c r="DZK5" s="44"/>
      <c r="DZL5" s="44"/>
      <c r="DZM5" s="44"/>
      <c r="DZN5" s="44"/>
      <c r="DZO5" s="44"/>
      <c r="DZP5" s="44"/>
      <c r="DZQ5" s="44"/>
      <c r="DZR5" s="44"/>
      <c r="DZS5" s="44"/>
      <c r="DZT5" s="44"/>
      <c r="DZU5" s="44"/>
      <c r="DZV5" s="44"/>
      <c r="DZW5" s="44"/>
      <c r="DZX5" s="44"/>
      <c r="DZY5" s="44"/>
      <c r="DZZ5" s="44"/>
      <c r="EAA5" s="44"/>
      <c r="EAB5" s="44"/>
      <c r="EAC5" s="44"/>
      <c r="EAD5" s="44"/>
      <c r="EAE5" s="44"/>
      <c r="EAF5" s="44"/>
      <c r="EAG5" s="44"/>
      <c r="EAH5" s="44"/>
      <c r="EAI5" s="44"/>
      <c r="EAJ5" s="44"/>
      <c r="EAK5" s="44"/>
      <c r="EAL5" s="44"/>
      <c r="EAM5" s="44"/>
      <c r="EAN5" s="44"/>
      <c r="EAO5" s="44"/>
      <c r="EAP5" s="44"/>
      <c r="EAQ5" s="44"/>
      <c r="EAR5" s="44"/>
      <c r="EAS5" s="44"/>
      <c r="EAT5" s="44"/>
      <c r="EAU5" s="44"/>
      <c r="EAV5" s="44"/>
      <c r="EAW5" s="44"/>
      <c r="EAX5" s="44"/>
      <c r="EAY5" s="44"/>
      <c r="EAZ5" s="44"/>
      <c r="EBA5" s="44"/>
      <c r="EBB5" s="44"/>
      <c r="EBC5" s="44"/>
      <c r="EBD5" s="44"/>
      <c r="EBE5" s="44"/>
      <c r="EBF5" s="44"/>
      <c r="EBG5" s="44"/>
      <c r="EBH5" s="44"/>
      <c r="EBI5" s="44"/>
      <c r="EBJ5" s="44"/>
      <c r="EBK5" s="44"/>
      <c r="EBL5" s="44"/>
      <c r="EBM5" s="44"/>
      <c r="EBN5" s="44"/>
      <c r="EBO5" s="44"/>
      <c r="EBP5" s="44"/>
      <c r="EBQ5" s="44"/>
      <c r="EBR5" s="44"/>
      <c r="EBS5" s="44"/>
      <c r="EBT5" s="44"/>
      <c r="EBU5" s="44"/>
      <c r="EBV5" s="44"/>
      <c r="EBW5" s="44"/>
      <c r="EBX5" s="44"/>
      <c r="EBY5" s="44"/>
      <c r="EBZ5" s="44"/>
      <c r="ECA5" s="44"/>
      <c r="ECB5" s="44"/>
      <c r="ECC5" s="44"/>
      <c r="ECD5" s="44"/>
      <c r="ECE5" s="44"/>
      <c r="ECF5" s="44"/>
      <c r="ECG5" s="44"/>
      <c r="ECH5" s="44"/>
      <c r="ECI5" s="44"/>
      <c r="ECJ5" s="44"/>
      <c r="ECK5" s="44"/>
      <c r="ECL5" s="44"/>
      <c r="ECM5" s="44"/>
      <c r="ECN5" s="44"/>
      <c r="ECO5" s="44"/>
      <c r="ECP5" s="44"/>
      <c r="ECQ5" s="44"/>
      <c r="ECR5" s="44"/>
      <c r="ECS5" s="44"/>
      <c r="ECT5" s="44"/>
      <c r="ECU5" s="44"/>
      <c r="ECV5" s="44"/>
      <c r="ECW5" s="44"/>
      <c r="ECX5" s="44"/>
      <c r="ECY5" s="44"/>
      <c r="ECZ5" s="44"/>
      <c r="EDA5" s="44"/>
      <c r="EDB5" s="44"/>
      <c r="EDC5" s="44"/>
      <c r="EDD5" s="44"/>
      <c r="EDE5" s="44"/>
      <c r="EDF5" s="44"/>
      <c r="EDG5" s="44"/>
      <c r="EDH5" s="44"/>
      <c r="EDI5" s="44"/>
      <c r="EDJ5" s="44"/>
      <c r="EDK5" s="44"/>
      <c r="EDL5" s="44"/>
      <c r="EDM5" s="44"/>
      <c r="EDN5" s="44"/>
      <c r="EDO5" s="44"/>
      <c r="EDP5" s="44"/>
      <c r="EDQ5" s="44"/>
      <c r="EDR5" s="44"/>
      <c r="EDS5" s="44"/>
      <c r="EDT5" s="44"/>
      <c r="EDU5" s="44"/>
      <c r="EDV5" s="44"/>
      <c r="EDW5" s="44"/>
      <c r="EDX5" s="44"/>
      <c r="EDY5" s="44"/>
      <c r="EDZ5" s="44"/>
      <c r="EEA5" s="44"/>
      <c r="EEB5" s="44"/>
      <c r="EEC5" s="44"/>
      <c r="EED5" s="44"/>
      <c r="EEE5" s="44"/>
      <c r="EEF5" s="44"/>
      <c r="EEG5" s="44"/>
      <c r="EEH5" s="44"/>
      <c r="EEI5" s="44"/>
      <c r="EEJ5" s="44"/>
      <c r="EEK5" s="44"/>
      <c r="EEL5" s="44"/>
      <c r="EEM5" s="44"/>
      <c r="EEN5" s="44"/>
      <c r="EEO5" s="44"/>
      <c r="EEP5" s="44"/>
      <c r="EEQ5" s="44"/>
      <c r="EER5" s="44"/>
      <c r="EES5" s="44"/>
      <c r="EET5" s="44"/>
      <c r="EEU5" s="44"/>
      <c r="EEV5" s="44"/>
      <c r="EEW5" s="44"/>
      <c r="EEX5" s="44"/>
      <c r="EEY5" s="44"/>
      <c r="EEZ5" s="44"/>
      <c r="EFA5" s="44"/>
      <c r="EFB5" s="44"/>
      <c r="EFC5" s="44"/>
      <c r="EFD5" s="44"/>
      <c r="EFE5" s="44"/>
      <c r="EFF5" s="44"/>
      <c r="EFG5" s="44"/>
      <c r="EFH5" s="44"/>
      <c r="EFI5" s="44"/>
      <c r="EFJ5" s="44"/>
      <c r="EFK5" s="44"/>
      <c r="EFL5" s="44"/>
      <c r="EFM5" s="44"/>
      <c r="EFN5" s="44"/>
      <c r="EFO5" s="44"/>
      <c r="EFP5" s="44"/>
      <c r="EFQ5" s="44"/>
      <c r="EFR5" s="44"/>
      <c r="EFS5" s="44"/>
      <c r="EFT5" s="44"/>
      <c r="EFU5" s="44"/>
      <c r="EFV5" s="44"/>
      <c r="EFW5" s="44"/>
      <c r="EFX5" s="44"/>
      <c r="EFY5" s="44"/>
      <c r="EFZ5" s="44"/>
      <c r="EGA5" s="44"/>
      <c r="EGB5" s="44"/>
      <c r="EGC5" s="44"/>
      <c r="EGD5" s="44"/>
      <c r="EGE5" s="44"/>
      <c r="EGF5" s="44"/>
      <c r="EGG5" s="44"/>
      <c r="EGH5" s="44"/>
      <c r="EGI5" s="44"/>
      <c r="EGJ5" s="44"/>
      <c r="EGK5" s="44"/>
      <c r="EGL5" s="44"/>
      <c r="EGM5" s="44"/>
      <c r="EGN5" s="44"/>
      <c r="EGO5" s="44"/>
      <c r="EGP5" s="44"/>
      <c r="EGQ5" s="44"/>
      <c r="EGR5" s="44"/>
      <c r="EGS5" s="44"/>
      <c r="EGT5" s="44"/>
      <c r="EGU5" s="44"/>
      <c r="EGV5" s="44"/>
      <c r="EGW5" s="44"/>
      <c r="EGX5" s="44"/>
      <c r="EGY5" s="44"/>
      <c r="EGZ5" s="44"/>
      <c r="EHA5" s="44"/>
      <c r="EHB5" s="44"/>
      <c r="EHC5" s="44"/>
      <c r="EHD5" s="44"/>
      <c r="EHE5" s="44"/>
      <c r="EHF5" s="44"/>
      <c r="EHG5" s="44"/>
      <c r="EHH5" s="44"/>
      <c r="EHI5" s="44"/>
      <c r="EHJ5" s="44"/>
      <c r="EHK5" s="44"/>
      <c r="EHL5" s="44"/>
      <c r="EHM5" s="44"/>
      <c r="EHN5" s="44"/>
      <c r="EHO5" s="44"/>
      <c r="EHP5" s="44"/>
      <c r="EHQ5" s="44"/>
      <c r="EHR5" s="44"/>
      <c r="EHS5" s="44"/>
      <c r="EHT5" s="44"/>
      <c r="EHU5" s="44"/>
      <c r="EHV5" s="44"/>
      <c r="EHW5" s="44"/>
      <c r="EHX5" s="44"/>
      <c r="EHY5" s="44"/>
      <c r="EHZ5" s="44"/>
      <c r="EIA5" s="44"/>
      <c r="EIB5" s="44"/>
      <c r="EIC5" s="44"/>
      <c r="EID5" s="44"/>
      <c r="EIE5" s="44"/>
      <c r="EIF5" s="44"/>
      <c r="EIG5" s="44"/>
      <c r="EIH5" s="44"/>
      <c r="EII5" s="44"/>
      <c r="EIJ5" s="44"/>
      <c r="EIK5" s="44"/>
      <c r="EIL5" s="44"/>
      <c r="EIM5" s="44"/>
      <c r="EIN5" s="44"/>
      <c r="EIO5" s="44"/>
      <c r="EIP5" s="44"/>
      <c r="EIQ5" s="44"/>
      <c r="EIR5" s="44"/>
      <c r="EIS5" s="44"/>
      <c r="EIT5" s="44"/>
      <c r="EIU5" s="44"/>
      <c r="EIV5" s="44"/>
      <c r="EIW5" s="44"/>
      <c r="EIX5" s="44"/>
      <c r="EIY5" s="44"/>
      <c r="EIZ5" s="44"/>
      <c r="EJA5" s="44"/>
      <c r="EJB5" s="44"/>
      <c r="EJC5" s="44"/>
      <c r="EJD5" s="44"/>
      <c r="EJE5" s="44"/>
      <c r="EJF5" s="44"/>
      <c r="EJG5" s="44"/>
      <c r="EJH5" s="44"/>
      <c r="EJI5" s="44"/>
      <c r="EJJ5" s="44"/>
      <c r="EJK5" s="44"/>
      <c r="EJL5" s="44"/>
      <c r="EJM5" s="44"/>
      <c r="EJN5" s="44"/>
      <c r="EJO5" s="44"/>
      <c r="EJP5" s="44"/>
      <c r="EJQ5" s="44"/>
      <c r="EJR5" s="44"/>
      <c r="EJS5" s="44"/>
      <c r="EJT5" s="44"/>
      <c r="EJU5" s="44"/>
      <c r="EJV5" s="44"/>
      <c r="EJW5" s="44"/>
      <c r="EJX5" s="44"/>
      <c r="EJY5" s="44"/>
      <c r="EJZ5" s="44"/>
      <c r="EKA5" s="44"/>
      <c r="EKB5" s="44"/>
      <c r="EKC5" s="44"/>
      <c r="EKD5" s="44"/>
      <c r="EKE5" s="44"/>
      <c r="EKF5" s="44"/>
      <c r="EKG5" s="44"/>
      <c r="EKH5" s="44"/>
      <c r="EKI5" s="44"/>
      <c r="EKJ5" s="44"/>
      <c r="EKK5" s="44"/>
      <c r="EKL5" s="44"/>
      <c r="EKM5" s="44"/>
      <c r="EKN5" s="44"/>
      <c r="EKO5" s="44"/>
      <c r="EKP5" s="44"/>
      <c r="EKQ5" s="44"/>
      <c r="EKR5" s="44"/>
      <c r="EKS5" s="44"/>
      <c r="EKT5" s="44"/>
      <c r="EKU5" s="44"/>
      <c r="EKV5" s="44"/>
      <c r="EKW5" s="44"/>
      <c r="EKX5" s="44"/>
      <c r="EKY5" s="44"/>
      <c r="EKZ5" s="44"/>
      <c r="ELA5" s="44"/>
      <c r="ELB5" s="44"/>
      <c r="ELC5" s="44"/>
      <c r="ELD5" s="44"/>
      <c r="ELE5" s="44"/>
      <c r="ELF5" s="44"/>
      <c r="ELG5" s="44"/>
      <c r="ELH5" s="44"/>
      <c r="ELI5" s="44"/>
      <c r="ELJ5" s="44"/>
      <c r="ELK5" s="44"/>
      <c r="ELL5" s="44"/>
      <c r="ELM5" s="44"/>
      <c r="ELN5" s="44"/>
      <c r="ELO5" s="44"/>
      <c r="ELP5" s="44"/>
      <c r="ELQ5" s="44"/>
      <c r="ELR5" s="44"/>
      <c r="ELS5" s="44"/>
      <c r="ELT5" s="44"/>
      <c r="ELU5" s="44"/>
      <c r="ELV5" s="44"/>
      <c r="ELW5" s="44"/>
      <c r="ELX5" s="44"/>
      <c r="ELY5" s="44"/>
      <c r="ELZ5" s="44"/>
      <c r="EMA5" s="44"/>
      <c r="EMB5" s="44"/>
      <c r="EMC5" s="44"/>
      <c r="EMD5" s="44"/>
      <c r="EME5" s="44"/>
      <c r="EMF5" s="44"/>
      <c r="EMG5" s="44"/>
      <c r="EMH5" s="44"/>
      <c r="EMI5" s="44"/>
      <c r="EMJ5" s="44"/>
      <c r="EMK5" s="44"/>
      <c r="EML5" s="44"/>
      <c r="EMM5" s="44"/>
      <c r="EMN5" s="44"/>
      <c r="EMO5" s="44"/>
      <c r="EMP5" s="44"/>
      <c r="EMQ5" s="44"/>
      <c r="EMR5" s="44"/>
      <c r="EMS5" s="44"/>
      <c r="EMT5" s="44"/>
      <c r="EMU5" s="44"/>
      <c r="EMV5" s="44"/>
      <c r="EMW5" s="44"/>
      <c r="EMX5" s="44"/>
      <c r="EMY5" s="44"/>
      <c r="EMZ5" s="44"/>
      <c r="ENA5" s="44"/>
      <c r="ENB5" s="44"/>
      <c r="ENC5" s="44"/>
      <c r="END5" s="44"/>
      <c r="ENE5" s="44"/>
      <c r="ENF5" s="44"/>
      <c r="ENG5" s="44"/>
      <c r="ENH5" s="44"/>
      <c r="ENI5" s="44"/>
      <c r="ENJ5" s="44"/>
      <c r="ENK5" s="44"/>
      <c r="ENL5" s="44"/>
      <c r="ENM5" s="44"/>
      <c r="ENN5" s="44"/>
      <c r="ENO5" s="44"/>
      <c r="ENP5" s="44"/>
      <c r="ENQ5" s="44"/>
      <c r="ENR5" s="44"/>
      <c r="ENS5" s="44"/>
      <c r="ENT5" s="44"/>
      <c r="ENU5" s="44"/>
      <c r="ENV5" s="44"/>
      <c r="ENW5" s="44"/>
      <c r="ENX5" s="44"/>
      <c r="ENY5" s="44"/>
      <c r="ENZ5" s="44"/>
      <c r="EOA5" s="44"/>
      <c r="EOB5" s="44"/>
      <c r="EOC5" s="44"/>
      <c r="EOD5" s="44"/>
      <c r="EOE5" s="44"/>
      <c r="EOF5" s="44"/>
      <c r="EOG5" s="44"/>
      <c r="EOH5" s="44"/>
      <c r="EOI5" s="44"/>
      <c r="EOJ5" s="44"/>
      <c r="EOK5" s="44"/>
      <c r="EOL5" s="44"/>
      <c r="EOM5" s="44"/>
      <c r="EON5" s="44"/>
      <c r="EOO5" s="44"/>
      <c r="EOP5" s="44"/>
      <c r="EOQ5" s="44"/>
      <c r="EOR5" s="44"/>
      <c r="EOS5" s="44"/>
      <c r="EOT5" s="44"/>
      <c r="EOU5" s="44"/>
      <c r="EOV5" s="44"/>
      <c r="EOW5" s="44"/>
      <c r="EOX5" s="44"/>
      <c r="EOY5" s="44"/>
      <c r="EOZ5" s="44"/>
      <c r="EPA5" s="44"/>
      <c r="EPB5" s="44"/>
      <c r="EPC5" s="44"/>
      <c r="EPD5" s="44"/>
      <c r="EPE5" s="44"/>
      <c r="EPF5" s="44"/>
      <c r="EPG5" s="44"/>
      <c r="EPH5" s="44"/>
      <c r="EPI5" s="44"/>
      <c r="EPJ5" s="44"/>
      <c r="EPK5" s="44"/>
      <c r="EPL5" s="44"/>
      <c r="EPM5" s="44"/>
      <c r="EPN5" s="44"/>
      <c r="EPO5" s="44"/>
      <c r="EPP5" s="44"/>
      <c r="EPQ5" s="44"/>
      <c r="EPR5" s="44"/>
      <c r="EPS5" s="44"/>
      <c r="EPT5" s="44"/>
      <c r="EPU5" s="44"/>
      <c r="EPV5" s="44"/>
      <c r="EPW5" s="44"/>
      <c r="EPX5" s="44"/>
      <c r="EPY5" s="44"/>
      <c r="EPZ5" s="44"/>
      <c r="EQA5" s="44"/>
      <c r="EQB5" s="44"/>
      <c r="EQC5" s="44"/>
      <c r="EQD5" s="44"/>
      <c r="EQE5" s="44"/>
      <c r="EQF5" s="44"/>
      <c r="EQG5" s="44"/>
      <c r="EQH5" s="44"/>
      <c r="EQI5" s="44"/>
      <c r="EQJ5" s="44"/>
      <c r="EQK5" s="44"/>
      <c r="EQL5" s="44"/>
      <c r="EQM5" s="44"/>
      <c r="EQN5" s="44"/>
      <c r="EQO5" s="44"/>
      <c r="EQP5" s="44"/>
      <c r="EQQ5" s="44"/>
      <c r="EQR5" s="44"/>
      <c r="EQS5" s="44"/>
      <c r="EQT5" s="44"/>
      <c r="EQU5" s="44"/>
      <c r="EQV5" s="44"/>
      <c r="EQW5" s="44"/>
      <c r="EQX5" s="44"/>
      <c r="EQY5" s="44"/>
      <c r="EQZ5" s="44"/>
      <c r="ERA5" s="44"/>
      <c r="ERB5" s="44"/>
      <c r="ERC5" s="44"/>
      <c r="ERD5" s="44"/>
      <c r="ERE5" s="44"/>
      <c r="ERF5" s="44"/>
      <c r="ERG5" s="44"/>
      <c r="ERH5" s="44"/>
      <c r="ERI5" s="44"/>
      <c r="ERJ5" s="44"/>
      <c r="ERK5" s="44"/>
      <c r="ERL5" s="44"/>
      <c r="ERM5" s="44"/>
      <c r="ERN5" s="44"/>
      <c r="ERO5" s="44"/>
      <c r="ERP5" s="44"/>
      <c r="ERQ5" s="44"/>
      <c r="ERR5" s="44"/>
      <c r="ERS5" s="44"/>
      <c r="ERT5" s="44"/>
      <c r="ERU5" s="44"/>
      <c r="ERV5" s="44"/>
      <c r="ERW5" s="44"/>
      <c r="ERX5" s="44"/>
      <c r="ERY5" s="44"/>
      <c r="ERZ5" s="44"/>
      <c r="ESA5" s="44"/>
      <c r="ESB5" s="44"/>
      <c r="ESC5" s="44"/>
      <c r="ESD5" s="44"/>
      <c r="ESE5" s="44"/>
      <c r="ESF5" s="44"/>
      <c r="ESG5" s="44"/>
      <c r="ESH5" s="44"/>
      <c r="ESI5" s="44"/>
      <c r="ESJ5" s="44"/>
      <c r="ESK5" s="44"/>
      <c r="ESL5" s="44"/>
      <c r="ESM5" s="44"/>
      <c r="ESN5" s="44"/>
      <c r="ESO5" s="44"/>
      <c r="ESP5" s="44"/>
      <c r="ESQ5" s="44"/>
      <c r="ESR5" s="44"/>
      <c r="ESS5" s="44"/>
      <c r="EST5" s="44"/>
      <c r="ESU5" s="44"/>
      <c r="ESV5" s="44"/>
      <c r="ESW5" s="44"/>
      <c r="ESX5" s="44"/>
      <c r="ESY5" s="44"/>
      <c r="ESZ5" s="44"/>
      <c r="ETA5" s="44"/>
      <c r="ETB5" s="44"/>
      <c r="ETC5" s="44"/>
      <c r="ETD5" s="44"/>
      <c r="ETE5" s="44"/>
      <c r="ETF5" s="44"/>
      <c r="ETG5" s="44"/>
      <c r="ETH5" s="44"/>
      <c r="ETI5" s="44"/>
      <c r="ETJ5" s="44"/>
      <c r="ETK5" s="44"/>
      <c r="ETL5" s="44"/>
      <c r="ETM5" s="44"/>
      <c r="ETN5" s="44"/>
      <c r="ETO5" s="44"/>
      <c r="ETP5" s="44"/>
      <c r="ETQ5" s="44"/>
      <c r="ETR5" s="44"/>
      <c r="ETS5" s="44"/>
      <c r="ETT5" s="44"/>
      <c r="ETU5" s="44"/>
      <c r="ETV5" s="44"/>
      <c r="ETW5" s="44"/>
      <c r="ETX5" s="44"/>
      <c r="ETY5" s="44"/>
      <c r="ETZ5" s="44"/>
      <c r="EUA5" s="44"/>
      <c r="EUB5" s="44"/>
      <c r="EUC5" s="44"/>
      <c r="EUD5" s="44"/>
      <c r="EUE5" s="44"/>
      <c r="EUF5" s="44"/>
      <c r="EUG5" s="44"/>
      <c r="EUH5" s="44"/>
      <c r="EUI5" s="44"/>
      <c r="EUJ5" s="44"/>
      <c r="EUK5" s="44"/>
      <c r="EUL5" s="44"/>
      <c r="EUM5" s="44"/>
      <c r="EUN5" s="44"/>
      <c r="EUO5" s="44"/>
      <c r="EUP5" s="44"/>
      <c r="EUQ5" s="44"/>
      <c r="EUR5" s="44"/>
      <c r="EUS5" s="44"/>
      <c r="EUT5" s="44"/>
      <c r="EUU5" s="44"/>
      <c r="EUV5" s="44"/>
      <c r="EUW5" s="44"/>
      <c r="EUX5" s="44"/>
      <c r="EUY5" s="44"/>
      <c r="EUZ5" s="44"/>
      <c r="EVA5" s="44"/>
      <c r="EVB5" s="44"/>
      <c r="EVC5" s="44"/>
      <c r="EVD5" s="44"/>
      <c r="EVE5" s="44"/>
      <c r="EVF5" s="44"/>
      <c r="EVG5" s="44"/>
      <c r="EVH5" s="44"/>
      <c r="EVI5" s="44"/>
      <c r="EVJ5" s="44"/>
      <c r="EVK5" s="44"/>
      <c r="EVL5" s="44"/>
      <c r="EVM5" s="44"/>
      <c r="EVN5" s="44"/>
      <c r="EVO5" s="44"/>
      <c r="EVP5" s="44"/>
      <c r="EVQ5" s="44"/>
      <c r="EVR5" s="44"/>
      <c r="EVS5" s="44"/>
      <c r="EVT5" s="44"/>
      <c r="EVU5" s="44"/>
      <c r="EVV5" s="44"/>
      <c r="EVW5" s="44"/>
      <c r="EVX5" s="44"/>
      <c r="EVY5" s="44"/>
      <c r="EVZ5" s="44"/>
      <c r="EWA5" s="44"/>
      <c r="EWB5" s="44"/>
      <c r="EWC5" s="44"/>
      <c r="EWD5" s="44"/>
      <c r="EWE5" s="44"/>
      <c r="EWF5" s="44"/>
      <c r="EWG5" s="44"/>
      <c r="EWH5" s="44"/>
      <c r="EWI5" s="44"/>
      <c r="EWJ5" s="44"/>
      <c r="EWK5" s="44"/>
      <c r="EWL5" s="44"/>
      <c r="EWM5" s="44"/>
      <c r="EWN5" s="44"/>
      <c r="EWO5" s="44"/>
      <c r="EWP5" s="44"/>
      <c r="EWQ5" s="44"/>
      <c r="EWR5" s="44"/>
      <c r="EWS5" s="44"/>
      <c r="EWT5" s="44"/>
      <c r="EWU5" s="44"/>
      <c r="EWV5" s="44"/>
      <c r="EWW5" s="44"/>
      <c r="EWX5" s="44"/>
      <c r="EWY5" s="44"/>
      <c r="EWZ5" s="44"/>
      <c r="EXA5" s="44"/>
      <c r="EXB5" s="44"/>
      <c r="EXC5" s="44"/>
      <c r="EXD5" s="44"/>
      <c r="EXE5" s="44"/>
      <c r="EXF5" s="44"/>
      <c r="EXG5" s="44"/>
      <c r="EXH5" s="44"/>
      <c r="EXI5" s="44"/>
      <c r="EXJ5" s="44"/>
      <c r="EXK5" s="44"/>
      <c r="EXL5" s="44"/>
      <c r="EXM5" s="44"/>
      <c r="EXN5" s="44"/>
      <c r="EXO5" s="44"/>
      <c r="EXP5" s="44"/>
      <c r="EXQ5" s="44"/>
      <c r="EXR5" s="44"/>
      <c r="EXS5" s="44"/>
      <c r="EXT5" s="44"/>
      <c r="EXU5" s="44"/>
      <c r="EXV5" s="44"/>
      <c r="EXW5" s="44"/>
      <c r="EXX5" s="44"/>
      <c r="EXY5" s="44"/>
      <c r="EXZ5" s="44"/>
      <c r="EYA5" s="44"/>
      <c r="EYB5" s="44"/>
      <c r="EYC5" s="44"/>
      <c r="EYD5" s="44"/>
      <c r="EYE5" s="44"/>
      <c r="EYF5" s="44"/>
      <c r="EYG5" s="44"/>
      <c r="EYH5" s="44"/>
      <c r="EYI5" s="44"/>
      <c r="EYJ5" s="44"/>
      <c r="EYK5" s="44"/>
      <c r="EYL5" s="44"/>
      <c r="EYM5" s="44"/>
      <c r="EYN5" s="44"/>
      <c r="EYO5" s="44"/>
      <c r="EYP5" s="44"/>
      <c r="EYQ5" s="44"/>
      <c r="EYR5" s="44"/>
      <c r="EYS5" s="44"/>
      <c r="EYT5" s="44"/>
      <c r="EYU5" s="44"/>
      <c r="EYV5" s="44"/>
      <c r="EYW5" s="44"/>
      <c r="EYX5" s="44"/>
      <c r="EYY5" s="44"/>
      <c r="EYZ5" s="44"/>
      <c r="EZA5" s="44"/>
      <c r="EZB5" s="44"/>
      <c r="EZC5" s="44"/>
      <c r="EZD5" s="44"/>
      <c r="EZE5" s="44"/>
      <c r="EZF5" s="44"/>
      <c r="EZG5" s="44"/>
      <c r="EZH5" s="44"/>
      <c r="EZI5" s="44"/>
      <c r="EZJ5" s="44"/>
      <c r="EZK5" s="44"/>
      <c r="EZL5" s="44"/>
      <c r="EZM5" s="44"/>
      <c r="EZN5" s="44"/>
      <c r="EZO5" s="44"/>
      <c r="EZP5" s="44"/>
      <c r="EZQ5" s="44"/>
      <c r="EZR5" s="44"/>
      <c r="EZS5" s="44"/>
      <c r="EZT5" s="44"/>
      <c r="EZU5" s="44"/>
      <c r="EZV5" s="44"/>
      <c r="EZW5" s="44"/>
      <c r="EZX5" s="44"/>
      <c r="EZY5" s="44"/>
      <c r="EZZ5" s="44"/>
      <c r="FAA5" s="44"/>
      <c r="FAB5" s="44"/>
      <c r="FAC5" s="44"/>
      <c r="FAD5" s="44"/>
      <c r="FAE5" s="44"/>
      <c r="FAF5" s="44"/>
      <c r="FAG5" s="44"/>
      <c r="FAH5" s="44"/>
      <c r="FAI5" s="44"/>
      <c r="FAJ5" s="44"/>
      <c r="FAK5" s="44"/>
      <c r="FAL5" s="44"/>
      <c r="FAM5" s="44"/>
      <c r="FAN5" s="44"/>
      <c r="FAO5" s="44"/>
      <c r="FAP5" s="44"/>
      <c r="FAQ5" s="44"/>
      <c r="FAR5" s="44"/>
      <c r="FAS5" s="44"/>
      <c r="FAT5" s="44"/>
      <c r="FAU5" s="44"/>
      <c r="FAV5" s="44"/>
      <c r="FAW5" s="44"/>
      <c r="FAX5" s="44"/>
      <c r="FAY5" s="44"/>
      <c r="FAZ5" s="44"/>
      <c r="FBA5" s="44"/>
      <c r="FBB5" s="44"/>
      <c r="FBC5" s="44"/>
      <c r="FBD5" s="44"/>
      <c r="FBE5" s="44"/>
      <c r="FBF5" s="44"/>
      <c r="FBG5" s="44"/>
      <c r="FBH5" s="44"/>
      <c r="FBI5" s="44"/>
      <c r="FBJ5" s="44"/>
      <c r="FBK5" s="44"/>
      <c r="FBL5" s="44"/>
      <c r="FBM5" s="44"/>
      <c r="FBN5" s="44"/>
      <c r="FBO5" s="44"/>
      <c r="FBP5" s="44"/>
      <c r="FBQ5" s="44"/>
      <c r="FBR5" s="44"/>
      <c r="FBS5" s="44"/>
      <c r="FBT5" s="44"/>
      <c r="FBU5" s="44"/>
      <c r="FBV5" s="44"/>
      <c r="FBW5" s="44"/>
      <c r="FBX5" s="44"/>
      <c r="FBY5" s="44"/>
      <c r="FBZ5" s="44"/>
      <c r="FCA5" s="44"/>
      <c r="FCB5" s="44"/>
      <c r="FCC5" s="44"/>
      <c r="FCD5" s="44"/>
      <c r="FCE5" s="44"/>
      <c r="FCF5" s="44"/>
      <c r="FCG5" s="44"/>
      <c r="FCH5" s="44"/>
      <c r="FCI5" s="44"/>
      <c r="FCJ5" s="44"/>
      <c r="FCK5" s="44"/>
      <c r="FCL5" s="44"/>
      <c r="FCM5" s="44"/>
      <c r="FCN5" s="44"/>
      <c r="FCO5" s="44"/>
      <c r="FCP5" s="44"/>
      <c r="FCQ5" s="44"/>
      <c r="FCR5" s="44"/>
      <c r="FCS5" s="44"/>
      <c r="FCT5" s="44"/>
      <c r="FCU5" s="44"/>
      <c r="FCV5" s="44"/>
      <c r="FCW5" s="44"/>
      <c r="FCX5" s="44"/>
      <c r="FCY5" s="44"/>
      <c r="FCZ5" s="44"/>
      <c r="FDA5" s="44"/>
      <c r="FDB5" s="44"/>
      <c r="FDC5" s="44"/>
      <c r="FDD5" s="44"/>
      <c r="FDE5" s="44"/>
      <c r="FDF5" s="44"/>
      <c r="FDG5" s="44"/>
      <c r="FDH5" s="44"/>
      <c r="FDI5" s="44"/>
      <c r="FDJ5" s="44"/>
      <c r="FDK5" s="44"/>
      <c r="FDL5" s="44"/>
      <c r="FDM5" s="44"/>
      <c r="FDN5" s="44"/>
      <c r="FDO5" s="44"/>
      <c r="FDP5" s="44"/>
      <c r="FDQ5" s="44"/>
      <c r="FDR5" s="44"/>
      <c r="FDS5" s="44"/>
      <c r="FDT5" s="44"/>
      <c r="FDU5" s="44"/>
      <c r="FDV5" s="44"/>
      <c r="FDW5" s="44"/>
      <c r="FDX5" s="44"/>
      <c r="FDY5" s="44"/>
      <c r="FDZ5" s="44"/>
      <c r="FEA5" s="44"/>
      <c r="FEB5" s="44"/>
      <c r="FEC5" s="44"/>
      <c r="FED5" s="44"/>
      <c r="FEE5" s="44"/>
      <c r="FEF5" s="44"/>
      <c r="FEG5" s="44"/>
      <c r="FEH5" s="44"/>
      <c r="FEI5" s="44"/>
      <c r="FEJ5" s="44"/>
      <c r="FEK5" s="44"/>
      <c r="FEL5" s="44"/>
      <c r="FEM5" s="44"/>
      <c r="FEN5" s="44"/>
      <c r="FEO5" s="44"/>
      <c r="FEP5" s="44"/>
      <c r="FEQ5" s="44"/>
      <c r="FER5" s="44"/>
      <c r="FES5" s="44"/>
      <c r="FET5" s="44"/>
      <c r="FEU5" s="44"/>
      <c r="FEV5" s="44"/>
      <c r="FEW5" s="44"/>
      <c r="FEX5" s="44"/>
      <c r="FEY5" s="44"/>
      <c r="FEZ5" s="44"/>
      <c r="FFA5" s="44"/>
      <c r="FFB5" s="44"/>
      <c r="FFC5" s="44"/>
      <c r="FFD5" s="44"/>
      <c r="FFE5" s="44"/>
      <c r="FFF5" s="44"/>
      <c r="FFG5" s="44"/>
      <c r="FFH5" s="44"/>
      <c r="FFI5" s="44"/>
      <c r="FFJ5" s="44"/>
      <c r="FFK5" s="44"/>
      <c r="FFL5" s="44"/>
      <c r="FFM5" s="44"/>
      <c r="FFN5" s="44"/>
      <c r="FFO5" s="44"/>
      <c r="FFP5" s="44"/>
      <c r="FFQ5" s="44"/>
      <c r="FFR5" s="44"/>
      <c r="FFS5" s="44"/>
      <c r="FFT5" s="44"/>
      <c r="FFU5" s="44"/>
      <c r="FFV5" s="44"/>
      <c r="FFW5" s="44"/>
      <c r="FFX5" s="44"/>
      <c r="FFY5" s="44"/>
      <c r="FFZ5" s="44"/>
      <c r="FGA5" s="44"/>
      <c r="FGB5" s="44"/>
      <c r="FGC5" s="44"/>
      <c r="FGD5" s="44"/>
      <c r="FGE5" s="44"/>
      <c r="FGF5" s="44"/>
      <c r="FGG5" s="44"/>
      <c r="FGH5" s="44"/>
      <c r="FGI5" s="44"/>
      <c r="FGJ5" s="44"/>
      <c r="FGK5" s="44"/>
      <c r="FGL5" s="44"/>
      <c r="FGM5" s="44"/>
      <c r="FGN5" s="44"/>
      <c r="FGO5" s="44"/>
      <c r="FGP5" s="44"/>
      <c r="FGQ5" s="44"/>
      <c r="FGR5" s="44"/>
      <c r="FGS5" s="44"/>
      <c r="FGT5" s="44"/>
      <c r="FGU5" s="44"/>
      <c r="FGV5" s="44"/>
      <c r="FGW5" s="44"/>
      <c r="FGX5" s="44"/>
      <c r="FGY5" s="44"/>
      <c r="FGZ5" s="44"/>
      <c r="FHA5" s="44"/>
      <c r="FHB5" s="44"/>
      <c r="FHC5" s="44"/>
      <c r="FHD5" s="44"/>
      <c r="FHE5" s="44"/>
      <c r="FHF5" s="44"/>
      <c r="FHG5" s="44"/>
      <c r="FHH5" s="44"/>
      <c r="FHI5" s="44"/>
      <c r="FHJ5" s="44"/>
      <c r="FHK5" s="44"/>
      <c r="FHL5" s="44"/>
      <c r="FHM5" s="44"/>
      <c r="FHN5" s="44"/>
      <c r="FHO5" s="44"/>
      <c r="FHP5" s="44"/>
      <c r="FHQ5" s="44"/>
      <c r="FHR5" s="44"/>
      <c r="FHS5" s="44"/>
      <c r="FHT5" s="44"/>
      <c r="FHU5" s="44"/>
      <c r="FHV5" s="44"/>
      <c r="FHW5" s="44"/>
      <c r="FHX5" s="44"/>
      <c r="FHY5" s="44"/>
      <c r="FHZ5" s="44"/>
      <c r="FIA5" s="44"/>
      <c r="FIB5" s="44"/>
      <c r="FIC5" s="44"/>
      <c r="FID5" s="44"/>
      <c r="FIE5" s="44"/>
      <c r="FIF5" s="44"/>
      <c r="FIG5" s="44"/>
      <c r="FIH5" s="44"/>
      <c r="FII5" s="44"/>
      <c r="FIJ5" s="44"/>
      <c r="FIK5" s="44"/>
      <c r="FIL5" s="44"/>
      <c r="FIM5" s="44"/>
      <c r="FIN5" s="44"/>
      <c r="FIO5" s="44"/>
      <c r="FIP5" s="44"/>
      <c r="FIQ5" s="44"/>
      <c r="FIR5" s="44"/>
      <c r="FIS5" s="44"/>
      <c r="FIT5" s="44"/>
      <c r="FIU5" s="44"/>
      <c r="FIV5" s="44"/>
      <c r="FIW5" s="44"/>
      <c r="FIX5" s="44"/>
      <c r="FIY5" s="44"/>
      <c r="FIZ5" s="44"/>
      <c r="FJA5" s="44"/>
      <c r="FJB5" s="44"/>
      <c r="FJC5" s="44"/>
      <c r="FJD5" s="44"/>
      <c r="FJE5" s="44"/>
      <c r="FJF5" s="44"/>
      <c r="FJG5" s="44"/>
      <c r="FJH5" s="44"/>
      <c r="FJI5" s="44"/>
      <c r="FJJ5" s="44"/>
      <c r="FJK5" s="44"/>
      <c r="FJL5" s="44"/>
      <c r="FJM5" s="44"/>
      <c r="FJN5" s="44"/>
      <c r="FJO5" s="44"/>
      <c r="FJP5" s="44"/>
      <c r="FJQ5" s="44"/>
      <c r="FJR5" s="44"/>
      <c r="FJS5" s="44"/>
      <c r="FJT5" s="44"/>
      <c r="FJU5" s="44"/>
      <c r="FJV5" s="44"/>
      <c r="FJW5" s="44"/>
      <c r="FJX5" s="44"/>
      <c r="FJY5" s="44"/>
      <c r="FJZ5" s="44"/>
      <c r="FKA5" s="44"/>
      <c r="FKB5" s="44"/>
      <c r="FKC5" s="44"/>
      <c r="FKD5" s="44"/>
      <c r="FKE5" s="44"/>
      <c r="FKF5" s="44"/>
      <c r="FKG5" s="44"/>
      <c r="FKH5" s="44"/>
      <c r="FKI5" s="44"/>
      <c r="FKJ5" s="44"/>
      <c r="FKK5" s="44"/>
      <c r="FKL5" s="44"/>
      <c r="FKM5" s="44"/>
      <c r="FKN5" s="44"/>
      <c r="FKO5" s="44"/>
      <c r="FKP5" s="44"/>
      <c r="FKQ5" s="44"/>
      <c r="FKR5" s="44"/>
      <c r="FKS5" s="44"/>
      <c r="FKT5" s="44"/>
      <c r="FKU5" s="44"/>
      <c r="FKV5" s="44"/>
      <c r="FKW5" s="44"/>
      <c r="FKX5" s="44"/>
      <c r="FKY5" s="44"/>
      <c r="FKZ5" s="44"/>
      <c r="FLA5" s="44"/>
      <c r="FLB5" s="44"/>
      <c r="FLC5" s="44"/>
      <c r="FLD5" s="44"/>
      <c r="FLE5" s="44"/>
      <c r="FLF5" s="44"/>
      <c r="FLG5" s="44"/>
      <c r="FLH5" s="44"/>
      <c r="FLI5" s="44"/>
      <c r="FLJ5" s="44"/>
      <c r="FLK5" s="44"/>
      <c r="FLL5" s="44"/>
      <c r="FLM5" s="44"/>
      <c r="FLN5" s="44"/>
      <c r="FLO5" s="44"/>
      <c r="FLP5" s="44"/>
      <c r="FLQ5" s="44"/>
      <c r="FLR5" s="44"/>
      <c r="FLS5" s="44"/>
      <c r="FLT5" s="44"/>
      <c r="FLU5" s="44"/>
      <c r="FLV5" s="44"/>
      <c r="FLW5" s="44"/>
      <c r="FLX5" s="44"/>
      <c r="FLY5" s="44"/>
      <c r="FLZ5" s="44"/>
      <c r="FMA5" s="44"/>
      <c r="FMB5" s="44"/>
      <c r="FMC5" s="44"/>
      <c r="FMD5" s="44"/>
      <c r="FME5" s="44"/>
      <c r="FMF5" s="44"/>
      <c r="FMG5" s="44"/>
      <c r="FMH5" s="44"/>
      <c r="FMI5" s="44"/>
      <c r="FMJ5" s="44"/>
      <c r="FMK5" s="44"/>
      <c r="FML5" s="44"/>
      <c r="FMM5" s="44"/>
      <c r="FMN5" s="44"/>
      <c r="FMO5" s="44"/>
      <c r="FMP5" s="44"/>
      <c r="FMQ5" s="44"/>
      <c r="FMR5" s="44"/>
      <c r="FMS5" s="44"/>
      <c r="FMT5" s="44"/>
      <c r="FMU5" s="44"/>
      <c r="FMV5" s="44"/>
      <c r="FMW5" s="44"/>
      <c r="FMX5" s="44"/>
      <c r="FMY5" s="44"/>
      <c r="FMZ5" s="44"/>
      <c r="FNA5" s="44"/>
      <c r="FNB5" s="44"/>
      <c r="FNC5" s="44"/>
      <c r="FND5" s="44"/>
      <c r="FNE5" s="44"/>
      <c r="FNF5" s="44"/>
      <c r="FNG5" s="44"/>
      <c r="FNH5" s="44"/>
      <c r="FNI5" s="44"/>
      <c r="FNJ5" s="44"/>
      <c r="FNK5" s="44"/>
      <c r="FNL5" s="44"/>
      <c r="FNM5" s="44"/>
      <c r="FNN5" s="44"/>
      <c r="FNO5" s="44"/>
      <c r="FNP5" s="44"/>
      <c r="FNQ5" s="44"/>
      <c r="FNR5" s="44"/>
      <c r="FNS5" s="44"/>
      <c r="FNT5" s="44"/>
      <c r="FNU5" s="44"/>
      <c r="FNV5" s="44"/>
      <c r="FNW5" s="44"/>
      <c r="FNX5" s="44"/>
      <c r="FNY5" s="44"/>
      <c r="FNZ5" s="44"/>
      <c r="FOA5" s="44"/>
      <c r="FOB5" s="44"/>
      <c r="FOC5" s="44"/>
      <c r="FOD5" s="44"/>
      <c r="FOE5" s="44"/>
      <c r="FOF5" s="44"/>
      <c r="FOG5" s="44"/>
      <c r="FOH5" s="44"/>
      <c r="FOI5" s="44"/>
      <c r="FOJ5" s="44"/>
      <c r="FOK5" s="44"/>
      <c r="FOL5" s="44"/>
      <c r="FOM5" s="44"/>
      <c r="FON5" s="44"/>
      <c r="FOO5" s="44"/>
      <c r="FOP5" s="44"/>
      <c r="FOQ5" s="44"/>
      <c r="FOR5" s="44"/>
      <c r="FOS5" s="44"/>
      <c r="FOT5" s="44"/>
      <c r="FOU5" s="44"/>
      <c r="FOV5" s="44"/>
      <c r="FOW5" s="44"/>
      <c r="FOX5" s="44"/>
      <c r="FOY5" s="44"/>
      <c r="FOZ5" s="44"/>
      <c r="FPA5" s="44"/>
      <c r="FPB5" s="44"/>
      <c r="FPC5" s="44"/>
      <c r="FPD5" s="44"/>
      <c r="FPE5" s="44"/>
      <c r="FPF5" s="44"/>
      <c r="FPG5" s="44"/>
      <c r="FPH5" s="44"/>
      <c r="FPI5" s="44"/>
      <c r="FPJ5" s="44"/>
      <c r="FPK5" s="44"/>
      <c r="FPL5" s="44"/>
      <c r="FPM5" s="44"/>
      <c r="FPN5" s="44"/>
      <c r="FPO5" s="44"/>
      <c r="FPP5" s="44"/>
      <c r="FPQ5" s="44"/>
      <c r="FPR5" s="44"/>
      <c r="FPS5" s="44"/>
      <c r="FPT5" s="44"/>
      <c r="FPU5" s="44"/>
      <c r="FPV5" s="44"/>
      <c r="FPW5" s="44"/>
      <c r="FPX5" s="44"/>
      <c r="FPY5" s="44"/>
      <c r="FPZ5" s="44"/>
      <c r="FQA5" s="44"/>
      <c r="FQB5" s="44"/>
      <c r="FQC5" s="44"/>
      <c r="FQD5" s="44"/>
      <c r="FQE5" s="44"/>
      <c r="FQF5" s="44"/>
      <c r="FQG5" s="44"/>
      <c r="FQH5" s="44"/>
      <c r="FQI5" s="44"/>
      <c r="FQJ5" s="44"/>
      <c r="FQK5" s="44"/>
      <c r="FQL5" s="44"/>
      <c r="FQM5" s="44"/>
      <c r="FQN5" s="44"/>
      <c r="FQO5" s="44"/>
      <c r="FQP5" s="44"/>
      <c r="FQQ5" s="44"/>
      <c r="FQR5" s="44"/>
      <c r="FQS5" s="44"/>
      <c r="FQT5" s="44"/>
      <c r="FQU5" s="44"/>
      <c r="FQV5" s="44"/>
      <c r="FQW5" s="44"/>
      <c r="FQX5" s="44"/>
      <c r="FQY5" s="44"/>
      <c r="FQZ5" s="44"/>
      <c r="FRA5" s="44"/>
      <c r="FRB5" s="44"/>
      <c r="FRC5" s="44"/>
      <c r="FRD5" s="44"/>
      <c r="FRE5" s="44"/>
      <c r="FRF5" s="44"/>
      <c r="FRG5" s="44"/>
      <c r="FRH5" s="44"/>
      <c r="FRI5" s="44"/>
      <c r="FRJ5" s="44"/>
      <c r="FRK5" s="44"/>
      <c r="FRL5" s="44"/>
      <c r="FRM5" s="44"/>
      <c r="FRN5" s="44"/>
      <c r="FRO5" s="44"/>
      <c r="FRP5" s="44"/>
      <c r="FRQ5" s="44"/>
      <c r="FRR5" s="44"/>
      <c r="FRS5" s="44"/>
      <c r="FRT5" s="44"/>
      <c r="FRU5" s="44"/>
      <c r="FRV5" s="44"/>
      <c r="FRW5" s="44"/>
      <c r="FRX5" s="44"/>
      <c r="FRY5" s="44"/>
      <c r="FRZ5" s="44"/>
      <c r="FSA5" s="44"/>
      <c r="FSB5" s="44"/>
      <c r="FSC5" s="44"/>
      <c r="FSD5" s="44"/>
      <c r="FSE5" s="44"/>
      <c r="FSF5" s="44"/>
      <c r="FSG5" s="44"/>
      <c r="FSH5" s="44"/>
      <c r="FSI5" s="44"/>
      <c r="FSJ5" s="44"/>
      <c r="FSK5" s="44"/>
      <c r="FSL5" s="44"/>
      <c r="FSM5" s="44"/>
      <c r="FSN5" s="44"/>
      <c r="FSO5" s="44"/>
      <c r="FSP5" s="44"/>
      <c r="FSQ5" s="44"/>
      <c r="FSR5" s="44"/>
      <c r="FSS5" s="44"/>
      <c r="FST5" s="44"/>
      <c r="FSU5" s="44"/>
      <c r="FSV5" s="44"/>
      <c r="FSW5" s="44"/>
      <c r="FSX5" s="44"/>
      <c r="FSY5" s="44"/>
      <c r="FSZ5" s="44"/>
      <c r="FTA5" s="44"/>
      <c r="FTB5" s="44"/>
      <c r="FTC5" s="44"/>
      <c r="FTD5" s="44"/>
      <c r="FTE5" s="44"/>
      <c r="FTF5" s="44"/>
      <c r="FTG5" s="44"/>
      <c r="FTH5" s="44"/>
      <c r="FTI5" s="44"/>
      <c r="FTJ5" s="44"/>
      <c r="FTK5" s="44"/>
      <c r="FTL5" s="44"/>
      <c r="FTM5" s="44"/>
      <c r="FTN5" s="44"/>
      <c r="FTO5" s="44"/>
      <c r="FTP5" s="44"/>
      <c r="FTQ5" s="44"/>
      <c r="FTR5" s="44"/>
      <c r="FTS5" s="44"/>
      <c r="FTT5" s="44"/>
      <c r="FTU5" s="44"/>
      <c r="FTV5" s="44"/>
      <c r="FTW5" s="44"/>
      <c r="FTX5" s="44"/>
      <c r="FTY5" s="44"/>
      <c r="FTZ5" s="44"/>
      <c r="FUA5" s="44"/>
      <c r="FUB5" s="44"/>
      <c r="FUC5" s="44"/>
      <c r="FUD5" s="44"/>
      <c r="FUE5" s="44"/>
      <c r="FUF5" s="44"/>
      <c r="FUG5" s="44"/>
      <c r="FUH5" s="44"/>
      <c r="FUI5" s="44"/>
      <c r="FUJ5" s="44"/>
      <c r="FUK5" s="44"/>
      <c r="FUL5" s="44"/>
      <c r="FUM5" s="44"/>
      <c r="FUN5" s="44"/>
      <c r="FUO5" s="44"/>
      <c r="FUP5" s="44"/>
      <c r="FUQ5" s="44"/>
      <c r="FUR5" s="44"/>
      <c r="FUS5" s="44"/>
      <c r="FUT5" s="44"/>
      <c r="FUU5" s="44"/>
      <c r="FUV5" s="44"/>
      <c r="FUW5" s="44"/>
      <c r="FUX5" s="44"/>
      <c r="FUY5" s="44"/>
      <c r="FUZ5" s="44"/>
      <c r="FVA5" s="44"/>
      <c r="FVB5" s="44"/>
      <c r="FVC5" s="44"/>
      <c r="FVD5" s="44"/>
      <c r="FVE5" s="44"/>
      <c r="FVF5" s="44"/>
      <c r="FVG5" s="44"/>
      <c r="FVH5" s="44"/>
      <c r="FVI5" s="44"/>
      <c r="FVJ5" s="44"/>
      <c r="FVK5" s="44"/>
      <c r="FVL5" s="44"/>
      <c r="FVM5" s="44"/>
      <c r="FVN5" s="44"/>
      <c r="FVO5" s="44"/>
      <c r="FVP5" s="44"/>
      <c r="FVQ5" s="44"/>
      <c r="FVR5" s="44"/>
      <c r="FVS5" s="44"/>
      <c r="FVT5" s="44"/>
      <c r="FVU5" s="44"/>
      <c r="FVV5" s="44"/>
      <c r="FVW5" s="44"/>
      <c r="FVX5" s="44"/>
      <c r="FVY5" s="44"/>
      <c r="FVZ5" s="44"/>
      <c r="FWA5" s="44"/>
      <c r="FWB5" s="44"/>
      <c r="FWC5" s="44"/>
      <c r="FWD5" s="44"/>
      <c r="FWE5" s="44"/>
      <c r="FWF5" s="44"/>
      <c r="FWG5" s="44"/>
      <c r="FWH5" s="44"/>
      <c r="FWI5" s="44"/>
      <c r="FWJ5" s="44"/>
      <c r="FWK5" s="44"/>
      <c r="FWL5" s="44"/>
      <c r="FWM5" s="44"/>
      <c r="FWN5" s="44"/>
      <c r="FWO5" s="44"/>
      <c r="FWP5" s="44"/>
      <c r="FWQ5" s="44"/>
      <c r="FWR5" s="44"/>
      <c r="FWS5" s="44"/>
      <c r="FWT5" s="44"/>
      <c r="FWU5" s="44"/>
      <c r="FWV5" s="44"/>
      <c r="FWW5" s="44"/>
      <c r="FWX5" s="44"/>
      <c r="FWY5" s="44"/>
      <c r="FWZ5" s="44"/>
      <c r="FXA5" s="44"/>
      <c r="FXB5" s="44"/>
      <c r="FXC5" s="44"/>
      <c r="FXD5" s="44"/>
      <c r="FXE5" s="44"/>
      <c r="FXF5" s="44"/>
      <c r="FXG5" s="44"/>
      <c r="FXH5" s="44"/>
      <c r="FXI5" s="44"/>
      <c r="FXJ5" s="44"/>
      <c r="FXK5" s="44"/>
      <c r="FXL5" s="44"/>
      <c r="FXM5" s="44"/>
      <c r="FXN5" s="44"/>
      <c r="FXO5" s="44"/>
      <c r="FXP5" s="44"/>
      <c r="FXQ5" s="44"/>
      <c r="FXR5" s="44"/>
      <c r="FXS5" s="44"/>
      <c r="FXT5" s="44"/>
      <c r="FXU5" s="44"/>
      <c r="FXV5" s="44"/>
      <c r="FXW5" s="44"/>
      <c r="FXX5" s="44"/>
      <c r="FXY5" s="44"/>
      <c r="FXZ5" s="44"/>
      <c r="FYA5" s="44"/>
      <c r="FYB5" s="44"/>
      <c r="FYC5" s="44"/>
      <c r="FYD5" s="44"/>
      <c r="FYE5" s="44"/>
      <c r="FYF5" s="44"/>
      <c r="FYG5" s="44"/>
      <c r="FYH5" s="44"/>
      <c r="FYI5" s="44"/>
      <c r="FYJ5" s="44"/>
      <c r="FYK5" s="44"/>
      <c r="FYL5" s="44"/>
      <c r="FYM5" s="44"/>
      <c r="FYN5" s="44"/>
      <c r="FYO5" s="44"/>
      <c r="FYP5" s="44"/>
      <c r="FYQ5" s="44"/>
      <c r="FYR5" s="44"/>
      <c r="FYS5" s="44"/>
      <c r="FYT5" s="44"/>
      <c r="FYU5" s="44"/>
      <c r="FYV5" s="44"/>
      <c r="FYW5" s="44"/>
      <c r="FYX5" s="44"/>
      <c r="FYY5" s="44"/>
      <c r="FYZ5" s="44"/>
      <c r="FZA5" s="44"/>
      <c r="FZB5" s="44"/>
      <c r="FZC5" s="44"/>
      <c r="FZD5" s="44"/>
      <c r="FZE5" s="44"/>
      <c r="FZF5" s="44"/>
      <c r="FZG5" s="44"/>
      <c r="FZH5" s="44"/>
      <c r="FZI5" s="44"/>
      <c r="FZJ5" s="44"/>
      <c r="FZK5" s="44"/>
      <c r="FZL5" s="44"/>
      <c r="FZM5" s="44"/>
      <c r="FZN5" s="44"/>
      <c r="FZO5" s="44"/>
      <c r="FZP5" s="44"/>
      <c r="FZQ5" s="44"/>
      <c r="FZR5" s="44"/>
      <c r="FZS5" s="44"/>
      <c r="FZT5" s="44"/>
      <c r="FZU5" s="44"/>
      <c r="FZV5" s="44"/>
      <c r="FZW5" s="44"/>
      <c r="FZX5" s="44"/>
      <c r="FZY5" s="44"/>
      <c r="FZZ5" s="44"/>
      <c r="GAA5" s="44"/>
      <c r="GAB5" s="44"/>
      <c r="GAC5" s="44"/>
      <c r="GAD5" s="44"/>
      <c r="GAE5" s="44"/>
      <c r="GAF5" s="44"/>
      <c r="GAG5" s="44"/>
      <c r="GAH5" s="44"/>
      <c r="GAI5" s="44"/>
      <c r="GAJ5" s="44"/>
      <c r="GAK5" s="44"/>
      <c r="GAL5" s="44"/>
      <c r="GAM5" s="44"/>
      <c r="GAN5" s="44"/>
      <c r="GAO5" s="44"/>
      <c r="GAP5" s="44"/>
      <c r="GAQ5" s="44"/>
      <c r="GAR5" s="44"/>
      <c r="GAS5" s="44"/>
      <c r="GAT5" s="44"/>
      <c r="GAU5" s="44"/>
      <c r="GAV5" s="44"/>
      <c r="GAW5" s="44"/>
      <c r="GAX5" s="44"/>
      <c r="GAY5" s="44"/>
      <c r="GAZ5" s="44"/>
      <c r="GBA5" s="44"/>
      <c r="GBB5" s="44"/>
      <c r="GBC5" s="44"/>
      <c r="GBD5" s="44"/>
      <c r="GBE5" s="44"/>
      <c r="GBF5" s="44"/>
      <c r="GBG5" s="44"/>
      <c r="GBH5" s="44"/>
      <c r="GBI5" s="44"/>
      <c r="GBJ5" s="44"/>
      <c r="GBK5" s="44"/>
      <c r="GBL5" s="44"/>
      <c r="GBM5" s="44"/>
      <c r="GBN5" s="44"/>
      <c r="GBO5" s="44"/>
      <c r="GBP5" s="44"/>
      <c r="GBQ5" s="44"/>
      <c r="GBR5" s="44"/>
      <c r="GBS5" s="44"/>
      <c r="GBT5" s="44"/>
      <c r="GBU5" s="44"/>
      <c r="GBV5" s="44"/>
      <c r="GBW5" s="44"/>
      <c r="GBX5" s="44"/>
      <c r="GBY5" s="44"/>
      <c r="GBZ5" s="44"/>
      <c r="GCA5" s="44"/>
      <c r="GCB5" s="44"/>
      <c r="GCC5" s="44"/>
      <c r="GCD5" s="44"/>
      <c r="GCE5" s="44"/>
      <c r="GCF5" s="44"/>
      <c r="GCG5" s="44"/>
      <c r="GCH5" s="44"/>
      <c r="GCI5" s="44"/>
      <c r="GCJ5" s="44"/>
      <c r="GCK5" s="44"/>
      <c r="GCL5" s="44"/>
      <c r="GCM5" s="44"/>
      <c r="GCN5" s="44"/>
      <c r="GCO5" s="44"/>
      <c r="GCP5" s="44"/>
      <c r="GCQ5" s="44"/>
      <c r="GCR5" s="44"/>
      <c r="GCS5" s="44"/>
      <c r="GCT5" s="44"/>
      <c r="GCU5" s="44"/>
      <c r="GCV5" s="44"/>
      <c r="GCW5" s="44"/>
      <c r="GCX5" s="44"/>
      <c r="GCY5" s="44"/>
      <c r="GCZ5" s="44"/>
      <c r="GDA5" s="44"/>
      <c r="GDB5" s="44"/>
      <c r="GDC5" s="44"/>
      <c r="GDD5" s="44"/>
      <c r="GDE5" s="44"/>
      <c r="GDF5" s="44"/>
      <c r="GDG5" s="44"/>
      <c r="GDH5" s="44"/>
      <c r="GDI5" s="44"/>
      <c r="GDJ5" s="44"/>
      <c r="GDK5" s="44"/>
      <c r="GDL5" s="44"/>
      <c r="GDM5" s="44"/>
      <c r="GDN5" s="44"/>
      <c r="GDO5" s="44"/>
      <c r="GDP5" s="44"/>
      <c r="GDQ5" s="44"/>
      <c r="GDR5" s="44"/>
      <c r="GDS5" s="44"/>
      <c r="GDT5" s="44"/>
      <c r="GDU5" s="44"/>
      <c r="GDV5" s="44"/>
      <c r="GDW5" s="44"/>
      <c r="GDX5" s="44"/>
      <c r="GDY5" s="44"/>
      <c r="GDZ5" s="44"/>
      <c r="GEA5" s="44"/>
      <c r="GEB5" s="44"/>
      <c r="GEC5" s="44"/>
      <c r="GED5" s="44"/>
      <c r="GEE5" s="44"/>
      <c r="GEF5" s="44"/>
      <c r="GEG5" s="44"/>
      <c r="GEH5" s="44"/>
      <c r="GEI5" s="44"/>
      <c r="GEJ5" s="44"/>
      <c r="GEK5" s="44"/>
      <c r="GEL5" s="44"/>
      <c r="GEM5" s="44"/>
      <c r="GEN5" s="44"/>
      <c r="GEO5" s="44"/>
      <c r="GEP5" s="44"/>
      <c r="GEQ5" s="44"/>
      <c r="GER5" s="44"/>
      <c r="GES5" s="44"/>
      <c r="GET5" s="44"/>
      <c r="GEU5" s="44"/>
      <c r="GEV5" s="44"/>
      <c r="GEW5" s="44"/>
      <c r="GEX5" s="44"/>
      <c r="GEY5" s="44"/>
      <c r="GEZ5" s="44"/>
      <c r="GFA5" s="44"/>
      <c r="GFB5" s="44"/>
      <c r="GFC5" s="44"/>
      <c r="GFD5" s="44"/>
      <c r="GFE5" s="44"/>
      <c r="GFF5" s="44"/>
      <c r="GFG5" s="44"/>
      <c r="GFH5" s="44"/>
      <c r="GFI5" s="44"/>
      <c r="GFJ5" s="44"/>
      <c r="GFK5" s="44"/>
      <c r="GFL5" s="44"/>
      <c r="GFM5" s="44"/>
      <c r="GFN5" s="44"/>
      <c r="GFO5" s="44"/>
      <c r="GFP5" s="44"/>
      <c r="GFQ5" s="44"/>
      <c r="GFR5" s="44"/>
      <c r="GFS5" s="44"/>
      <c r="GFT5" s="44"/>
      <c r="GFU5" s="44"/>
      <c r="GFV5" s="44"/>
      <c r="GFW5" s="44"/>
      <c r="GFX5" s="44"/>
      <c r="GFY5" s="44"/>
      <c r="GFZ5" s="44"/>
      <c r="GGA5" s="44"/>
      <c r="GGB5" s="44"/>
      <c r="GGC5" s="44"/>
      <c r="GGD5" s="44"/>
      <c r="GGE5" s="44"/>
      <c r="GGF5" s="44"/>
      <c r="GGG5" s="44"/>
      <c r="GGH5" s="44"/>
      <c r="GGI5" s="44"/>
      <c r="GGJ5" s="44"/>
      <c r="GGK5" s="44"/>
      <c r="GGL5" s="44"/>
      <c r="GGM5" s="44"/>
      <c r="GGN5" s="44"/>
      <c r="GGO5" s="44"/>
      <c r="GGP5" s="44"/>
      <c r="GGQ5" s="44"/>
      <c r="GGR5" s="44"/>
      <c r="GGS5" s="44"/>
      <c r="GGT5" s="44"/>
      <c r="GGU5" s="44"/>
      <c r="GGV5" s="44"/>
      <c r="GGW5" s="44"/>
      <c r="GGX5" s="44"/>
      <c r="GGY5" s="44"/>
      <c r="GGZ5" s="44"/>
      <c r="GHA5" s="44"/>
      <c r="GHB5" s="44"/>
      <c r="GHC5" s="44"/>
      <c r="GHD5" s="44"/>
      <c r="GHE5" s="44"/>
      <c r="GHF5" s="44"/>
      <c r="GHG5" s="44"/>
      <c r="GHH5" s="44"/>
      <c r="GHI5" s="44"/>
      <c r="GHJ5" s="44"/>
      <c r="GHK5" s="44"/>
      <c r="GHL5" s="44"/>
      <c r="GHM5" s="44"/>
      <c r="GHN5" s="44"/>
      <c r="GHO5" s="44"/>
      <c r="GHP5" s="44"/>
      <c r="GHQ5" s="44"/>
      <c r="GHR5" s="44"/>
      <c r="GHS5" s="44"/>
      <c r="GHT5" s="44"/>
      <c r="GHU5" s="44"/>
      <c r="GHV5" s="44"/>
      <c r="GHW5" s="44"/>
      <c r="GHX5" s="44"/>
      <c r="GHY5" s="44"/>
      <c r="GHZ5" s="44"/>
      <c r="GIA5" s="44"/>
      <c r="GIB5" s="44"/>
      <c r="GIC5" s="44"/>
      <c r="GID5" s="44"/>
      <c r="GIE5" s="44"/>
      <c r="GIF5" s="44"/>
      <c r="GIG5" s="44"/>
      <c r="GIH5" s="44"/>
      <c r="GII5" s="44"/>
      <c r="GIJ5" s="44"/>
      <c r="GIK5" s="44"/>
      <c r="GIL5" s="44"/>
      <c r="GIM5" s="44"/>
      <c r="GIN5" s="44"/>
      <c r="GIO5" s="44"/>
      <c r="GIP5" s="44"/>
      <c r="GIQ5" s="44"/>
      <c r="GIR5" s="44"/>
      <c r="GIS5" s="44"/>
      <c r="GIT5" s="44"/>
      <c r="GIU5" s="44"/>
      <c r="GIV5" s="44"/>
      <c r="GIW5" s="44"/>
      <c r="GIX5" s="44"/>
      <c r="GIY5" s="44"/>
      <c r="GIZ5" s="44"/>
      <c r="GJA5" s="44"/>
      <c r="GJB5" s="44"/>
      <c r="GJC5" s="44"/>
      <c r="GJD5" s="44"/>
      <c r="GJE5" s="44"/>
      <c r="GJF5" s="44"/>
      <c r="GJG5" s="44"/>
      <c r="GJH5" s="44"/>
      <c r="GJI5" s="44"/>
      <c r="GJJ5" s="44"/>
      <c r="GJK5" s="44"/>
      <c r="GJL5" s="44"/>
      <c r="GJM5" s="44"/>
      <c r="GJN5" s="44"/>
      <c r="GJO5" s="44"/>
      <c r="GJP5" s="44"/>
      <c r="GJQ5" s="44"/>
      <c r="GJR5" s="44"/>
      <c r="GJS5" s="44"/>
      <c r="GJT5" s="44"/>
      <c r="GJU5" s="44"/>
      <c r="GJV5" s="44"/>
      <c r="GJW5" s="44"/>
      <c r="GJX5" s="44"/>
      <c r="GJY5" s="44"/>
      <c r="GJZ5" s="44"/>
      <c r="GKA5" s="44"/>
      <c r="GKB5" s="44"/>
      <c r="GKC5" s="44"/>
      <c r="GKD5" s="44"/>
      <c r="GKE5" s="44"/>
      <c r="GKF5" s="44"/>
      <c r="GKG5" s="44"/>
      <c r="GKH5" s="44"/>
      <c r="GKI5" s="44"/>
      <c r="GKJ5" s="44"/>
      <c r="GKK5" s="44"/>
      <c r="GKL5" s="44"/>
      <c r="GKM5" s="44"/>
      <c r="GKN5" s="44"/>
      <c r="GKO5" s="44"/>
      <c r="GKP5" s="44"/>
      <c r="GKQ5" s="44"/>
      <c r="GKR5" s="44"/>
      <c r="GKS5" s="44"/>
      <c r="GKT5" s="44"/>
      <c r="GKU5" s="44"/>
      <c r="GKV5" s="44"/>
      <c r="GKW5" s="44"/>
      <c r="GKX5" s="44"/>
      <c r="GKY5" s="44"/>
      <c r="GKZ5" s="44"/>
      <c r="GLA5" s="44"/>
      <c r="GLB5" s="44"/>
      <c r="GLC5" s="44"/>
      <c r="GLD5" s="44"/>
      <c r="GLE5" s="44"/>
      <c r="GLF5" s="44"/>
      <c r="GLG5" s="44"/>
      <c r="GLH5" s="44"/>
      <c r="GLI5" s="44"/>
      <c r="GLJ5" s="44"/>
      <c r="GLK5" s="44"/>
      <c r="GLL5" s="44"/>
      <c r="GLM5" s="44"/>
      <c r="GLN5" s="44"/>
      <c r="GLO5" s="44"/>
      <c r="GLP5" s="44"/>
      <c r="GLQ5" s="44"/>
      <c r="GLR5" s="44"/>
      <c r="GLS5" s="44"/>
      <c r="GLT5" s="44"/>
      <c r="GLU5" s="44"/>
      <c r="GLV5" s="44"/>
      <c r="GLW5" s="44"/>
      <c r="GLX5" s="44"/>
      <c r="GLY5" s="44"/>
      <c r="GLZ5" s="44"/>
      <c r="GMA5" s="44"/>
      <c r="GMB5" s="44"/>
      <c r="GMC5" s="44"/>
      <c r="GMD5" s="44"/>
      <c r="GME5" s="44"/>
      <c r="GMF5" s="44"/>
      <c r="GMG5" s="44"/>
      <c r="GMH5" s="44"/>
      <c r="GMI5" s="44"/>
      <c r="GMJ5" s="44"/>
      <c r="GMK5" s="44"/>
      <c r="GML5" s="44"/>
      <c r="GMM5" s="44"/>
      <c r="GMN5" s="44"/>
      <c r="GMO5" s="44"/>
      <c r="GMP5" s="44"/>
      <c r="GMQ5" s="44"/>
      <c r="GMR5" s="44"/>
      <c r="GMS5" s="44"/>
      <c r="GMT5" s="44"/>
      <c r="GMU5" s="44"/>
      <c r="GMV5" s="44"/>
      <c r="GMW5" s="44"/>
      <c r="GMX5" s="44"/>
      <c r="GMY5" s="44"/>
      <c r="GMZ5" s="44"/>
      <c r="GNA5" s="44"/>
      <c r="GNB5" s="44"/>
      <c r="GNC5" s="44"/>
      <c r="GND5" s="44"/>
      <c r="GNE5" s="44"/>
      <c r="GNF5" s="44"/>
      <c r="GNG5" s="44"/>
      <c r="GNH5" s="44"/>
      <c r="GNI5" s="44"/>
      <c r="GNJ5" s="44"/>
      <c r="GNK5" s="44"/>
      <c r="GNL5" s="44"/>
      <c r="GNM5" s="44"/>
      <c r="GNN5" s="44"/>
      <c r="GNO5" s="44"/>
      <c r="GNP5" s="44"/>
      <c r="GNQ5" s="44"/>
      <c r="GNR5" s="44"/>
      <c r="GNS5" s="44"/>
      <c r="GNT5" s="44"/>
      <c r="GNU5" s="44"/>
      <c r="GNV5" s="44"/>
      <c r="GNW5" s="44"/>
      <c r="GNX5" s="44"/>
      <c r="GNY5" s="44"/>
      <c r="GNZ5" s="44"/>
      <c r="GOA5" s="44"/>
      <c r="GOB5" s="44"/>
      <c r="GOC5" s="44"/>
      <c r="GOD5" s="44"/>
      <c r="GOE5" s="44"/>
      <c r="GOF5" s="44"/>
      <c r="GOG5" s="44"/>
      <c r="GOH5" s="44"/>
      <c r="GOI5" s="44"/>
      <c r="GOJ5" s="44"/>
      <c r="GOK5" s="44"/>
      <c r="GOL5" s="44"/>
      <c r="GOM5" s="44"/>
      <c r="GON5" s="44"/>
      <c r="GOO5" s="44"/>
      <c r="GOP5" s="44"/>
      <c r="GOQ5" s="44"/>
      <c r="GOR5" s="44"/>
      <c r="GOS5" s="44"/>
      <c r="GOT5" s="44"/>
      <c r="GOU5" s="44"/>
      <c r="GOV5" s="44"/>
      <c r="GOW5" s="44"/>
      <c r="GOX5" s="44"/>
      <c r="GOY5" s="44"/>
      <c r="GOZ5" s="44"/>
      <c r="GPA5" s="44"/>
      <c r="GPB5" s="44"/>
      <c r="GPC5" s="44"/>
      <c r="GPD5" s="44"/>
      <c r="GPE5" s="44"/>
      <c r="GPF5" s="44"/>
      <c r="GPG5" s="44"/>
      <c r="GPH5" s="44"/>
      <c r="GPI5" s="44"/>
      <c r="GPJ5" s="44"/>
      <c r="GPK5" s="44"/>
      <c r="GPL5" s="44"/>
      <c r="GPM5" s="44"/>
      <c r="GPN5" s="44"/>
      <c r="GPO5" s="44"/>
      <c r="GPP5" s="44"/>
      <c r="GPQ5" s="44"/>
      <c r="GPR5" s="44"/>
      <c r="GPS5" s="44"/>
      <c r="GPT5" s="44"/>
      <c r="GPU5" s="44"/>
      <c r="GPV5" s="44"/>
      <c r="GPW5" s="44"/>
      <c r="GPX5" s="44"/>
      <c r="GPY5" s="44"/>
      <c r="GPZ5" s="44"/>
      <c r="GQA5" s="44"/>
      <c r="GQB5" s="44"/>
      <c r="GQC5" s="44"/>
      <c r="GQD5" s="44"/>
      <c r="GQE5" s="44"/>
      <c r="GQF5" s="44"/>
      <c r="GQG5" s="44"/>
      <c r="GQH5" s="44"/>
      <c r="GQI5" s="44"/>
      <c r="GQJ5" s="44"/>
      <c r="GQK5" s="44"/>
      <c r="GQL5" s="44"/>
      <c r="GQM5" s="44"/>
      <c r="GQN5" s="44"/>
      <c r="GQO5" s="44"/>
      <c r="GQP5" s="44"/>
      <c r="GQQ5" s="44"/>
      <c r="GQR5" s="44"/>
      <c r="GQS5" s="44"/>
      <c r="GQT5" s="44"/>
      <c r="GQU5" s="44"/>
      <c r="GQV5" s="44"/>
      <c r="GQW5" s="44"/>
      <c r="GQX5" s="44"/>
      <c r="GQY5" s="44"/>
      <c r="GQZ5" s="44"/>
      <c r="GRA5" s="44"/>
      <c r="GRB5" s="44"/>
      <c r="GRC5" s="44"/>
      <c r="GRD5" s="44"/>
      <c r="GRE5" s="44"/>
      <c r="GRF5" s="44"/>
      <c r="GRG5" s="44"/>
      <c r="GRH5" s="44"/>
      <c r="GRI5" s="44"/>
      <c r="GRJ5" s="44"/>
      <c r="GRK5" s="44"/>
      <c r="GRL5" s="44"/>
      <c r="GRM5" s="44"/>
      <c r="GRN5" s="44"/>
      <c r="GRO5" s="44"/>
      <c r="GRP5" s="44"/>
      <c r="GRQ5" s="44"/>
      <c r="GRR5" s="44"/>
      <c r="GRS5" s="44"/>
      <c r="GRT5" s="44"/>
      <c r="GRU5" s="44"/>
      <c r="GRV5" s="44"/>
      <c r="GRW5" s="44"/>
      <c r="GRX5" s="44"/>
      <c r="GRY5" s="44"/>
      <c r="GRZ5" s="44"/>
      <c r="GSA5" s="44"/>
      <c r="GSB5" s="44"/>
      <c r="GSC5" s="44"/>
      <c r="GSD5" s="44"/>
      <c r="GSE5" s="44"/>
      <c r="GSF5" s="44"/>
      <c r="GSG5" s="44"/>
      <c r="GSH5" s="44"/>
      <c r="GSI5" s="44"/>
      <c r="GSJ5" s="44"/>
      <c r="GSK5" s="44"/>
      <c r="GSL5" s="44"/>
      <c r="GSM5" s="44"/>
      <c r="GSN5" s="44"/>
      <c r="GSO5" s="44"/>
      <c r="GSP5" s="44"/>
      <c r="GSQ5" s="44"/>
      <c r="GSR5" s="44"/>
      <c r="GSS5" s="44"/>
      <c r="GST5" s="44"/>
      <c r="GSU5" s="44"/>
      <c r="GSV5" s="44"/>
      <c r="GSW5" s="44"/>
      <c r="GSX5" s="44"/>
      <c r="GSY5" s="44"/>
      <c r="GSZ5" s="44"/>
      <c r="GTA5" s="44"/>
      <c r="GTB5" s="44"/>
      <c r="GTC5" s="44"/>
      <c r="GTD5" s="44"/>
      <c r="GTE5" s="44"/>
      <c r="GTF5" s="44"/>
      <c r="GTG5" s="44"/>
      <c r="GTH5" s="44"/>
      <c r="GTI5" s="44"/>
      <c r="GTJ5" s="44"/>
      <c r="GTK5" s="44"/>
      <c r="GTL5" s="44"/>
      <c r="GTM5" s="44"/>
      <c r="GTN5" s="44"/>
      <c r="GTO5" s="44"/>
      <c r="GTP5" s="44"/>
      <c r="GTQ5" s="44"/>
      <c r="GTR5" s="44"/>
      <c r="GTS5" s="44"/>
      <c r="GTT5" s="44"/>
      <c r="GTU5" s="44"/>
      <c r="GTV5" s="44"/>
      <c r="GTW5" s="44"/>
      <c r="GTX5" s="44"/>
      <c r="GTY5" s="44"/>
      <c r="GTZ5" s="44"/>
      <c r="GUA5" s="44"/>
      <c r="GUB5" s="44"/>
      <c r="GUC5" s="44"/>
      <c r="GUD5" s="44"/>
      <c r="GUE5" s="44"/>
      <c r="GUF5" s="44"/>
      <c r="GUG5" s="44"/>
      <c r="GUH5" s="44"/>
      <c r="GUI5" s="44"/>
      <c r="GUJ5" s="44"/>
      <c r="GUK5" s="44"/>
      <c r="GUL5" s="44"/>
      <c r="GUM5" s="44"/>
      <c r="GUN5" s="44"/>
      <c r="GUO5" s="44"/>
      <c r="GUP5" s="44"/>
      <c r="GUQ5" s="44"/>
      <c r="GUR5" s="44"/>
      <c r="GUS5" s="44"/>
      <c r="GUT5" s="44"/>
      <c r="GUU5" s="44"/>
      <c r="GUV5" s="44"/>
      <c r="GUW5" s="44"/>
      <c r="GUX5" s="44"/>
      <c r="GUY5" s="44"/>
      <c r="GUZ5" s="44"/>
      <c r="GVA5" s="44"/>
      <c r="GVB5" s="44"/>
      <c r="GVC5" s="44"/>
      <c r="GVD5" s="44"/>
      <c r="GVE5" s="44"/>
      <c r="GVF5" s="44"/>
      <c r="GVG5" s="44"/>
      <c r="GVH5" s="44"/>
      <c r="GVI5" s="44"/>
      <c r="GVJ5" s="44"/>
      <c r="GVK5" s="44"/>
      <c r="GVL5" s="44"/>
      <c r="GVM5" s="44"/>
      <c r="GVN5" s="44"/>
      <c r="GVO5" s="44"/>
      <c r="GVP5" s="44"/>
      <c r="GVQ5" s="44"/>
      <c r="GVR5" s="44"/>
      <c r="GVS5" s="44"/>
      <c r="GVT5" s="44"/>
      <c r="GVU5" s="44"/>
      <c r="GVV5" s="44"/>
      <c r="GVW5" s="44"/>
      <c r="GVX5" s="44"/>
      <c r="GVY5" s="44"/>
      <c r="GVZ5" s="44"/>
      <c r="GWA5" s="44"/>
      <c r="GWB5" s="44"/>
      <c r="GWC5" s="44"/>
      <c r="GWD5" s="44"/>
      <c r="GWE5" s="44"/>
      <c r="GWF5" s="44"/>
      <c r="GWG5" s="44"/>
      <c r="GWH5" s="44"/>
      <c r="GWI5" s="44"/>
      <c r="GWJ5" s="44"/>
      <c r="GWK5" s="44"/>
      <c r="GWL5" s="44"/>
      <c r="GWM5" s="44"/>
      <c r="GWN5" s="44"/>
      <c r="GWO5" s="44"/>
      <c r="GWP5" s="44"/>
      <c r="GWQ5" s="44"/>
      <c r="GWR5" s="44"/>
      <c r="GWS5" s="44"/>
      <c r="GWT5" s="44"/>
      <c r="GWU5" s="44"/>
      <c r="GWV5" s="44"/>
      <c r="GWW5" s="44"/>
      <c r="GWX5" s="44"/>
      <c r="GWY5" s="44"/>
      <c r="GWZ5" s="44"/>
      <c r="GXA5" s="44"/>
      <c r="GXB5" s="44"/>
      <c r="GXC5" s="44"/>
      <c r="GXD5" s="44"/>
      <c r="GXE5" s="44"/>
      <c r="GXF5" s="44"/>
      <c r="GXG5" s="44"/>
      <c r="GXH5" s="44"/>
      <c r="GXI5" s="44"/>
      <c r="GXJ5" s="44"/>
      <c r="GXK5" s="44"/>
      <c r="GXL5" s="44"/>
      <c r="GXM5" s="44"/>
      <c r="GXN5" s="44"/>
      <c r="GXO5" s="44"/>
      <c r="GXP5" s="44"/>
      <c r="GXQ5" s="44"/>
      <c r="GXR5" s="44"/>
      <c r="GXS5" s="44"/>
      <c r="GXT5" s="44"/>
      <c r="GXU5" s="44"/>
      <c r="GXV5" s="44"/>
      <c r="GXW5" s="44"/>
      <c r="GXX5" s="44"/>
      <c r="GXY5" s="44"/>
      <c r="GXZ5" s="44"/>
      <c r="GYA5" s="44"/>
      <c r="GYB5" s="44"/>
      <c r="GYC5" s="44"/>
      <c r="GYD5" s="44"/>
      <c r="GYE5" s="44"/>
      <c r="GYF5" s="44"/>
      <c r="GYG5" s="44"/>
      <c r="GYH5" s="44"/>
      <c r="GYI5" s="44"/>
      <c r="GYJ5" s="44"/>
      <c r="GYK5" s="44"/>
      <c r="GYL5" s="44"/>
      <c r="GYM5" s="44"/>
      <c r="GYN5" s="44"/>
      <c r="GYO5" s="44"/>
      <c r="GYP5" s="44"/>
      <c r="GYQ5" s="44"/>
      <c r="GYR5" s="44"/>
      <c r="GYS5" s="44"/>
      <c r="GYT5" s="44"/>
      <c r="GYU5" s="44"/>
      <c r="GYV5" s="44"/>
      <c r="GYW5" s="44"/>
      <c r="GYX5" s="44"/>
      <c r="GYY5" s="44"/>
      <c r="GYZ5" s="44"/>
      <c r="GZA5" s="44"/>
      <c r="GZB5" s="44"/>
      <c r="GZC5" s="44"/>
      <c r="GZD5" s="44"/>
      <c r="GZE5" s="44"/>
      <c r="GZF5" s="44"/>
      <c r="GZG5" s="44"/>
      <c r="GZH5" s="44"/>
      <c r="GZI5" s="44"/>
      <c r="GZJ5" s="44"/>
      <c r="GZK5" s="44"/>
      <c r="GZL5" s="44"/>
      <c r="GZM5" s="44"/>
      <c r="GZN5" s="44"/>
      <c r="GZO5" s="44"/>
      <c r="GZP5" s="44"/>
      <c r="GZQ5" s="44"/>
      <c r="GZR5" s="44"/>
      <c r="GZS5" s="44"/>
      <c r="GZT5" s="44"/>
      <c r="GZU5" s="44"/>
      <c r="GZV5" s="44"/>
      <c r="GZW5" s="44"/>
      <c r="GZX5" s="44"/>
      <c r="GZY5" s="44"/>
      <c r="GZZ5" s="44"/>
      <c r="HAA5" s="44"/>
      <c r="HAB5" s="44"/>
      <c r="HAC5" s="44"/>
      <c r="HAD5" s="44"/>
      <c r="HAE5" s="44"/>
      <c r="HAF5" s="44"/>
      <c r="HAG5" s="44"/>
      <c r="HAH5" s="44"/>
      <c r="HAI5" s="44"/>
      <c r="HAJ5" s="44"/>
      <c r="HAK5" s="44"/>
      <c r="HAL5" s="44"/>
      <c r="HAM5" s="44"/>
      <c r="HAN5" s="44"/>
      <c r="HAO5" s="44"/>
      <c r="HAP5" s="44"/>
      <c r="HAQ5" s="44"/>
      <c r="HAR5" s="44"/>
      <c r="HAS5" s="44"/>
      <c r="HAT5" s="44"/>
      <c r="HAU5" s="44"/>
      <c r="HAV5" s="44"/>
      <c r="HAW5" s="44"/>
      <c r="HAX5" s="44"/>
      <c r="HAY5" s="44"/>
      <c r="HAZ5" s="44"/>
      <c r="HBA5" s="44"/>
      <c r="HBB5" s="44"/>
      <c r="HBC5" s="44"/>
      <c r="HBD5" s="44"/>
      <c r="HBE5" s="44"/>
      <c r="HBF5" s="44"/>
      <c r="HBG5" s="44"/>
      <c r="HBH5" s="44"/>
      <c r="HBI5" s="44"/>
      <c r="HBJ5" s="44"/>
      <c r="HBK5" s="44"/>
      <c r="HBL5" s="44"/>
      <c r="HBM5" s="44"/>
      <c r="HBN5" s="44"/>
      <c r="HBO5" s="44"/>
      <c r="HBP5" s="44"/>
      <c r="HBQ5" s="44"/>
      <c r="HBR5" s="44"/>
      <c r="HBS5" s="44"/>
      <c r="HBT5" s="44"/>
      <c r="HBU5" s="44"/>
      <c r="HBV5" s="44"/>
      <c r="HBW5" s="44"/>
      <c r="HBX5" s="44"/>
      <c r="HBY5" s="44"/>
      <c r="HBZ5" s="44"/>
      <c r="HCA5" s="44"/>
      <c r="HCB5" s="44"/>
      <c r="HCC5" s="44"/>
      <c r="HCD5" s="44"/>
      <c r="HCE5" s="44"/>
      <c r="HCF5" s="44"/>
      <c r="HCG5" s="44"/>
      <c r="HCH5" s="44"/>
      <c r="HCI5" s="44"/>
      <c r="HCJ5" s="44"/>
      <c r="HCK5" s="44"/>
      <c r="HCL5" s="44"/>
      <c r="HCM5" s="44"/>
      <c r="HCN5" s="44"/>
      <c r="HCO5" s="44"/>
      <c r="HCP5" s="44"/>
      <c r="HCQ5" s="44"/>
      <c r="HCR5" s="44"/>
      <c r="HCS5" s="44"/>
      <c r="HCT5" s="44"/>
      <c r="HCU5" s="44"/>
      <c r="HCV5" s="44"/>
      <c r="HCW5" s="44"/>
      <c r="HCX5" s="44"/>
      <c r="HCY5" s="44"/>
      <c r="HCZ5" s="44"/>
      <c r="HDA5" s="44"/>
      <c r="HDB5" s="44"/>
      <c r="HDC5" s="44"/>
      <c r="HDD5" s="44"/>
      <c r="HDE5" s="44"/>
      <c r="HDF5" s="44"/>
      <c r="HDG5" s="44"/>
      <c r="HDH5" s="44"/>
      <c r="HDI5" s="44"/>
      <c r="HDJ5" s="44"/>
      <c r="HDK5" s="44"/>
      <c r="HDL5" s="44"/>
      <c r="HDM5" s="44"/>
      <c r="HDN5" s="44"/>
      <c r="HDO5" s="44"/>
      <c r="HDP5" s="44"/>
      <c r="HDQ5" s="44"/>
      <c r="HDR5" s="44"/>
      <c r="HDS5" s="44"/>
      <c r="HDT5" s="44"/>
      <c r="HDU5" s="44"/>
      <c r="HDV5" s="44"/>
      <c r="HDW5" s="44"/>
      <c r="HDX5" s="44"/>
      <c r="HDY5" s="44"/>
      <c r="HDZ5" s="44"/>
      <c r="HEA5" s="44"/>
      <c r="HEB5" s="44"/>
      <c r="HEC5" s="44"/>
      <c r="HED5" s="44"/>
      <c r="HEE5" s="44"/>
      <c r="HEF5" s="44"/>
      <c r="HEG5" s="44"/>
      <c r="HEH5" s="44"/>
      <c r="HEI5" s="44"/>
      <c r="HEJ5" s="44"/>
      <c r="HEK5" s="44"/>
      <c r="HEL5" s="44"/>
      <c r="HEM5" s="44"/>
      <c r="HEN5" s="44"/>
      <c r="HEO5" s="44"/>
      <c r="HEP5" s="44"/>
      <c r="HEQ5" s="44"/>
      <c r="HER5" s="44"/>
      <c r="HES5" s="44"/>
      <c r="HET5" s="44"/>
      <c r="HEU5" s="44"/>
      <c r="HEV5" s="44"/>
      <c r="HEW5" s="44"/>
      <c r="HEX5" s="44"/>
      <c r="HEY5" s="44"/>
      <c r="HEZ5" s="44"/>
      <c r="HFA5" s="44"/>
      <c r="HFB5" s="44"/>
      <c r="HFC5" s="44"/>
      <c r="HFD5" s="44"/>
      <c r="HFE5" s="44"/>
      <c r="HFF5" s="44"/>
      <c r="HFG5" s="44"/>
      <c r="HFH5" s="44"/>
      <c r="HFI5" s="44"/>
      <c r="HFJ5" s="44"/>
      <c r="HFK5" s="44"/>
      <c r="HFL5" s="44"/>
      <c r="HFM5" s="44"/>
      <c r="HFN5" s="44"/>
      <c r="HFO5" s="44"/>
      <c r="HFP5" s="44"/>
      <c r="HFQ5" s="44"/>
      <c r="HFR5" s="44"/>
      <c r="HFS5" s="44"/>
      <c r="HFT5" s="44"/>
      <c r="HFU5" s="44"/>
      <c r="HFV5" s="44"/>
      <c r="HFW5" s="44"/>
      <c r="HFX5" s="44"/>
      <c r="HFY5" s="44"/>
      <c r="HFZ5" s="44"/>
      <c r="HGA5" s="44"/>
      <c r="HGB5" s="44"/>
      <c r="HGC5" s="44"/>
      <c r="HGD5" s="44"/>
      <c r="HGE5" s="44"/>
      <c r="HGF5" s="44"/>
      <c r="HGG5" s="44"/>
      <c r="HGH5" s="44"/>
      <c r="HGI5" s="44"/>
      <c r="HGJ5" s="44"/>
      <c r="HGK5" s="44"/>
      <c r="HGL5" s="44"/>
      <c r="HGM5" s="44"/>
      <c r="HGN5" s="44"/>
      <c r="HGO5" s="44"/>
      <c r="HGP5" s="44"/>
      <c r="HGQ5" s="44"/>
      <c r="HGR5" s="44"/>
      <c r="HGS5" s="44"/>
      <c r="HGT5" s="44"/>
      <c r="HGU5" s="44"/>
      <c r="HGV5" s="44"/>
      <c r="HGW5" s="44"/>
      <c r="HGX5" s="44"/>
      <c r="HGY5" s="44"/>
      <c r="HGZ5" s="44"/>
      <c r="HHA5" s="44"/>
      <c r="HHB5" s="44"/>
      <c r="HHC5" s="44"/>
      <c r="HHD5" s="44"/>
      <c r="HHE5" s="44"/>
      <c r="HHF5" s="44"/>
      <c r="HHG5" s="44"/>
      <c r="HHH5" s="44"/>
      <c r="HHI5" s="44"/>
      <c r="HHJ5" s="44"/>
      <c r="HHK5" s="44"/>
      <c r="HHL5" s="44"/>
      <c r="HHM5" s="44"/>
      <c r="HHN5" s="44"/>
      <c r="HHO5" s="44"/>
      <c r="HHP5" s="44"/>
      <c r="HHQ5" s="44"/>
      <c r="HHR5" s="44"/>
      <c r="HHS5" s="44"/>
      <c r="HHT5" s="44"/>
      <c r="HHU5" s="44"/>
      <c r="HHV5" s="44"/>
      <c r="HHW5" s="44"/>
      <c r="HHX5" s="44"/>
      <c r="HHY5" s="44"/>
      <c r="HHZ5" s="44"/>
      <c r="HIA5" s="44"/>
      <c r="HIB5" s="44"/>
      <c r="HIC5" s="44"/>
      <c r="HID5" s="44"/>
      <c r="HIE5" s="44"/>
      <c r="HIF5" s="44"/>
      <c r="HIG5" s="44"/>
      <c r="HIH5" s="44"/>
      <c r="HII5" s="44"/>
      <c r="HIJ5" s="44"/>
      <c r="HIK5" s="44"/>
      <c r="HIL5" s="44"/>
      <c r="HIM5" s="44"/>
      <c r="HIN5" s="44"/>
      <c r="HIO5" s="44"/>
      <c r="HIP5" s="44"/>
      <c r="HIQ5" s="44"/>
      <c r="HIR5" s="44"/>
      <c r="HIS5" s="44"/>
      <c r="HIT5" s="44"/>
      <c r="HIU5" s="44"/>
      <c r="HIV5" s="44"/>
      <c r="HIW5" s="44"/>
      <c r="HIX5" s="44"/>
      <c r="HIY5" s="44"/>
      <c r="HIZ5" s="44"/>
      <c r="HJA5" s="44"/>
      <c r="HJB5" s="44"/>
      <c r="HJC5" s="44"/>
      <c r="HJD5" s="44"/>
      <c r="HJE5" s="44"/>
      <c r="HJF5" s="44"/>
      <c r="HJG5" s="44"/>
      <c r="HJH5" s="44"/>
      <c r="HJI5" s="44"/>
      <c r="HJJ5" s="44"/>
      <c r="HJK5" s="44"/>
      <c r="HJL5" s="44"/>
      <c r="HJM5" s="44"/>
      <c r="HJN5" s="44"/>
      <c r="HJO5" s="44"/>
      <c r="HJP5" s="44"/>
      <c r="HJQ5" s="44"/>
      <c r="HJR5" s="44"/>
      <c r="HJS5" s="44"/>
      <c r="HJT5" s="44"/>
      <c r="HJU5" s="44"/>
      <c r="HJV5" s="44"/>
      <c r="HJW5" s="44"/>
      <c r="HJX5" s="44"/>
      <c r="HJY5" s="44"/>
      <c r="HJZ5" s="44"/>
      <c r="HKA5" s="44"/>
      <c r="HKB5" s="44"/>
      <c r="HKC5" s="44"/>
      <c r="HKD5" s="44"/>
      <c r="HKE5" s="44"/>
      <c r="HKF5" s="44"/>
      <c r="HKG5" s="44"/>
      <c r="HKH5" s="44"/>
      <c r="HKI5" s="44"/>
      <c r="HKJ5" s="44"/>
      <c r="HKK5" s="44"/>
      <c r="HKL5" s="44"/>
      <c r="HKM5" s="44"/>
      <c r="HKN5" s="44"/>
      <c r="HKO5" s="44"/>
      <c r="HKP5" s="44"/>
      <c r="HKQ5" s="44"/>
      <c r="HKR5" s="44"/>
      <c r="HKS5" s="44"/>
      <c r="HKT5" s="44"/>
      <c r="HKU5" s="44"/>
      <c r="HKV5" s="44"/>
      <c r="HKW5" s="44"/>
      <c r="HKX5" s="44"/>
      <c r="HKY5" s="44"/>
      <c r="HKZ5" s="44"/>
      <c r="HLA5" s="44"/>
      <c r="HLB5" s="44"/>
      <c r="HLC5" s="44"/>
      <c r="HLD5" s="44"/>
      <c r="HLE5" s="44"/>
      <c r="HLF5" s="44"/>
      <c r="HLG5" s="44"/>
      <c r="HLH5" s="44"/>
      <c r="HLI5" s="44"/>
      <c r="HLJ5" s="44"/>
      <c r="HLK5" s="44"/>
      <c r="HLL5" s="44"/>
      <c r="HLM5" s="44"/>
      <c r="HLN5" s="44"/>
      <c r="HLO5" s="44"/>
      <c r="HLP5" s="44"/>
      <c r="HLQ5" s="44"/>
      <c r="HLR5" s="44"/>
      <c r="HLS5" s="44"/>
      <c r="HLT5" s="44"/>
      <c r="HLU5" s="44"/>
      <c r="HLV5" s="44"/>
      <c r="HLW5" s="44"/>
      <c r="HLX5" s="44"/>
      <c r="HLY5" s="44"/>
      <c r="HLZ5" s="44"/>
      <c r="HMA5" s="44"/>
      <c r="HMB5" s="44"/>
      <c r="HMC5" s="44"/>
      <c r="HMD5" s="44"/>
      <c r="HME5" s="44"/>
      <c r="HMF5" s="44"/>
      <c r="HMG5" s="44"/>
      <c r="HMH5" s="44"/>
      <c r="HMI5" s="44"/>
      <c r="HMJ5" s="44"/>
      <c r="HMK5" s="44"/>
      <c r="HML5" s="44"/>
      <c r="HMM5" s="44"/>
      <c r="HMN5" s="44"/>
      <c r="HMO5" s="44"/>
      <c r="HMP5" s="44"/>
      <c r="HMQ5" s="44"/>
      <c r="HMR5" s="44"/>
      <c r="HMS5" s="44"/>
      <c r="HMT5" s="44"/>
      <c r="HMU5" s="44"/>
      <c r="HMV5" s="44"/>
      <c r="HMW5" s="44"/>
      <c r="HMX5" s="44"/>
      <c r="HMY5" s="44"/>
      <c r="HMZ5" s="44"/>
      <c r="HNA5" s="44"/>
      <c r="HNB5" s="44"/>
      <c r="HNC5" s="44"/>
      <c r="HND5" s="44"/>
      <c r="HNE5" s="44"/>
      <c r="HNF5" s="44"/>
      <c r="HNG5" s="44"/>
      <c r="HNH5" s="44"/>
      <c r="HNI5" s="44"/>
      <c r="HNJ5" s="44"/>
      <c r="HNK5" s="44"/>
      <c r="HNL5" s="44"/>
      <c r="HNM5" s="44"/>
      <c r="HNN5" s="44"/>
      <c r="HNO5" s="44"/>
      <c r="HNP5" s="44"/>
      <c r="HNQ5" s="44"/>
      <c r="HNR5" s="44"/>
      <c r="HNS5" s="44"/>
      <c r="HNT5" s="44"/>
      <c r="HNU5" s="44"/>
      <c r="HNV5" s="44"/>
      <c r="HNW5" s="44"/>
      <c r="HNX5" s="44"/>
      <c r="HNY5" s="44"/>
      <c r="HNZ5" s="44"/>
      <c r="HOA5" s="44"/>
      <c r="HOB5" s="44"/>
      <c r="HOC5" s="44"/>
      <c r="HOD5" s="44"/>
      <c r="HOE5" s="44"/>
      <c r="HOF5" s="44"/>
      <c r="HOG5" s="44"/>
      <c r="HOH5" s="44"/>
      <c r="HOI5" s="44"/>
      <c r="HOJ5" s="44"/>
      <c r="HOK5" s="44"/>
      <c r="HOL5" s="44"/>
      <c r="HOM5" s="44"/>
      <c r="HON5" s="44"/>
      <c r="HOO5" s="44"/>
      <c r="HOP5" s="44"/>
      <c r="HOQ5" s="44"/>
      <c r="HOR5" s="44"/>
      <c r="HOS5" s="44"/>
      <c r="HOT5" s="44"/>
      <c r="HOU5" s="44"/>
      <c r="HOV5" s="44"/>
      <c r="HOW5" s="44"/>
      <c r="HOX5" s="44"/>
      <c r="HOY5" s="44"/>
      <c r="HOZ5" s="44"/>
      <c r="HPA5" s="44"/>
      <c r="HPB5" s="44"/>
      <c r="HPC5" s="44"/>
      <c r="HPD5" s="44"/>
      <c r="HPE5" s="44"/>
      <c r="HPF5" s="44"/>
      <c r="HPG5" s="44"/>
      <c r="HPH5" s="44"/>
      <c r="HPI5" s="44"/>
      <c r="HPJ5" s="44"/>
      <c r="HPK5" s="44"/>
      <c r="HPL5" s="44"/>
      <c r="HPM5" s="44"/>
      <c r="HPN5" s="44"/>
      <c r="HPO5" s="44"/>
      <c r="HPP5" s="44"/>
      <c r="HPQ5" s="44"/>
      <c r="HPR5" s="44"/>
      <c r="HPS5" s="44"/>
      <c r="HPT5" s="44"/>
      <c r="HPU5" s="44"/>
      <c r="HPV5" s="44"/>
      <c r="HPW5" s="44"/>
      <c r="HPX5" s="44"/>
      <c r="HPY5" s="44"/>
      <c r="HPZ5" s="44"/>
      <c r="HQA5" s="44"/>
      <c r="HQB5" s="44"/>
      <c r="HQC5" s="44"/>
      <c r="HQD5" s="44"/>
      <c r="HQE5" s="44"/>
      <c r="HQF5" s="44"/>
      <c r="HQG5" s="44"/>
      <c r="HQH5" s="44"/>
      <c r="HQI5" s="44"/>
      <c r="HQJ5" s="44"/>
      <c r="HQK5" s="44"/>
      <c r="HQL5" s="44"/>
      <c r="HQM5" s="44"/>
      <c r="HQN5" s="44"/>
      <c r="HQO5" s="44"/>
      <c r="HQP5" s="44"/>
      <c r="HQQ5" s="44"/>
      <c r="HQR5" s="44"/>
      <c r="HQS5" s="44"/>
      <c r="HQT5" s="44"/>
      <c r="HQU5" s="44"/>
      <c r="HQV5" s="44"/>
      <c r="HQW5" s="44"/>
      <c r="HQX5" s="44"/>
      <c r="HQY5" s="44"/>
      <c r="HQZ5" s="44"/>
      <c r="HRA5" s="44"/>
      <c r="HRB5" s="44"/>
      <c r="HRC5" s="44"/>
      <c r="HRD5" s="44"/>
      <c r="HRE5" s="44"/>
      <c r="HRF5" s="44"/>
      <c r="HRG5" s="44"/>
      <c r="HRH5" s="44"/>
      <c r="HRI5" s="44"/>
      <c r="HRJ5" s="44"/>
      <c r="HRK5" s="44"/>
      <c r="HRL5" s="44"/>
      <c r="HRM5" s="44"/>
      <c r="HRN5" s="44"/>
      <c r="HRO5" s="44"/>
      <c r="HRP5" s="44"/>
      <c r="HRQ5" s="44"/>
      <c r="HRR5" s="44"/>
      <c r="HRS5" s="44"/>
      <c r="HRT5" s="44"/>
      <c r="HRU5" s="44"/>
      <c r="HRV5" s="44"/>
      <c r="HRW5" s="44"/>
      <c r="HRX5" s="44"/>
      <c r="HRY5" s="44"/>
      <c r="HRZ5" s="44"/>
      <c r="HSA5" s="44"/>
      <c r="HSB5" s="44"/>
      <c r="HSC5" s="44"/>
      <c r="HSD5" s="44"/>
      <c r="HSE5" s="44"/>
      <c r="HSF5" s="44"/>
      <c r="HSG5" s="44"/>
      <c r="HSH5" s="44"/>
      <c r="HSI5" s="44"/>
      <c r="HSJ5" s="44"/>
      <c r="HSK5" s="44"/>
      <c r="HSL5" s="44"/>
      <c r="HSM5" s="44"/>
      <c r="HSN5" s="44"/>
      <c r="HSO5" s="44"/>
      <c r="HSP5" s="44"/>
      <c r="HSQ5" s="44"/>
      <c r="HSR5" s="44"/>
      <c r="HSS5" s="44"/>
      <c r="HST5" s="44"/>
      <c r="HSU5" s="44"/>
      <c r="HSV5" s="44"/>
      <c r="HSW5" s="44"/>
      <c r="HSX5" s="44"/>
      <c r="HSY5" s="44"/>
      <c r="HSZ5" s="44"/>
      <c r="HTA5" s="44"/>
      <c r="HTB5" s="44"/>
      <c r="HTC5" s="44"/>
      <c r="HTD5" s="44"/>
      <c r="HTE5" s="44"/>
      <c r="HTF5" s="44"/>
      <c r="HTG5" s="44"/>
      <c r="HTH5" s="44"/>
      <c r="HTI5" s="44"/>
      <c r="HTJ5" s="44"/>
      <c r="HTK5" s="44"/>
      <c r="HTL5" s="44"/>
      <c r="HTM5" s="44"/>
      <c r="HTN5" s="44"/>
      <c r="HTO5" s="44"/>
      <c r="HTP5" s="44"/>
      <c r="HTQ5" s="44"/>
      <c r="HTR5" s="44"/>
      <c r="HTS5" s="44"/>
      <c r="HTT5" s="44"/>
      <c r="HTU5" s="44"/>
      <c r="HTV5" s="44"/>
      <c r="HTW5" s="44"/>
      <c r="HTX5" s="44"/>
      <c r="HTY5" s="44"/>
      <c r="HTZ5" s="44"/>
      <c r="HUA5" s="44"/>
      <c r="HUB5" s="44"/>
      <c r="HUC5" s="44"/>
      <c r="HUD5" s="44"/>
      <c r="HUE5" s="44"/>
      <c r="HUF5" s="44"/>
      <c r="HUG5" s="44"/>
      <c r="HUH5" s="44"/>
      <c r="HUI5" s="44"/>
      <c r="HUJ5" s="44"/>
      <c r="HUK5" s="44"/>
      <c r="HUL5" s="44"/>
      <c r="HUM5" s="44"/>
      <c r="HUN5" s="44"/>
      <c r="HUO5" s="44"/>
      <c r="HUP5" s="44"/>
      <c r="HUQ5" s="44"/>
      <c r="HUR5" s="44"/>
      <c r="HUS5" s="44"/>
      <c r="HUT5" s="44"/>
      <c r="HUU5" s="44"/>
      <c r="HUV5" s="44"/>
      <c r="HUW5" s="44"/>
      <c r="HUX5" s="44"/>
      <c r="HUY5" s="44"/>
      <c r="HUZ5" s="44"/>
      <c r="HVA5" s="44"/>
      <c r="HVB5" s="44"/>
      <c r="HVC5" s="44"/>
      <c r="HVD5" s="44"/>
      <c r="HVE5" s="44"/>
      <c r="HVF5" s="44"/>
      <c r="HVG5" s="44"/>
      <c r="HVH5" s="44"/>
      <c r="HVI5" s="44"/>
      <c r="HVJ5" s="44"/>
      <c r="HVK5" s="44"/>
      <c r="HVL5" s="44"/>
      <c r="HVM5" s="44"/>
      <c r="HVN5" s="44"/>
      <c r="HVO5" s="44"/>
      <c r="HVP5" s="44"/>
      <c r="HVQ5" s="44"/>
      <c r="HVR5" s="44"/>
      <c r="HVS5" s="44"/>
      <c r="HVT5" s="44"/>
      <c r="HVU5" s="44"/>
      <c r="HVV5" s="44"/>
      <c r="HVW5" s="44"/>
      <c r="HVX5" s="44"/>
      <c r="HVY5" s="44"/>
      <c r="HVZ5" s="44"/>
      <c r="HWA5" s="44"/>
      <c r="HWB5" s="44"/>
      <c r="HWC5" s="44"/>
      <c r="HWD5" s="44"/>
      <c r="HWE5" s="44"/>
      <c r="HWF5" s="44"/>
      <c r="HWG5" s="44"/>
      <c r="HWH5" s="44"/>
      <c r="HWI5" s="44"/>
      <c r="HWJ5" s="44"/>
      <c r="HWK5" s="44"/>
      <c r="HWL5" s="44"/>
      <c r="HWM5" s="44"/>
      <c r="HWN5" s="44"/>
      <c r="HWO5" s="44"/>
      <c r="HWP5" s="44"/>
      <c r="HWQ5" s="44"/>
      <c r="HWR5" s="44"/>
      <c r="HWS5" s="44"/>
      <c r="HWT5" s="44"/>
      <c r="HWU5" s="44"/>
      <c r="HWV5" s="44"/>
      <c r="HWW5" s="44"/>
      <c r="HWX5" s="44"/>
      <c r="HWY5" s="44"/>
      <c r="HWZ5" s="44"/>
      <c r="HXA5" s="44"/>
      <c r="HXB5" s="44"/>
      <c r="HXC5" s="44"/>
      <c r="HXD5" s="44"/>
      <c r="HXE5" s="44"/>
      <c r="HXF5" s="44"/>
      <c r="HXG5" s="44"/>
      <c r="HXH5" s="44"/>
      <c r="HXI5" s="44"/>
      <c r="HXJ5" s="44"/>
      <c r="HXK5" s="44"/>
      <c r="HXL5" s="44"/>
      <c r="HXM5" s="44"/>
      <c r="HXN5" s="44"/>
      <c r="HXO5" s="44"/>
      <c r="HXP5" s="44"/>
      <c r="HXQ5" s="44"/>
      <c r="HXR5" s="44"/>
      <c r="HXS5" s="44"/>
      <c r="HXT5" s="44"/>
      <c r="HXU5" s="44"/>
      <c r="HXV5" s="44"/>
      <c r="HXW5" s="44"/>
      <c r="HXX5" s="44"/>
      <c r="HXY5" s="44"/>
      <c r="HXZ5" s="44"/>
      <c r="HYA5" s="44"/>
      <c r="HYB5" s="44"/>
      <c r="HYC5" s="44"/>
      <c r="HYD5" s="44"/>
      <c r="HYE5" s="44"/>
      <c r="HYF5" s="44"/>
      <c r="HYG5" s="44"/>
      <c r="HYH5" s="44"/>
      <c r="HYI5" s="44"/>
      <c r="HYJ5" s="44"/>
      <c r="HYK5" s="44"/>
      <c r="HYL5" s="44"/>
      <c r="HYM5" s="44"/>
      <c r="HYN5" s="44"/>
      <c r="HYO5" s="44"/>
      <c r="HYP5" s="44"/>
      <c r="HYQ5" s="44"/>
      <c r="HYR5" s="44"/>
      <c r="HYS5" s="44"/>
      <c r="HYT5" s="44"/>
      <c r="HYU5" s="44"/>
      <c r="HYV5" s="44"/>
      <c r="HYW5" s="44"/>
      <c r="HYX5" s="44"/>
      <c r="HYY5" s="44"/>
      <c r="HYZ5" s="44"/>
      <c r="HZA5" s="44"/>
      <c r="HZB5" s="44"/>
      <c r="HZC5" s="44"/>
      <c r="HZD5" s="44"/>
      <c r="HZE5" s="44"/>
      <c r="HZF5" s="44"/>
      <c r="HZG5" s="44"/>
      <c r="HZH5" s="44"/>
      <c r="HZI5" s="44"/>
      <c r="HZJ5" s="44"/>
      <c r="HZK5" s="44"/>
      <c r="HZL5" s="44"/>
      <c r="HZM5" s="44"/>
      <c r="HZN5" s="44"/>
      <c r="HZO5" s="44"/>
      <c r="HZP5" s="44"/>
      <c r="HZQ5" s="44"/>
      <c r="HZR5" s="44"/>
      <c r="HZS5" s="44"/>
      <c r="HZT5" s="44"/>
      <c r="HZU5" s="44"/>
      <c r="HZV5" s="44"/>
      <c r="HZW5" s="44"/>
      <c r="HZX5" s="44"/>
      <c r="HZY5" s="44"/>
      <c r="HZZ5" s="44"/>
      <c r="IAA5" s="44"/>
      <c r="IAB5" s="44"/>
      <c r="IAC5" s="44"/>
      <c r="IAD5" s="44"/>
      <c r="IAE5" s="44"/>
      <c r="IAF5" s="44"/>
      <c r="IAG5" s="44"/>
      <c r="IAH5" s="44"/>
      <c r="IAI5" s="44"/>
      <c r="IAJ5" s="44"/>
      <c r="IAK5" s="44"/>
      <c r="IAL5" s="44"/>
      <c r="IAM5" s="44"/>
      <c r="IAN5" s="44"/>
      <c r="IAO5" s="44"/>
      <c r="IAP5" s="44"/>
      <c r="IAQ5" s="44"/>
      <c r="IAR5" s="44"/>
      <c r="IAS5" s="44"/>
      <c r="IAT5" s="44"/>
      <c r="IAU5" s="44"/>
      <c r="IAV5" s="44"/>
      <c r="IAW5" s="44"/>
      <c r="IAX5" s="44"/>
      <c r="IAY5" s="44"/>
      <c r="IAZ5" s="44"/>
      <c r="IBA5" s="44"/>
      <c r="IBB5" s="44"/>
      <c r="IBC5" s="44"/>
      <c r="IBD5" s="44"/>
      <c r="IBE5" s="44"/>
      <c r="IBF5" s="44"/>
      <c r="IBG5" s="44"/>
      <c r="IBH5" s="44"/>
      <c r="IBI5" s="44"/>
      <c r="IBJ5" s="44"/>
      <c r="IBK5" s="44"/>
      <c r="IBL5" s="44"/>
      <c r="IBM5" s="44"/>
      <c r="IBN5" s="44"/>
      <c r="IBO5" s="44"/>
      <c r="IBP5" s="44"/>
      <c r="IBQ5" s="44"/>
      <c r="IBR5" s="44"/>
      <c r="IBS5" s="44"/>
      <c r="IBT5" s="44"/>
      <c r="IBU5" s="44"/>
      <c r="IBV5" s="44"/>
      <c r="IBW5" s="44"/>
      <c r="IBX5" s="44"/>
      <c r="IBY5" s="44"/>
      <c r="IBZ5" s="44"/>
      <c r="ICA5" s="44"/>
      <c r="ICB5" s="44"/>
      <c r="ICC5" s="44"/>
      <c r="ICD5" s="44"/>
      <c r="ICE5" s="44"/>
      <c r="ICF5" s="44"/>
      <c r="ICG5" s="44"/>
      <c r="ICH5" s="44"/>
      <c r="ICI5" s="44"/>
      <c r="ICJ5" s="44"/>
      <c r="ICK5" s="44"/>
      <c r="ICL5" s="44"/>
      <c r="ICM5" s="44"/>
      <c r="ICN5" s="44"/>
      <c r="ICO5" s="44"/>
      <c r="ICP5" s="44"/>
      <c r="ICQ5" s="44"/>
      <c r="ICR5" s="44"/>
      <c r="ICS5" s="44"/>
      <c r="ICT5" s="44"/>
      <c r="ICU5" s="44"/>
      <c r="ICV5" s="44"/>
      <c r="ICW5" s="44"/>
      <c r="ICX5" s="44"/>
      <c r="ICY5" s="44"/>
      <c r="ICZ5" s="44"/>
      <c r="IDA5" s="44"/>
      <c r="IDB5" s="44"/>
      <c r="IDC5" s="44"/>
      <c r="IDD5" s="44"/>
      <c r="IDE5" s="44"/>
      <c r="IDF5" s="44"/>
      <c r="IDG5" s="44"/>
      <c r="IDH5" s="44"/>
      <c r="IDI5" s="44"/>
      <c r="IDJ5" s="44"/>
      <c r="IDK5" s="44"/>
      <c r="IDL5" s="44"/>
      <c r="IDM5" s="44"/>
      <c r="IDN5" s="44"/>
      <c r="IDO5" s="44"/>
      <c r="IDP5" s="44"/>
      <c r="IDQ5" s="44"/>
      <c r="IDR5" s="44"/>
      <c r="IDS5" s="44"/>
      <c r="IDT5" s="44"/>
      <c r="IDU5" s="44"/>
      <c r="IDV5" s="44"/>
      <c r="IDW5" s="44"/>
      <c r="IDX5" s="44"/>
      <c r="IDY5" s="44"/>
      <c r="IDZ5" s="44"/>
      <c r="IEA5" s="44"/>
      <c r="IEB5" s="44"/>
      <c r="IEC5" s="44"/>
      <c r="IED5" s="44"/>
      <c r="IEE5" s="44"/>
      <c r="IEF5" s="44"/>
      <c r="IEG5" s="44"/>
      <c r="IEH5" s="44"/>
      <c r="IEI5" s="44"/>
      <c r="IEJ5" s="44"/>
      <c r="IEK5" s="44"/>
      <c r="IEL5" s="44"/>
      <c r="IEM5" s="44"/>
      <c r="IEN5" s="44"/>
      <c r="IEO5" s="44"/>
      <c r="IEP5" s="44"/>
      <c r="IEQ5" s="44"/>
      <c r="IER5" s="44"/>
      <c r="IES5" s="44"/>
      <c r="IET5" s="44"/>
      <c r="IEU5" s="44"/>
      <c r="IEV5" s="44"/>
      <c r="IEW5" s="44"/>
      <c r="IEX5" s="44"/>
      <c r="IEY5" s="44"/>
      <c r="IEZ5" s="44"/>
      <c r="IFA5" s="44"/>
      <c r="IFB5" s="44"/>
      <c r="IFC5" s="44"/>
      <c r="IFD5" s="44"/>
      <c r="IFE5" s="44"/>
      <c r="IFF5" s="44"/>
      <c r="IFG5" s="44"/>
      <c r="IFH5" s="44"/>
      <c r="IFI5" s="44"/>
      <c r="IFJ5" s="44"/>
      <c r="IFK5" s="44"/>
      <c r="IFL5" s="44"/>
      <c r="IFM5" s="44"/>
      <c r="IFN5" s="44"/>
      <c r="IFO5" s="44"/>
      <c r="IFP5" s="44"/>
      <c r="IFQ5" s="44"/>
      <c r="IFR5" s="44"/>
      <c r="IFS5" s="44"/>
      <c r="IFT5" s="44"/>
      <c r="IFU5" s="44"/>
      <c r="IFV5" s="44"/>
      <c r="IFW5" s="44"/>
      <c r="IFX5" s="44"/>
      <c r="IFY5" s="44"/>
      <c r="IFZ5" s="44"/>
      <c r="IGA5" s="44"/>
      <c r="IGB5" s="44"/>
      <c r="IGC5" s="44"/>
      <c r="IGD5" s="44"/>
      <c r="IGE5" s="44"/>
      <c r="IGF5" s="44"/>
      <c r="IGG5" s="44"/>
      <c r="IGH5" s="44"/>
      <c r="IGI5" s="44"/>
      <c r="IGJ5" s="44"/>
      <c r="IGK5" s="44"/>
      <c r="IGL5" s="44"/>
      <c r="IGM5" s="44"/>
      <c r="IGN5" s="44"/>
      <c r="IGO5" s="44"/>
      <c r="IGP5" s="44"/>
      <c r="IGQ5" s="44"/>
      <c r="IGR5" s="44"/>
      <c r="IGS5" s="44"/>
      <c r="IGT5" s="44"/>
      <c r="IGU5" s="44"/>
      <c r="IGV5" s="44"/>
      <c r="IGW5" s="44"/>
      <c r="IGX5" s="44"/>
      <c r="IGY5" s="44"/>
      <c r="IGZ5" s="44"/>
      <c r="IHA5" s="44"/>
      <c r="IHB5" s="44"/>
      <c r="IHC5" s="44"/>
      <c r="IHD5" s="44"/>
      <c r="IHE5" s="44"/>
      <c r="IHF5" s="44"/>
      <c r="IHG5" s="44"/>
      <c r="IHH5" s="44"/>
      <c r="IHI5" s="44"/>
      <c r="IHJ5" s="44"/>
      <c r="IHK5" s="44"/>
      <c r="IHL5" s="44"/>
      <c r="IHM5" s="44"/>
      <c r="IHN5" s="44"/>
      <c r="IHO5" s="44"/>
      <c r="IHP5" s="44"/>
      <c r="IHQ5" s="44"/>
      <c r="IHR5" s="44"/>
      <c r="IHS5" s="44"/>
      <c r="IHT5" s="44"/>
      <c r="IHU5" s="44"/>
      <c r="IHV5" s="44"/>
      <c r="IHW5" s="44"/>
      <c r="IHX5" s="44"/>
      <c r="IHY5" s="44"/>
      <c r="IHZ5" s="44"/>
      <c r="IIA5" s="44"/>
      <c r="IIB5" s="44"/>
      <c r="IIC5" s="44"/>
      <c r="IID5" s="44"/>
      <c r="IIE5" s="44"/>
      <c r="IIF5" s="44"/>
      <c r="IIG5" s="44"/>
      <c r="IIH5" s="44"/>
      <c r="III5" s="44"/>
      <c r="IIJ5" s="44"/>
      <c r="IIK5" s="44"/>
      <c r="IIL5" s="44"/>
      <c r="IIM5" s="44"/>
      <c r="IIN5" s="44"/>
      <c r="IIO5" s="44"/>
      <c r="IIP5" s="44"/>
      <c r="IIQ5" s="44"/>
      <c r="IIR5" s="44"/>
      <c r="IIS5" s="44"/>
      <c r="IIT5" s="44"/>
      <c r="IIU5" s="44"/>
      <c r="IIV5" s="44"/>
      <c r="IIW5" s="44"/>
      <c r="IIX5" s="44"/>
      <c r="IIY5" s="44"/>
      <c r="IIZ5" s="44"/>
      <c r="IJA5" s="44"/>
      <c r="IJB5" s="44"/>
      <c r="IJC5" s="44"/>
      <c r="IJD5" s="44"/>
      <c r="IJE5" s="44"/>
      <c r="IJF5" s="44"/>
      <c r="IJG5" s="44"/>
      <c r="IJH5" s="44"/>
      <c r="IJI5" s="44"/>
      <c r="IJJ5" s="44"/>
      <c r="IJK5" s="44"/>
      <c r="IJL5" s="44"/>
      <c r="IJM5" s="44"/>
      <c r="IJN5" s="44"/>
      <c r="IJO5" s="44"/>
      <c r="IJP5" s="44"/>
      <c r="IJQ5" s="44"/>
      <c r="IJR5" s="44"/>
      <c r="IJS5" s="44"/>
      <c r="IJT5" s="44"/>
      <c r="IJU5" s="44"/>
      <c r="IJV5" s="44"/>
      <c r="IJW5" s="44"/>
      <c r="IJX5" s="44"/>
      <c r="IJY5" s="44"/>
      <c r="IJZ5" s="44"/>
      <c r="IKA5" s="44"/>
      <c r="IKB5" s="44"/>
      <c r="IKC5" s="44"/>
      <c r="IKD5" s="44"/>
      <c r="IKE5" s="44"/>
      <c r="IKF5" s="44"/>
      <c r="IKG5" s="44"/>
      <c r="IKH5" s="44"/>
      <c r="IKI5" s="44"/>
      <c r="IKJ5" s="44"/>
      <c r="IKK5" s="44"/>
      <c r="IKL5" s="44"/>
      <c r="IKM5" s="44"/>
      <c r="IKN5" s="44"/>
      <c r="IKO5" s="44"/>
      <c r="IKP5" s="44"/>
      <c r="IKQ5" s="44"/>
      <c r="IKR5" s="44"/>
      <c r="IKS5" s="44"/>
      <c r="IKT5" s="44"/>
      <c r="IKU5" s="44"/>
      <c r="IKV5" s="44"/>
      <c r="IKW5" s="44"/>
      <c r="IKX5" s="44"/>
      <c r="IKY5" s="44"/>
      <c r="IKZ5" s="44"/>
      <c r="ILA5" s="44"/>
      <c r="ILB5" s="44"/>
      <c r="ILC5" s="44"/>
      <c r="ILD5" s="44"/>
      <c r="ILE5" s="44"/>
      <c r="ILF5" s="44"/>
      <c r="ILG5" s="44"/>
      <c r="ILH5" s="44"/>
      <c r="ILI5" s="44"/>
      <c r="ILJ5" s="44"/>
      <c r="ILK5" s="44"/>
      <c r="ILL5" s="44"/>
      <c r="ILM5" s="44"/>
      <c r="ILN5" s="44"/>
      <c r="ILO5" s="44"/>
      <c r="ILP5" s="44"/>
      <c r="ILQ5" s="44"/>
      <c r="ILR5" s="44"/>
      <c r="ILS5" s="44"/>
      <c r="ILT5" s="44"/>
      <c r="ILU5" s="44"/>
      <c r="ILV5" s="44"/>
      <c r="ILW5" s="44"/>
      <c r="ILX5" s="44"/>
      <c r="ILY5" s="44"/>
      <c r="ILZ5" s="44"/>
      <c r="IMA5" s="44"/>
      <c r="IMB5" s="44"/>
      <c r="IMC5" s="44"/>
      <c r="IMD5" s="44"/>
      <c r="IME5" s="44"/>
      <c r="IMF5" s="44"/>
      <c r="IMG5" s="44"/>
      <c r="IMH5" s="44"/>
      <c r="IMI5" s="44"/>
      <c r="IMJ5" s="44"/>
      <c r="IMK5" s="44"/>
      <c r="IML5" s="44"/>
      <c r="IMM5" s="44"/>
      <c r="IMN5" s="44"/>
      <c r="IMO5" s="44"/>
      <c r="IMP5" s="44"/>
      <c r="IMQ5" s="44"/>
      <c r="IMR5" s="44"/>
      <c r="IMS5" s="44"/>
      <c r="IMT5" s="44"/>
      <c r="IMU5" s="44"/>
      <c r="IMV5" s="44"/>
      <c r="IMW5" s="44"/>
      <c r="IMX5" s="44"/>
      <c r="IMY5" s="44"/>
      <c r="IMZ5" s="44"/>
      <c r="INA5" s="44"/>
      <c r="INB5" s="44"/>
      <c r="INC5" s="44"/>
      <c r="IND5" s="44"/>
      <c r="INE5" s="44"/>
      <c r="INF5" s="44"/>
      <c r="ING5" s="44"/>
      <c r="INH5" s="44"/>
      <c r="INI5" s="44"/>
      <c r="INJ5" s="44"/>
      <c r="INK5" s="44"/>
      <c r="INL5" s="44"/>
      <c r="INM5" s="44"/>
      <c r="INN5" s="44"/>
      <c r="INO5" s="44"/>
      <c r="INP5" s="44"/>
      <c r="INQ5" s="44"/>
      <c r="INR5" s="44"/>
      <c r="INS5" s="44"/>
      <c r="INT5" s="44"/>
      <c r="INU5" s="44"/>
      <c r="INV5" s="44"/>
      <c r="INW5" s="44"/>
      <c r="INX5" s="44"/>
      <c r="INY5" s="44"/>
      <c r="INZ5" s="44"/>
      <c r="IOA5" s="44"/>
      <c r="IOB5" s="44"/>
      <c r="IOC5" s="44"/>
      <c r="IOD5" s="44"/>
      <c r="IOE5" s="44"/>
      <c r="IOF5" s="44"/>
      <c r="IOG5" s="44"/>
      <c r="IOH5" s="44"/>
      <c r="IOI5" s="44"/>
      <c r="IOJ5" s="44"/>
      <c r="IOK5" s="44"/>
      <c r="IOL5" s="44"/>
      <c r="IOM5" s="44"/>
      <c r="ION5" s="44"/>
      <c r="IOO5" s="44"/>
      <c r="IOP5" s="44"/>
      <c r="IOQ5" s="44"/>
      <c r="IOR5" s="44"/>
      <c r="IOS5" s="44"/>
      <c r="IOT5" s="44"/>
      <c r="IOU5" s="44"/>
      <c r="IOV5" s="44"/>
      <c r="IOW5" s="44"/>
      <c r="IOX5" s="44"/>
      <c r="IOY5" s="44"/>
      <c r="IOZ5" s="44"/>
      <c r="IPA5" s="44"/>
      <c r="IPB5" s="44"/>
      <c r="IPC5" s="44"/>
      <c r="IPD5" s="44"/>
      <c r="IPE5" s="44"/>
      <c r="IPF5" s="44"/>
      <c r="IPG5" s="44"/>
      <c r="IPH5" s="44"/>
      <c r="IPI5" s="44"/>
      <c r="IPJ5" s="44"/>
      <c r="IPK5" s="44"/>
      <c r="IPL5" s="44"/>
      <c r="IPM5" s="44"/>
      <c r="IPN5" s="44"/>
      <c r="IPO5" s="44"/>
      <c r="IPP5" s="44"/>
      <c r="IPQ5" s="44"/>
      <c r="IPR5" s="44"/>
      <c r="IPS5" s="44"/>
      <c r="IPT5" s="44"/>
      <c r="IPU5" s="44"/>
      <c r="IPV5" s="44"/>
      <c r="IPW5" s="44"/>
      <c r="IPX5" s="44"/>
      <c r="IPY5" s="44"/>
      <c r="IPZ5" s="44"/>
      <c r="IQA5" s="44"/>
      <c r="IQB5" s="44"/>
      <c r="IQC5" s="44"/>
      <c r="IQD5" s="44"/>
      <c r="IQE5" s="44"/>
      <c r="IQF5" s="44"/>
      <c r="IQG5" s="44"/>
      <c r="IQH5" s="44"/>
      <c r="IQI5" s="44"/>
      <c r="IQJ5" s="44"/>
      <c r="IQK5" s="44"/>
      <c r="IQL5" s="44"/>
      <c r="IQM5" s="44"/>
      <c r="IQN5" s="44"/>
      <c r="IQO5" s="44"/>
      <c r="IQP5" s="44"/>
      <c r="IQQ5" s="44"/>
      <c r="IQR5" s="44"/>
      <c r="IQS5" s="44"/>
      <c r="IQT5" s="44"/>
      <c r="IQU5" s="44"/>
      <c r="IQV5" s="44"/>
      <c r="IQW5" s="44"/>
      <c r="IQX5" s="44"/>
      <c r="IQY5" s="44"/>
      <c r="IQZ5" s="44"/>
      <c r="IRA5" s="44"/>
      <c r="IRB5" s="44"/>
      <c r="IRC5" s="44"/>
      <c r="IRD5" s="44"/>
      <c r="IRE5" s="44"/>
      <c r="IRF5" s="44"/>
      <c r="IRG5" s="44"/>
      <c r="IRH5" s="44"/>
      <c r="IRI5" s="44"/>
      <c r="IRJ5" s="44"/>
      <c r="IRK5" s="44"/>
      <c r="IRL5" s="44"/>
      <c r="IRM5" s="44"/>
      <c r="IRN5" s="44"/>
      <c r="IRO5" s="44"/>
      <c r="IRP5" s="44"/>
      <c r="IRQ5" s="44"/>
      <c r="IRR5" s="44"/>
      <c r="IRS5" s="44"/>
      <c r="IRT5" s="44"/>
      <c r="IRU5" s="44"/>
      <c r="IRV5" s="44"/>
      <c r="IRW5" s="44"/>
      <c r="IRX5" s="44"/>
      <c r="IRY5" s="44"/>
      <c r="IRZ5" s="44"/>
      <c r="ISA5" s="44"/>
      <c r="ISB5" s="44"/>
      <c r="ISC5" s="44"/>
      <c r="ISD5" s="44"/>
      <c r="ISE5" s="44"/>
      <c r="ISF5" s="44"/>
      <c r="ISG5" s="44"/>
      <c r="ISH5" s="44"/>
      <c r="ISI5" s="44"/>
      <c r="ISJ5" s="44"/>
      <c r="ISK5" s="44"/>
      <c r="ISL5" s="44"/>
      <c r="ISM5" s="44"/>
      <c r="ISN5" s="44"/>
      <c r="ISO5" s="44"/>
      <c r="ISP5" s="44"/>
      <c r="ISQ5" s="44"/>
      <c r="ISR5" s="44"/>
      <c r="ISS5" s="44"/>
      <c r="IST5" s="44"/>
      <c r="ISU5" s="44"/>
      <c r="ISV5" s="44"/>
      <c r="ISW5" s="44"/>
      <c r="ISX5" s="44"/>
      <c r="ISY5" s="44"/>
      <c r="ISZ5" s="44"/>
      <c r="ITA5" s="44"/>
      <c r="ITB5" s="44"/>
      <c r="ITC5" s="44"/>
      <c r="ITD5" s="44"/>
      <c r="ITE5" s="44"/>
      <c r="ITF5" s="44"/>
      <c r="ITG5" s="44"/>
      <c r="ITH5" s="44"/>
      <c r="ITI5" s="44"/>
      <c r="ITJ5" s="44"/>
      <c r="ITK5" s="44"/>
      <c r="ITL5" s="44"/>
      <c r="ITM5" s="44"/>
      <c r="ITN5" s="44"/>
      <c r="ITO5" s="44"/>
      <c r="ITP5" s="44"/>
      <c r="ITQ5" s="44"/>
      <c r="ITR5" s="44"/>
      <c r="ITS5" s="44"/>
      <c r="ITT5" s="44"/>
      <c r="ITU5" s="44"/>
      <c r="ITV5" s="44"/>
      <c r="ITW5" s="44"/>
      <c r="ITX5" s="44"/>
      <c r="ITY5" s="44"/>
      <c r="ITZ5" s="44"/>
      <c r="IUA5" s="44"/>
      <c r="IUB5" s="44"/>
      <c r="IUC5" s="44"/>
      <c r="IUD5" s="44"/>
      <c r="IUE5" s="44"/>
      <c r="IUF5" s="44"/>
      <c r="IUG5" s="44"/>
      <c r="IUH5" s="44"/>
      <c r="IUI5" s="44"/>
      <c r="IUJ5" s="44"/>
      <c r="IUK5" s="44"/>
      <c r="IUL5" s="44"/>
      <c r="IUM5" s="44"/>
      <c r="IUN5" s="44"/>
      <c r="IUO5" s="44"/>
      <c r="IUP5" s="44"/>
      <c r="IUQ5" s="44"/>
      <c r="IUR5" s="44"/>
      <c r="IUS5" s="44"/>
      <c r="IUT5" s="44"/>
      <c r="IUU5" s="44"/>
      <c r="IUV5" s="44"/>
      <c r="IUW5" s="44"/>
      <c r="IUX5" s="44"/>
      <c r="IUY5" s="44"/>
      <c r="IUZ5" s="44"/>
      <c r="IVA5" s="44"/>
      <c r="IVB5" s="44"/>
      <c r="IVC5" s="44"/>
      <c r="IVD5" s="44"/>
      <c r="IVE5" s="44"/>
      <c r="IVF5" s="44"/>
      <c r="IVG5" s="44"/>
      <c r="IVH5" s="44"/>
      <c r="IVI5" s="44"/>
      <c r="IVJ5" s="44"/>
      <c r="IVK5" s="44"/>
      <c r="IVL5" s="44"/>
      <c r="IVM5" s="44"/>
      <c r="IVN5" s="44"/>
      <c r="IVO5" s="44"/>
      <c r="IVP5" s="44"/>
      <c r="IVQ5" s="44"/>
      <c r="IVR5" s="44"/>
      <c r="IVS5" s="44"/>
      <c r="IVT5" s="44"/>
      <c r="IVU5" s="44"/>
      <c r="IVV5" s="44"/>
      <c r="IVW5" s="44"/>
      <c r="IVX5" s="44"/>
      <c r="IVY5" s="44"/>
      <c r="IVZ5" s="44"/>
      <c r="IWA5" s="44"/>
      <c r="IWB5" s="44"/>
      <c r="IWC5" s="44"/>
      <c r="IWD5" s="44"/>
      <c r="IWE5" s="44"/>
      <c r="IWF5" s="44"/>
      <c r="IWG5" s="44"/>
      <c r="IWH5" s="44"/>
      <c r="IWI5" s="44"/>
      <c r="IWJ5" s="44"/>
      <c r="IWK5" s="44"/>
      <c r="IWL5" s="44"/>
      <c r="IWM5" s="44"/>
      <c r="IWN5" s="44"/>
      <c r="IWO5" s="44"/>
      <c r="IWP5" s="44"/>
      <c r="IWQ5" s="44"/>
      <c r="IWR5" s="44"/>
      <c r="IWS5" s="44"/>
      <c r="IWT5" s="44"/>
      <c r="IWU5" s="44"/>
      <c r="IWV5" s="44"/>
      <c r="IWW5" s="44"/>
      <c r="IWX5" s="44"/>
      <c r="IWY5" s="44"/>
      <c r="IWZ5" s="44"/>
      <c r="IXA5" s="44"/>
      <c r="IXB5" s="44"/>
      <c r="IXC5" s="44"/>
      <c r="IXD5" s="44"/>
      <c r="IXE5" s="44"/>
      <c r="IXF5" s="44"/>
      <c r="IXG5" s="44"/>
      <c r="IXH5" s="44"/>
      <c r="IXI5" s="44"/>
      <c r="IXJ5" s="44"/>
      <c r="IXK5" s="44"/>
      <c r="IXL5" s="44"/>
      <c r="IXM5" s="44"/>
      <c r="IXN5" s="44"/>
      <c r="IXO5" s="44"/>
      <c r="IXP5" s="44"/>
      <c r="IXQ5" s="44"/>
      <c r="IXR5" s="44"/>
      <c r="IXS5" s="44"/>
      <c r="IXT5" s="44"/>
      <c r="IXU5" s="44"/>
      <c r="IXV5" s="44"/>
      <c r="IXW5" s="44"/>
      <c r="IXX5" s="44"/>
      <c r="IXY5" s="44"/>
      <c r="IXZ5" s="44"/>
      <c r="IYA5" s="44"/>
      <c r="IYB5" s="44"/>
      <c r="IYC5" s="44"/>
      <c r="IYD5" s="44"/>
      <c r="IYE5" s="44"/>
      <c r="IYF5" s="44"/>
      <c r="IYG5" s="44"/>
      <c r="IYH5" s="44"/>
      <c r="IYI5" s="44"/>
      <c r="IYJ5" s="44"/>
      <c r="IYK5" s="44"/>
      <c r="IYL5" s="44"/>
      <c r="IYM5" s="44"/>
      <c r="IYN5" s="44"/>
      <c r="IYO5" s="44"/>
      <c r="IYP5" s="44"/>
      <c r="IYQ5" s="44"/>
      <c r="IYR5" s="44"/>
      <c r="IYS5" s="44"/>
      <c r="IYT5" s="44"/>
      <c r="IYU5" s="44"/>
      <c r="IYV5" s="44"/>
      <c r="IYW5" s="44"/>
      <c r="IYX5" s="44"/>
      <c r="IYY5" s="44"/>
      <c r="IYZ5" s="44"/>
      <c r="IZA5" s="44"/>
      <c r="IZB5" s="44"/>
      <c r="IZC5" s="44"/>
      <c r="IZD5" s="44"/>
      <c r="IZE5" s="44"/>
      <c r="IZF5" s="44"/>
      <c r="IZG5" s="44"/>
      <c r="IZH5" s="44"/>
      <c r="IZI5" s="44"/>
      <c r="IZJ5" s="44"/>
      <c r="IZK5" s="44"/>
      <c r="IZL5" s="44"/>
      <c r="IZM5" s="44"/>
      <c r="IZN5" s="44"/>
      <c r="IZO5" s="44"/>
      <c r="IZP5" s="44"/>
      <c r="IZQ5" s="44"/>
      <c r="IZR5" s="44"/>
      <c r="IZS5" s="44"/>
      <c r="IZT5" s="44"/>
      <c r="IZU5" s="44"/>
      <c r="IZV5" s="44"/>
      <c r="IZW5" s="44"/>
      <c r="IZX5" s="44"/>
      <c r="IZY5" s="44"/>
      <c r="IZZ5" s="44"/>
      <c r="JAA5" s="44"/>
      <c r="JAB5" s="44"/>
      <c r="JAC5" s="44"/>
      <c r="JAD5" s="44"/>
      <c r="JAE5" s="44"/>
      <c r="JAF5" s="44"/>
      <c r="JAG5" s="44"/>
      <c r="JAH5" s="44"/>
      <c r="JAI5" s="44"/>
      <c r="JAJ5" s="44"/>
      <c r="JAK5" s="44"/>
      <c r="JAL5" s="44"/>
      <c r="JAM5" s="44"/>
      <c r="JAN5" s="44"/>
      <c r="JAO5" s="44"/>
      <c r="JAP5" s="44"/>
      <c r="JAQ5" s="44"/>
      <c r="JAR5" s="44"/>
      <c r="JAS5" s="44"/>
      <c r="JAT5" s="44"/>
      <c r="JAU5" s="44"/>
      <c r="JAV5" s="44"/>
      <c r="JAW5" s="44"/>
      <c r="JAX5" s="44"/>
      <c r="JAY5" s="44"/>
      <c r="JAZ5" s="44"/>
      <c r="JBA5" s="44"/>
      <c r="JBB5" s="44"/>
      <c r="JBC5" s="44"/>
      <c r="JBD5" s="44"/>
      <c r="JBE5" s="44"/>
      <c r="JBF5" s="44"/>
      <c r="JBG5" s="44"/>
      <c r="JBH5" s="44"/>
      <c r="JBI5" s="44"/>
      <c r="JBJ5" s="44"/>
      <c r="JBK5" s="44"/>
      <c r="JBL5" s="44"/>
      <c r="JBM5" s="44"/>
      <c r="JBN5" s="44"/>
      <c r="JBO5" s="44"/>
      <c r="JBP5" s="44"/>
      <c r="JBQ5" s="44"/>
      <c r="JBR5" s="44"/>
      <c r="JBS5" s="44"/>
      <c r="JBT5" s="44"/>
      <c r="JBU5" s="44"/>
      <c r="JBV5" s="44"/>
      <c r="JBW5" s="44"/>
      <c r="JBX5" s="44"/>
      <c r="JBY5" s="44"/>
      <c r="JBZ5" s="44"/>
      <c r="JCA5" s="44"/>
      <c r="JCB5" s="44"/>
      <c r="JCC5" s="44"/>
      <c r="JCD5" s="44"/>
      <c r="JCE5" s="44"/>
      <c r="JCF5" s="44"/>
      <c r="JCG5" s="44"/>
      <c r="JCH5" s="44"/>
      <c r="JCI5" s="44"/>
      <c r="JCJ5" s="44"/>
      <c r="JCK5" s="44"/>
      <c r="JCL5" s="44"/>
      <c r="JCM5" s="44"/>
      <c r="JCN5" s="44"/>
      <c r="JCO5" s="44"/>
      <c r="JCP5" s="44"/>
      <c r="JCQ5" s="44"/>
      <c r="JCR5" s="44"/>
      <c r="JCS5" s="44"/>
      <c r="JCT5" s="44"/>
      <c r="JCU5" s="44"/>
      <c r="JCV5" s="44"/>
      <c r="JCW5" s="44"/>
      <c r="JCX5" s="44"/>
      <c r="JCY5" s="44"/>
      <c r="JCZ5" s="44"/>
      <c r="JDA5" s="44"/>
      <c r="JDB5" s="44"/>
      <c r="JDC5" s="44"/>
      <c r="JDD5" s="44"/>
      <c r="JDE5" s="44"/>
      <c r="JDF5" s="44"/>
      <c r="JDG5" s="44"/>
      <c r="JDH5" s="44"/>
      <c r="JDI5" s="44"/>
      <c r="JDJ5" s="44"/>
      <c r="JDK5" s="44"/>
      <c r="JDL5" s="44"/>
      <c r="JDM5" s="44"/>
      <c r="JDN5" s="44"/>
      <c r="JDO5" s="44"/>
      <c r="JDP5" s="44"/>
      <c r="JDQ5" s="44"/>
      <c r="JDR5" s="44"/>
      <c r="JDS5" s="44"/>
      <c r="JDT5" s="44"/>
      <c r="JDU5" s="44"/>
      <c r="JDV5" s="44"/>
      <c r="JDW5" s="44"/>
      <c r="JDX5" s="44"/>
      <c r="JDY5" s="44"/>
      <c r="JDZ5" s="44"/>
      <c r="JEA5" s="44"/>
      <c r="JEB5" s="44"/>
      <c r="JEC5" s="44"/>
      <c r="JED5" s="44"/>
      <c r="JEE5" s="44"/>
      <c r="JEF5" s="44"/>
      <c r="JEG5" s="44"/>
      <c r="JEH5" s="44"/>
      <c r="JEI5" s="44"/>
      <c r="JEJ5" s="44"/>
      <c r="JEK5" s="44"/>
      <c r="JEL5" s="44"/>
      <c r="JEM5" s="44"/>
      <c r="JEN5" s="44"/>
      <c r="JEO5" s="44"/>
      <c r="JEP5" s="44"/>
      <c r="JEQ5" s="44"/>
      <c r="JER5" s="44"/>
      <c r="JES5" s="44"/>
      <c r="JET5" s="44"/>
      <c r="JEU5" s="44"/>
      <c r="JEV5" s="44"/>
      <c r="JEW5" s="44"/>
      <c r="JEX5" s="44"/>
      <c r="JEY5" s="44"/>
      <c r="JEZ5" s="44"/>
      <c r="JFA5" s="44"/>
      <c r="JFB5" s="44"/>
      <c r="JFC5" s="44"/>
      <c r="JFD5" s="44"/>
      <c r="JFE5" s="44"/>
      <c r="JFF5" s="44"/>
      <c r="JFG5" s="44"/>
      <c r="JFH5" s="44"/>
      <c r="JFI5" s="44"/>
      <c r="JFJ5" s="44"/>
      <c r="JFK5" s="44"/>
      <c r="JFL5" s="44"/>
      <c r="JFM5" s="44"/>
      <c r="JFN5" s="44"/>
      <c r="JFO5" s="44"/>
      <c r="JFP5" s="44"/>
      <c r="JFQ5" s="44"/>
      <c r="JFR5" s="44"/>
      <c r="JFS5" s="44"/>
      <c r="JFT5" s="44"/>
      <c r="JFU5" s="44"/>
      <c r="JFV5" s="44"/>
      <c r="JFW5" s="44"/>
      <c r="JFX5" s="44"/>
      <c r="JFY5" s="44"/>
      <c r="JFZ5" s="44"/>
      <c r="JGA5" s="44"/>
      <c r="JGB5" s="44"/>
      <c r="JGC5" s="44"/>
      <c r="JGD5" s="44"/>
      <c r="JGE5" s="44"/>
      <c r="JGF5" s="44"/>
      <c r="JGG5" s="44"/>
      <c r="JGH5" s="44"/>
      <c r="JGI5" s="44"/>
      <c r="JGJ5" s="44"/>
      <c r="JGK5" s="44"/>
      <c r="JGL5" s="44"/>
      <c r="JGM5" s="44"/>
      <c r="JGN5" s="44"/>
      <c r="JGO5" s="44"/>
      <c r="JGP5" s="44"/>
      <c r="JGQ5" s="44"/>
      <c r="JGR5" s="44"/>
      <c r="JGS5" s="44"/>
      <c r="JGT5" s="44"/>
      <c r="JGU5" s="44"/>
      <c r="JGV5" s="44"/>
      <c r="JGW5" s="44"/>
      <c r="JGX5" s="44"/>
      <c r="JGY5" s="44"/>
      <c r="JGZ5" s="44"/>
      <c r="JHA5" s="44"/>
      <c r="JHB5" s="44"/>
      <c r="JHC5" s="44"/>
      <c r="JHD5" s="44"/>
      <c r="JHE5" s="44"/>
      <c r="JHF5" s="44"/>
      <c r="JHG5" s="44"/>
      <c r="JHH5" s="44"/>
      <c r="JHI5" s="44"/>
      <c r="JHJ5" s="44"/>
      <c r="JHK5" s="44"/>
      <c r="JHL5" s="44"/>
      <c r="JHM5" s="44"/>
      <c r="JHN5" s="44"/>
      <c r="JHO5" s="44"/>
      <c r="JHP5" s="44"/>
      <c r="JHQ5" s="44"/>
      <c r="JHR5" s="44"/>
      <c r="JHS5" s="44"/>
      <c r="JHT5" s="44"/>
      <c r="JHU5" s="44"/>
      <c r="JHV5" s="44"/>
      <c r="JHW5" s="44"/>
      <c r="JHX5" s="44"/>
      <c r="JHY5" s="44"/>
      <c r="JHZ5" s="44"/>
      <c r="JIA5" s="44"/>
      <c r="JIB5" s="44"/>
      <c r="JIC5" s="44"/>
      <c r="JID5" s="44"/>
      <c r="JIE5" s="44"/>
      <c r="JIF5" s="44"/>
      <c r="JIG5" s="44"/>
      <c r="JIH5" s="44"/>
      <c r="JII5" s="44"/>
      <c r="JIJ5" s="44"/>
      <c r="JIK5" s="44"/>
      <c r="JIL5" s="44"/>
      <c r="JIM5" s="44"/>
      <c r="JIN5" s="44"/>
      <c r="JIO5" s="44"/>
      <c r="JIP5" s="44"/>
      <c r="JIQ5" s="44"/>
      <c r="JIR5" s="44"/>
      <c r="JIS5" s="44"/>
      <c r="JIT5" s="44"/>
      <c r="JIU5" s="44"/>
      <c r="JIV5" s="44"/>
      <c r="JIW5" s="44"/>
      <c r="JIX5" s="44"/>
      <c r="JIY5" s="44"/>
      <c r="JIZ5" s="44"/>
      <c r="JJA5" s="44"/>
      <c r="JJB5" s="44"/>
      <c r="JJC5" s="44"/>
      <c r="JJD5" s="44"/>
      <c r="JJE5" s="44"/>
      <c r="JJF5" s="44"/>
      <c r="JJG5" s="44"/>
      <c r="JJH5" s="44"/>
      <c r="JJI5" s="44"/>
      <c r="JJJ5" s="44"/>
      <c r="JJK5" s="44"/>
      <c r="JJL5" s="44"/>
      <c r="JJM5" s="44"/>
      <c r="JJN5" s="44"/>
      <c r="JJO5" s="44"/>
      <c r="JJP5" s="44"/>
      <c r="JJQ5" s="44"/>
      <c r="JJR5" s="44"/>
      <c r="JJS5" s="44"/>
      <c r="JJT5" s="44"/>
      <c r="JJU5" s="44"/>
      <c r="JJV5" s="44"/>
      <c r="JJW5" s="44"/>
      <c r="JJX5" s="44"/>
      <c r="JJY5" s="44"/>
      <c r="JJZ5" s="44"/>
      <c r="JKA5" s="44"/>
      <c r="JKB5" s="44"/>
      <c r="JKC5" s="44"/>
      <c r="JKD5" s="44"/>
      <c r="JKE5" s="44"/>
      <c r="JKF5" s="44"/>
      <c r="JKG5" s="44"/>
      <c r="JKH5" s="44"/>
      <c r="JKI5" s="44"/>
      <c r="JKJ5" s="44"/>
      <c r="JKK5" s="44"/>
      <c r="JKL5" s="44"/>
      <c r="JKM5" s="44"/>
      <c r="JKN5" s="44"/>
      <c r="JKO5" s="44"/>
      <c r="JKP5" s="44"/>
      <c r="JKQ5" s="44"/>
      <c r="JKR5" s="44"/>
      <c r="JKS5" s="44"/>
      <c r="JKT5" s="44"/>
      <c r="JKU5" s="44"/>
      <c r="JKV5" s="44"/>
      <c r="JKW5" s="44"/>
      <c r="JKX5" s="44"/>
      <c r="JKY5" s="44"/>
      <c r="JKZ5" s="44"/>
      <c r="JLA5" s="44"/>
      <c r="JLB5" s="44"/>
      <c r="JLC5" s="44"/>
      <c r="JLD5" s="44"/>
      <c r="JLE5" s="44"/>
      <c r="JLF5" s="44"/>
      <c r="JLG5" s="44"/>
      <c r="JLH5" s="44"/>
      <c r="JLI5" s="44"/>
      <c r="JLJ5" s="44"/>
      <c r="JLK5" s="44"/>
      <c r="JLL5" s="44"/>
      <c r="JLM5" s="44"/>
      <c r="JLN5" s="44"/>
      <c r="JLO5" s="44"/>
      <c r="JLP5" s="44"/>
      <c r="JLQ5" s="44"/>
      <c r="JLR5" s="44"/>
      <c r="JLS5" s="44"/>
      <c r="JLT5" s="44"/>
      <c r="JLU5" s="44"/>
      <c r="JLV5" s="44"/>
      <c r="JLW5" s="44"/>
      <c r="JLX5" s="44"/>
      <c r="JLY5" s="44"/>
      <c r="JLZ5" s="44"/>
      <c r="JMA5" s="44"/>
      <c r="JMB5" s="44"/>
      <c r="JMC5" s="44"/>
      <c r="JMD5" s="44"/>
      <c r="JME5" s="44"/>
      <c r="JMF5" s="44"/>
      <c r="JMG5" s="44"/>
      <c r="JMH5" s="44"/>
      <c r="JMI5" s="44"/>
      <c r="JMJ5" s="44"/>
      <c r="JMK5" s="44"/>
      <c r="JML5" s="44"/>
      <c r="JMM5" s="44"/>
      <c r="JMN5" s="44"/>
      <c r="JMO5" s="44"/>
      <c r="JMP5" s="44"/>
      <c r="JMQ5" s="44"/>
      <c r="JMR5" s="44"/>
      <c r="JMS5" s="44"/>
      <c r="JMT5" s="44"/>
      <c r="JMU5" s="44"/>
      <c r="JMV5" s="44"/>
      <c r="JMW5" s="44"/>
      <c r="JMX5" s="44"/>
      <c r="JMY5" s="44"/>
      <c r="JMZ5" s="44"/>
      <c r="JNA5" s="44"/>
      <c r="JNB5" s="44"/>
      <c r="JNC5" s="44"/>
      <c r="JND5" s="44"/>
      <c r="JNE5" s="44"/>
      <c r="JNF5" s="44"/>
      <c r="JNG5" s="44"/>
      <c r="JNH5" s="44"/>
      <c r="JNI5" s="44"/>
      <c r="JNJ5" s="44"/>
      <c r="JNK5" s="44"/>
      <c r="JNL5" s="44"/>
      <c r="JNM5" s="44"/>
      <c r="JNN5" s="44"/>
      <c r="JNO5" s="44"/>
      <c r="JNP5" s="44"/>
      <c r="JNQ5" s="44"/>
      <c r="JNR5" s="44"/>
      <c r="JNS5" s="44"/>
      <c r="JNT5" s="44"/>
      <c r="JNU5" s="44"/>
      <c r="JNV5" s="44"/>
      <c r="JNW5" s="44"/>
      <c r="JNX5" s="44"/>
      <c r="JNY5" s="44"/>
      <c r="JNZ5" s="44"/>
      <c r="JOA5" s="44"/>
      <c r="JOB5" s="44"/>
      <c r="JOC5" s="44"/>
      <c r="JOD5" s="44"/>
      <c r="JOE5" s="44"/>
      <c r="JOF5" s="44"/>
      <c r="JOG5" s="44"/>
      <c r="JOH5" s="44"/>
      <c r="JOI5" s="44"/>
      <c r="JOJ5" s="44"/>
      <c r="JOK5" s="44"/>
      <c r="JOL5" s="44"/>
      <c r="JOM5" s="44"/>
      <c r="JON5" s="44"/>
      <c r="JOO5" s="44"/>
      <c r="JOP5" s="44"/>
      <c r="JOQ5" s="44"/>
      <c r="JOR5" s="44"/>
      <c r="JOS5" s="44"/>
      <c r="JOT5" s="44"/>
      <c r="JOU5" s="44"/>
      <c r="JOV5" s="44"/>
      <c r="JOW5" s="44"/>
      <c r="JOX5" s="44"/>
      <c r="JOY5" s="44"/>
      <c r="JOZ5" s="44"/>
      <c r="JPA5" s="44"/>
      <c r="JPB5" s="44"/>
      <c r="JPC5" s="44"/>
      <c r="JPD5" s="44"/>
      <c r="JPE5" s="44"/>
      <c r="JPF5" s="44"/>
      <c r="JPG5" s="44"/>
      <c r="JPH5" s="44"/>
      <c r="JPI5" s="44"/>
      <c r="JPJ5" s="44"/>
      <c r="JPK5" s="44"/>
      <c r="JPL5" s="44"/>
      <c r="JPM5" s="44"/>
      <c r="JPN5" s="44"/>
      <c r="JPO5" s="44"/>
      <c r="JPP5" s="44"/>
      <c r="JPQ5" s="44"/>
      <c r="JPR5" s="44"/>
      <c r="JPS5" s="44"/>
      <c r="JPT5" s="44"/>
      <c r="JPU5" s="44"/>
      <c r="JPV5" s="44"/>
      <c r="JPW5" s="44"/>
      <c r="JPX5" s="44"/>
      <c r="JPY5" s="44"/>
      <c r="JPZ5" s="44"/>
      <c r="JQA5" s="44"/>
      <c r="JQB5" s="44"/>
      <c r="JQC5" s="44"/>
      <c r="JQD5" s="44"/>
      <c r="JQE5" s="44"/>
      <c r="JQF5" s="44"/>
      <c r="JQG5" s="44"/>
      <c r="JQH5" s="44"/>
      <c r="JQI5" s="44"/>
      <c r="JQJ5" s="44"/>
      <c r="JQK5" s="44"/>
      <c r="JQL5" s="44"/>
      <c r="JQM5" s="44"/>
      <c r="JQN5" s="44"/>
      <c r="JQO5" s="44"/>
      <c r="JQP5" s="44"/>
      <c r="JQQ5" s="44"/>
      <c r="JQR5" s="44"/>
      <c r="JQS5" s="44"/>
      <c r="JQT5" s="44"/>
      <c r="JQU5" s="44"/>
      <c r="JQV5" s="44"/>
      <c r="JQW5" s="44"/>
      <c r="JQX5" s="44"/>
      <c r="JQY5" s="44"/>
      <c r="JQZ5" s="44"/>
      <c r="JRA5" s="44"/>
      <c r="JRB5" s="44"/>
      <c r="JRC5" s="44"/>
      <c r="JRD5" s="44"/>
      <c r="JRE5" s="44"/>
      <c r="JRF5" s="44"/>
      <c r="JRG5" s="44"/>
      <c r="JRH5" s="44"/>
      <c r="JRI5" s="44"/>
      <c r="JRJ5" s="44"/>
      <c r="JRK5" s="44"/>
      <c r="JRL5" s="44"/>
      <c r="JRM5" s="44"/>
      <c r="JRN5" s="44"/>
      <c r="JRO5" s="44"/>
      <c r="JRP5" s="44"/>
      <c r="JRQ5" s="44"/>
      <c r="JRR5" s="44"/>
      <c r="JRS5" s="44"/>
      <c r="JRT5" s="44"/>
      <c r="JRU5" s="44"/>
      <c r="JRV5" s="44"/>
      <c r="JRW5" s="44"/>
      <c r="JRX5" s="44"/>
      <c r="JRY5" s="44"/>
      <c r="JRZ5" s="44"/>
      <c r="JSA5" s="44"/>
      <c r="JSB5" s="44"/>
      <c r="JSC5" s="44"/>
      <c r="JSD5" s="44"/>
      <c r="JSE5" s="44"/>
      <c r="JSF5" s="44"/>
      <c r="JSG5" s="44"/>
      <c r="JSH5" s="44"/>
      <c r="JSI5" s="44"/>
      <c r="JSJ5" s="44"/>
      <c r="JSK5" s="44"/>
      <c r="JSL5" s="44"/>
      <c r="JSM5" s="44"/>
      <c r="JSN5" s="44"/>
      <c r="JSO5" s="44"/>
      <c r="JSP5" s="44"/>
      <c r="JSQ5" s="44"/>
      <c r="JSR5" s="44"/>
      <c r="JSS5" s="44"/>
      <c r="JST5" s="44"/>
      <c r="JSU5" s="44"/>
      <c r="JSV5" s="44"/>
      <c r="JSW5" s="44"/>
      <c r="JSX5" s="44"/>
      <c r="JSY5" s="44"/>
      <c r="JSZ5" s="44"/>
      <c r="JTA5" s="44"/>
      <c r="JTB5" s="44"/>
      <c r="JTC5" s="44"/>
      <c r="JTD5" s="44"/>
      <c r="JTE5" s="44"/>
      <c r="JTF5" s="44"/>
      <c r="JTG5" s="44"/>
      <c r="JTH5" s="44"/>
      <c r="JTI5" s="44"/>
      <c r="JTJ5" s="44"/>
      <c r="JTK5" s="44"/>
      <c r="JTL5" s="44"/>
      <c r="JTM5" s="44"/>
      <c r="JTN5" s="44"/>
      <c r="JTO5" s="44"/>
      <c r="JTP5" s="44"/>
      <c r="JTQ5" s="44"/>
      <c r="JTR5" s="44"/>
      <c r="JTS5" s="44"/>
      <c r="JTT5" s="44"/>
      <c r="JTU5" s="44"/>
      <c r="JTV5" s="44"/>
      <c r="JTW5" s="44"/>
      <c r="JTX5" s="44"/>
      <c r="JTY5" s="44"/>
      <c r="JTZ5" s="44"/>
      <c r="JUA5" s="44"/>
      <c r="JUB5" s="44"/>
      <c r="JUC5" s="44"/>
      <c r="JUD5" s="44"/>
      <c r="JUE5" s="44"/>
      <c r="JUF5" s="44"/>
      <c r="JUG5" s="44"/>
      <c r="JUH5" s="44"/>
      <c r="JUI5" s="44"/>
      <c r="JUJ5" s="44"/>
      <c r="JUK5" s="44"/>
      <c r="JUL5" s="44"/>
      <c r="JUM5" s="44"/>
      <c r="JUN5" s="44"/>
      <c r="JUO5" s="44"/>
      <c r="JUP5" s="44"/>
      <c r="JUQ5" s="44"/>
      <c r="JUR5" s="44"/>
      <c r="JUS5" s="44"/>
      <c r="JUT5" s="44"/>
      <c r="JUU5" s="44"/>
      <c r="JUV5" s="44"/>
      <c r="JUW5" s="44"/>
      <c r="JUX5" s="44"/>
      <c r="JUY5" s="44"/>
      <c r="JUZ5" s="44"/>
      <c r="JVA5" s="44"/>
      <c r="JVB5" s="44"/>
      <c r="JVC5" s="44"/>
      <c r="JVD5" s="44"/>
      <c r="JVE5" s="44"/>
      <c r="JVF5" s="44"/>
      <c r="JVG5" s="44"/>
      <c r="JVH5" s="44"/>
      <c r="JVI5" s="44"/>
      <c r="JVJ5" s="44"/>
      <c r="JVK5" s="44"/>
      <c r="JVL5" s="44"/>
      <c r="JVM5" s="44"/>
      <c r="JVN5" s="44"/>
      <c r="JVO5" s="44"/>
      <c r="JVP5" s="44"/>
      <c r="JVQ5" s="44"/>
      <c r="JVR5" s="44"/>
      <c r="JVS5" s="44"/>
      <c r="JVT5" s="44"/>
      <c r="JVU5" s="44"/>
      <c r="JVV5" s="44"/>
      <c r="JVW5" s="44"/>
      <c r="JVX5" s="44"/>
      <c r="JVY5" s="44"/>
      <c r="JVZ5" s="44"/>
      <c r="JWA5" s="44"/>
      <c r="JWB5" s="44"/>
      <c r="JWC5" s="44"/>
      <c r="JWD5" s="44"/>
      <c r="JWE5" s="44"/>
      <c r="JWF5" s="44"/>
      <c r="JWG5" s="44"/>
      <c r="JWH5" s="44"/>
      <c r="JWI5" s="44"/>
      <c r="JWJ5" s="44"/>
      <c r="JWK5" s="44"/>
      <c r="JWL5" s="44"/>
      <c r="JWM5" s="44"/>
      <c r="JWN5" s="44"/>
      <c r="JWO5" s="44"/>
      <c r="JWP5" s="44"/>
      <c r="JWQ5" s="44"/>
      <c r="JWR5" s="44"/>
      <c r="JWS5" s="44"/>
      <c r="JWT5" s="44"/>
      <c r="JWU5" s="44"/>
      <c r="JWV5" s="44"/>
      <c r="JWW5" s="44"/>
      <c r="JWX5" s="44"/>
      <c r="JWY5" s="44"/>
      <c r="JWZ5" s="44"/>
      <c r="JXA5" s="44"/>
      <c r="JXB5" s="44"/>
      <c r="JXC5" s="44"/>
      <c r="JXD5" s="44"/>
      <c r="JXE5" s="44"/>
      <c r="JXF5" s="44"/>
      <c r="JXG5" s="44"/>
      <c r="JXH5" s="44"/>
      <c r="JXI5" s="44"/>
      <c r="JXJ5" s="44"/>
      <c r="JXK5" s="44"/>
      <c r="JXL5" s="44"/>
      <c r="JXM5" s="44"/>
      <c r="JXN5" s="44"/>
      <c r="JXO5" s="44"/>
      <c r="JXP5" s="44"/>
      <c r="JXQ5" s="44"/>
      <c r="JXR5" s="44"/>
      <c r="JXS5" s="44"/>
      <c r="JXT5" s="44"/>
      <c r="JXU5" s="44"/>
      <c r="JXV5" s="44"/>
      <c r="JXW5" s="44"/>
      <c r="JXX5" s="44"/>
      <c r="JXY5" s="44"/>
      <c r="JXZ5" s="44"/>
      <c r="JYA5" s="44"/>
      <c r="JYB5" s="44"/>
      <c r="JYC5" s="44"/>
      <c r="JYD5" s="44"/>
      <c r="JYE5" s="44"/>
      <c r="JYF5" s="44"/>
      <c r="JYG5" s="44"/>
      <c r="JYH5" s="44"/>
      <c r="JYI5" s="44"/>
      <c r="JYJ5" s="44"/>
      <c r="JYK5" s="44"/>
      <c r="JYL5" s="44"/>
      <c r="JYM5" s="44"/>
      <c r="JYN5" s="44"/>
      <c r="JYO5" s="44"/>
      <c r="JYP5" s="44"/>
      <c r="JYQ5" s="44"/>
      <c r="JYR5" s="44"/>
      <c r="JYS5" s="44"/>
      <c r="JYT5" s="44"/>
      <c r="JYU5" s="44"/>
      <c r="JYV5" s="44"/>
      <c r="JYW5" s="44"/>
      <c r="JYX5" s="44"/>
      <c r="JYY5" s="44"/>
      <c r="JYZ5" s="44"/>
      <c r="JZA5" s="44"/>
      <c r="JZB5" s="44"/>
      <c r="JZC5" s="44"/>
      <c r="JZD5" s="44"/>
      <c r="JZE5" s="44"/>
      <c r="JZF5" s="44"/>
      <c r="JZG5" s="44"/>
      <c r="JZH5" s="44"/>
      <c r="JZI5" s="44"/>
      <c r="JZJ5" s="44"/>
      <c r="JZK5" s="44"/>
      <c r="JZL5" s="44"/>
      <c r="JZM5" s="44"/>
      <c r="JZN5" s="44"/>
      <c r="JZO5" s="44"/>
      <c r="JZP5" s="44"/>
      <c r="JZQ5" s="44"/>
      <c r="JZR5" s="44"/>
      <c r="JZS5" s="44"/>
      <c r="JZT5" s="44"/>
      <c r="JZU5" s="44"/>
      <c r="JZV5" s="44"/>
      <c r="JZW5" s="44"/>
      <c r="JZX5" s="44"/>
      <c r="JZY5" s="44"/>
      <c r="JZZ5" s="44"/>
      <c r="KAA5" s="44"/>
      <c r="KAB5" s="44"/>
      <c r="KAC5" s="44"/>
      <c r="KAD5" s="44"/>
      <c r="KAE5" s="44"/>
      <c r="KAF5" s="44"/>
      <c r="KAG5" s="44"/>
      <c r="KAH5" s="44"/>
      <c r="KAI5" s="44"/>
      <c r="KAJ5" s="44"/>
      <c r="KAK5" s="44"/>
      <c r="KAL5" s="44"/>
      <c r="KAM5" s="44"/>
      <c r="KAN5" s="44"/>
      <c r="KAO5" s="44"/>
      <c r="KAP5" s="44"/>
      <c r="KAQ5" s="44"/>
      <c r="KAR5" s="44"/>
      <c r="KAS5" s="44"/>
      <c r="KAT5" s="44"/>
      <c r="KAU5" s="44"/>
      <c r="KAV5" s="44"/>
      <c r="KAW5" s="44"/>
      <c r="KAX5" s="44"/>
      <c r="KAY5" s="44"/>
      <c r="KAZ5" s="44"/>
      <c r="KBA5" s="44"/>
      <c r="KBB5" s="44"/>
      <c r="KBC5" s="44"/>
      <c r="KBD5" s="44"/>
      <c r="KBE5" s="44"/>
      <c r="KBF5" s="44"/>
      <c r="KBG5" s="44"/>
      <c r="KBH5" s="44"/>
      <c r="KBI5" s="44"/>
      <c r="KBJ5" s="44"/>
      <c r="KBK5" s="44"/>
      <c r="KBL5" s="44"/>
      <c r="KBM5" s="44"/>
      <c r="KBN5" s="44"/>
      <c r="KBO5" s="44"/>
      <c r="KBP5" s="44"/>
      <c r="KBQ5" s="44"/>
      <c r="KBR5" s="44"/>
      <c r="KBS5" s="44"/>
      <c r="KBT5" s="44"/>
      <c r="KBU5" s="44"/>
      <c r="KBV5" s="44"/>
      <c r="KBW5" s="44"/>
      <c r="KBX5" s="44"/>
      <c r="KBY5" s="44"/>
      <c r="KBZ5" s="44"/>
      <c r="KCA5" s="44"/>
      <c r="KCB5" s="44"/>
      <c r="KCC5" s="44"/>
      <c r="KCD5" s="44"/>
      <c r="KCE5" s="44"/>
      <c r="KCF5" s="44"/>
      <c r="KCG5" s="44"/>
      <c r="KCH5" s="44"/>
      <c r="KCI5" s="44"/>
      <c r="KCJ5" s="44"/>
      <c r="KCK5" s="44"/>
      <c r="KCL5" s="44"/>
      <c r="KCM5" s="44"/>
      <c r="KCN5" s="44"/>
      <c r="KCO5" s="44"/>
      <c r="KCP5" s="44"/>
      <c r="KCQ5" s="44"/>
      <c r="KCR5" s="44"/>
      <c r="KCS5" s="44"/>
      <c r="KCT5" s="44"/>
      <c r="KCU5" s="44"/>
      <c r="KCV5" s="44"/>
      <c r="KCW5" s="44"/>
      <c r="KCX5" s="44"/>
      <c r="KCY5" s="44"/>
      <c r="KCZ5" s="44"/>
      <c r="KDA5" s="44"/>
      <c r="KDB5" s="44"/>
      <c r="KDC5" s="44"/>
      <c r="KDD5" s="44"/>
      <c r="KDE5" s="44"/>
      <c r="KDF5" s="44"/>
      <c r="KDG5" s="44"/>
      <c r="KDH5" s="44"/>
      <c r="KDI5" s="44"/>
      <c r="KDJ5" s="44"/>
      <c r="KDK5" s="44"/>
      <c r="KDL5" s="44"/>
      <c r="KDM5" s="44"/>
      <c r="KDN5" s="44"/>
      <c r="KDO5" s="44"/>
      <c r="KDP5" s="44"/>
      <c r="KDQ5" s="44"/>
      <c r="KDR5" s="44"/>
      <c r="KDS5" s="44"/>
      <c r="KDT5" s="44"/>
      <c r="KDU5" s="44"/>
      <c r="KDV5" s="44"/>
      <c r="KDW5" s="44"/>
      <c r="KDX5" s="44"/>
      <c r="KDY5" s="44"/>
      <c r="KDZ5" s="44"/>
      <c r="KEA5" s="44"/>
      <c r="KEB5" s="44"/>
      <c r="KEC5" s="44"/>
      <c r="KED5" s="44"/>
      <c r="KEE5" s="44"/>
      <c r="KEF5" s="44"/>
      <c r="KEG5" s="44"/>
      <c r="KEH5" s="44"/>
      <c r="KEI5" s="44"/>
      <c r="KEJ5" s="44"/>
      <c r="KEK5" s="44"/>
      <c r="KEL5" s="44"/>
      <c r="KEM5" s="44"/>
      <c r="KEN5" s="44"/>
      <c r="KEO5" s="44"/>
      <c r="KEP5" s="44"/>
      <c r="KEQ5" s="44"/>
      <c r="KER5" s="44"/>
      <c r="KES5" s="44"/>
      <c r="KET5" s="44"/>
      <c r="KEU5" s="44"/>
      <c r="KEV5" s="44"/>
      <c r="KEW5" s="44"/>
      <c r="KEX5" s="44"/>
      <c r="KEY5" s="44"/>
      <c r="KEZ5" s="44"/>
      <c r="KFA5" s="44"/>
      <c r="KFB5" s="44"/>
      <c r="KFC5" s="44"/>
      <c r="KFD5" s="44"/>
      <c r="KFE5" s="44"/>
      <c r="KFF5" s="44"/>
      <c r="KFG5" s="44"/>
      <c r="KFH5" s="44"/>
      <c r="KFI5" s="44"/>
      <c r="KFJ5" s="44"/>
      <c r="KFK5" s="44"/>
      <c r="KFL5" s="44"/>
      <c r="KFM5" s="44"/>
      <c r="KFN5" s="44"/>
      <c r="KFO5" s="44"/>
      <c r="KFP5" s="44"/>
      <c r="KFQ5" s="44"/>
      <c r="KFR5" s="44"/>
      <c r="KFS5" s="44"/>
      <c r="KFT5" s="44"/>
      <c r="KFU5" s="44"/>
      <c r="KFV5" s="44"/>
      <c r="KFW5" s="44"/>
      <c r="KFX5" s="44"/>
      <c r="KFY5" s="44"/>
      <c r="KFZ5" s="44"/>
      <c r="KGA5" s="44"/>
      <c r="KGB5" s="44"/>
      <c r="KGC5" s="44"/>
      <c r="KGD5" s="44"/>
      <c r="KGE5" s="44"/>
      <c r="KGF5" s="44"/>
      <c r="KGG5" s="44"/>
      <c r="KGH5" s="44"/>
      <c r="KGI5" s="44"/>
      <c r="KGJ5" s="44"/>
      <c r="KGK5" s="44"/>
      <c r="KGL5" s="44"/>
      <c r="KGM5" s="44"/>
      <c r="KGN5" s="44"/>
      <c r="KGO5" s="44"/>
      <c r="KGP5" s="44"/>
      <c r="KGQ5" s="44"/>
      <c r="KGR5" s="44"/>
      <c r="KGS5" s="44"/>
      <c r="KGT5" s="44"/>
      <c r="KGU5" s="44"/>
      <c r="KGV5" s="44"/>
      <c r="KGW5" s="44"/>
      <c r="KGX5" s="44"/>
      <c r="KGY5" s="44"/>
      <c r="KGZ5" s="44"/>
      <c r="KHA5" s="44"/>
      <c r="KHB5" s="44"/>
      <c r="KHC5" s="44"/>
      <c r="KHD5" s="44"/>
      <c r="KHE5" s="44"/>
      <c r="KHF5" s="44"/>
      <c r="KHG5" s="44"/>
      <c r="KHH5" s="44"/>
      <c r="KHI5" s="44"/>
      <c r="KHJ5" s="44"/>
      <c r="KHK5" s="44"/>
      <c r="KHL5" s="44"/>
      <c r="KHM5" s="44"/>
      <c r="KHN5" s="44"/>
      <c r="KHO5" s="44"/>
      <c r="KHP5" s="44"/>
      <c r="KHQ5" s="44"/>
      <c r="KHR5" s="44"/>
      <c r="KHS5" s="44"/>
      <c r="KHT5" s="44"/>
      <c r="KHU5" s="44"/>
      <c r="KHV5" s="44"/>
      <c r="KHW5" s="44"/>
      <c r="KHX5" s="44"/>
      <c r="KHY5" s="44"/>
      <c r="KHZ5" s="44"/>
      <c r="KIA5" s="44"/>
      <c r="KIB5" s="44"/>
      <c r="KIC5" s="44"/>
      <c r="KID5" s="44"/>
      <c r="KIE5" s="44"/>
      <c r="KIF5" s="44"/>
      <c r="KIG5" s="44"/>
      <c r="KIH5" s="44"/>
      <c r="KII5" s="44"/>
      <c r="KIJ5" s="44"/>
      <c r="KIK5" s="44"/>
      <c r="KIL5" s="44"/>
      <c r="KIM5" s="44"/>
      <c r="KIN5" s="44"/>
      <c r="KIO5" s="44"/>
      <c r="KIP5" s="44"/>
      <c r="KIQ5" s="44"/>
      <c r="KIR5" s="44"/>
      <c r="KIS5" s="44"/>
      <c r="KIT5" s="44"/>
      <c r="KIU5" s="44"/>
      <c r="KIV5" s="44"/>
      <c r="KIW5" s="44"/>
      <c r="KIX5" s="44"/>
      <c r="KIY5" s="44"/>
      <c r="KIZ5" s="44"/>
      <c r="KJA5" s="44"/>
      <c r="KJB5" s="44"/>
      <c r="KJC5" s="44"/>
      <c r="KJD5" s="44"/>
      <c r="KJE5" s="44"/>
      <c r="KJF5" s="44"/>
      <c r="KJG5" s="44"/>
      <c r="KJH5" s="44"/>
      <c r="KJI5" s="44"/>
      <c r="KJJ5" s="44"/>
      <c r="KJK5" s="44"/>
      <c r="KJL5" s="44"/>
      <c r="KJM5" s="44"/>
      <c r="KJN5" s="44"/>
      <c r="KJO5" s="44"/>
      <c r="KJP5" s="44"/>
      <c r="KJQ5" s="44"/>
      <c r="KJR5" s="44"/>
      <c r="KJS5" s="44"/>
      <c r="KJT5" s="44"/>
      <c r="KJU5" s="44"/>
      <c r="KJV5" s="44"/>
      <c r="KJW5" s="44"/>
      <c r="KJX5" s="44"/>
      <c r="KJY5" s="44"/>
      <c r="KJZ5" s="44"/>
      <c r="KKA5" s="44"/>
      <c r="KKB5" s="44"/>
      <c r="KKC5" s="44"/>
      <c r="KKD5" s="44"/>
      <c r="KKE5" s="44"/>
      <c r="KKF5" s="44"/>
      <c r="KKG5" s="44"/>
      <c r="KKH5" s="44"/>
      <c r="KKI5" s="44"/>
      <c r="KKJ5" s="44"/>
      <c r="KKK5" s="44"/>
      <c r="KKL5" s="44"/>
      <c r="KKM5" s="44"/>
      <c r="KKN5" s="44"/>
      <c r="KKO5" s="44"/>
      <c r="KKP5" s="44"/>
      <c r="KKQ5" s="44"/>
      <c r="KKR5" s="44"/>
      <c r="KKS5" s="44"/>
      <c r="KKT5" s="44"/>
      <c r="KKU5" s="44"/>
      <c r="KKV5" s="44"/>
      <c r="KKW5" s="44"/>
      <c r="KKX5" s="44"/>
      <c r="KKY5" s="44"/>
      <c r="KKZ5" s="44"/>
      <c r="KLA5" s="44"/>
      <c r="KLB5" s="44"/>
      <c r="KLC5" s="44"/>
      <c r="KLD5" s="44"/>
      <c r="KLE5" s="44"/>
      <c r="KLF5" s="44"/>
      <c r="KLG5" s="44"/>
      <c r="KLH5" s="44"/>
      <c r="KLI5" s="44"/>
      <c r="KLJ5" s="44"/>
      <c r="KLK5" s="44"/>
      <c r="KLL5" s="44"/>
      <c r="KLM5" s="44"/>
      <c r="KLN5" s="44"/>
      <c r="KLO5" s="44"/>
      <c r="KLP5" s="44"/>
      <c r="KLQ5" s="44"/>
      <c r="KLR5" s="44"/>
      <c r="KLS5" s="44"/>
      <c r="KLT5" s="44"/>
      <c r="KLU5" s="44"/>
      <c r="KLV5" s="44"/>
      <c r="KLW5" s="44"/>
      <c r="KLX5" s="44"/>
      <c r="KLY5" s="44"/>
      <c r="KLZ5" s="44"/>
      <c r="KMA5" s="44"/>
      <c r="KMB5" s="44"/>
      <c r="KMC5" s="44"/>
      <c r="KMD5" s="44"/>
      <c r="KME5" s="44"/>
      <c r="KMF5" s="44"/>
      <c r="KMG5" s="44"/>
      <c r="KMH5" s="44"/>
      <c r="KMI5" s="44"/>
      <c r="KMJ5" s="44"/>
      <c r="KMK5" s="44"/>
      <c r="KML5" s="44"/>
      <c r="KMM5" s="44"/>
      <c r="KMN5" s="44"/>
      <c r="KMO5" s="44"/>
      <c r="KMP5" s="44"/>
      <c r="KMQ5" s="44"/>
      <c r="KMR5" s="44"/>
      <c r="KMS5" s="44"/>
      <c r="KMT5" s="44"/>
      <c r="KMU5" s="44"/>
      <c r="KMV5" s="44"/>
      <c r="KMW5" s="44"/>
      <c r="KMX5" s="44"/>
      <c r="KMY5" s="44"/>
      <c r="KMZ5" s="44"/>
      <c r="KNA5" s="44"/>
      <c r="KNB5" s="44"/>
      <c r="KNC5" s="44"/>
      <c r="KND5" s="44"/>
      <c r="KNE5" s="44"/>
      <c r="KNF5" s="44"/>
      <c r="KNG5" s="44"/>
      <c r="KNH5" s="44"/>
      <c r="KNI5" s="44"/>
      <c r="KNJ5" s="44"/>
      <c r="KNK5" s="44"/>
      <c r="KNL5" s="44"/>
      <c r="KNM5" s="44"/>
      <c r="KNN5" s="44"/>
      <c r="KNO5" s="44"/>
      <c r="KNP5" s="44"/>
      <c r="KNQ5" s="44"/>
      <c r="KNR5" s="44"/>
      <c r="KNS5" s="44"/>
      <c r="KNT5" s="44"/>
      <c r="KNU5" s="44"/>
      <c r="KNV5" s="44"/>
      <c r="KNW5" s="44"/>
      <c r="KNX5" s="44"/>
      <c r="KNY5" s="44"/>
      <c r="KNZ5" s="44"/>
      <c r="KOA5" s="44"/>
      <c r="KOB5" s="44"/>
      <c r="KOC5" s="44"/>
      <c r="KOD5" s="44"/>
      <c r="KOE5" s="44"/>
      <c r="KOF5" s="44"/>
      <c r="KOG5" s="44"/>
      <c r="KOH5" s="44"/>
      <c r="KOI5" s="44"/>
      <c r="KOJ5" s="44"/>
      <c r="KOK5" s="44"/>
      <c r="KOL5" s="44"/>
      <c r="KOM5" s="44"/>
      <c r="KON5" s="44"/>
      <c r="KOO5" s="44"/>
      <c r="KOP5" s="44"/>
      <c r="KOQ5" s="44"/>
      <c r="KOR5" s="44"/>
      <c r="KOS5" s="44"/>
      <c r="KOT5" s="44"/>
      <c r="KOU5" s="44"/>
      <c r="KOV5" s="44"/>
      <c r="KOW5" s="44"/>
      <c r="KOX5" s="44"/>
      <c r="KOY5" s="44"/>
      <c r="KOZ5" s="44"/>
      <c r="KPA5" s="44"/>
      <c r="KPB5" s="44"/>
      <c r="KPC5" s="44"/>
      <c r="KPD5" s="44"/>
      <c r="KPE5" s="44"/>
      <c r="KPF5" s="44"/>
      <c r="KPG5" s="44"/>
      <c r="KPH5" s="44"/>
      <c r="KPI5" s="44"/>
      <c r="KPJ5" s="44"/>
      <c r="KPK5" s="44"/>
      <c r="KPL5" s="44"/>
      <c r="KPM5" s="44"/>
      <c r="KPN5" s="44"/>
      <c r="KPO5" s="44"/>
      <c r="KPP5" s="44"/>
      <c r="KPQ5" s="44"/>
      <c r="KPR5" s="44"/>
      <c r="KPS5" s="44"/>
      <c r="KPT5" s="44"/>
      <c r="KPU5" s="44"/>
      <c r="KPV5" s="44"/>
      <c r="KPW5" s="44"/>
      <c r="KPX5" s="44"/>
      <c r="KPY5" s="44"/>
      <c r="KPZ5" s="44"/>
      <c r="KQA5" s="44"/>
      <c r="KQB5" s="44"/>
      <c r="KQC5" s="44"/>
      <c r="KQD5" s="44"/>
      <c r="KQE5" s="44"/>
      <c r="KQF5" s="44"/>
      <c r="KQG5" s="44"/>
      <c r="KQH5" s="44"/>
      <c r="KQI5" s="44"/>
      <c r="KQJ5" s="44"/>
      <c r="KQK5" s="44"/>
      <c r="KQL5" s="44"/>
      <c r="KQM5" s="44"/>
      <c r="KQN5" s="44"/>
      <c r="KQO5" s="44"/>
      <c r="KQP5" s="44"/>
      <c r="KQQ5" s="44"/>
      <c r="KQR5" s="44"/>
      <c r="KQS5" s="44"/>
      <c r="KQT5" s="44"/>
      <c r="KQU5" s="44"/>
      <c r="KQV5" s="44"/>
      <c r="KQW5" s="44"/>
      <c r="KQX5" s="44"/>
      <c r="KQY5" s="44"/>
      <c r="KQZ5" s="44"/>
      <c r="KRA5" s="44"/>
      <c r="KRB5" s="44"/>
      <c r="KRC5" s="44"/>
      <c r="KRD5" s="44"/>
      <c r="KRE5" s="44"/>
      <c r="KRF5" s="44"/>
      <c r="KRG5" s="44"/>
      <c r="KRH5" s="44"/>
      <c r="KRI5" s="44"/>
      <c r="KRJ5" s="44"/>
      <c r="KRK5" s="44"/>
      <c r="KRL5" s="44"/>
      <c r="KRM5" s="44"/>
      <c r="KRN5" s="44"/>
      <c r="KRO5" s="44"/>
      <c r="KRP5" s="44"/>
      <c r="KRQ5" s="44"/>
      <c r="KRR5" s="44"/>
      <c r="KRS5" s="44"/>
      <c r="KRT5" s="44"/>
      <c r="KRU5" s="44"/>
      <c r="KRV5" s="44"/>
      <c r="KRW5" s="44"/>
      <c r="KRX5" s="44"/>
      <c r="KRY5" s="44"/>
      <c r="KRZ5" s="44"/>
      <c r="KSA5" s="44"/>
      <c r="KSB5" s="44"/>
      <c r="KSC5" s="44"/>
      <c r="KSD5" s="44"/>
      <c r="KSE5" s="44"/>
      <c r="KSF5" s="44"/>
      <c r="KSG5" s="44"/>
      <c r="KSH5" s="44"/>
      <c r="KSI5" s="44"/>
      <c r="KSJ5" s="44"/>
      <c r="KSK5" s="44"/>
      <c r="KSL5" s="44"/>
      <c r="KSM5" s="44"/>
      <c r="KSN5" s="44"/>
      <c r="KSO5" s="44"/>
      <c r="KSP5" s="44"/>
      <c r="KSQ5" s="44"/>
      <c r="KSR5" s="44"/>
      <c r="KSS5" s="44"/>
      <c r="KST5" s="44"/>
      <c r="KSU5" s="44"/>
      <c r="KSV5" s="44"/>
      <c r="KSW5" s="44"/>
      <c r="KSX5" s="44"/>
      <c r="KSY5" s="44"/>
      <c r="KSZ5" s="44"/>
      <c r="KTA5" s="44"/>
      <c r="KTB5" s="44"/>
      <c r="KTC5" s="44"/>
      <c r="KTD5" s="44"/>
      <c r="KTE5" s="44"/>
      <c r="KTF5" s="44"/>
      <c r="KTG5" s="44"/>
      <c r="KTH5" s="44"/>
      <c r="KTI5" s="44"/>
      <c r="KTJ5" s="44"/>
      <c r="KTK5" s="44"/>
      <c r="KTL5" s="44"/>
      <c r="KTM5" s="44"/>
      <c r="KTN5" s="44"/>
      <c r="KTO5" s="44"/>
      <c r="KTP5" s="44"/>
      <c r="KTQ5" s="44"/>
      <c r="KTR5" s="44"/>
      <c r="KTS5" s="44"/>
      <c r="KTT5" s="44"/>
      <c r="KTU5" s="44"/>
      <c r="KTV5" s="44"/>
      <c r="KTW5" s="44"/>
      <c r="KTX5" s="44"/>
      <c r="KTY5" s="44"/>
      <c r="KTZ5" s="44"/>
      <c r="KUA5" s="44"/>
      <c r="KUB5" s="44"/>
      <c r="KUC5" s="44"/>
      <c r="KUD5" s="44"/>
      <c r="KUE5" s="44"/>
      <c r="KUF5" s="44"/>
      <c r="KUG5" s="44"/>
      <c r="KUH5" s="44"/>
      <c r="KUI5" s="44"/>
      <c r="KUJ5" s="44"/>
      <c r="KUK5" s="44"/>
      <c r="KUL5" s="44"/>
      <c r="KUM5" s="44"/>
      <c r="KUN5" s="44"/>
      <c r="KUO5" s="44"/>
      <c r="KUP5" s="44"/>
      <c r="KUQ5" s="44"/>
      <c r="KUR5" s="44"/>
      <c r="KUS5" s="44"/>
      <c r="KUT5" s="44"/>
      <c r="KUU5" s="44"/>
      <c r="KUV5" s="44"/>
      <c r="KUW5" s="44"/>
      <c r="KUX5" s="44"/>
      <c r="KUY5" s="44"/>
      <c r="KUZ5" s="44"/>
      <c r="KVA5" s="44"/>
      <c r="KVB5" s="44"/>
      <c r="KVC5" s="44"/>
      <c r="KVD5" s="44"/>
      <c r="KVE5" s="44"/>
      <c r="KVF5" s="44"/>
      <c r="KVG5" s="44"/>
      <c r="KVH5" s="44"/>
      <c r="KVI5" s="44"/>
      <c r="KVJ5" s="44"/>
      <c r="KVK5" s="44"/>
      <c r="KVL5" s="44"/>
      <c r="KVM5" s="44"/>
      <c r="KVN5" s="44"/>
      <c r="KVO5" s="44"/>
      <c r="KVP5" s="44"/>
      <c r="KVQ5" s="44"/>
      <c r="KVR5" s="44"/>
      <c r="KVS5" s="44"/>
      <c r="KVT5" s="44"/>
      <c r="KVU5" s="44"/>
      <c r="KVV5" s="44"/>
      <c r="KVW5" s="44"/>
      <c r="KVX5" s="44"/>
      <c r="KVY5" s="44"/>
      <c r="KVZ5" s="44"/>
      <c r="KWA5" s="44"/>
      <c r="KWB5" s="44"/>
      <c r="KWC5" s="44"/>
      <c r="KWD5" s="44"/>
      <c r="KWE5" s="44"/>
      <c r="KWF5" s="44"/>
      <c r="KWG5" s="44"/>
      <c r="KWH5" s="44"/>
      <c r="KWI5" s="44"/>
      <c r="KWJ5" s="44"/>
      <c r="KWK5" s="44"/>
      <c r="KWL5" s="44"/>
      <c r="KWM5" s="44"/>
      <c r="KWN5" s="44"/>
      <c r="KWO5" s="44"/>
      <c r="KWP5" s="44"/>
      <c r="KWQ5" s="44"/>
      <c r="KWR5" s="44"/>
      <c r="KWS5" s="44"/>
      <c r="KWT5" s="44"/>
      <c r="KWU5" s="44"/>
      <c r="KWV5" s="44"/>
      <c r="KWW5" s="44"/>
      <c r="KWX5" s="44"/>
      <c r="KWY5" s="44"/>
      <c r="KWZ5" s="44"/>
      <c r="KXA5" s="44"/>
      <c r="KXB5" s="44"/>
      <c r="KXC5" s="44"/>
      <c r="KXD5" s="44"/>
      <c r="KXE5" s="44"/>
      <c r="KXF5" s="44"/>
      <c r="KXG5" s="44"/>
      <c r="KXH5" s="44"/>
      <c r="KXI5" s="44"/>
      <c r="KXJ5" s="44"/>
      <c r="KXK5" s="44"/>
      <c r="KXL5" s="44"/>
      <c r="KXM5" s="44"/>
      <c r="KXN5" s="44"/>
      <c r="KXO5" s="44"/>
      <c r="KXP5" s="44"/>
      <c r="KXQ5" s="44"/>
      <c r="KXR5" s="44"/>
      <c r="KXS5" s="44"/>
      <c r="KXT5" s="44"/>
      <c r="KXU5" s="44"/>
      <c r="KXV5" s="44"/>
      <c r="KXW5" s="44"/>
      <c r="KXX5" s="44"/>
      <c r="KXY5" s="44"/>
      <c r="KXZ5" s="44"/>
      <c r="KYA5" s="44"/>
      <c r="KYB5" s="44"/>
      <c r="KYC5" s="44"/>
      <c r="KYD5" s="44"/>
      <c r="KYE5" s="44"/>
      <c r="KYF5" s="44"/>
      <c r="KYG5" s="44"/>
      <c r="KYH5" s="44"/>
      <c r="KYI5" s="44"/>
      <c r="KYJ5" s="44"/>
      <c r="KYK5" s="44"/>
      <c r="KYL5" s="44"/>
      <c r="KYM5" s="44"/>
      <c r="KYN5" s="44"/>
      <c r="KYO5" s="44"/>
      <c r="KYP5" s="44"/>
      <c r="KYQ5" s="44"/>
      <c r="KYR5" s="44"/>
      <c r="KYS5" s="44"/>
      <c r="KYT5" s="44"/>
      <c r="KYU5" s="44"/>
      <c r="KYV5" s="44"/>
      <c r="KYW5" s="44"/>
      <c r="KYX5" s="44"/>
      <c r="KYY5" s="44"/>
      <c r="KYZ5" s="44"/>
      <c r="KZA5" s="44"/>
      <c r="KZB5" s="44"/>
      <c r="KZC5" s="44"/>
      <c r="KZD5" s="44"/>
      <c r="KZE5" s="44"/>
      <c r="KZF5" s="44"/>
      <c r="KZG5" s="44"/>
      <c r="KZH5" s="44"/>
      <c r="KZI5" s="44"/>
      <c r="KZJ5" s="44"/>
      <c r="KZK5" s="44"/>
      <c r="KZL5" s="44"/>
      <c r="KZM5" s="44"/>
      <c r="KZN5" s="44"/>
      <c r="KZO5" s="44"/>
      <c r="KZP5" s="44"/>
      <c r="KZQ5" s="44"/>
      <c r="KZR5" s="44"/>
      <c r="KZS5" s="44"/>
      <c r="KZT5" s="44"/>
      <c r="KZU5" s="44"/>
      <c r="KZV5" s="44"/>
      <c r="KZW5" s="44"/>
      <c r="KZX5" s="44"/>
      <c r="KZY5" s="44"/>
      <c r="KZZ5" s="44"/>
      <c r="LAA5" s="44"/>
      <c r="LAB5" s="44"/>
      <c r="LAC5" s="44"/>
      <c r="LAD5" s="44"/>
      <c r="LAE5" s="44"/>
      <c r="LAF5" s="44"/>
      <c r="LAG5" s="44"/>
      <c r="LAH5" s="44"/>
      <c r="LAI5" s="44"/>
      <c r="LAJ5" s="44"/>
      <c r="LAK5" s="44"/>
      <c r="LAL5" s="44"/>
      <c r="LAM5" s="44"/>
      <c r="LAN5" s="44"/>
      <c r="LAO5" s="44"/>
      <c r="LAP5" s="44"/>
      <c r="LAQ5" s="44"/>
      <c r="LAR5" s="44"/>
      <c r="LAS5" s="44"/>
      <c r="LAT5" s="44"/>
      <c r="LAU5" s="44"/>
      <c r="LAV5" s="44"/>
      <c r="LAW5" s="44"/>
      <c r="LAX5" s="44"/>
      <c r="LAY5" s="44"/>
      <c r="LAZ5" s="44"/>
      <c r="LBA5" s="44"/>
      <c r="LBB5" s="44"/>
      <c r="LBC5" s="44"/>
      <c r="LBD5" s="44"/>
      <c r="LBE5" s="44"/>
      <c r="LBF5" s="44"/>
      <c r="LBG5" s="44"/>
      <c r="LBH5" s="44"/>
      <c r="LBI5" s="44"/>
      <c r="LBJ5" s="44"/>
      <c r="LBK5" s="44"/>
      <c r="LBL5" s="44"/>
      <c r="LBM5" s="44"/>
      <c r="LBN5" s="44"/>
      <c r="LBO5" s="44"/>
      <c r="LBP5" s="44"/>
      <c r="LBQ5" s="44"/>
      <c r="LBR5" s="44"/>
      <c r="LBS5" s="44"/>
      <c r="LBT5" s="44"/>
      <c r="LBU5" s="44"/>
      <c r="LBV5" s="44"/>
      <c r="LBW5" s="44"/>
      <c r="LBX5" s="44"/>
      <c r="LBY5" s="44"/>
      <c r="LBZ5" s="44"/>
      <c r="LCA5" s="44"/>
      <c r="LCB5" s="44"/>
      <c r="LCC5" s="44"/>
      <c r="LCD5" s="44"/>
      <c r="LCE5" s="44"/>
      <c r="LCF5" s="44"/>
      <c r="LCG5" s="44"/>
      <c r="LCH5" s="44"/>
      <c r="LCI5" s="44"/>
      <c r="LCJ5" s="44"/>
      <c r="LCK5" s="44"/>
      <c r="LCL5" s="44"/>
      <c r="LCM5" s="44"/>
      <c r="LCN5" s="44"/>
      <c r="LCO5" s="44"/>
      <c r="LCP5" s="44"/>
      <c r="LCQ5" s="44"/>
      <c r="LCR5" s="44"/>
      <c r="LCS5" s="44"/>
      <c r="LCT5" s="44"/>
      <c r="LCU5" s="44"/>
      <c r="LCV5" s="44"/>
      <c r="LCW5" s="44"/>
      <c r="LCX5" s="44"/>
      <c r="LCY5" s="44"/>
      <c r="LCZ5" s="44"/>
      <c r="LDA5" s="44"/>
      <c r="LDB5" s="44"/>
      <c r="LDC5" s="44"/>
      <c r="LDD5" s="44"/>
      <c r="LDE5" s="44"/>
      <c r="LDF5" s="44"/>
      <c r="LDG5" s="44"/>
      <c r="LDH5" s="44"/>
      <c r="LDI5" s="44"/>
      <c r="LDJ5" s="44"/>
      <c r="LDK5" s="44"/>
      <c r="LDL5" s="44"/>
      <c r="LDM5" s="44"/>
      <c r="LDN5" s="44"/>
      <c r="LDO5" s="44"/>
      <c r="LDP5" s="44"/>
      <c r="LDQ5" s="44"/>
      <c r="LDR5" s="44"/>
      <c r="LDS5" s="44"/>
      <c r="LDT5" s="44"/>
      <c r="LDU5" s="44"/>
      <c r="LDV5" s="44"/>
      <c r="LDW5" s="44"/>
      <c r="LDX5" s="44"/>
      <c r="LDY5" s="44"/>
      <c r="LDZ5" s="44"/>
      <c r="LEA5" s="44"/>
      <c r="LEB5" s="44"/>
      <c r="LEC5" s="44"/>
      <c r="LED5" s="44"/>
      <c r="LEE5" s="44"/>
      <c r="LEF5" s="44"/>
      <c r="LEG5" s="44"/>
      <c r="LEH5" s="44"/>
      <c r="LEI5" s="44"/>
      <c r="LEJ5" s="44"/>
      <c r="LEK5" s="44"/>
      <c r="LEL5" s="44"/>
      <c r="LEM5" s="44"/>
      <c r="LEN5" s="44"/>
      <c r="LEO5" s="44"/>
      <c r="LEP5" s="44"/>
      <c r="LEQ5" s="44"/>
      <c r="LER5" s="44"/>
      <c r="LES5" s="44"/>
      <c r="LET5" s="44"/>
      <c r="LEU5" s="44"/>
      <c r="LEV5" s="44"/>
      <c r="LEW5" s="44"/>
      <c r="LEX5" s="44"/>
      <c r="LEY5" s="44"/>
      <c r="LEZ5" s="44"/>
      <c r="LFA5" s="44"/>
      <c r="LFB5" s="44"/>
      <c r="LFC5" s="44"/>
      <c r="LFD5" s="44"/>
      <c r="LFE5" s="44"/>
      <c r="LFF5" s="44"/>
      <c r="LFG5" s="44"/>
      <c r="LFH5" s="44"/>
      <c r="LFI5" s="44"/>
      <c r="LFJ5" s="44"/>
      <c r="LFK5" s="44"/>
      <c r="LFL5" s="44"/>
      <c r="LFM5" s="44"/>
      <c r="LFN5" s="44"/>
      <c r="LFO5" s="44"/>
      <c r="LFP5" s="44"/>
      <c r="LFQ5" s="44"/>
      <c r="LFR5" s="44"/>
      <c r="LFS5" s="44"/>
      <c r="LFT5" s="44"/>
      <c r="LFU5" s="44"/>
      <c r="LFV5" s="44"/>
      <c r="LFW5" s="44"/>
      <c r="LFX5" s="44"/>
      <c r="LFY5" s="44"/>
      <c r="LFZ5" s="44"/>
      <c r="LGA5" s="44"/>
      <c r="LGB5" s="44"/>
      <c r="LGC5" s="44"/>
      <c r="LGD5" s="44"/>
      <c r="LGE5" s="44"/>
      <c r="LGF5" s="44"/>
      <c r="LGG5" s="44"/>
      <c r="LGH5" s="44"/>
      <c r="LGI5" s="44"/>
      <c r="LGJ5" s="44"/>
      <c r="LGK5" s="44"/>
      <c r="LGL5" s="44"/>
      <c r="LGM5" s="44"/>
      <c r="LGN5" s="44"/>
      <c r="LGO5" s="44"/>
      <c r="LGP5" s="44"/>
      <c r="LGQ5" s="44"/>
      <c r="LGR5" s="44"/>
      <c r="LGS5" s="44"/>
      <c r="LGT5" s="44"/>
      <c r="LGU5" s="44"/>
      <c r="LGV5" s="44"/>
      <c r="LGW5" s="44"/>
      <c r="LGX5" s="44"/>
      <c r="LGY5" s="44"/>
      <c r="LGZ5" s="44"/>
      <c r="LHA5" s="44"/>
      <c r="LHB5" s="44"/>
      <c r="LHC5" s="44"/>
      <c r="LHD5" s="44"/>
      <c r="LHE5" s="44"/>
      <c r="LHF5" s="44"/>
      <c r="LHG5" s="44"/>
      <c r="LHH5" s="44"/>
      <c r="LHI5" s="44"/>
      <c r="LHJ5" s="44"/>
      <c r="LHK5" s="44"/>
      <c r="LHL5" s="44"/>
      <c r="LHM5" s="44"/>
      <c r="LHN5" s="44"/>
      <c r="LHO5" s="44"/>
      <c r="LHP5" s="44"/>
      <c r="LHQ5" s="44"/>
      <c r="LHR5" s="44"/>
      <c r="LHS5" s="44"/>
      <c r="LHT5" s="44"/>
      <c r="LHU5" s="44"/>
      <c r="LHV5" s="44"/>
      <c r="LHW5" s="44"/>
      <c r="LHX5" s="44"/>
      <c r="LHY5" s="44"/>
      <c r="LHZ5" s="44"/>
      <c r="LIA5" s="44"/>
      <c r="LIB5" s="44"/>
      <c r="LIC5" s="44"/>
      <c r="LID5" s="44"/>
      <c r="LIE5" s="44"/>
      <c r="LIF5" s="44"/>
      <c r="LIG5" s="44"/>
      <c r="LIH5" s="44"/>
      <c r="LII5" s="44"/>
      <c r="LIJ5" s="44"/>
      <c r="LIK5" s="44"/>
      <c r="LIL5" s="44"/>
      <c r="LIM5" s="44"/>
      <c r="LIN5" s="44"/>
      <c r="LIO5" s="44"/>
      <c r="LIP5" s="44"/>
      <c r="LIQ5" s="44"/>
      <c r="LIR5" s="44"/>
      <c r="LIS5" s="44"/>
      <c r="LIT5" s="44"/>
      <c r="LIU5" s="44"/>
      <c r="LIV5" s="44"/>
      <c r="LIW5" s="44"/>
      <c r="LIX5" s="44"/>
      <c r="LIY5" s="44"/>
      <c r="LIZ5" s="44"/>
      <c r="LJA5" s="44"/>
      <c r="LJB5" s="44"/>
      <c r="LJC5" s="44"/>
      <c r="LJD5" s="44"/>
      <c r="LJE5" s="44"/>
      <c r="LJF5" s="44"/>
      <c r="LJG5" s="44"/>
      <c r="LJH5" s="44"/>
      <c r="LJI5" s="44"/>
      <c r="LJJ5" s="44"/>
      <c r="LJK5" s="44"/>
      <c r="LJL5" s="44"/>
      <c r="LJM5" s="44"/>
      <c r="LJN5" s="44"/>
      <c r="LJO5" s="44"/>
      <c r="LJP5" s="44"/>
      <c r="LJQ5" s="44"/>
      <c r="LJR5" s="44"/>
      <c r="LJS5" s="44"/>
      <c r="LJT5" s="44"/>
      <c r="LJU5" s="44"/>
      <c r="LJV5" s="44"/>
      <c r="LJW5" s="44"/>
      <c r="LJX5" s="44"/>
      <c r="LJY5" s="44"/>
      <c r="LJZ5" s="44"/>
      <c r="LKA5" s="44"/>
      <c r="LKB5" s="44"/>
      <c r="LKC5" s="44"/>
      <c r="LKD5" s="44"/>
      <c r="LKE5" s="44"/>
      <c r="LKF5" s="44"/>
      <c r="LKG5" s="44"/>
      <c r="LKH5" s="44"/>
      <c r="LKI5" s="44"/>
      <c r="LKJ5" s="44"/>
      <c r="LKK5" s="44"/>
      <c r="LKL5" s="44"/>
      <c r="LKM5" s="44"/>
      <c r="LKN5" s="44"/>
      <c r="LKO5" s="44"/>
      <c r="LKP5" s="44"/>
      <c r="LKQ5" s="44"/>
      <c r="LKR5" s="44"/>
      <c r="LKS5" s="44"/>
      <c r="LKT5" s="44"/>
      <c r="LKU5" s="44"/>
      <c r="LKV5" s="44"/>
      <c r="LKW5" s="44"/>
      <c r="LKX5" s="44"/>
      <c r="LKY5" s="44"/>
      <c r="LKZ5" s="44"/>
      <c r="LLA5" s="44"/>
      <c r="LLB5" s="44"/>
      <c r="LLC5" s="44"/>
      <c r="LLD5" s="44"/>
      <c r="LLE5" s="44"/>
      <c r="LLF5" s="44"/>
      <c r="LLG5" s="44"/>
      <c r="LLH5" s="44"/>
      <c r="LLI5" s="44"/>
      <c r="LLJ5" s="44"/>
      <c r="LLK5" s="44"/>
      <c r="LLL5" s="44"/>
      <c r="LLM5" s="44"/>
      <c r="LLN5" s="44"/>
      <c r="LLO5" s="44"/>
      <c r="LLP5" s="44"/>
      <c r="LLQ5" s="44"/>
      <c r="LLR5" s="44"/>
      <c r="LLS5" s="44"/>
      <c r="LLT5" s="44"/>
      <c r="LLU5" s="44"/>
      <c r="LLV5" s="44"/>
      <c r="LLW5" s="44"/>
      <c r="LLX5" s="44"/>
      <c r="LLY5" s="44"/>
      <c r="LLZ5" s="44"/>
      <c r="LMA5" s="44"/>
      <c r="LMB5" s="44"/>
      <c r="LMC5" s="44"/>
      <c r="LMD5" s="44"/>
      <c r="LME5" s="44"/>
      <c r="LMF5" s="44"/>
      <c r="LMG5" s="44"/>
      <c r="LMH5" s="44"/>
      <c r="LMI5" s="44"/>
      <c r="LMJ5" s="44"/>
      <c r="LMK5" s="44"/>
      <c r="LML5" s="44"/>
      <c r="LMM5" s="44"/>
      <c r="LMN5" s="44"/>
      <c r="LMO5" s="44"/>
      <c r="LMP5" s="44"/>
      <c r="LMQ5" s="44"/>
      <c r="LMR5" s="44"/>
      <c r="LMS5" s="44"/>
      <c r="LMT5" s="44"/>
      <c r="LMU5" s="44"/>
      <c r="LMV5" s="44"/>
      <c r="LMW5" s="44"/>
      <c r="LMX5" s="44"/>
      <c r="LMY5" s="44"/>
      <c r="LMZ5" s="44"/>
      <c r="LNA5" s="44"/>
      <c r="LNB5" s="44"/>
      <c r="LNC5" s="44"/>
      <c r="LND5" s="44"/>
      <c r="LNE5" s="44"/>
      <c r="LNF5" s="44"/>
      <c r="LNG5" s="44"/>
      <c r="LNH5" s="44"/>
      <c r="LNI5" s="44"/>
      <c r="LNJ5" s="44"/>
      <c r="LNK5" s="44"/>
      <c r="LNL5" s="44"/>
      <c r="LNM5" s="44"/>
      <c r="LNN5" s="44"/>
      <c r="LNO5" s="44"/>
      <c r="LNP5" s="44"/>
      <c r="LNQ5" s="44"/>
      <c r="LNR5" s="44"/>
      <c r="LNS5" s="44"/>
      <c r="LNT5" s="44"/>
      <c r="LNU5" s="44"/>
      <c r="LNV5" s="44"/>
      <c r="LNW5" s="44"/>
      <c r="LNX5" s="44"/>
      <c r="LNY5" s="44"/>
      <c r="LNZ5" s="44"/>
      <c r="LOA5" s="44"/>
      <c r="LOB5" s="44"/>
      <c r="LOC5" s="44"/>
      <c r="LOD5" s="44"/>
      <c r="LOE5" s="44"/>
      <c r="LOF5" s="44"/>
      <c r="LOG5" s="44"/>
      <c r="LOH5" s="44"/>
      <c r="LOI5" s="44"/>
      <c r="LOJ5" s="44"/>
      <c r="LOK5" s="44"/>
      <c r="LOL5" s="44"/>
      <c r="LOM5" s="44"/>
      <c r="LON5" s="44"/>
      <c r="LOO5" s="44"/>
      <c r="LOP5" s="44"/>
      <c r="LOQ5" s="44"/>
      <c r="LOR5" s="44"/>
      <c r="LOS5" s="44"/>
      <c r="LOT5" s="44"/>
      <c r="LOU5" s="44"/>
      <c r="LOV5" s="44"/>
      <c r="LOW5" s="44"/>
      <c r="LOX5" s="44"/>
      <c r="LOY5" s="44"/>
      <c r="LOZ5" s="44"/>
      <c r="LPA5" s="44"/>
      <c r="LPB5" s="44"/>
      <c r="LPC5" s="44"/>
      <c r="LPD5" s="44"/>
      <c r="LPE5" s="44"/>
      <c r="LPF5" s="44"/>
      <c r="LPG5" s="44"/>
      <c r="LPH5" s="44"/>
      <c r="LPI5" s="44"/>
      <c r="LPJ5" s="44"/>
      <c r="LPK5" s="44"/>
      <c r="LPL5" s="44"/>
      <c r="LPM5" s="44"/>
      <c r="LPN5" s="44"/>
      <c r="LPO5" s="44"/>
      <c r="LPP5" s="44"/>
      <c r="LPQ5" s="44"/>
      <c r="LPR5" s="44"/>
      <c r="LPS5" s="44"/>
      <c r="LPT5" s="44"/>
      <c r="LPU5" s="44"/>
      <c r="LPV5" s="44"/>
      <c r="LPW5" s="44"/>
      <c r="LPX5" s="44"/>
      <c r="LPY5" s="44"/>
      <c r="LPZ5" s="44"/>
      <c r="LQA5" s="44"/>
      <c r="LQB5" s="44"/>
      <c r="LQC5" s="44"/>
      <c r="LQD5" s="44"/>
      <c r="LQE5" s="44"/>
      <c r="LQF5" s="44"/>
      <c r="LQG5" s="44"/>
      <c r="LQH5" s="44"/>
      <c r="LQI5" s="44"/>
      <c r="LQJ5" s="44"/>
      <c r="LQK5" s="44"/>
      <c r="LQL5" s="44"/>
      <c r="LQM5" s="44"/>
      <c r="LQN5" s="44"/>
      <c r="LQO5" s="44"/>
      <c r="LQP5" s="44"/>
      <c r="LQQ5" s="44"/>
      <c r="LQR5" s="44"/>
      <c r="LQS5" s="44"/>
      <c r="LQT5" s="44"/>
      <c r="LQU5" s="44"/>
      <c r="LQV5" s="44"/>
      <c r="LQW5" s="44"/>
      <c r="LQX5" s="44"/>
      <c r="LQY5" s="44"/>
      <c r="LQZ5" s="44"/>
      <c r="LRA5" s="44"/>
      <c r="LRB5" s="44"/>
      <c r="LRC5" s="44"/>
      <c r="LRD5" s="44"/>
      <c r="LRE5" s="44"/>
      <c r="LRF5" s="44"/>
      <c r="LRG5" s="44"/>
      <c r="LRH5" s="44"/>
      <c r="LRI5" s="44"/>
      <c r="LRJ5" s="44"/>
      <c r="LRK5" s="44"/>
      <c r="LRL5" s="44"/>
      <c r="LRM5" s="44"/>
      <c r="LRN5" s="44"/>
      <c r="LRO5" s="44"/>
      <c r="LRP5" s="44"/>
      <c r="LRQ5" s="44"/>
      <c r="LRR5" s="44"/>
      <c r="LRS5" s="44"/>
      <c r="LRT5" s="44"/>
      <c r="LRU5" s="44"/>
      <c r="LRV5" s="44"/>
      <c r="LRW5" s="44"/>
      <c r="LRX5" s="44"/>
      <c r="LRY5" s="44"/>
      <c r="LRZ5" s="44"/>
      <c r="LSA5" s="44"/>
      <c r="LSB5" s="44"/>
      <c r="LSC5" s="44"/>
      <c r="LSD5" s="44"/>
      <c r="LSE5" s="44"/>
      <c r="LSF5" s="44"/>
      <c r="LSG5" s="44"/>
      <c r="LSH5" s="44"/>
      <c r="LSI5" s="44"/>
      <c r="LSJ5" s="44"/>
      <c r="LSK5" s="44"/>
      <c r="LSL5" s="44"/>
      <c r="LSM5" s="44"/>
      <c r="LSN5" s="44"/>
      <c r="LSO5" s="44"/>
      <c r="LSP5" s="44"/>
      <c r="LSQ5" s="44"/>
      <c r="LSR5" s="44"/>
      <c r="LSS5" s="44"/>
      <c r="LST5" s="44"/>
      <c r="LSU5" s="44"/>
      <c r="LSV5" s="44"/>
      <c r="LSW5" s="44"/>
      <c r="LSX5" s="44"/>
      <c r="LSY5" s="44"/>
      <c r="LSZ5" s="44"/>
      <c r="LTA5" s="44"/>
      <c r="LTB5" s="44"/>
      <c r="LTC5" s="44"/>
      <c r="LTD5" s="44"/>
      <c r="LTE5" s="44"/>
      <c r="LTF5" s="44"/>
      <c r="LTG5" s="44"/>
      <c r="LTH5" s="44"/>
      <c r="LTI5" s="44"/>
      <c r="LTJ5" s="44"/>
      <c r="LTK5" s="44"/>
      <c r="LTL5" s="44"/>
      <c r="LTM5" s="44"/>
      <c r="LTN5" s="44"/>
      <c r="LTO5" s="44"/>
      <c r="LTP5" s="44"/>
      <c r="LTQ5" s="44"/>
      <c r="LTR5" s="44"/>
      <c r="LTS5" s="44"/>
      <c r="LTT5" s="44"/>
      <c r="LTU5" s="44"/>
      <c r="LTV5" s="44"/>
      <c r="LTW5" s="44"/>
      <c r="LTX5" s="44"/>
      <c r="LTY5" s="44"/>
      <c r="LTZ5" s="44"/>
      <c r="LUA5" s="44"/>
      <c r="LUB5" s="44"/>
      <c r="LUC5" s="44"/>
      <c r="LUD5" s="44"/>
      <c r="LUE5" s="44"/>
      <c r="LUF5" s="44"/>
      <c r="LUG5" s="44"/>
      <c r="LUH5" s="44"/>
      <c r="LUI5" s="44"/>
      <c r="LUJ5" s="44"/>
      <c r="LUK5" s="44"/>
      <c r="LUL5" s="44"/>
      <c r="LUM5" s="44"/>
      <c r="LUN5" s="44"/>
      <c r="LUO5" s="44"/>
      <c r="LUP5" s="44"/>
      <c r="LUQ5" s="44"/>
      <c r="LUR5" s="44"/>
      <c r="LUS5" s="44"/>
      <c r="LUT5" s="44"/>
      <c r="LUU5" s="44"/>
      <c r="LUV5" s="44"/>
      <c r="LUW5" s="44"/>
      <c r="LUX5" s="44"/>
      <c r="LUY5" s="44"/>
      <c r="LUZ5" s="44"/>
      <c r="LVA5" s="44"/>
      <c r="LVB5" s="44"/>
      <c r="LVC5" s="44"/>
      <c r="LVD5" s="44"/>
      <c r="LVE5" s="44"/>
      <c r="LVF5" s="44"/>
      <c r="LVG5" s="44"/>
      <c r="LVH5" s="44"/>
      <c r="LVI5" s="44"/>
      <c r="LVJ5" s="44"/>
      <c r="LVK5" s="44"/>
      <c r="LVL5" s="44"/>
      <c r="LVM5" s="44"/>
      <c r="LVN5" s="44"/>
      <c r="LVO5" s="44"/>
      <c r="LVP5" s="44"/>
      <c r="LVQ5" s="44"/>
      <c r="LVR5" s="44"/>
      <c r="LVS5" s="44"/>
      <c r="LVT5" s="44"/>
      <c r="LVU5" s="44"/>
      <c r="LVV5" s="44"/>
      <c r="LVW5" s="44"/>
      <c r="LVX5" s="44"/>
      <c r="LVY5" s="44"/>
      <c r="LVZ5" s="44"/>
      <c r="LWA5" s="44"/>
      <c r="LWB5" s="44"/>
      <c r="LWC5" s="44"/>
      <c r="LWD5" s="44"/>
      <c r="LWE5" s="44"/>
      <c r="LWF5" s="44"/>
      <c r="LWG5" s="44"/>
      <c r="LWH5" s="44"/>
      <c r="LWI5" s="44"/>
      <c r="LWJ5" s="44"/>
      <c r="LWK5" s="44"/>
      <c r="LWL5" s="44"/>
      <c r="LWM5" s="44"/>
      <c r="LWN5" s="44"/>
      <c r="LWO5" s="44"/>
      <c r="LWP5" s="44"/>
      <c r="LWQ5" s="44"/>
      <c r="LWR5" s="44"/>
      <c r="LWS5" s="44"/>
      <c r="LWT5" s="44"/>
      <c r="LWU5" s="44"/>
      <c r="LWV5" s="44"/>
      <c r="LWW5" s="44"/>
      <c r="LWX5" s="44"/>
      <c r="LWY5" s="44"/>
      <c r="LWZ5" s="44"/>
      <c r="LXA5" s="44"/>
      <c r="LXB5" s="44"/>
      <c r="LXC5" s="44"/>
      <c r="LXD5" s="44"/>
      <c r="LXE5" s="44"/>
      <c r="LXF5" s="44"/>
      <c r="LXG5" s="44"/>
      <c r="LXH5" s="44"/>
      <c r="LXI5" s="44"/>
      <c r="LXJ5" s="44"/>
      <c r="LXK5" s="44"/>
      <c r="LXL5" s="44"/>
      <c r="LXM5" s="44"/>
      <c r="LXN5" s="44"/>
      <c r="LXO5" s="44"/>
      <c r="LXP5" s="44"/>
      <c r="LXQ5" s="44"/>
      <c r="LXR5" s="44"/>
      <c r="LXS5" s="44"/>
      <c r="LXT5" s="44"/>
      <c r="LXU5" s="44"/>
      <c r="LXV5" s="44"/>
      <c r="LXW5" s="44"/>
      <c r="LXX5" s="44"/>
      <c r="LXY5" s="44"/>
      <c r="LXZ5" s="44"/>
      <c r="LYA5" s="44"/>
      <c r="LYB5" s="44"/>
      <c r="LYC5" s="44"/>
      <c r="LYD5" s="44"/>
      <c r="LYE5" s="44"/>
      <c r="LYF5" s="44"/>
      <c r="LYG5" s="44"/>
      <c r="LYH5" s="44"/>
      <c r="LYI5" s="44"/>
      <c r="LYJ5" s="44"/>
      <c r="LYK5" s="44"/>
      <c r="LYL5" s="44"/>
      <c r="LYM5" s="44"/>
      <c r="LYN5" s="44"/>
      <c r="LYO5" s="44"/>
      <c r="LYP5" s="44"/>
      <c r="LYQ5" s="44"/>
      <c r="LYR5" s="44"/>
      <c r="LYS5" s="44"/>
      <c r="LYT5" s="44"/>
      <c r="LYU5" s="44"/>
      <c r="LYV5" s="44"/>
      <c r="LYW5" s="44"/>
      <c r="LYX5" s="44"/>
      <c r="LYY5" s="44"/>
      <c r="LYZ5" s="44"/>
      <c r="LZA5" s="44"/>
      <c r="LZB5" s="44"/>
      <c r="LZC5" s="44"/>
      <c r="LZD5" s="44"/>
      <c r="LZE5" s="44"/>
      <c r="LZF5" s="44"/>
      <c r="LZG5" s="44"/>
      <c r="LZH5" s="44"/>
      <c r="LZI5" s="44"/>
      <c r="LZJ5" s="44"/>
      <c r="LZK5" s="44"/>
      <c r="LZL5" s="44"/>
      <c r="LZM5" s="44"/>
      <c r="LZN5" s="44"/>
      <c r="LZO5" s="44"/>
      <c r="LZP5" s="44"/>
      <c r="LZQ5" s="44"/>
      <c r="LZR5" s="44"/>
      <c r="LZS5" s="44"/>
      <c r="LZT5" s="44"/>
      <c r="LZU5" s="44"/>
      <c r="LZV5" s="44"/>
      <c r="LZW5" s="44"/>
      <c r="LZX5" s="44"/>
      <c r="LZY5" s="44"/>
      <c r="LZZ5" s="44"/>
      <c r="MAA5" s="44"/>
      <c r="MAB5" s="44"/>
      <c r="MAC5" s="44"/>
      <c r="MAD5" s="44"/>
      <c r="MAE5" s="44"/>
      <c r="MAF5" s="44"/>
      <c r="MAG5" s="44"/>
      <c r="MAH5" s="44"/>
      <c r="MAI5" s="44"/>
      <c r="MAJ5" s="44"/>
      <c r="MAK5" s="44"/>
      <c r="MAL5" s="44"/>
      <c r="MAM5" s="44"/>
      <c r="MAN5" s="44"/>
      <c r="MAO5" s="44"/>
      <c r="MAP5" s="44"/>
      <c r="MAQ5" s="44"/>
      <c r="MAR5" s="44"/>
      <c r="MAS5" s="44"/>
      <c r="MAT5" s="44"/>
      <c r="MAU5" s="44"/>
      <c r="MAV5" s="44"/>
      <c r="MAW5" s="44"/>
      <c r="MAX5" s="44"/>
      <c r="MAY5" s="44"/>
      <c r="MAZ5" s="44"/>
      <c r="MBA5" s="44"/>
      <c r="MBB5" s="44"/>
      <c r="MBC5" s="44"/>
      <c r="MBD5" s="44"/>
      <c r="MBE5" s="44"/>
      <c r="MBF5" s="44"/>
      <c r="MBG5" s="44"/>
      <c r="MBH5" s="44"/>
      <c r="MBI5" s="44"/>
      <c r="MBJ5" s="44"/>
      <c r="MBK5" s="44"/>
      <c r="MBL5" s="44"/>
      <c r="MBM5" s="44"/>
      <c r="MBN5" s="44"/>
      <c r="MBO5" s="44"/>
      <c r="MBP5" s="44"/>
      <c r="MBQ5" s="44"/>
      <c r="MBR5" s="44"/>
      <c r="MBS5" s="44"/>
      <c r="MBT5" s="44"/>
      <c r="MBU5" s="44"/>
      <c r="MBV5" s="44"/>
      <c r="MBW5" s="44"/>
      <c r="MBX5" s="44"/>
      <c r="MBY5" s="44"/>
      <c r="MBZ5" s="44"/>
      <c r="MCA5" s="44"/>
      <c r="MCB5" s="44"/>
      <c r="MCC5" s="44"/>
      <c r="MCD5" s="44"/>
      <c r="MCE5" s="44"/>
      <c r="MCF5" s="44"/>
      <c r="MCG5" s="44"/>
      <c r="MCH5" s="44"/>
      <c r="MCI5" s="44"/>
      <c r="MCJ5" s="44"/>
      <c r="MCK5" s="44"/>
      <c r="MCL5" s="44"/>
      <c r="MCM5" s="44"/>
      <c r="MCN5" s="44"/>
      <c r="MCO5" s="44"/>
      <c r="MCP5" s="44"/>
      <c r="MCQ5" s="44"/>
      <c r="MCR5" s="44"/>
      <c r="MCS5" s="44"/>
      <c r="MCT5" s="44"/>
      <c r="MCU5" s="44"/>
      <c r="MCV5" s="44"/>
      <c r="MCW5" s="44"/>
      <c r="MCX5" s="44"/>
      <c r="MCY5" s="44"/>
      <c r="MCZ5" s="44"/>
      <c r="MDA5" s="44"/>
      <c r="MDB5" s="44"/>
      <c r="MDC5" s="44"/>
      <c r="MDD5" s="44"/>
      <c r="MDE5" s="44"/>
      <c r="MDF5" s="44"/>
      <c r="MDG5" s="44"/>
      <c r="MDH5" s="44"/>
      <c r="MDI5" s="44"/>
      <c r="MDJ5" s="44"/>
      <c r="MDK5" s="44"/>
      <c r="MDL5" s="44"/>
      <c r="MDM5" s="44"/>
      <c r="MDN5" s="44"/>
      <c r="MDO5" s="44"/>
      <c r="MDP5" s="44"/>
      <c r="MDQ5" s="44"/>
      <c r="MDR5" s="44"/>
      <c r="MDS5" s="44"/>
      <c r="MDT5" s="44"/>
      <c r="MDU5" s="44"/>
      <c r="MDV5" s="44"/>
      <c r="MDW5" s="44"/>
      <c r="MDX5" s="44"/>
      <c r="MDY5" s="44"/>
      <c r="MDZ5" s="44"/>
      <c r="MEA5" s="44"/>
      <c r="MEB5" s="44"/>
      <c r="MEC5" s="44"/>
      <c r="MED5" s="44"/>
      <c r="MEE5" s="44"/>
      <c r="MEF5" s="44"/>
      <c r="MEG5" s="44"/>
      <c r="MEH5" s="44"/>
      <c r="MEI5" s="44"/>
      <c r="MEJ5" s="44"/>
      <c r="MEK5" s="44"/>
      <c r="MEL5" s="44"/>
      <c r="MEM5" s="44"/>
      <c r="MEN5" s="44"/>
      <c r="MEO5" s="44"/>
      <c r="MEP5" s="44"/>
      <c r="MEQ5" s="44"/>
      <c r="MER5" s="44"/>
      <c r="MES5" s="44"/>
      <c r="MET5" s="44"/>
      <c r="MEU5" s="44"/>
      <c r="MEV5" s="44"/>
      <c r="MEW5" s="44"/>
      <c r="MEX5" s="44"/>
      <c r="MEY5" s="44"/>
      <c r="MEZ5" s="44"/>
      <c r="MFA5" s="44"/>
      <c r="MFB5" s="44"/>
      <c r="MFC5" s="44"/>
      <c r="MFD5" s="44"/>
      <c r="MFE5" s="44"/>
      <c r="MFF5" s="44"/>
      <c r="MFG5" s="44"/>
      <c r="MFH5" s="44"/>
      <c r="MFI5" s="44"/>
      <c r="MFJ5" s="44"/>
      <c r="MFK5" s="44"/>
      <c r="MFL5" s="44"/>
      <c r="MFM5" s="44"/>
      <c r="MFN5" s="44"/>
      <c r="MFO5" s="44"/>
      <c r="MFP5" s="44"/>
      <c r="MFQ5" s="44"/>
      <c r="MFR5" s="44"/>
      <c r="MFS5" s="44"/>
      <c r="MFT5" s="44"/>
      <c r="MFU5" s="44"/>
      <c r="MFV5" s="44"/>
      <c r="MFW5" s="44"/>
      <c r="MFX5" s="44"/>
      <c r="MFY5" s="44"/>
      <c r="MFZ5" s="44"/>
      <c r="MGA5" s="44"/>
      <c r="MGB5" s="44"/>
      <c r="MGC5" s="44"/>
      <c r="MGD5" s="44"/>
      <c r="MGE5" s="44"/>
      <c r="MGF5" s="44"/>
      <c r="MGG5" s="44"/>
      <c r="MGH5" s="44"/>
      <c r="MGI5" s="44"/>
      <c r="MGJ5" s="44"/>
      <c r="MGK5" s="44"/>
      <c r="MGL5" s="44"/>
      <c r="MGM5" s="44"/>
      <c r="MGN5" s="44"/>
      <c r="MGO5" s="44"/>
      <c r="MGP5" s="44"/>
      <c r="MGQ5" s="44"/>
      <c r="MGR5" s="44"/>
      <c r="MGS5" s="44"/>
      <c r="MGT5" s="44"/>
      <c r="MGU5" s="44"/>
      <c r="MGV5" s="44"/>
      <c r="MGW5" s="44"/>
      <c r="MGX5" s="44"/>
      <c r="MGY5" s="44"/>
      <c r="MGZ5" s="44"/>
      <c r="MHA5" s="44"/>
      <c r="MHB5" s="44"/>
      <c r="MHC5" s="44"/>
      <c r="MHD5" s="44"/>
      <c r="MHE5" s="44"/>
      <c r="MHF5" s="44"/>
      <c r="MHG5" s="44"/>
      <c r="MHH5" s="44"/>
      <c r="MHI5" s="44"/>
      <c r="MHJ5" s="44"/>
      <c r="MHK5" s="44"/>
      <c r="MHL5" s="44"/>
      <c r="MHM5" s="44"/>
      <c r="MHN5" s="44"/>
      <c r="MHO5" s="44"/>
      <c r="MHP5" s="44"/>
      <c r="MHQ5" s="44"/>
      <c r="MHR5" s="44"/>
      <c r="MHS5" s="44"/>
      <c r="MHT5" s="44"/>
      <c r="MHU5" s="44"/>
      <c r="MHV5" s="44"/>
      <c r="MHW5" s="44"/>
      <c r="MHX5" s="44"/>
      <c r="MHY5" s="44"/>
      <c r="MHZ5" s="44"/>
      <c r="MIA5" s="44"/>
      <c r="MIB5" s="44"/>
      <c r="MIC5" s="44"/>
      <c r="MID5" s="44"/>
      <c r="MIE5" s="44"/>
      <c r="MIF5" s="44"/>
      <c r="MIG5" s="44"/>
      <c r="MIH5" s="44"/>
      <c r="MII5" s="44"/>
      <c r="MIJ5" s="44"/>
      <c r="MIK5" s="44"/>
      <c r="MIL5" s="44"/>
      <c r="MIM5" s="44"/>
      <c r="MIN5" s="44"/>
      <c r="MIO5" s="44"/>
      <c r="MIP5" s="44"/>
      <c r="MIQ5" s="44"/>
      <c r="MIR5" s="44"/>
      <c r="MIS5" s="44"/>
      <c r="MIT5" s="44"/>
      <c r="MIU5" s="44"/>
      <c r="MIV5" s="44"/>
      <c r="MIW5" s="44"/>
      <c r="MIX5" s="44"/>
      <c r="MIY5" s="44"/>
      <c r="MIZ5" s="44"/>
      <c r="MJA5" s="44"/>
      <c r="MJB5" s="44"/>
      <c r="MJC5" s="44"/>
      <c r="MJD5" s="44"/>
      <c r="MJE5" s="44"/>
      <c r="MJF5" s="44"/>
      <c r="MJG5" s="44"/>
      <c r="MJH5" s="44"/>
      <c r="MJI5" s="44"/>
      <c r="MJJ5" s="44"/>
      <c r="MJK5" s="44"/>
      <c r="MJL5" s="44"/>
      <c r="MJM5" s="44"/>
      <c r="MJN5" s="44"/>
      <c r="MJO5" s="44"/>
      <c r="MJP5" s="44"/>
      <c r="MJQ5" s="44"/>
      <c r="MJR5" s="44"/>
      <c r="MJS5" s="44"/>
      <c r="MJT5" s="44"/>
      <c r="MJU5" s="44"/>
      <c r="MJV5" s="44"/>
      <c r="MJW5" s="44"/>
      <c r="MJX5" s="44"/>
      <c r="MJY5" s="44"/>
      <c r="MJZ5" s="44"/>
      <c r="MKA5" s="44"/>
      <c r="MKB5" s="44"/>
      <c r="MKC5" s="44"/>
      <c r="MKD5" s="44"/>
      <c r="MKE5" s="44"/>
      <c r="MKF5" s="44"/>
      <c r="MKG5" s="44"/>
      <c r="MKH5" s="44"/>
      <c r="MKI5" s="44"/>
      <c r="MKJ5" s="44"/>
      <c r="MKK5" s="44"/>
      <c r="MKL5" s="44"/>
      <c r="MKM5" s="44"/>
      <c r="MKN5" s="44"/>
      <c r="MKO5" s="44"/>
      <c r="MKP5" s="44"/>
      <c r="MKQ5" s="44"/>
      <c r="MKR5" s="44"/>
      <c r="MKS5" s="44"/>
      <c r="MKT5" s="44"/>
      <c r="MKU5" s="44"/>
      <c r="MKV5" s="44"/>
      <c r="MKW5" s="44"/>
      <c r="MKX5" s="44"/>
      <c r="MKY5" s="44"/>
      <c r="MKZ5" s="44"/>
      <c r="MLA5" s="44"/>
      <c r="MLB5" s="44"/>
      <c r="MLC5" s="44"/>
      <c r="MLD5" s="44"/>
      <c r="MLE5" s="44"/>
      <c r="MLF5" s="44"/>
      <c r="MLG5" s="44"/>
      <c r="MLH5" s="44"/>
      <c r="MLI5" s="44"/>
      <c r="MLJ5" s="44"/>
      <c r="MLK5" s="44"/>
      <c r="MLL5" s="44"/>
      <c r="MLM5" s="44"/>
      <c r="MLN5" s="44"/>
      <c r="MLO5" s="44"/>
      <c r="MLP5" s="44"/>
      <c r="MLQ5" s="44"/>
      <c r="MLR5" s="44"/>
      <c r="MLS5" s="44"/>
      <c r="MLT5" s="44"/>
      <c r="MLU5" s="44"/>
      <c r="MLV5" s="44"/>
      <c r="MLW5" s="44"/>
      <c r="MLX5" s="44"/>
      <c r="MLY5" s="44"/>
      <c r="MLZ5" s="44"/>
      <c r="MMA5" s="44"/>
      <c r="MMB5" s="44"/>
      <c r="MMC5" s="44"/>
      <c r="MMD5" s="44"/>
      <c r="MME5" s="44"/>
      <c r="MMF5" s="44"/>
      <c r="MMG5" s="44"/>
      <c r="MMH5" s="44"/>
      <c r="MMI5" s="44"/>
      <c r="MMJ5" s="44"/>
      <c r="MMK5" s="44"/>
      <c r="MML5" s="44"/>
      <c r="MMM5" s="44"/>
      <c r="MMN5" s="44"/>
      <c r="MMO5" s="44"/>
      <c r="MMP5" s="44"/>
      <c r="MMQ5" s="44"/>
      <c r="MMR5" s="44"/>
      <c r="MMS5" s="44"/>
      <c r="MMT5" s="44"/>
      <c r="MMU5" s="44"/>
      <c r="MMV5" s="44"/>
      <c r="MMW5" s="44"/>
      <c r="MMX5" s="44"/>
      <c r="MMY5" s="44"/>
      <c r="MMZ5" s="44"/>
      <c r="MNA5" s="44"/>
      <c r="MNB5" s="44"/>
      <c r="MNC5" s="44"/>
      <c r="MND5" s="44"/>
      <c r="MNE5" s="44"/>
      <c r="MNF5" s="44"/>
      <c r="MNG5" s="44"/>
      <c r="MNH5" s="44"/>
      <c r="MNI5" s="44"/>
      <c r="MNJ5" s="44"/>
      <c r="MNK5" s="44"/>
      <c r="MNL5" s="44"/>
      <c r="MNM5" s="44"/>
      <c r="MNN5" s="44"/>
      <c r="MNO5" s="44"/>
      <c r="MNP5" s="44"/>
      <c r="MNQ5" s="44"/>
      <c r="MNR5" s="44"/>
      <c r="MNS5" s="44"/>
      <c r="MNT5" s="44"/>
      <c r="MNU5" s="44"/>
      <c r="MNV5" s="44"/>
      <c r="MNW5" s="44"/>
      <c r="MNX5" s="44"/>
      <c r="MNY5" s="44"/>
      <c r="MNZ5" s="44"/>
      <c r="MOA5" s="44"/>
      <c r="MOB5" s="44"/>
      <c r="MOC5" s="44"/>
      <c r="MOD5" s="44"/>
      <c r="MOE5" s="44"/>
      <c r="MOF5" s="44"/>
      <c r="MOG5" s="44"/>
      <c r="MOH5" s="44"/>
      <c r="MOI5" s="44"/>
      <c r="MOJ5" s="44"/>
      <c r="MOK5" s="44"/>
      <c r="MOL5" s="44"/>
      <c r="MOM5" s="44"/>
      <c r="MON5" s="44"/>
      <c r="MOO5" s="44"/>
      <c r="MOP5" s="44"/>
      <c r="MOQ5" s="44"/>
      <c r="MOR5" s="44"/>
      <c r="MOS5" s="44"/>
      <c r="MOT5" s="44"/>
      <c r="MOU5" s="44"/>
      <c r="MOV5" s="44"/>
      <c r="MOW5" s="44"/>
      <c r="MOX5" s="44"/>
      <c r="MOY5" s="44"/>
      <c r="MOZ5" s="44"/>
      <c r="MPA5" s="44"/>
      <c r="MPB5" s="44"/>
      <c r="MPC5" s="44"/>
      <c r="MPD5" s="44"/>
      <c r="MPE5" s="44"/>
      <c r="MPF5" s="44"/>
      <c r="MPG5" s="44"/>
      <c r="MPH5" s="44"/>
      <c r="MPI5" s="44"/>
      <c r="MPJ5" s="44"/>
      <c r="MPK5" s="44"/>
      <c r="MPL5" s="44"/>
      <c r="MPM5" s="44"/>
      <c r="MPN5" s="44"/>
      <c r="MPO5" s="44"/>
      <c r="MPP5" s="44"/>
      <c r="MPQ5" s="44"/>
      <c r="MPR5" s="44"/>
      <c r="MPS5" s="44"/>
      <c r="MPT5" s="44"/>
      <c r="MPU5" s="44"/>
      <c r="MPV5" s="44"/>
      <c r="MPW5" s="44"/>
      <c r="MPX5" s="44"/>
      <c r="MPY5" s="44"/>
      <c r="MPZ5" s="44"/>
      <c r="MQA5" s="44"/>
      <c r="MQB5" s="44"/>
      <c r="MQC5" s="44"/>
      <c r="MQD5" s="44"/>
      <c r="MQE5" s="44"/>
      <c r="MQF5" s="44"/>
      <c r="MQG5" s="44"/>
      <c r="MQH5" s="44"/>
      <c r="MQI5" s="44"/>
      <c r="MQJ5" s="44"/>
      <c r="MQK5" s="44"/>
      <c r="MQL5" s="44"/>
      <c r="MQM5" s="44"/>
      <c r="MQN5" s="44"/>
      <c r="MQO5" s="44"/>
      <c r="MQP5" s="44"/>
      <c r="MQQ5" s="44"/>
      <c r="MQR5" s="44"/>
      <c r="MQS5" s="44"/>
      <c r="MQT5" s="44"/>
      <c r="MQU5" s="44"/>
      <c r="MQV5" s="44"/>
      <c r="MQW5" s="44"/>
      <c r="MQX5" s="44"/>
      <c r="MQY5" s="44"/>
      <c r="MQZ5" s="44"/>
      <c r="MRA5" s="44"/>
      <c r="MRB5" s="44"/>
      <c r="MRC5" s="44"/>
      <c r="MRD5" s="44"/>
      <c r="MRE5" s="44"/>
      <c r="MRF5" s="44"/>
      <c r="MRG5" s="44"/>
      <c r="MRH5" s="44"/>
      <c r="MRI5" s="44"/>
      <c r="MRJ5" s="44"/>
      <c r="MRK5" s="44"/>
      <c r="MRL5" s="44"/>
      <c r="MRM5" s="44"/>
      <c r="MRN5" s="44"/>
      <c r="MRO5" s="44"/>
      <c r="MRP5" s="44"/>
      <c r="MRQ5" s="44"/>
      <c r="MRR5" s="44"/>
      <c r="MRS5" s="44"/>
      <c r="MRT5" s="44"/>
      <c r="MRU5" s="44"/>
      <c r="MRV5" s="44"/>
      <c r="MRW5" s="44"/>
      <c r="MRX5" s="44"/>
      <c r="MRY5" s="44"/>
      <c r="MRZ5" s="44"/>
      <c r="MSA5" s="44"/>
      <c r="MSB5" s="44"/>
      <c r="MSC5" s="44"/>
      <c r="MSD5" s="44"/>
      <c r="MSE5" s="44"/>
      <c r="MSF5" s="44"/>
      <c r="MSG5" s="44"/>
      <c r="MSH5" s="44"/>
      <c r="MSI5" s="44"/>
      <c r="MSJ5" s="44"/>
      <c r="MSK5" s="44"/>
      <c r="MSL5" s="44"/>
      <c r="MSM5" s="44"/>
      <c r="MSN5" s="44"/>
      <c r="MSO5" s="44"/>
      <c r="MSP5" s="44"/>
      <c r="MSQ5" s="44"/>
      <c r="MSR5" s="44"/>
      <c r="MSS5" s="44"/>
      <c r="MST5" s="44"/>
      <c r="MSU5" s="44"/>
      <c r="MSV5" s="44"/>
      <c r="MSW5" s="44"/>
      <c r="MSX5" s="44"/>
      <c r="MSY5" s="44"/>
      <c r="MSZ5" s="44"/>
      <c r="MTA5" s="44"/>
      <c r="MTB5" s="44"/>
      <c r="MTC5" s="44"/>
      <c r="MTD5" s="44"/>
      <c r="MTE5" s="44"/>
      <c r="MTF5" s="44"/>
      <c r="MTG5" s="44"/>
      <c r="MTH5" s="44"/>
      <c r="MTI5" s="44"/>
      <c r="MTJ5" s="44"/>
      <c r="MTK5" s="44"/>
      <c r="MTL5" s="44"/>
      <c r="MTM5" s="44"/>
      <c r="MTN5" s="44"/>
      <c r="MTO5" s="44"/>
      <c r="MTP5" s="44"/>
      <c r="MTQ5" s="44"/>
      <c r="MTR5" s="44"/>
      <c r="MTS5" s="44"/>
      <c r="MTT5" s="44"/>
      <c r="MTU5" s="44"/>
      <c r="MTV5" s="44"/>
      <c r="MTW5" s="44"/>
      <c r="MTX5" s="44"/>
      <c r="MTY5" s="44"/>
      <c r="MTZ5" s="44"/>
      <c r="MUA5" s="44"/>
      <c r="MUB5" s="44"/>
      <c r="MUC5" s="44"/>
      <c r="MUD5" s="44"/>
      <c r="MUE5" s="44"/>
      <c r="MUF5" s="44"/>
      <c r="MUG5" s="44"/>
      <c r="MUH5" s="44"/>
      <c r="MUI5" s="44"/>
      <c r="MUJ5" s="44"/>
      <c r="MUK5" s="44"/>
      <c r="MUL5" s="44"/>
      <c r="MUM5" s="44"/>
      <c r="MUN5" s="44"/>
      <c r="MUO5" s="44"/>
      <c r="MUP5" s="44"/>
      <c r="MUQ5" s="44"/>
      <c r="MUR5" s="44"/>
      <c r="MUS5" s="44"/>
      <c r="MUT5" s="44"/>
      <c r="MUU5" s="44"/>
      <c r="MUV5" s="44"/>
      <c r="MUW5" s="44"/>
      <c r="MUX5" s="44"/>
      <c r="MUY5" s="44"/>
      <c r="MUZ5" s="44"/>
      <c r="MVA5" s="44"/>
      <c r="MVB5" s="44"/>
      <c r="MVC5" s="44"/>
      <c r="MVD5" s="44"/>
      <c r="MVE5" s="44"/>
      <c r="MVF5" s="44"/>
      <c r="MVG5" s="44"/>
      <c r="MVH5" s="44"/>
      <c r="MVI5" s="44"/>
      <c r="MVJ5" s="44"/>
      <c r="MVK5" s="44"/>
      <c r="MVL5" s="44"/>
      <c r="MVM5" s="44"/>
      <c r="MVN5" s="44"/>
      <c r="MVO5" s="44"/>
      <c r="MVP5" s="44"/>
      <c r="MVQ5" s="44"/>
      <c r="MVR5" s="44"/>
      <c r="MVS5" s="44"/>
      <c r="MVT5" s="44"/>
      <c r="MVU5" s="44"/>
      <c r="MVV5" s="44"/>
      <c r="MVW5" s="44"/>
      <c r="MVX5" s="44"/>
      <c r="MVY5" s="44"/>
      <c r="MVZ5" s="44"/>
      <c r="MWA5" s="44"/>
      <c r="MWB5" s="44"/>
      <c r="MWC5" s="44"/>
      <c r="MWD5" s="44"/>
      <c r="MWE5" s="44"/>
      <c r="MWF5" s="44"/>
      <c r="MWG5" s="44"/>
      <c r="MWH5" s="44"/>
      <c r="MWI5" s="44"/>
      <c r="MWJ5" s="44"/>
      <c r="MWK5" s="44"/>
      <c r="MWL5" s="44"/>
      <c r="MWM5" s="44"/>
      <c r="MWN5" s="44"/>
      <c r="MWO5" s="44"/>
      <c r="MWP5" s="44"/>
      <c r="MWQ5" s="44"/>
      <c r="MWR5" s="44"/>
      <c r="MWS5" s="44"/>
      <c r="MWT5" s="44"/>
      <c r="MWU5" s="44"/>
      <c r="MWV5" s="44"/>
      <c r="MWW5" s="44"/>
      <c r="MWX5" s="44"/>
      <c r="MWY5" s="44"/>
      <c r="MWZ5" s="44"/>
      <c r="MXA5" s="44"/>
      <c r="MXB5" s="44"/>
      <c r="MXC5" s="44"/>
      <c r="MXD5" s="44"/>
      <c r="MXE5" s="44"/>
      <c r="MXF5" s="44"/>
      <c r="MXG5" s="44"/>
      <c r="MXH5" s="44"/>
      <c r="MXI5" s="44"/>
      <c r="MXJ5" s="44"/>
      <c r="MXK5" s="44"/>
      <c r="MXL5" s="44"/>
      <c r="MXM5" s="44"/>
      <c r="MXN5" s="44"/>
      <c r="MXO5" s="44"/>
      <c r="MXP5" s="44"/>
      <c r="MXQ5" s="44"/>
      <c r="MXR5" s="44"/>
      <c r="MXS5" s="44"/>
      <c r="MXT5" s="44"/>
      <c r="MXU5" s="44"/>
      <c r="MXV5" s="44"/>
      <c r="MXW5" s="44"/>
      <c r="MXX5" s="44"/>
      <c r="MXY5" s="44"/>
      <c r="MXZ5" s="44"/>
      <c r="MYA5" s="44"/>
      <c r="MYB5" s="44"/>
      <c r="MYC5" s="44"/>
      <c r="MYD5" s="44"/>
      <c r="MYE5" s="44"/>
      <c r="MYF5" s="44"/>
      <c r="MYG5" s="44"/>
      <c r="MYH5" s="44"/>
      <c r="MYI5" s="44"/>
      <c r="MYJ5" s="44"/>
      <c r="MYK5" s="44"/>
      <c r="MYL5" s="44"/>
      <c r="MYM5" s="44"/>
      <c r="MYN5" s="44"/>
      <c r="MYO5" s="44"/>
      <c r="MYP5" s="44"/>
      <c r="MYQ5" s="44"/>
      <c r="MYR5" s="44"/>
      <c r="MYS5" s="44"/>
      <c r="MYT5" s="44"/>
      <c r="MYU5" s="44"/>
      <c r="MYV5" s="44"/>
      <c r="MYW5" s="44"/>
      <c r="MYX5" s="44"/>
      <c r="MYY5" s="44"/>
      <c r="MYZ5" s="44"/>
      <c r="MZA5" s="44"/>
      <c r="MZB5" s="44"/>
      <c r="MZC5" s="44"/>
      <c r="MZD5" s="44"/>
      <c r="MZE5" s="44"/>
      <c r="MZF5" s="44"/>
      <c r="MZG5" s="44"/>
      <c r="MZH5" s="44"/>
      <c r="MZI5" s="44"/>
      <c r="MZJ5" s="44"/>
      <c r="MZK5" s="44"/>
      <c r="MZL5" s="44"/>
      <c r="MZM5" s="44"/>
      <c r="MZN5" s="44"/>
      <c r="MZO5" s="44"/>
      <c r="MZP5" s="44"/>
      <c r="MZQ5" s="44"/>
      <c r="MZR5" s="44"/>
      <c r="MZS5" s="44"/>
      <c r="MZT5" s="44"/>
      <c r="MZU5" s="44"/>
      <c r="MZV5" s="44"/>
      <c r="MZW5" s="44"/>
      <c r="MZX5" s="44"/>
      <c r="MZY5" s="44"/>
      <c r="MZZ5" s="44"/>
      <c r="NAA5" s="44"/>
      <c r="NAB5" s="44"/>
      <c r="NAC5" s="44"/>
      <c r="NAD5" s="44"/>
      <c r="NAE5" s="44"/>
      <c r="NAF5" s="44"/>
      <c r="NAG5" s="44"/>
      <c r="NAH5" s="44"/>
      <c r="NAI5" s="44"/>
      <c r="NAJ5" s="44"/>
      <c r="NAK5" s="44"/>
      <c r="NAL5" s="44"/>
      <c r="NAM5" s="44"/>
      <c r="NAN5" s="44"/>
      <c r="NAO5" s="44"/>
      <c r="NAP5" s="44"/>
      <c r="NAQ5" s="44"/>
      <c r="NAR5" s="44"/>
      <c r="NAS5" s="44"/>
      <c r="NAT5" s="44"/>
      <c r="NAU5" s="44"/>
      <c r="NAV5" s="44"/>
      <c r="NAW5" s="44"/>
      <c r="NAX5" s="44"/>
      <c r="NAY5" s="44"/>
      <c r="NAZ5" s="44"/>
      <c r="NBA5" s="44"/>
      <c r="NBB5" s="44"/>
      <c r="NBC5" s="44"/>
      <c r="NBD5" s="44"/>
      <c r="NBE5" s="44"/>
      <c r="NBF5" s="44"/>
      <c r="NBG5" s="44"/>
      <c r="NBH5" s="44"/>
      <c r="NBI5" s="44"/>
      <c r="NBJ5" s="44"/>
      <c r="NBK5" s="44"/>
      <c r="NBL5" s="44"/>
      <c r="NBM5" s="44"/>
      <c r="NBN5" s="44"/>
      <c r="NBO5" s="44"/>
      <c r="NBP5" s="44"/>
      <c r="NBQ5" s="44"/>
      <c r="NBR5" s="44"/>
      <c r="NBS5" s="44"/>
      <c r="NBT5" s="44"/>
      <c r="NBU5" s="44"/>
      <c r="NBV5" s="44"/>
      <c r="NBW5" s="44"/>
      <c r="NBX5" s="44"/>
      <c r="NBY5" s="44"/>
      <c r="NBZ5" s="44"/>
      <c r="NCA5" s="44"/>
      <c r="NCB5" s="44"/>
      <c r="NCC5" s="44"/>
      <c r="NCD5" s="44"/>
      <c r="NCE5" s="44"/>
      <c r="NCF5" s="44"/>
      <c r="NCG5" s="44"/>
      <c r="NCH5" s="44"/>
      <c r="NCI5" s="44"/>
      <c r="NCJ5" s="44"/>
      <c r="NCK5" s="44"/>
      <c r="NCL5" s="44"/>
      <c r="NCM5" s="44"/>
      <c r="NCN5" s="44"/>
      <c r="NCO5" s="44"/>
      <c r="NCP5" s="44"/>
      <c r="NCQ5" s="44"/>
      <c r="NCR5" s="44"/>
      <c r="NCS5" s="44"/>
      <c r="NCT5" s="44"/>
      <c r="NCU5" s="44"/>
      <c r="NCV5" s="44"/>
      <c r="NCW5" s="44"/>
      <c r="NCX5" s="44"/>
      <c r="NCY5" s="44"/>
      <c r="NCZ5" s="44"/>
      <c r="NDA5" s="44"/>
      <c r="NDB5" s="44"/>
      <c r="NDC5" s="44"/>
      <c r="NDD5" s="44"/>
      <c r="NDE5" s="44"/>
      <c r="NDF5" s="44"/>
      <c r="NDG5" s="44"/>
      <c r="NDH5" s="44"/>
      <c r="NDI5" s="44"/>
      <c r="NDJ5" s="44"/>
      <c r="NDK5" s="44"/>
      <c r="NDL5" s="44"/>
      <c r="NDM5" s="44"/>
      <c r="NDN5" s="44"/>
      <c r="NDO5" s="44"/>
      <c r="NDP5" s="44"/>
      <c r="NDQ5" s="44"/>
      <c r="NDR5" s="44"/>
      <c r="NDS5" s="44"/>
      <c r="NDT5" s="44"/>
      <c r="NDU5" s="44"/>
      <c r="NDV5" s="44"/>
      <c r="NDW5" s="44"/>
      <c r="NDX5" s="44"/>
      <c r="NDY5" s="44"/>
      <c r="NDZ5" s="44"/>
      <c r="NEA5" s="44"/>
      <c r="NEB5" s="44"/>
      <c r="NEC5" s="44"/>
      <c r="NED5" s="44"/>
      <c r="NEE5" s="44"/>
      <c r="NEF5" s="44"/>
      <c r="NEG5" s="44"/>
      <c r="NEH5" s="44"/>
      <c r="NEI5" s="44"/>
      <c r="NEJ5" s="44"/>
      <c r="NEK5" s="44"/>
      <c r="NEL5" s="44"/>
      <c r="NEM5" s="44"/>
      <c r="NEN5" s="44"/>
      <c r="NEO5" s="44"/>
      <c r="NEP5" s="44"/>
      <c r="NEQ5" s="44"/>
      <c r="NER5" s="44"/>
      <c r="NES5" s="44"/>
      <c r="NET5" s="44"/>
      <c r="NEU5" s="44"/>
      <c r="NEV5" s="44"/>
      <c r="NEW5" s="44"/>
      <c r="NEX5" s="44"/>
      <c r="NEY5" s="44"/>
      <c r="NEZ5" s="44"/>
      <c r="NFA5" s="44"/>
      <c r="NFB5" s="44"/>
      <c r="NFC5" s="44"/>
      <c r="NFD5" s="44"/>
      <c r="NFE5" s="44"/>
      <c r="NFF5" s="44"/>
      <c r="NFG5" s="44"/>
      <c r="NFH5" s="44"/>
      <c r="NFI5" s="44"/>
      <c r="NFJ5" s="44"/>
      <c r="NFK5" s="44"/>
      <c r="NFL5" s="44"/>
      <c r="NFM5" s="44"/>
      <c r="NFN5" s="44"/>
      <c r="NFO5" s="44"/>
      <c r="NFP5" s="44"/>
      <c r="NFQ5" s="44"/>
      <c r="NFR5" s="44"/>
      <c r="NFS5" s="44"/>
      <c r="NFT5" s="44"/>
      <c r="NFU5" s="44"/>
      <c r="NFV5" s="44"/>
      <c r="NFW5" s="44"/>
      <c r="NFX5" s="44"/>
      <c r="NFY5" s="44"/>
      <c r="NFZ5" s="44"/>
      <c r="NGA5" s="44"/>
      <c r="NGB5" s="44"/>
      <c r="NGC5" s="44"/>
      <c r="NGD5" s="44"/>
      <c r="NGE5" s="44"/>
      <c r="NGF5" s="44"/>
      <c r="NGG5" s="44"/>
      <c r="NGH5" s="44"/>
      <c r="NGI5" s="44"/>
      <c r="NGJ5" s="44"/>
      <c r="NGK5" s="44"/>
      <c r="NGL5" s="44"/>
      <c r="NGM5" s="44"/>
      <c r="NGN5" s="44"/>
      <c r="NGO5" s="44"/>
      <c r="NGP5" s="44"/>
      <c r="NGQ5" s="44"/>
      <c r="NGR5" s="44"/>
      <c r="NGS5" s="44"/>
      <c r="NGT5" s="44"/>
      <c r="NGU5" s="44"/>
      <c r="NGV5" s="44"/>
      <c r="NGW5" s="44"/>
      <c r="NGX5" s="44"/>
      <c r="NGY5" s="44"/>
      <c r="NGZ5" s="44"/>
      <c r="NHA5" s="44"/>
      <c r="NHB5" s="44"/>
      <c r="NHC5" s="44"/>
      <c r="NHD5" s="44"/>
      <c r="NHE5" s="44"/>
      <c r="NHF5" s="44"/>
      <c r="NHG5" s="44"/>
      <c r="NHH5" s="44"/>
      <c r="NHI5" s="44"/>
      <c r="NHJ5" s="44"/>
      <c r="NHK5" s="44"/>
      <c r="NHL5" s="44"/>
      <c r="NHM5" s="44"/>
      <c r="NHN5" s="44"/>
      <c r="NHO5" s="44"/>
      <c r="NHP5" s="44"/>
      <c r="NHQ5" s="44"/>
      <c r="NHR5" s="44"/>
      <c r="NHS5" s="44"/>
      <c r="NHT5" s="44"/>
      <c r="NHU5" s="44"/>
      <c r="NHV5" s="44"/>
      <c r="NHW5" s="44"/>
      <c r="NHX5" s="44"/>
      <c r="NHY5" s="44"/>
      <c r="NHZ5" s="44"/>
      <c r="NIA5" s="44"/>
      <c r="NIB5" s="44"/>
      <c r="NIC5" s="44"/>
      <c r="NID5" s="44"/>
      <c r="NIE5" s="44"/>
      <c r="NIF5" s="44"/>
      <c r="NIG5" s="44"/>
      <c r="NIH5" s="44"/>
      <c r="NII5" s="44"/>
      <c r="NIJ5" s="44"/>
      <c r="NIK5" s="44"/>
      <c r="NIL5" s="44"/>
      <c r="NIM5" s="44"/>
      <c r="NIN5" s="44"/>
      <c r="NIO5" s="44"/>
      <c r="NIP5" s="44"/>
      <c r="NIQ5" s="44"/>
      <c r="NIR5" s="44"/>
      <c r="NIS5" s="44"/>
      <c r="NIT5" s="44"/>
      <c r="NIU5" s="44"/>
      <c r="NIV5" s="44"/>
      <c r="NIW5" s="44"/>
      <c r="NIX5" s="44"/>
      <c r="NIY5" s="44"/>
      <c r="NIZ5" s="44"/>
      <c r="NJA5" s="44"/>
      <c r="NJB5" s="44"/>
      <c r="NJC5" s="44"/>
      <c r="NJD5" s="44"/>
      <c r="NJE5" s="44"/>
      <c r="NJF5" s="44"/>
      <c r="NJG5" s="44"/>
      <c r="NJH5" s="44"/>
      <c r="NJI5" s="44"/>
      <c r="NJJ5" s="44"/>
      <c r="NJK5" s="44"/>
      <c r="NJL5" s="44"/>
      <c r="NJM5" s="44"/>
      <c r="NJN5" s="44"/>
      <c r="NJO5" s="44"/>
      <c r="NJP5" s="44"/>
      <c r="NJQ5" s="44"/>
      <c r="NJR5" s="44"/>
      <c r="NJS5" s="44"/>
      <c r="NJT5" s="44"/>
      <c r="NJU5" s="44"/>
      <c r="NJV5" s="44"/>
      <c r="NJW5" s="44"/>
      <c r="NJX5" s="44"/>
      <c r="NJY5" s="44"/>
      <c r="NJZ5" s="44"/>
      <c r="NKA5" s="44"/>
      <c r="NKB5" s="44"/>
      <c r="NKC5" s="44"/>
      <c r="NKD5" s="44"/>
      <c r="NKE5" s="44"/>
      <c r="NKF5" s="44"/>
      <c r="NKG5" s="44"/>
      <c r="NKH5" s="44"/>
      <c r="NKI5" s="44"/>
      <c r="NKJ5" s="44"/>
      <c r="NKK5" s="44"/>
      <c r="NKL5" s="44"/>
      <c r="NKM5" s="44"/>
      <c r="NKN5" s="44"/>
      <c r="NKO5" s="44"/>
      <c r="NKP5" s="44"/>
      <c r="NKQ5" s="44"/>
      <c r="NKR5" s="44"/>
      <c r="NKS5" s="44"/>
      <c r="NKT5" s="44"/>
      <c r="NKU5" s="44"/>
      <c r="NKV5" s="44"/>
      <c r="NKW5" s="44"/>
      <c r="NKX5" s="44"/>
      <c r="NKY5" s="44"/>
      <c r="NKZ5" s="44"/>
      <c r="NLA5" s="44"/>
      <c r="NLB5" s="44"/>
      <c r="NLC5" s="44"/>
      <c r="NLD5" s="44"/>
      <c r="NLE5" s="44"/>
      <c r="NLF5" s="44"/>
      <c r="NLG5" s="44"/>
      <c r="NLH5" s="44"/>
      <c r="NLI5" s="44"/>
      <c r="NLJ5" s="44"/>
      <c r="NLK5" s="44"/>
      <c r="NLL5" s="44"/>
      <c r="NLM5" s="44"/>
      <c r="NLN5" s="44"/>
      <c r="NLO5" s="44"/>
      <c r="NLP5" s="44"/>
      <c r="NLQ5" s="44"/>
      <c r="NLR5" s="44"/>
      <c r="NLS5" s="44"/>
      <c r="NLT5" s="44"/>
      <c r="NLU5" s="44"/>
      <c r="NLV5" s="44"/>
      <c r="NLW5" s="44"/>
      <c r="NLX5" s="44"/>
      <c r="NLY5" s="44"/>
      <c r="NLZ5" s="44"/>
      <c r="NMA5" s="44"/>
      <c r="NMB5" s="44"/>
      <c r="NMC5" s="44"/>
      <c r="NMD5" s="44"/>
      <c r="NME5" s="44"/>
      <c r="NMF5" s="44"/>
      <c r="NMG5" s="44"/>
      <c r="NMH5" s="44"/>
      <c r="NMI5" s="44"/>
      <c r="NMJ5" s="44"/>
      <c r="NMK5" s="44"/>
      <c r="NML5" s="44"/>
      <c r="NMM5" s="44"/>
      <c r="NMN5" s="44"/>
      <c r="NMO5" s="44"/>
      <c r="NMP5" s="44"/>
      <c r="NMQ5" s="44"/>
      <c r="NMR5" s="44"/>
      <c r="NMS5" s="44"/>
      <c r="NMT5" s="44"/>
      <c r="NMU5" s="44"/>
      <c r="NMV5" s="44"/>
      <c r="NMW5" s="44"/>
      <c r="NMX5" s="44"/>
      <c r="NMY5" s="44"/>
      <c r="NMZ5" s="44"/>
      <c r="NNA5" s="44"/>
      <c r="NNB5" s="44"/>
      <c r="NNC5" s="44"/>
      <c r="NND5" s="44"/>
      <c r="NNE5" s="44"/>
      <c r="NNF5" s="44"/>
      <c r="NNG5" s="44"/>
      <c r="NNH5" s="44"/>
      <c r="NNI5" s="44"/>
      <c r="NNJ5" s="44"/>
      <c r="NNK5" s="44"/>
      <c r="NNL5" s="44"/>
      <c r="NNM5" s="44"/>
      <c r="NNN5" s="44"/>
      <c r="NNO5" s="44"/>
      <c r="NNP5" s="44"/>
      <c r="NNQ5" s="44"/>
      <c r="NNR5" s="44"/>
      <c r="NNS5" s="44"/>
      <c r="NNT5" s="44"/>
      <c r="NNU5" s="44"/>
      <c r="NNV5" s="44"/>
      <c r="NNW5" s="44"/>
      <c r="NNX5" s="44"/>
      <c r="NNY5" s="44"/>
      <c r="NNZ5" s="44"/>
      <c r="NOA5" s="44"/>
      <c r="NOB5" s="44"/>
      <c r="NOC5" s="44"/>
      <c r="NOD5" s="44"/>
      <c r="NOE5" s="44"/>
      <c r="NOF5" s="44"/>
      <c r="NOG5" s="44"/>
      <c r="NOH5" s="44"/>
      <c r="NOI5" s="44"/>
      <c r="NOJ5" s="44"/>
      <c r="NOK5" s="44"/>
      <c r="NOL5" s="44"/>
      <c r="NOM5" s="44"/>
      <c r="NON5" s="44"/>
      <c r="NOO5" s="44"/>
      <c r="NOP5" s="44"/>
      <c r="NOQ5" s="44"/>
      <c r="NOR5" s="44"/>
      <c r="NOS5" s="44"/>
      <c r="NOT5" s="44"/>
      <c r="NOU5" s="44"/>
      <c r="NOV5" s="44"/>
      <c r="NOW5" s="44"/>
      <c r="NOX5" s="44"/>
      <c r="NOY5" s="44"/>
      <c r="NOZ5" s="44"/>
      <c r="NPA5" s="44"/>
      <c r="NPB5" s="44"/>
      <c r="NPC5" s="44"/>
      <c r="NPD5" s="44"/>
      <c r="NPE5" s="44"/>
      <c r="NPF5" s="44"/>
      <c r="NPG5" s="44"/>
      <c r="NPH5" s="44"/>
      <c r="NPI5" s="44"/>
      <c r="NPJ5" s="44"/>
      <c r="NPK5" s="44"/>
      <c r="NPL5" s="44"/>
      <c r="NPM5" s="44"/>
      <c r="NPN5" s="44"/>
      <c r="NPO5" s="44"/>
      <c r="NPP5" s="44"/>
      <c r="NPQ5" s="44"/>
      <c r="NPR5" s="44"/>
      <c r="NPS5" s="44"/>
      <c r="NPT5" s="44"/>
      <c r="NPU5" s="44"/>
      <c r="NPV5" s="44"/>
      <c r="NPW5" s="44"/>
      <c r="NPX5" s="44"/>
      <c r="NPY5" s="44"/>
      <c r="NPZ5" s="44"/>
      <c r="NQA5" s="44"/>
      <c r="NQB5" s="44"/>
      <c r="NQC5" s="44"/>
      <c r="NQD5" s="44"/>
      <c r="NQE5" s="44"/>
      <c r="NQF5" s="44"/>
      <c r="NQG5" s="44"/>
      <c r="NQH5" s="44"/>
      <c r="NQI5" s="44"/>
      <c r="NQJ5" s="44"/>
      <c r="NQK5" s="44"/>
      <c r="NQL5" s="44"/>
      <c r="NQM5" s="44"/>
      <c r="NQN5" s="44"/>
      <c r="NQO5" s="44"/>
      <c r="NQP5" s="44"/>
      <c r="NQQ5" s="44"/>
      <c r="NQR5" s="44"/>
      <c r="NQS5" s="44"/>
      <c r="NQT5" s="44"/>
      <c r="NQU5" s="44"/>
      <c r="NQV5" s="44"/>
      <c r="NQW5" s="44"/>
      <c r="NQX5" s="44"/>
      <c r="NQY5" s="44"/>
      <c r="NQZ5" s="44"/>
      <c r="NRA5" s="44"/>
      <c r="NRB5" s="44"/>
      <c r="NRC5" s="44"/>
      <c r="NRD5" s="44"/>
      <c r="NRE5" s="44"/>
      <c r="NRF5" s="44"/>
      <c r="NRG5" s="44"/>
      <c r="NRH5" s="44"/>
      <c r="NRI5" s="44"/>
      <c r="NRJ5" s="44"/>
      <c r="NRK5" s="44"/>
      <c r="NRL5" s="44"/>
      <c r="NRM5" s="44"/>
      <c r="NRN5" s="44"/>
      <c r="NRO5" s="44"/>
      <c r="NRP5" s="44"/>
      <c r="NRQ5" s="44"/>
      <c r="NRR5" s="44"/>
      <c r="NRS5" s="44"/>
      <c r="NRT5" s="44"/>
      <c r="NRU5" s="44"/>
      <c r="NRV5" s="44"/>
      <c r="NRW5" s="44"/>
      <c r="NRX5" s="44"/>
      <c r="NRY5" s="44"/>
      <c r="NRZ5" s="44"/>
      <c r="NSA5" s="44"/>
      <c r="NSB5" s="44"/>
      <c r="NSC5" s="44"/>
      <c r="NSD5" s="44"/>
      <c r="NSE5" s="44"/>
      <c r="NSF5" s="44"/>
      <c r="NSG5" s="44"/>
      <c r="NSH5" s="44"/>
      <c r="NSI5" s="44"/>
      <c r="NSJ5" s="44"/>
      <c r="NSK5" s="44"/>
      <c r="NSL5" s="44"/>
      <c r="NSM5" s="44"/>
      <c r="NSN5" s="44"/>
      <c r="NSO5" s="44"/>
      <c r="NSP5" s="44"/>
      <c r="NSQ5" s="44"/>
      <c r="NSR5" s="44"/>
      <c r="NSS5" s="44"/>
      <c r="NST5" s="44"/>
      <c r="NSU5" s="44"/>
      <c r="NSV5" s="44"/>
      <c r="NSW5" s="44"/>
      <c r="NSX5" s="44"/>
      <c r="NSY5" s="44"/>
      <c r="NSZ5" s="44"/>
      <c r="NTA5" s="44"/>
      <c r="NTB5" s="44"/>
      <c r="NTC5" s="44"/>
      <c r="NTD5" s="44"/>
      <c r="NTE5" s="44"/>
      <c r="NTF5" s="44"/>
      <c r="NTG5" s="44"/>
      <c r="NTH5" s="44"/>
      <c r="NTI5" s="44"/>
      <c r="NTJ5" s="44"/>
      <c r="NTK5" s="44"/>
      <c r="NTL5" s="44"/>
      <c r="NTM5" s="44"/>
      <c r="NTN5" s="44"/>
      <c r="NTO5" s="44"/>
      <c r="NTP5" s="44"/>
      <c r="NTQ5" s="44"/>
      <c r="NTR5" s="44"/>
      <c r="NTS5" s="44"/>
      <c r="NTT5" s="44"/>
      <c r="NTU5" s="44"/>
      <c r="NTV5" s="44"/>
      <c r="NTW5" s="44"/>
      <c r="NTX5" s="44"/>
      <c r="NTY5" s="44"/>
      <c r="NTZ5" s="44"/>
      <c r="NUA5" s="44"/>
      <c r="NUB5" s="44"/>
      <c r="NUC5" s="44"/>
      <c r="NUD5" s="44"/>
      <c r="NUE5" s="44"/>
      <c r="NUF5" s="44"/>
      <c r="NUG5" s="44"/>
      <c r="NUH5" s="44"/>
      <c r="NUI5" s="44"/>
      <c r="NUJ5" s="44"/>
      <c r="NUK5" s="44"/>
      <c r="NUL5" s="44"/>
      <c r="NUM5" s="44"/>
      <c r="NUN5" s="44"/>
      <c r="NUO5" s="44"/>
      <c r="NUP5" s="44"/>
      <c r="NUQ5" s="44"/>
      <c r="NUR5" s="44"/>
      <c r="NUS5" s="44"/>
      <c r="NUT5" s="44"/>
      <c r="NUU5" s="44"/>
      <c r="NUV5" s="44"/>
      <c r="NUW5" s="44"/>
      <c r="NUX5" s="44"/>
      <c r="NUY5" s="44"/>
      <c r="NUZ5" s="44"/>
      <c r="NVA5" s="44"/>
      <c r="NVB5" s="44"/>
      <c r="NVC5" s="44"/>
      <c r="NVD5" s="44"/>
      <c r="NVE5" s="44"/>
      <c r="NVF5" s="44"/>
      <c r="NVG5" s="44"/>
      <c r="NVH5" s="44"/>
      <c r="NVI5" s="44"/>
      <c r="NVJ5" s="44"/>
      <c r="NVK5" s="44"/>
      <c r="NVL5" s="44"/>
      <c r="NVM5" s="44"/>
      <c r="NVN5" s="44"/>
      <c r="NVO5" s="44"/>
      <c r="NVP5" s="44"/>
      <c r="NVQ5" s="44"/>
      <c r="NVR5" s="44"/>
      <c r="NVS5" s="44"/>
      <c r="NVT5" s="44"/>
      <c r="NVU5" s="44"/>
      <c r="NVV5" s="44"/>
      <c r="NVW5" s="44"/>
      <c r="NVX5" s="44"/>
      <c r="NVY5" s="44"/>
      <c r="NVZ5" s="44"/>
      <c r="NWA5" s="44"/>
      <c r="NWB5" s="44"/>
      <c r="NWC5" s="44"/>
      <c r="NWD5" s="44"/>
      <c r="NWE5" s="44"/>
      <c r="NWF5" s="44"/>
      <c r="NWG5" s="44"/>
      <c r="NWH5" s="44"/>
      <c r="NWI5" s="44"/>
      <c r="NWJ5" s="44"/>
      <c r="NWK5" s="44"/>
      <c r="NWL5" s="44"/>
      <c r="NWM5" s="44"/>
      <c r="NWN5" s="44"/>
      <c r="NWO5" s="44"/>
      <c r="NWP5" s="44"/>
      <c r="NWQ5" s="44"/>
      <c r="NWR5" s="44"/>
      <c r="NWS5" s="44"/>
      <c r="NWT5" s="44"/>
      <c r="NWU5" s="44"/>
      <c r="NWV5" s="44"/>
      <c r="NWW5" s="44"/>
      <c r="NWX5" s="44"/>
      <c r="NWY5" s="44"/>
      <c r="NWZ5" s="44"/>
      <c r="NXA5" s="44"/>
      <c r="NXB5" s="44"/>
      <c r="NXC5" s="44"/>
      <c r="NXD5" s="44"/>
      <c r="NXE5" s="44"/>
      <c r="NXF5" s="44"/>
      <c r="NXG5" s="44"/>
      <c r="NXH5" s="44"/>
      <c r="NXI5" s="44"/>
      <c r="NXJ5" s="44"/>
      <c r="NXK5" s="44"/>
      <c r="NXL5" s="44"/>
      <c r="NXM5" s="44"/>
      <c r="NXN5" s="44"/>
      <c r="NXO5" s="44"/>
      <c r="NXP5" s="44"/>
      <c r="NXQ5" s="44"/>
      <c r="NXR5" s="44"/>
      <c r="NXS5" s="44"/>
      <c r="NXT5" s="44"/>
      <c r="NXU5" s="44"/>
      <c r="NXV5" s="44"/>
      <c r="NXW5" s="44"/>
      <c r="NXX5" s="44"/>
      <c r="NXY5" s="44"/>
      <c r="NXZ5" s="44"/>
      <c r="NYA5" s="44"/>
      <c r="NYB5" s="44"/>
      <c r="NYC5" s="44"/>
      <c r="NYD5" s="44"/>
      <c r="NYE5" s="44"/>
      <c r="NYF5" s="44"/>
      <c r="NYG5" s="44"/>
      <c r="NYH5" s="44"/>
      <c r="NYI5" s="44"/>
      <c r="NYJ5" s="44"/>
      <c r="NYK5" s="44"/>
      <c r="NYL5" s="44"/>
      <c r="NYM5" s="44"/>
      <c r="NYN5" s="44"/>
      <c r="NYO5" s="44"/>
      <c r="NYP5" s="44"/>
      <c r="NYQ5" s="44"/>
      <c r="NYR5" s="44"/>
      <c r="NYS5" s="44"/>
      <c r="NYT5" s="44"/>
      <c r="NYU5" s="44"/>
      <c r="NYV5" s="44"/>
      <c r="NYW5" s="44"/>
      <c r="NYX5" s="44"/>
      <c r="NYY5" s="44"/>
      <c r="NYZ5" s="44"/>
      <c r="NZA5" s="44"/>
      <c r="NZB5" s="44"/>
      <c r="NZC5" s="44"/>
      <c r="NZD5" s="44"/>
      <c r="NZE5" s="44"/>
      <c r="NZF5" s="44"/>
      <c r="NZG5" s="44"/>
      <c r="NZH5" s="44"/>
      <c r="NZI5" s="44"/>
      <c r="NZJ5" s="44"/>
      <c r="NZK5" s="44"/>
      <c r="NZL5" s="44"/>
      <c r="NZM5" s="44"/>
      <c r="NZN5" s="44"/>
      <c r="NZO5" s="44"/>
      <c r="NZP5" s="44"/>
      <c r="NZQ5" s="44"/>
      <c r="NZR5" s="44"/>
      <c r="NZS5" s="44"/>
      <c r="NZT5" s="44"/>
      <c r="NZU5" s="44"/>
      <c r="NZV5" s="44"/>
      <c r="NZW5" s="44"/>
      <c r="NZX5" s="44"/>
      <c r="NZY5" s="44"/>
      <c r="NZZ5" s="44"/>
      <c r="OAA5" s="44"/>
      <c r="OAB5" s="44"/>
      <c r="OAC5" s="44"/>
      <c r="OAD5" s="44"/>
      <c r="OAE5" s="44"/>
      <c r="OAF5" s="44"/>
      <c r="OAG5" s="44"/>
      <c r="OAH5" s="44"/>
      <c r="OAI5" s="44"/>
      <c r="OAJ5" s="44"/>
      <c r="OAK5" s="44"/>
      <c r="OAL5" s="44"/>
      <c r="OAM5" s="44"/>
      <c r="OAN5" s="44"/>
      <c r="OAO5" s="44"/>
      <c r="OAP5" s="44"/>
      <c r="OAQ5" s="44"/>
      <c r="OAR5" s="44"/>
      <c r="OAS5" s="44"/>
      <c r="OAT5" s="44"/>
      <c r="OAU5" s="44"/>
      <c r="OAV5" s="44"/>
      <c r="OAW5" s="44"/>
      <c r="OAX5" s="44"/>
      <c r="OAY5" s="44"/>
      <c r="OAZ5" s="44"/>
      <c r="OBA5" s="44"/>
      <c r="OBB5" s="44"/>
      <c r="OBC5" s="44"/>
      <c r="OBD5" s="44"/>
      <c r="OBE5" s="44"/>
      <c r="OBF5" s="44"/>
      <c r="OBG5" s="44"/>
      <c r="OBH5" s="44"/>
      <c r="OBI5" s="44"/>
      <c r="OBJ5" s="44"/>
      <c r="OBK5" s="44"/>
      <c r="OBL5" s="44"/>
      <c r="OBM5" s="44"/>
      <c r="OBN5" s="44"/>
      <c r="OBO5" s="44"/>
      <c r="OBP5" s="44"/>
      <c r="OBQ5" s="44"/>
      <c r="OBR5" s="44"/>
      <c r="OBS5" s="44"/>
      <c r="OBT5" s="44"/>
      <c r="OBU5" s="44"/>
      <c r="OBV5" s="44"/>
      <c r="OBW5" s="44"/>
      <c r="OBX5" s="44"/>
      <c r="OBY5" s="44"/>
      <c r="OBZ5" s="44"/>
      <c r="OCA5" s="44"/>
      <c r="OCB5" s="44"/>
      <c r="OCC5" s="44"/>
      <c r="OCD5" s="44"/>
      <c r="OCE5" s="44"/>
      <c r="OCF5" s="44"/>
      <c r="OCG5" s="44"/>
      <c r="OCH5" s="44"/>
      <c r="OCI5" s="44"/>
      <c r="OCJ5" s="44"/>
      <c r="OCK5" s="44"/>
      <c r="OCL5" s="44"/>
      <c r="OCM5" s="44"/>
      <c r="OCN5" s="44"/>
      <c r="OCO5" s="44"/>
      <c r="OCP5" s="44"/>
      <c r="OCQ5" s="44"/>
      <c r="OCR5" s="44"/>
      <c r="OCS5" s="44"/>
      <c r="OCT5" s="44"/>
      <c r="OCU5" s="44"/>
      <c r="OCV5" s="44"/>
      <c r="OCW5" s="44"/>
      <c r="OCX5" s="44"/>
      <c r="OCY5" s="44"/>
      <c r="OCZ5" s="44"/>
      <c r="ODA5" s="44"/>
      <c r="ODB5" s="44"/>
      <c r="ODC5" s="44"/>
      <c r="ODD5" s="44"/>
      <c r="ODE5" s="44"/>
      <c r="ODF5" s="44"/>
      <c r="ODG5" s="44"/>
      <c r="ODH5" s="44"/>
      <c r="ODI5" s="44"/>
      <c r="ODJ5" s="44"/>
      <c r="ODK5" s="44"/>
      <c r="ODL5" s="44"/>
      <c r="ODM5" s="44"/>
      <c r="ODN5" s="44"/>
      <c r="ODO5" s="44"/>
      <c r="ODP5" s="44"/>
      <c r="ODQ5" s="44"/>
      <c r="ODR5" s="44"/>
      <c r="ODS5" s="44"/>
      <c r="ODT5" s="44"/>
      <c r="ODU5" s="44"/>
      <c r="ODV5" s="44"/>
      <c r="ODW5" s="44"/>
      <c r="ODX5" s="44"/>
      <c r="ODY5" s="44"/>
      <c r="ODZ5" s="44"/>
      <c r="OEA5" s="44"/>
      <c r="OEB5" s="44"/>
      <c r="OEC5" s="44"/>
      <c r="OED5" s="44"/>
      <c r="OEE5" s="44"/>
      <c r="OEF5" s="44"/>
      <c r="OEG5" s="44"/>
      <c r="OEH5" s="44"/>
      <c r="OEI5" s="44"/>
      <c r="OEJ5" s="44"/>
      <c r="OEK5" s="44"/>
      <c r="OEL5" s="44"/>
      <c r="OEM5" s="44"/>
      <c r="OEN5" s="44"/>
      <c r="OEO5" s="44"/>
      <c r="OEP5" s="44"/>
      <c r="OEQ5" s="44"/>
      <c r="OER5" s="44"/>
      <c r="OES5" s="44"/>
      <c r="OET5" s="44"/>
      <c r="OEU5" s="44"/>
      <c r="OEV5" s="44"/>
      <c r="OEW5" s="44"/>
      <c r="OEX5" s="44"/>
      <c r="OEY5" s="44"/>
      <c r="OEZ5" s="44"/>
      <c r="OFA5" s="44"/>
      <c r="OFB5" s="44"/>
      <c r="OFC5" s="44"/>
      <c r="OFD5" s="44"/>
      <c r="OFE5" s="44"/>
      <c r="OFF5" s="44"/>
      <c r="OFG5" s="44"/>
      <c r="OFH5" s="44"/>
      <c r="OFI5" s="44"/>
      <c r="OFJ5" s="44"/>
      <c r="OFK5" s="44"/>
      <c r="OFL5" s="44"/>
      <c r="OFM5" s="44"/>
      <c r="OFN5" s="44"/>
      <c r="OFO5" s="44"/>
      <c r="OFP5" s="44"/>
      <c r="OFQ5" s="44"/>
      <c r="OFR5" s="44"/>
      <c r="OFS5" s="44"/>
      <c r="OFT5" s="44"/>
      <c r="OFU5" s="44"/>
      <c r="OFV5" s="44"/>
      <c r="OFW5" s="44"/>
      <c r="OFX5" s="44"/>
      <c r="OFY5" s="44"/>
      <c r="OFZ5" s="44"/>
      <c r="OGA5" s="44"/>
      <c r="OGB5" s="44"/>
      <c r="OGC5" s="44"/>
      <c r="OGD5" s="44"/>
      <c r="OGE5" s="44"/>
      <c r="OGF5" s="44"/>
      <c r="OGG5" s="44"/>
      <c r="OGH5" s="44"/>
      <c r="OGI5" s="44"/>
      <c r="OGJ5" s="44"/>
      <c r="OGK5" s="44"/>
      <c r="OGL5" s="44"/>
      <c r="OGM5" s="44"/>
      <c r="OGN5" s="44"/>
      <c r="OGO5" s="44"/>
      <c r="OGP5" s="44"/>
      <c r="OGQ5" s="44"/>
      <c r="OGR5" s="44"/>
      <c r="OGS5" s="44"/>
      <c r="OGT5" s="44"/>
      <c r="OGU5" s="44"/>
      <c r="OGV5" s="44"/>
      <c r="OGW5" s="44"/>
      <c r="OGX5" s="44"/>
      <c r="OGY5" s="44"/>
      <c r="OGZ5" s="44"/>
      <c r="OHA5" s="44"/>
      <c r="OHB5" s="44"/>
      <c r="OHC5" s="44"/>
      <c r="OHD5" s="44"/>
      <c r="OHE5" s="44"/>
      <c r="OHF5" s="44"/>
      <c r="OHG5" s="44"/>
      <c r="OHH5" s="44"/>
      <c r="OHI5" s="44"/>
      <c r="OHJ5" s="44"/>
      <c r="OHK5" s="44"/>
      <c r="OHL5" s="44"/>
      <c r="OHM5" s="44"/>
      <c r="OHN5" s="44"/>
      <c r="OHO5" s="44"/>
      <c r="OHP5" s="44"/>
      <c r="OHQ5" s="44"/>
      <c r="OHR5" s="44"/>
      <c r="OHS5" s="44"/>
      <c r="OHT5" s="44"/>
      <c r="OHU5" s="44"/>
      <c r="OHV5" s="44"/>
      <c r="OHW5" s="44"/>
      <c r="OHX5" s="44"/>
      <c r="OHY5" s="44"/>
      <c r="OHZ5" s="44"/>
      <c r="OIA5" s="44"/>
      <c r="OIB5" s="44"/>
      <c r="OIC5" s="44"/>
      <c r="OID5" s="44"/>
      <c r="OIE5" s="44"/>
      <c r="OIF5" s="44"/>
      <c r="OIG5" s="44"/>
      <c r="OIH5" s="44"/>
      <c r="OII5" s="44"/>
      <c r="OIJ5" s="44"/>
      <c r="OIK5" s="44"/>
      <c r="OIL5" s="44"/>
      <c r="OIM5" s="44"/>
      <c r="OIN5" s="44"/>
      <c r="OIO5" s="44"/>
      <c r="OIP5" s="44"/>
      <c r="OIQ5" s="44"/>
      <c r="OIR5" s="44"/>
      <c r="OIS5" s="44"/>
      <c r="OIT5" s="44"/>
      <c r="OIU5" s="44"/>
      <c r="OIV5" s="44"/>
      <c r="OIW5" s="44"/>
      <c r="OIX5" s="44"/>
      <c r="OIY5" s="44"/>
      <c r="OIZ5" s="44"/>
      <c r="OJA5" s="44"/>
      <c r="OJB5" s="44"/>
      <c r="OJC5" s="44"/>
      <c r="OJD5" s="44"/>
      <c r="OJE5" s="44"/>
      <c r="OJF5" s="44"/>
      <c r="OJG5" s="44"/>
      <c r="OJH5" s="44"/>
      <c r="OJI5" s="44"/>
      <c r="OJJ5" s="44"/>
      <c r="OJK5" s="44"/>
      <c r="OJL5" s="44"/>
      <c r="OJM5" s="44"/>
      <c r="OJN5" s="44"/>
      <c r="OJO5" s="44"/>
      <c r="OJP5" s="44"/>
      <c r="OJQ5" s="44"/>
      <c r="OJR5" s="44"/>
      <c r="OJS5" s="44"/>
      <c r="OJT5" s="44"/>
      <c r="OJU5" s="44"/>
      <c r="OJV5" s="44"/>
      <c r="OJW5" s="44"/>
      <c r="OJX5" s="44"/>
      <c r="OJY5" s="44"/>
      <c r="OJZ5" s="44"/>
      <c r="OKA5" s="44"/>
      <c r="OKB5" s="44"/>
      <c r="OKC5" s="44"/>
      <c r="OKD5" s="44"/>
      <c r="OKE5" s="44"/>
      <c r="OKF5" s="44"/>
      <c r="OKG5" s="44"/>
      <c r="OKH5" s="44"/>
      <c r="OKI5" s="44"/>
      <c r="OKJ5" s="44"/>
      <c r="OKK5" s="44"/>
      <c r="OKL5" s="44"/>
      <c r="OKM5" s="44"/>
      <c r="OKN5" s="44"/>
      <c r="OKO5" s="44"/>
      <c r="OKP5" s="44"/>
      <c r="OKQ5" s="44"/>
      <c r="OKR5" s="44"/>
      <c r="OKS5" s="44"/>
      <c r="OKT5" s="44"/>
      <c r="OKU5" s="44"/>
      <c r="OKV5" s="44"/>
      <c r="OKW5" s="44"/>
      <c r="OKX5" s="44"/>
      <c r="OKY5" s="44"/>
      <c r="OKZ5" s="44"/>
      <c r="OLA5" s="44"/>
      <c r="OLB5" s="44"/>
      <c r="OLC5" s="44"/>
      <c r="OLD5" s="44"/>
      <c r="OLE5" s="44"/>
      <c r="OLF5" s="44"/>
      <c r="OLG5" s="44"/>
      <c r="OLH5" s="44"/>
      <c r="OLI5" s="44"/>
      <c r="OLJ5" s="44"/>
      <c r="OLK5" s="44"/>
      <c r="OLL5" s="44"/>
      <c r="OLM5" s="44"/>
      <c r="OLN5" s="44"/>
      <c r="OLO5" s="44"/>
      <c r="OLP5" s="44"/>
      <c r="OLQ5" s="44"/>
      <c r="OLR5" s="44"/>
      <c r="OLS5" s="44"/>
      <c r="OLT5" s="44"/>
      <c r="OLU5" s="44"/>
      <c r="OLV5" s="44"/>
      <c r="OLW5" s="44"/>
      <c r="OLX5" s="44"/>
      <c r="OLY5" s="44"/>
      <c r="OLZ5" s="44"/>
      <c r="OMA5" s="44"/>
      <c r="OMB5" s="44"/>
      <c r="OMC5" s="44"/>
      <c r="OMD5" s="44"/>
      <c r="OME5" s="44"/>
      <c r="OMF5" s="44"/>
      <c r="OMG5" s="44"/>
      <c r="OMH5" s="44"/>
      <c r="OMI5" s="44"/>
      <c r="OMJ5" s="44"/>
      <c r="OMK5" s="44"/>
      <c r="OML5" s="44"/>
      <c r="OMM5" s="44"/>
      <c r="OMN5" s="44"/>
      <c r="OMO5" s="44"/>
      <c r="OMP5" s="44"/>
      <c r="OMQ5" s="44"/>
      <c r="OMR5" s="44"/>
      <c r="OMS5" s="44"/>
      <c r="OMT5" s="44"/>
      <c r="OMU5" s="44"/>
      <c r="OMV5" s="44"/>
      <c r="OMW5" s="44"/>
      <c r="OMX5" s="44"/>
      <c r="OMY5" s="44"/>
      <c r="OMZ5" s="44"/>
      <c r="ONA5" s="44"/>
      <c r="ONB5" s="44"/>
      <c r="ONC5" s="44"/>
      <c r="OND5" s="44"/>
      <c r="ONE5" s="44"/>
      <c r="ONF5" s="44"/>
      <c r="ONG5" s="44"/>
      <c r="ONH5" s="44"/>
      <c r="ONI5" s="44"/>
      <c r="ONJ5" s="44"/>
      <c r="ONK5" s="44"/>
      <c r="ONL5" s="44"/>
      <c r="ONM5" s="44"/>
      <c r="ONN5" s="44"/>
      <c r="ONO5" s="44"/>
      <c r="ONP5" s="44"/>
      <c r="ONQ5" s="44"/>
      <c r="ONR5" s="44"/>
      <c r="ONS5" s="44"/>
      <c r="ONT5" s="44"/>
      <c r="ONU5" s="44"/>
      <c r="ONV5" s="44"/>
      <c r="ONW5" s="44"/>
      <c r="ONX5" s="44"/>
      <c r="ONY5" s="44"/>
      <c r="ONZ5" s="44"/>
      <c r="OOA5" s="44"/>
      <c r="OOB5" s="44"/>
      <c r="OOC5" s="44"/>
      <c r="OOD5" s="44"/>
      <c r="OOE5" s="44"/>
      <c r="OOF5" s="44"/>
      <c r="OOG5" s="44"/>
      <c r="OOH5" s="44"/>
      <c r="OOI5" s="44"/>
      <c r="OOJ5" s="44"/>
      <c r="OOK5" s="44"/>
      <c r="OOL5" s="44"/>
      <c r="OOM5" s="44"/>
      <c r="OON5" s="44"/>
      <c r="OOO5" s="44"/>
      <c r="OOP5" s="44"/>
      <c r="OOQ5" s="44"/>
      <c r="OOR5" s="44"/>
      <c r="OOS5" s="44"/>
      <c r="OOT5" s="44"/>
      <c r="OOU5" s="44"/>
      <c r="OOV5" s="44"/>
      <c r="OOW5" s="44"/>
      <c r="OOX5" s="44"/>
      <c r="OOY5" s="44"/>
      <c r="OOZ5" s="44"/>
      <c r="OPA5" s="44"/>
      <c r="OPB5" s="44"/>
      <c r="OPC5" s="44"/>
      <c r="OPD5" s="44"/>
      <c r="OPE5" s="44"/>
      <c r="OPF5" s="44"/>
      <c r="OPG5" s="44"/>
      <c r="OPH5" s="44"/>
      <c r="OPI5" s="44"/>
      <c r="OPJ5" s="44"/>
      <c r="OPK5" s="44"/>
      <c r="OPL5" s="44"/>
      <c r="OPM5" s="44"/>
      <c r="OPN5" s="44"/>
      <c r="OPO5" s="44"/>
      <c r="OPP5" s="44"/>
      <c r="OPQ5" s="44"/>
      <c r="OPR5" s="44"/>
      <c r="OPS5" s="44"/>
      <c r="OPT5" s="44"/>
      <c r="OPU5" s="44"/>
      <c r="OPV5" s="44"/>
      <c r="OPW5" s="44"/>
      <c r="OPX5" s="44"/>
      <c r="OPY5" s="44"/>
      <c r="OPZ5" s="44"/>
      <c r="OQA5" s="44"/>
      <c r="OQB5" s="44"/>
      <c r="OQC5" s="44"/>
      <c r="OQD5" s="44"/>
      <c r="OQE5" s="44"/>
      <c r="OQF5" s="44"/>
      <c r="OQG5" s="44"/>
      <c r="OQH5" s="44"/>
      <c r="OQI5" s="44"/>
      <c r="OQJ5" s="44"/>
      <c r="OQK5" s="44"/>
      <c r="OQL5" s="44"/>
      <c r="OQM5" s="44"/>
      <c r="OQN5" s="44"/>
      <c r="OQO5" s="44"/>
      <c r="OQP5" s="44"/>
      <c r="OQQ5" s="44"/>
      <c r="OQR5" s="44"/>
      <c r="OQS5" s="44"/>
      <c r="OQT5" s="44"/>
      <c r="OQU5" s="44"/>
      <c r="OQV5" s="44"/>
      <c r="OQW5" s="44"/>
      <c r="OQX5" s="44"/>
      <c r="OQY5" s="44"/>
      <c r="OQZ5" s="44"/>
      <c r="ORA5" s="44"/>
      <c r="ORB5" s="44"/>
      <c r="ORC5" s="44"/>
      <c r="ORD5" s="44"/>
      <c r="ORE5" s="44"/>
      <c r="ORF5" s="44"/>
      <c r="ORG5" s="44"/>
      <c r="ORH5" s="44"/>
      <c r="ORI5" s="44"/>
      <c r="ORJ5" s="44"/>
      <c r="ORK5" s="44"/>
      <c r="ORL5" s="44"/>
      <c r="ORM5" s="44"/>
      <c r="ORN5" s="44"/>
      <c r="ORO5" s="44"/>
      <c r="ORP5" s="44"/>
      <c r="ORQ5" s="44"/>
      <c r="ORR5" s="44"/>
      <c r="ORS5" s="44"/>
      <c r="ORT5" s="44"/>
      <c r="ORU5" s="44"/>
      <c r="ORV5" s="44"/>
      <c r="ORW5" s="44"/>
      <c r="ORX5" s="44"/>
      <c r="ORY5" s="44"/>
      <c r="ORZ5" s="44"/>
      <c r="OSA5" s="44"/>
      <c r="OSB5" s="44"/>
      <c r="OSC5" s="44"/>
      <c r="OSD5" s="44"/>
      <c r="OSE5" s="44"/>
      <c r="OSF5" s="44"/>
      <c r="OSG5" s="44"/>
      <c r="OSH5" s="44"/>
      <c r="OSI5" s="44"/>
      <c r="OSJ5" s="44"/>
      <c r="OSK5" s="44"/>
      <c r="OSL5" s="44"/>
      <c r="OSM5" s="44"/>
      <c r="OSN5" s="44"/>
      <c r="OSO5" s="44"/>
      <c r="OSP5" s="44"/>
      <c r="OSQ5" s="44"/>
      <c r="OSR5" s="44"/>
      <c r="OSS5" s="44"/>
      <c r="OST5" s="44"/>
      <c r="OSU5" s="44"/>
      <c r="OSV5" s="44"/>
      <c r="OSW5" s="44"/>
      <c r="OSX5" s="44"/>
      <c r="OSY5" s="44"/>
      <c r="OSZ5" s="44"/>
      <c r="OTA5" s="44"/>
      <c r="OTB5" s="44"/>
      <c r="OTC5" s="44"/>
      <c r="OTD5" s="44"/>
      <c r="OTE5" s="44"/>
      <c r="OTF5" s="44"/>
      <c r="OTG5" s="44"/>
      <c r="OTH5" s="44"/>
      <c r="OTI5" s="44"/>
      <c r="OTJ5" s="44"/>
      <c r="OTK5" s="44"/>
      <c r="OTL5" s="44"/>
      <c r="OTM5" s="44"/>
      <c r="OTN5" s="44"/>
      <c r="OTO5" s="44"/>
      <c r="OTP5" s="44"/>
      <c r="OTQ5" s="44"/>
      <c r="OTR5" s="44"/>
      <c r="OTS5" s="44"/>
      <c r="OTT5" s="44"/>
      <c r="OTU5" s="44"/>
      <c r="OTV5" s="44"/>
      <c r="OTW5" s="44"/>
      <c r="OTX5" s="44"/>
      <c r="OTY5" s="44"/>
      <c r="OTZ5" s="44"/>
      <c r="OUA5" s="44"/>
      <c r="OUB5" s="44"/>
      <c r="OUC5" s="44"/>
      <c r="OUD5" s="44"/>
      <c r="OUE5" s="44"/>
      <c r="OUF5" s="44"/>
      <c r="OUG5" s="44"/>
      <c r="OUH5" s="44"/>
      <c r="OUI5" s="44"/>
      <c r="OUJ5" s="44"/>
      <c r="OUK5" s="44"/>
      <c r="OUL5" s="44"/>
      <c r="OUM5" s="44"/>
      <c r="OUN5" s="44"/>
      <c r="OUO5" s="44"/>
      <c r="OUP5" s="44"/>
      <c r="OUQ5" s="44"/>
      <c r="OUR5" s="44"/>
      <c r="OUS5" s="44"/>
      <c r="OUT5" s="44"/>
      <c r="OUU5" s="44"/>
      <c r="OUV5" s="44"/>
      <c r="OUW5" s="44"/>
      <c r="OUX5" s="44"/>
      <c r="OUY5" s="44"/>
      <c r="OUZ5" s="44"/>
      <c r="OVA5" s="44"/>
      <c r="OVB5" s="44"/>
      <c r="OVC5" s="44"/>
      <c r="OVD5" s="44"/>
      <c r="OVE5" s="44"/>
      <c r="OVF5" s="44"/>
      <c r="OVG5" s="44"/>
      <c r="OVH5" s="44"/>
      <c r="OVI5" s="44"/>
      <c r="OVJ5" s="44"/>
      <c r="OVK5" s="44"/>
      <c r="OVL5" s="44"/>
      <c r="OVM5" s="44"/>
      <c r="OVN5" s="44"/>
      <c r="OVO5" s="44"/>
      <c r="OVP5" s="44"/>
      <c r="OVQ5" s="44"/>
      <c r="OVR5" s="44"/>
      <c r="OVS5" s="44"/>
      <c r="OVT5" s="44"/>
      <c r="OVU5" s="44"/>
      <c r="OVV5" s="44"/>
      <c r="OVW5" s="44"/>
      <c r="OVX5" s="44"/>
      <c r="OVY5" s="44"/>
      <c r="OVZ5" s="44"/>
      <c r="OWA5" s="44"/>
      <c r="OWB5" s="44"/>
      <c r="OWC5" s="44"/>
      <c r="OWD5" s="44"/>
      <c r="OWE5" s="44"/>
      <c r="OWF5" s="44"/>
      <c r="OWG5" s="44"/>
      <c r="OWH5" s="44"/>
      <c r="OWI5" s="44"/>
      <c r="OWJ5" s="44"/>
      <c r="OWK5" s="44"/>
      <c r="OWL5" s="44"/>
      <c r="OWM5" s="44"/>
      <c r="OWN5" s="44"/>
      <c r="OWO5" s="44"/>
      <c r="OWP5" s="44"/>
      <c r="OWQ5" s="44"/>
      <c r="OWR5" s="44"/>
      <c r="OWS5" s="44"/>
      <c r="OWT5" s="44"/>
      <c r="OWU5" s="44"/>
      <c r="OWV5" s="44"/>
      <c r="OWW5" s="44"/>
      <c r="OWX5" s="44"/>
      <c r="OWY5" s="44"/>
      <c r="OWZ5" s="44"/>
      <c r="OXA5" s="44"/>
      <c r="OXB5" s="44"/>
      <c r="OXC5" s="44"/>
      <c r="OXD5" s="44"/>
      <c r="OXE5" s="44"/>
      <c r="OXF5" s="44"/>
      <c r="OXG5" s="44"/>
      <c r="OXH5" s="44"/>
      <c r="OXI5" s="44"/>
      <c r="OXJ5" s="44"/>
      <c r="OXK5" s="44"/>
      <c r="OXL5" s="44"/>
      <c r="OXM5" s="44"/>
      <c r="OXN5" s="44"/>
      <c r="OXO5" s="44"/>
      <c r="OXP5" s="44"/>
      <c r="OXQ5" s="44"/>
      <c r="OXR5" s="44"/>
      <c r="OXS5" s="44"/>
      <c r="OXT5" s="44"/>
      <c r="OXU5" s="44"/>
      <c r="OXV5" s="44"/>
      <c r="OXW5" s="44"/>
      <c r="OXX5" s="44"/>
      <c r="OXY5" s="44"/>
      <c r="OXZ5" s="44"/>
      <c r="OYA5" s="44"/>
      <c r="OYB5" s="44"/>
      <c r="OYC5" s="44"/>
      <c r="OYD5" s="44"/>
      <c r="OYE5" s="44"/>
      <c r="OYF5" s="44"/>
      <c r="OYG5" s="44"/>
      <c r="OYH5" s="44"/>
      <c r="OYI5" s="44"/>
      <c r="OYJ5" s="44"/>
      <c r="OYK5" s="44"/>
      <c r="OYL5" s="44"/>
      <c r="OYM5" s="44"/>
      <c r="OYN5" s="44"/>
      <c r="OYO5" s="44"/>
      <c r="OYP5" s="44"/>
      <c r="OYQ5" s="44"/>
      <c r="OYR5" s="44"/>
      <c r="OYS5" s="44"/>
      <c r="OYT5" s="44"/>
      <c r="OYU5" s="44"/>
      <c r="OYV5" s="44"/>
      <c r="OYW5" s="44"/>
      <c r="OYX5" s="44"/>
      <c r="OYY5" s="44"/>
      <c r="OYZ5" s="44"/>
      <c r="OZA5" s="44"/>
      <c r="OZB5" s="44"/>
      <c r="OZC5" s="44"/>
      <c r="OZD5" s="44"/>
      <c r="OZE5" s="44"/>
      <c r="OZF5" s="44"/>
      <c r="OZG5" s="44"/>
      <c r="OZH5" s="44"/>
      <c r="OZI5" s="44"/>
      <c r="OZJ5" s="44"/>
      <c r="OZK5" s="44"/>
      <c r="OZL5" s="44"/>
      <c r="OZM5" s="44"/>
      <c r="OZN5" s="44"/>
      <c r="OZO5" s="44"/>
      <c r="OZP5" s="44"/>
      <c r="OZQ5" s="44"/>
      <c r="OZR5" s="44"/>
      <c r="OZS5" s="44"/>
      <c r="OZT5" s="44"/>
      <c r="OZU5" s="44"/>
      <c r="OZV5" s="44"/>
      <c r="OZW5" s="44"/>
      <c r="OZX5" s="44"/>
      <c r="OZY5" s="44"/>
      <c r="OZZ5" s="44"/>
      <c r="PAA5" s="44"/>
      <c r="PAB5" s="44"/>
      <c r="PAC5" s="44"/>
      <c r="PAD5" s="44"/>
      <c r="PAE5" s="44"/>
      <c r="PAF5" s="44"/>
      <c r="PAG5" s="44"/>
      <c r="PAH5" s="44"/>
      <c r="PAI5" s="44"/>
      <c r="PAJ5" s="44"/>
      <c r="PAK5" s="44"/>
      <c r="PAL5" s="44"/>
      <c r="PAM5" s="44"/>
      <c r="PAN5" s="44"/>
      <c r="PAO5" s="44"/>
      <c r="PAP5" s="44"/>
      <c r="PAQ5" s="44"/>
      <c r="PAR5" s="44"/>
      <c r="PAS5" s="44"/>
      <c r="PAT5" s="44"/>
      <c r="PAU5" s="44"/>
      <c r="PAV5" s="44"/>
      <c r="PAW5" s="44"/>
      <c r="PAX5" s="44"/>
      <c r="PAY5" s="44"/>
      <c r="PAZ5" s="44"/>
      <c r="PBA5" s="44"/>
      <c r="PBB5" s="44"/>
      <c r="PBC5" s="44"/>
      <c r="PBD5" s="44"/>
      <c r="PBE5" s="44"/>
      <c r="PBF5" s="44"/>
      <c r="PBG5" s="44"/>
      <c r="PBH5" s="44"/>
      <c r="PBI5" s="44"/>
      <c r="PBJ5" s="44"/>
      <c r="PBK5" s="44"/>
      <c r="PBL5" s="44"/>
      <c r="PBM5" s="44"/>
      <c r="PBN5" s="44"/>
      <c r="PBO5" s="44"/>
      <c r="PBP5" s="44"/>
      <c r="PBQ5" s="44"/>
      <c r="PBR5" s="44"/>
      <c r="PBS5" s="44"/>
      <c r="PBT5" s="44"/>
      <c r="PBU5" s="44"/>
      <c r="PBV5" s="44"/>
      <c r="PBW5" s="44"/>
      <c r="PBX5" s="44"/>
      <c r="PBY5" s="44"/>
      <c r="PBZ5" s="44"/>
      <c r="PCA5" s="44"/>
      <c r="PCB5" s="44"/>
      <c r="PCC5" s="44"/>
      <c r="PCD5" s="44"/>
      <c r="PCE5" s="44"/>
      <c r="PCF5" s="44"/>
      <c r="PCG5" s="44"/>
      <c r="PCH5" s="44"/>
      <c r="PCI5" s="44"/>
      <c r="PCJ5" s="44"/>
      <c r="PCK5" s="44"/>
      <c r="PCL5" s="44"/>
      <c r="PCM5" s="44"/>
      <c r="PCN5" s="44"/>
      <c r="PCO5" s="44"/>
      <c r="PCP5" s="44"/>
      <c r="PCQ5" s="44"/>
      <c r="PCR5" s="44"/>
      <c r="PCS5" s="44"/>
      <c r="PCT5" s="44"/>
      <c r="PCU5" s="44"/>
      <c r="PCV5" s="44"/>
      <c r="PCW5" s="44"/>
      <c r="PCX5" s="44"/>
      <c r="PCY5" s="44"/>
      <c r="PCZ5" s="44"/>
      <c r="PDA5" s="44"/>
      <c r="PDB5" s="44"/>
      <c r="PDC5" s="44"/>
      <c r="PDD5" s="44"/>
      <c r="PDE5" s="44"/>
      <c r="PDF5" s="44"/>
      <c r="PDG5" s="44"/>
      <c r="PDH5" s="44"/>
      <c r="PDI5" s="44"/>
      <c r="PDJ5" s="44"/>
      <c r="PDK5" s="44"/>
      <c r="PDL5" s="44"/>
      <c r="PDM5" s="44"/>
      <c r="PDN5" s="44"/>
      <c r="PDO5" s="44"/>
      <c r="PDP5" s="44"/>
      <c r="PDQ5" s="44"/>
      <c r="PDR5" s="44"/>
      <c r="PDS5" s="44"/>
      <c r="PDT5" s="44"/>
      <c r="PDU5" s="44"/>
      <c r="PDV5" s="44"/>
      <c r="PDW5" s="44"/>
      <c r="PDX5" s="44"/>
      <c r="PDY5" s="44"/>
      <c r="PDZ5" s="44"/>
      <c r="PEA5" s="44"/>
      <c r="PEB5" s="44"/>
      <c r="PEC5" s="44"/>
      <c r="PED5" s="44"/>
      <c r="PEE5" s="44"/>
      <c r="PEF5" s="44"/>
      <c r="PEG5" s="44"/>
      <c r="PEH5" s="44"/>
      <c r="PEI5" s="44"/>
      <c r="PEJ5" s="44"/>
      <c r="PEK5" s="44"/>
      <c r="PEL5" s="44"/>
      <c r="PEM5" s="44"/>
      <c r="PEN5" s="44"/>
      <c r="PEO5" s="44"/>
      <c r="PEP5" s="44"/>
      <c r="PEQ5" s="44"/>
      <c r="PER5" s="44"/>
      <c r="PES5" s="44"/>
      <c r="PET5" s="44"/>
      <c r="PEU5" s="44"/>
      <c r="PEV5" s="44"/>
      <c r="PEW5" s="44"/>
      <c r="PEX5" s="44"/>
      <c r="PEY5" s="44"/>
      <c r="PEZ5" s="44"/>
      <c r="PFA5" s="44"/>
      <c r="PFB5" s="44"/>
      <c r="PFC5" s="44"/>
      <c r="PFD5" s="44"/>
      <c r="PFE5" s="44"/>
      <c r="PFF5" s="44"/>
      <c r="PFG5" s="44"/>
      <c r="PFH5" s="44"/>
      <c r="PFI5" s="44"/>
      <c r="PFJ5" s="44"/>
      <c r="PFK5" s="44"/>
      <c r="PFL5" s="44"/>
      <c r="PFM5" s="44"/>
      <c r="PFN5" s="44"/>
      <c r="PFO5" s="44"/>
      <c r="PFP5" s="44"/>
      <c r="PFQ5" s="44"/>
      <c r="PFR5" s="44"/>
      <c r="PFS5" s="44"/>
      <c r="PFT5" s="44"/>
      <c r="PFU5" s="44"/>
      <c r="PFV5" s="44"/>
      <c r="PFW5" s="44"/>
      <c r="PFX5" s="44"/>
      <c r="PFY5" s="44"/>
      <c r="PFZ5" s="44"/>
      <c r="PGA5" s="44"/>
      <c r="PGB5" s="44"/>
      <c r="PGC5" s="44"/>
      <c r="PGD5" s="44"/>
      <c r="PGE5" s="44"/>
      <c r="PGF5" s="44"/>
      <c r="PGG5" s="44"/>
      <c r="PGH5" s="44"/>
      <c r="PGI5" s="44"/>
      <c r="PGJ5" s="44"/>
      <c r="PGK5" s="44"/>
      <c r="PGL5" s="44"/>
      <c r="PGM5" s="44"/>
      <c r="PGN5" s="44"/>
      <c r="PGO5" s="44"/>
      <c r="PGP5" s="44"/>
      <c r="PGQ5" s="44"/>
      <c r="PGR5" s="44"/>
      <c r="PGS5" s="44"/>
      <c r="PGT5" s="44"/>
      <c r="PGU5" s="44"/>
      <c r="PGV5" s="44"/>
      <c r="PGW5" s="44"/>
      <c r="PGX5" s="44"/>
      <c r="PGY5" s="44"/>
      <c r="PGZ5" s="44"/>
      <c r="PHA5" s="44"/>
      <c r="PHB5" s="44"/>
      <c r="PHC5" s="44"/>
      <c r="PHD5" s="44"/>
      <c r="PHE5" s="44"/>
      <c r="PHF5" s="44"/>
      <c r="PHG5" s="44"/>
      <c r="PHH5" s="44"/>
      <c r="PHI5" s="44"/>
      <c r="PHJ5" s="44"/>
      <c r="PHK5" s="44"/>
      <c r="PHL5" s="44"/>
      <c r="PHM5" s="44"/>
      <c r="PHN5" s="44"/>
      <c r="PHO5" s="44"/>
      <c r="PHP5" s="44"/>
      <c r="PHQ5" s="44"/>
      <c r="PHR5" s="44"/>
      <c r="PHS5" s="44"/>
      <c r="PHT5" s="44"/>
      <c r="PHU5" s="44"/>
      <c r="PHV5" s="44"/>
      <c r="PHW5" s="44"/>
      <c r="PHX5" s="44"/>
      <c r="PHY5" s="44"/>
      <c r="PHZ5" s="44"/>
      <c r="PIA5" s="44"/>
      <c r="PIB5" s="44"/>
      <c r="PIC5" s="44"/>
      <c r="PID5" s="44"/>
      <c r="PIE5" s="44"/>
      <c r="PIF5" s="44"/>
      <c r="PIG5" s="44"/>
      <c r="PIH5" s="44"/>
      <c r="PII5" s="44"/>
      <c r="PIJ5" s="44"/>
      <c r="PIK5" s="44"/>
      <c r="PIL5" s="44"/>
      <c r="PIM5" s="44"/>
      <c r="PIN5" s="44"/>
      <c r="PIO5" s="44"/>
      <c r="PIP5" s="44"/>
      <c r="PIQ5" s="44"/>
      <c r="PIR5" s="44"/>
      <c r="PIS5" s="44"/>
      <c r="PIT5" s="44"/>
      <c r="PIU5" s="44"/>
      <c r="PIV5" s="44"/>
      <c r="PIW5" s="44"/>
      <c r="PIX5" s="44"/>
      <c r="PIY5" s="44"/>
      <c r="PIZ5" s="44"/>
      <c r="PJA5" s="44"/>
      <c r="PJB5" s="44"/>
      <c r="PJC5" s="44"/>
      <c r="PJD5" s="44"/>
      <c r="PJE5" s="44"/>
      <c r="PJF5" s="44"/>
      <c r="PJG5" s="44"/>
      <c r="PJH5" s="44"/>
      <c r="PJI5" s="44"/>
      <c r="PJJ5" s="44"/>
      <c r="PJK5" s="44"/>
      <c r="PJL5" s="44"/>
      <c r="PJM5" s="44"/>
      <c r="PJN5" s="44"/>
      <c r="PJO5" s="44"/>
      <c r="PJP5" s="44"/>
      <c r="PJQ5" s="44"/>
      <c r="PJR5" s="44"/>
      <c r="PJS5" s="44"/>
      <c r="PJT5" s="44"/>
      <c r="PJU5" s="44"/>
      <c r="PJV5" s="44"/>
      <c r="PJW5" s="44"/>
      <c r="PJX5" s="44"/>
      <c r="PJY5" s="44"/>
      <c r="PJZ5" s="44"/>
      <c r="PKA5" s="44"/>
      <c r="PKB5" s="44"/>
      <c r="PKC5" s="44"/>
      <c r="PKD5" s="44"/>
      <c r="PKE5" s="44"/>
      <c r="PKF5" s="44"/>
      <c r="PKG5" s="44"/>
      <c r="PKH5" s="44"/>
      <c r="PKI5" s="44"/>
      <c r="PKJ5" s="44"/>
      <c r="PKK5" s="44"/>
      <c r="PKL5" s="44"/>
      <c r="PKM5" s="44"/>
      <c r="PKN5" s="44"/>
      <c r="PKO5" s="44"/>
      <c r="PKP5" s="44"/>
      <c r="PKQ5" s="44"/>
      <c r="PKR5" s="44"/>
      <c r="PKS5" s="44"/>
      <c r="PKT5" s="44"/>
      <c r="PKU5" s="44"/>
      <c r="PKV5" s="44"/>
      <c r="PKW5" s="44"/>
      <c r="PKX5" s="44"/>
      <c r="PKY5" s="44"/>
      <c r="PKZ5" s="44"/>
      <c r="PLA5" s="44"/>
      <c r="PLB5" s="44"/>
      <c r="PLC5" s="44"/>
      <c r="PLD5" s="44"/>
      <c r="PLE5" s="44"/>
      <c r="PLF5" s="44"/>
      <c r="PLG5" s="44"/>
      <c r="PLH5" s="44"/>
      <c r="PLI5" s="44"/>
      <c r="PLJ5" s="44"/>
      <c r="PLK5" s="44"/>
      <c r="PLL5" s="44"/>
      <c r="PLM5" s="44"/>
      <c r="PLN5" s="44"/>
      <c r="PLO5" s="44"/>
      <c r="PLP5" s="44"/>
      <c r="PLQ5" s="44"/>
      <c r="PLR5" s="44"/>
      <c r="PLS5" s="44"/>
      <c r="PLT5" s="44"/>
      <c r="PLU5" s="44"/>
      <c r="PLV5" s="44"/>
      <c r="PLW5" s="44"/>
      <c r="PLX5" s="44"/>
      <c r="PLY5" s="44"/>
      <c r="PLZ5" s="44"/>
      <c r="PMA5" s="44"/>
      <c r="PMB5" s="44"/>
      <c r="PMC5" s="44"/>
      <c r="PMD5" s="44"/>
      <c r="PME5" s="44"/>
      <c r="PMF5" s="44"/>
      <c r="PMG5" s="44"/>
      <c r="PMH5" s="44"/>
      <c r="PMI5" s="44"/>
      <c r="PMJ5" s="44"/>
      <c r="PMK5" s="44"/>
      <c r="PML5" s="44"/>
      <c r="PMM5" s="44"/>
      <c r="PMN5" s="44"/>
      <c r="PMO5" s="44"/>
      <c r="PMP5" s="44"/>
      <c r="PMQ5" s="44"/>
      <c r="PMR5" s="44"/>
      <c r="PMS5" s="44"/>
      <c r="PMT5" s="44"/>
      <c r="PMU5" s="44"/>
      <c r="PMV5" s="44"/>
      <c r="PMW5" s="44"/>
      <c r="PMX5" s="44"/>
      <c r="PMY5" s="44"/>
      <c r="PMZ5" s="44"/>
      <c r="PNA5" s="44"/>
      <c r="PNB5" s="44"/>
      <c r="PNC5" s="44"/>
      <c r="PND5" s="44"/>
      <c r="PNE5" s="44"/>
      <c r="PNF5" s="44"/>
      <c r="PNG5" s="44"/>
      <c r="PNH5" s="44"/>
      <c r="PNI5" s="44"/>
      <c r="PNJ5" s="44"/>
      <c r="PNK5" s="44"/>
      <c r="PNL5" s="44"/>
      <c r="PNM5" s="44"/>
      <c r="PNN5" s="44"/>
      <c r="PNO5" s="44"/>
      <c r="PNP5" s="44"/>
      <c r="PNQ5" s="44"/>
      <c r="PNR5" s="44"/>
      <c r="PNS5" s="44"/>
      <c r="PNT5" s="44"/>
      <c r="PNU5" s="44"/>
      <c r="PNV5" s="44"/>
      <c r="PNW5" s="44"/>
      <c r="PNX5" s="44"/>
      <c r="PNY5" s="44"/>
      <c r="PNZ5" s="44"/>
      <c r="POA5" s="44"/>
      <c r="POB5" s="44"/>
      <c r="POC5" s="44"/>
      <c r="POD5" s="44"/>
      <c r="POE5" s="44"/>
      <c r="POF5" s="44"/>
      <c r="POG5" s="44"/>
      <c r="POH5" s="44"/>
      <c r="POI5" s="44"/>
      <c r="POJ5" s="44"/>
      <c r="POK5" s="44"/>
      <c r="POL5" s="44"/>
      <c r="POM5" s="44"/>
      <c r="PON5" s="44"/>
      <c r="POO5" s="44"/>
      <c r="POP5" s="44"/>
      <c r="POQ5" s="44"/>
      <c r="POR5" s="44"/>
      <c r="POS5" s="44"/>
      <c r="POT5" s="44"/>
      <c r="POU5" s="44"/>
      <c r="POV5" s="44"/>
      <c r="POW5" s="44"/>
      <c r="POX5" s="44"/>
      <c r="POY5" s="44"/>
      <c r="POZ5" s="44"/>
      <c r="PPA5" s="44"/>
      <c r="PPB5" s="44"/>
      <c r="PPC5" s="44"/>
      <c r="PPD5" s="44"/>
      <c r="PPE5" s="44"/>
      <c r="PPF5" s="44"/>
      <c r="PPG5" s="44"/>
      <c r="PPH5" s="44"/>
      <c r="PPI5" s="44"/>
      <c r="PPJ5" s="44"/>
      <c r="PPK5" s="44"/>
      <c r="PPL5" s="44"/>
      <c r="PPM5" s="44"/>
      <c r="PPN5" s="44"/>
      <c r="PPO5" s="44"/>
      <c r="PPP5" s="44"/>
      <c r="PPQ5" s="44"/>
      <c r="PPR5" s="44"/>
      <c r="PPS5" s="44"/>
      <c r="PPT5" s="44"/>
      <c r="PPU5" s="44"/>
      <c r="PPV5" s="44"/>
      <c r="PPW5" s="44"/>
      <c r="PPX5" s="44"/>
      <c r="PPY5" s="44"/>
      <c r="PPZ5" s="44"/>
      <c r="PQA5" s="44"/>
      <c r="PQB5" s="44"/>
      <c r="PQC5" s="44"/>
      <c r="PQD5" s="44"/>
      <c r="PQE5" s="44"/>
      <c r="PQF5" s="44"/>
      <c r="PQG5" s="44"/>
      <c r="PQH5" s="44"/>
      <c r="PQI5" s="44"/>
      <c r="PQJ5" s="44"/>
      <c r="PQK5" s="44"/>
      <c r="PQL5" s="44"/>
      <c r="PQM5" s="44"/>
      <c r="PQN5" s="44"/>
      <c r="PQO5" s="44"/>
      <c r="PQP5" s="44"/>
      <c r="PQQ5" s="44"/>
      <c r="PQR5" s="44"/>
      <c r="PQS5" s="44"/>
      <c r="PQT5" s="44"/>
      <c r="PQU5" s="44"/>
      <c r="PQV5" s="44"/>
      <c r="PQW5" s="44"/>
      <c r="PQX5" s="44"/>
      <c r="PQY5" s="44"/>
      <c r="PQZ5" s="44"/>
      <c r="PRA5" s="44"/>
      <c r="PRB5" s="44"/>
      <c r="PRC5" s="44"/>
      <c r="PRD5" s="44"/>
      <c r="PRE5" s="44"/>
      <c r="PRF5" s="44"/>
      <c r="PRG5" s="44"/>
      <c r="PRH5" s="44"/>
      <c r="PRI5" s="44"/>
      <c r="PRJ5" s="44"/>
      <c r="PRK5" s="44"/>
      <c r="PRL5" s="44"/>
      <c r="PRM5" s="44"/>
      <c r="PRN5" s="44"/>
      <c r="PRO5" s="44"/>
      <c r="PRP5" s="44"/>
      <c r="PRQ5" s="44"/>
      <c r="PRR5" s="44"/>
      <c r="PRS5" s="44"/>
      <c r="PRT5" s="44"/>
      <c r="PRU5" s="44"/>
      <c r="PRV5" s="44"/>
      <c r="PRW5" s="44"/>
      <c r="PRX5" s="44"/>
      <c r="PRY5" s="44"/>
      <c r="PRZ5" s="44"/>
      <c r="PSA5" s="44"/>
      <c r="PSB5" s="44"/>
      <c r="PSC5" s="44"/>
      <c r="PSD5" s="44"/>
      <c r="PSE5" s="44"/>
      <c r="PSF5" s="44"/>
      <c r="PSG5" s="44"/>
      <c r="PSH5" s="44"/>
      <c r="PSI5" s="44"/>
      <c r="PSJ5" s="44"/>
      <c r="PSK5" s="44"/>
      <c r="PSL5" s="44"/>
      <c r="PSM5" s="44"/>
      <c r="PSN5" s="44"/>
      <c r="PSO5" s="44"/>
      <c r="PSP5" s="44"/>
      <c r="PSQ5" s="44"/>
      <c r="PSR5" s="44"/>
      <c r="PSS5" s="44"/>
      <c r="PST5" s="44"/>
      <c r="PSU5" s="44"/>
      <c r="PSV5" s="44"/>
      <c r="PSW5" s="44"/>
      <c r="PSX5" s="44"/>
      <c r="PSY5" s="44"/>
      <c r="PSZ5" s="44"/>
      <c r="PTA5" s="44"/>
      <c r="PTB5" s="44"/>
      <c r="PTC5" s="44"/>
      <c r="PTD5" s="44"/>
      <c r="PTE5" s="44"/>
      <c r="PTF5" s="44"/>
      <c r="PTG5" s="44"/>
      <c r="PTH5" s="44"/>
      <c r="PTI5" s="44"/>
      <c r="PTJ5" s="44"/>
      <c r="PTK5" s="44"/>
      <c r="PTL5" s="44"/>
      <c r="PTM5" s="44"/>
      <c r="PTN5" s="44"/>
      <c r="PTO5" s="44"/>
      <c r="PTP5" s="44"/>
      <c r="PTQ5" s="44"/>
      <c r="PTR5" s="44"/>
      <c r="PTS5" s="44"/>
      <c r="PTT5" s="44"/>
      <c r="PTU5" s="44"/>
      <c r="PTV5" s="44"/>
      <c r="PTW5" s="44"/>
      <c r="PTX5" s="44"/>
      <c r="PTY5" s="44"/>
      <c r="PTZ5" s="44"/>
      <c r="PUA5" s="44"/>
      <c r="PUB5" s="44"/>
      <c r="PUC5" s="44"/>
      <c r="PUD5" s="44"/>
      <c r="PUE5" s="44"/>
      <c r="PUF5" s="44"/>
      <c r="PUG5" s="44"/>
      <c r="PUH5" s="44"/>
      <c r="PUI5" s="44"/>
      <c r="PUJ5" s="44"/>
      <c r="PUK5" s="44"/>
      <c r="PUL5" s="44"/>
      <c r="PUM5" s="44"/>
      <c r="PUN5" s="44"/>
      <c r="PUO5" s="44"/>
      <c r="PUP5" s="44"/>
      <c r="PUQ5" s="44"/>
      <c r="PUR5" s="44"/>
      <c r="PUS5" s="44"/>
      <c r="PUT5" s="44"/>
      <c r="PUU5" s="44"/>
      <c r="PUV5" s="44"/>
      <c r="PUW5" s="44"/>
      <c r="PUX5" s="44"/>
      <c r="PUY5" s="44"/>
      <c r="PUZ5" s="44"/>
      <c r="PVA5" s="44"/>
      <c r="PVB5" s="44"/>
      <c r="PVC5" s="44"/>
      <c r="PVD5" s="44"/>
      <c r="PVE5" s="44"/>
      <c r="PVF5" s="44"/>
      <c r="PVG5" s="44"/>
      <c r="PVH5" s="44"/>
      <c r="PVI5" s="44"/>
      <c r="PVJ5" s="44"/>
      <c r="PVK5" s="44"/>
      <c r="PVL5" s="44"/>
      <c r="PVM5" s="44"/>
      <c r="PVN5" s="44"/>
      <c r="PVO5" s="44"/>
      <c r="PVP5" s="44"/>
      <c r="PVQ5" s="44"/>
      <c r="PVR5" s="44"/>
      <c r="PVS5" s="44"/>
      <c r="PVT5" s="44"/>
      <c r="PVU5" s="44"/>
      <c r="PVV5" s="44"/>
      <c r="PVW5" s="44"/>
      <c r="PVX5" s="44"/>
      <c r="PVY5" s="44"/>
      <c r="PVZ5" s="44"/>
      <c r="PWA5" s="44"/>
      <c r="PWB5" s="44"/>
      <c r="PWC5" s="44"/>
      <c r="PWD5" s="44"/>
      <c r="PWE5" s="44"/>
      <c r="PWF5" s="44"/>
      <c r="PWG5" s="44"/>
      <c r="PWH5" s="44"/>
      <c r="PWI5" s="44"/>
      <c r="PWJ5" s="44"/>
      <c r="PWK5" s="44"/>
      <c r="PWL5" s="44"/>
      <c r="PWM5" s="44"/>
      <c r="PWN5" s="44"/>
      <c r="PWO5" s="44"/>
      <c r="PWP5" s="44"/>
      <c r="PWQ5" s="44"/>
      <c r="PWR5" s="44"/>
      <c r="PWS5" s="44"/>
      <c r="PWT5" s="44"/>
      <c r="PWU5" s="44"/>
      <c r="PWV5" s="44"/>
      <c r="PWW5" s="44"/>
      <c r="PWX5" s="44"/>
      <c r="PWY5" s="44"/>
      <c r="PWZ5" s="44"/>
      <c r="PXA5" s="44"/>
      <c r="PXB5" s="44"/>
      <c r="PXC5" s="44"/>
      <c r="PXD5" s="44"/>
      <c r="PXE5" s="44"/>
      <c r="PXF5" s="44"/>
      <c r="PXG5" s="44"/>
      <c r="PXH5" s="44"/>
      <c r="PXI5" s="44"/>
      <c r="PXJ5" s="44"/>
      <c r="PXK5" s="44"/>
      <c r="PXL5" s="44"/>
      <c r="PXM5" s="44"/>
      <c r="PXN5" s="44"/>
      <c r="PXO5" s="44"/>
      <c r="PXP5" s="44"/>
      <c r="PXQ5" s="44"/>
      <c r="PXR5" s="44"/>
      <c r="PXS5" s="44"/>
      <c r="PXT5" s="44"/>
      <c r="PXU5" s="44"/>
      <c r="PXV5" s="44"/>
      <c r="PXW5" s="44"/>
      <c r="PXX5" s="44"/>
      <c r="PXY5" s="44"/>
      <c r="PXZ5" s="44"/>
      <c r="PYA5" s="44"/>
      <c r="PYB5" s="44"/>
      <c r="PYC5" s="44"/>
      <c r="PYD5" s="44"/>
      <c r="PYE5" s="44"/>
      <c r="PYF5" s="44"/>
      <c r="PYG5" s="44"/>
      <c r="PYH5" s="44"/>
      <c r="PYI5" s="44"/>
      <c r="PYJ5" s="44"/>
      <c r="PYK5" s="44"/>
      <c r="PYL5" s="44"/>
      <c r="PYM5" s="44"/>
      <c r="PYN5" s="44"/>
      <c r="PYO5" s="44"/>
      <c r="PYP5" s="44"/>
      <c r="PYQ5" s="44"/>
      <c r="PYR5" s="44"/>
      <c r="PYS5" s="44"/>
      <c r="PYT5" s="44"/>
      <c r="PYU5" s="44"/>
      <c r="PYV5" s="44"/>
      <c r="PYW5" s="44"/>
      <c r="PYX5" s="44"/>
      <c r="PYY5" s="44"/>
      <c r="PYZ5" s="44"/>
      <c r="PZA5" s="44"/>
      <c r="PZB5" s="44"/>
      <c r="PZC5" s="44"/>
      <c r="PZD5" s="44"/>
      <c r="PZE5" s="44"/>
      <c r="PZF5" s="44"/>
      <c r="PZG5" s="44"/>
      <c r="PZH5" s="44"/>
      <c r="PZI5" s="44"/>
      <c r="PZJ5" s="44"/>
      <c r="PZK5" s="44"/>
      <c r="PZL5" s="44"/>
      <c r="PZM5" s="44"/>
      <c r="PZN5" s="44"/>
      <c r="PZO5" s="44"/>
      <c r="PZP5" s="44"/>
      <c r="PZQ5" s="44"/>
      <c r="PZR5" s="44"/>
      <c r="PZS5" s="44"/>
      <c r="PZT5" s="44"/>
      <c r="PZU5" s="44"/>
      <c r="PZV5" s="44"/>
      <c r="PZW5" s="44"/>
      <c r="PZX5" s="44"/>
      <c r="PZY5" s="44"/>
      <c r="PZZ5" s="44"/>
      <c r="QAA5" s="44"/>
      <c r="QAB5" s="44"/>
      <c r="QAC5" s="44"/>
      <c r="QAD5" s="44"/>
      <c r="QAE5" s="44"/>
      <c r="QAF5" s="44"/>
      <c r="QAG5" s="44"/>
      <c r="QAH5" s="44"/>
      <c r="QAI5" s="44"/>
      <c r="QAJ5" s="44"/>
      <c r="QAK5" s="44"/>
      <c r="QAL5" s="44"/>
      <c r="QAM5" s="44"/>
      <c r="QAN5" s="44"/>
      <c r="QAO5" s="44"/>
      <c r="QAP5" s="44"/>
      <c r="QAQ5" s="44"/>
      <c r="QAR5" s="44"/>
      <c r="QAS5" s="44"/>
      <c r="QAT5" s="44"/>
      <c r="QAU5" s="44"/>
      <c r="QAV5" s="44"/>
      <c r="QAW5" s="44"/>
      <c r="QAX5" s="44"/>
      <c r="QAY5" s="44"/>
      <c r="QAZ5" s="44"/>
      <c r="QBA5" s="44"/>
      <c r="QBB5" s="44"/>
      <c r="QBC5" s="44"/>
      <c r="QBD5" s="44"/>
      <c r="QBE5" s="44"/>
      <c r="QBF5" s="44"/>
      <c r="QBG5" s="44"/>
      <c r="QBH5" s="44"/>
      <c r="QBI5" s="44"/>
      <c r="QBJ5" s="44"/>
      <c r="QBK5" s="44"/>
      <c r="QBL5" s="44"/>
      <c r="QBM5" s="44"/>
      <c r="QBN5" s="44"/>
      <c r="QBO5" s="44"/>
      <c r="QBP5" s="44"/>
      <c r="QBQ5" s="44"/>
      <c r="QBR5" s="44"/>
      <c r="QBS5" s="44"/>
      <c r="QBT5" s="44"/>
      <c r="QBU5" s="44"/>
      <c r="QBV5" s="44"/>
      <c r="QBW5" s="44"/>
      <c r="QBX5" s="44"/>
      <c r="QBY5" s="44"/>
      <c r="QBZ5" s="44"/>
      <c r="QCA5" s="44"/>
      <c r="QCB5" s="44"/>
      <c r="QCC5" s="44"/>
      <c r="QCD5" s="44"/>
      <c r="QCE5" s="44"/>
      <c r="QCF5" s="44"/>
      <c r="QCG5" s="44"/>
      <c r="QCH5" s="44"/>
      <c r="QCI5" s="44"/>
      <c r="QCJ5" s="44"/>
      <c r="QCK5" s="44"/>
      <c r="QCL5" s="44"/>
      <c r="QCM5" s="44"/>
      <c r="QCN5" s="44"/>
      <c r="QCO5" s="44"/>
      <c r="QCP5" s="44"/>
      <c r="QCQ5" s="44"/>
      <c r="QCR5" s="44"/>
      <c r="QCS5" s="44"/>
      <c r="QCT5" s="44"/>
      <c r="QCU5" s="44"/>
      <c r="QCV5" s="44"/>
      <c r="QCW5" s="44"/>
      <c r="QCX5" s="44"/>
      <c r="QCY5" s="44"/>
      <c r="QCZ5" s="44"/>
      <c r="QDA5" s="44"/>
      <c r="QDB5" s="44"/>
      <c r="QDC5" s="44"/>
      <c r="QDD5" s="44"/>
      <c r="QDE5" s="44"/>
      <c r="QDF5" s="44"/>
      <c r="QDG5" s="44"/>
      <c r="QDH5" s="44"/>
      <c r="QDI5" s="44"/>
      <c r="QDJ5" s="44"/>
      <c r="QDK5" s="44"/>
      <c r="QDL5" s="44"/>
      <c r="QDM5" s="44"/>
      <c r="QDN5" s="44"/>
      <c r="QDO5" s="44"/>
      <c r="QDP5" s="44"/>
      <c r="QDQ5" s="44"/>
      <c r="QDR5" s="44"/>
      <c r="QDS5" s="44"/>
      <c r="QDT5" s="44"/>
      <c r="QDU5" s="44"/>
      <c r="QDV5" s="44"/>
      <c r="QDW5" s="44"/>
      <c r="QDX5" s="44"/>
      <c r="QDY5" s="44"/>
      <c r="QDZ5" s="44"/>
      <c r="QEA5" s="44"/>
      <c r="QEB5" s="44"/>
      <c r="QEC5" s="44"/>
      <c r="QED5" s="44"/>
      <c r="QEE5" s="44"/>
      <c r="QEF5" s="44"/>
      <c r="QEG5" s="44"/>
      <c r="QEH5" s="44"/>
      <c r="QEI5" s="44"/>
      <c r="QEJ5" s="44"/>
      <c r="QEK5" s="44"/>
      <c r="QEL5" s="44"/>
      <c r="QEM5" s="44"/>
      <c r="QEN5" s="44"/>
      <c r="QEO5" s="44"/>
      <c r="QEP5" s="44"/>
      <c r="QEQ5" s="44"/>
      <c r="QER5" s="44"/>
      <c r="QES5" s="44"/>
      <c r="QET5" s="44"/>
      <c r="QEU5" s="44"/>
      <c r="QEV5" s="44"/>
      <c r="QEW5" s="44"/>
      <c r="QEX5" s="44"/>
      <c r="QEY5" s="44"/>
      <c r="QEZ5" s="44"/>
      <c r="QFA5" s="44"/>
      <c r="QFB5" s="44"/>
      <c r="QFC5" s="44"/>
      <c r="QFD5" s="44"/>
      <c r="QFE5" s="44"/>
      <c r="QFF5" s="44"/>
      <c r="QFG5" s="44"/>
      <c r="QFH5" s="44"/>
      <c r="QFI5" s="44"/>
      <c r="QFJ5" s="44"/>
      <c r="QFK5" s="44"/>
      <c r="QFL5" s="44"/>
      <c r="QFM5" s="44"/>
      <c r="QFN5" s="44"/>
      <c r="QFO5" s="44"/>
      <c r="QFP5" s="44"/>
      <c r="QFQ5" s="44"/>
      <c r="QFR5" s="44"/>
      <c r="QFS5" s="44"/>
      <c r="QFT5" s="44"/>
      <c r="QFU5" s="44"/>
      <c r="QFV5" s="44"/>
      <c r="QFW5" s="44"/>
      <c r="QFX5" s="44"/>
      <c r="QFY5" s="44"/>
      <c r="QFZ5" s="44"/>
      <c r="QGA5" s="44"/>
      <c r="QGB5" s="44"/>
      <c r="QGC5" s="44"/>
      <c r="QGD5" s="44"/>
      <c r="QGE5" s="44"/>
      <c r="QGF5" s="44"/>
      <c r="QGG5" s="44"/>
      <c r="QGH5" s="44"/>
      <c r="QGI5" s="44"/>
      <c r="QGJ5" s="44"/>
      <c r="QGK5" s="44"/>
      <c r="QGL5" s="44"/>
      <c r="QGM5" s="44"/>
      <c r="QGN5" s="44"/>
      <c r="QGO5" s="44"/>
      <c r="QGP5" s="44"/>
      <c r="QGQ5" s="44"/>
      <c r="QGR5" s="44"/>
      <c r="QGS5" s="44"/>
      <c r="QGT5" s="44"/>
      <c r="QGU5" s="44"/>
      <c r="QGV5" s="44"/>
      <c r="QGW5" s="44"/>
      <c r="QGX5" s="44"/>
      <c r="QGY5" s="44"/>
      <c r="QGZ5" s="44"/>
      <c r="QHA5" s="44"/>
      <c r="QHB5" s="44"/>
      <c r="QHC5" s="44"/>
      <c r="QHD5" s="44"/>
      <c r="QHE5" s="44"/>
      <c r="QHF5" s="44"/>
      <c r="QHG5" s="44"/>
      <c r="QHH5" s="44"/>
      <c r="QHI5" s="44"/>
      <c r="QHJ5" s="44"/>
      <c r="QHK5" s="44"/>
      <c r="QHL5" s="44"/>
      <c r="QHM5" s="44"/>
      <c r="QHN5" s="44"/>
      <c r="QHO5" s="44"/>
      <c r="QHP5" s="44"/>
      <c r="QHQ5" s="44"/>
      <c r="QHR5" s="44"/>
      <c r="QHS5" s="44"/>
      <c r="QHT5" s="44"/>
      <c r="QHU5" s="44"/>
      <c r="QHV5" s="44"/>
      <c r="QHW5" s="44"/>
      <c r="QHX5" s="44"/>
      <c r="QHY5" s="44"/>
      <c r="QHZ5" s="44"/>
      <c r="QIA5" s="44"/>
      <c r="QIB5" s="44"/>
      <c r="QIC5" s="44"/>
      <c r="QID5" s="44"/>
      <c r="QIE5" s="44"/>
      <c r="QIF5" s="44"/>
      <c r="QIG5" s="44"/>
      <c r="QIH5" s="44"/>
      <c r="QII5" s="44"/>
      <c r="QIJ5" s="44"/>
      <c r="QIK5" s="44"/>
      <c r="QIL5" s="44"/>
      <c r="QIM5" s="44"/>
      <c r="QIN5" s="44"/>
      <c r="QIO5" s="44"/>
      <c r="QIP5" s="44"/>
      <c r="QIQ5" s="44"/>
      <c r="QIR5" s="44"/>
      <c r="QIS5" s="44"/>
      <c r="QIT5" s="44"/>
      <c r="QIU5" s="44"/>
      <c r="QIV5" s="44"/>
      <c r="QIW5" s="44"/>
      <c r="QIX5" s="44"/>
      <c r="QIY5" s="44"/>
      <c r="QIZ5" s="44"/>
      <c r="QJA5" s="44"/>
      <c r="QJB5" s="44"/>
      <c r="QJC5" s="44"/>
      <c r="QJD5" s="44"/>
      <c r="QJE5" s="44"/>
      <c r="QJF5" s="44"/>
      <c r="QJG5" s="44"/>
      <c r="QJH5" s="44"/>
      <c r="QJI5" s="44"/>
      <c r="QJJ5" s="44"/>
      <c r="QJK5" s="44"/>
      <c r="QJL5" s="44"/>
      <c r="QJM5" s="44"/>
      <c r="QJN5" s="44"/>
      <c r="QJO5" s="44"/>
      <c r="QJP5" s="44"/>
      <c r="QJQ5" s="44"/>
      <c r="QJR5" s="44"/>
      <c r="QJS5" s="44"/>
      <c r="QJT5" s="44"/>
      <c r="QJU5" s="44"/>
      <c r="QJV5" s="44"/>
      <c r="QJW5" s="44"/>
      <c r="QJX5" s="44"/>
      <c r="QJY5" s="44"/>
      <c r="QJZ5" s="44"/>
      <c r="QKA5" s="44"/>
      <c r="QKB5" s="44"/>
      <c r="QKC5" s="44"/>
      <c r="QKD5" s="44"/>
      <c r="QKE5" s="44"/>
      <c r="QKF5" s="44"/>
      <c r="QKG5" s="44"/>
      <c r="QKH5" s="44"/>
      <c r="QKI5" s="44"/>
      <c r="QKJ5" s="44"/>
      <c r="QKK5" s="44"/>
      <c r="QKL5" s="44"/>
      <c r="QKM5" s="44"/>
      <c r="QKN5" s="44"/>
      <c r="QKO5" s="44"/>
      <c r="QKP5" s="44"/>
      <c r="QKQ5" s="44"/>
      <c r="QKR5" s="44"/>
      <c r="QKS5" s="44"/>
      <c r="QKT5" s="44"/>
      <c r="QKU5" s="44"/>
      <c r="QKV5" s="44"/>
      <c r="QKW5" s="44"/>
      <c r="QKX5" s="44"/>
      <c r="QKY5" s="44"/>
      <c r="QKZ5" s="44"/>
      <c r="QLA5" s="44"/>
      <c r="QLB5" s="44"/>
      <c r="QLC5" s="44"/>
      <c r="QLD5" s="44"/>
      <c r="QLE5" s="44"/>
      <c r="QLF5" s="44"/>
      <c r="QLG5" s="44"/>
      <c r="QLH5" s="44"/>
      <c r="QLI5" s="44"/>
      <c r="QLJ5" s="44"/>
      <c r="QLK5" s="44"/>
      <c r="QLL5" s="44"/>
      <c r="QLM5" s="44"/>
      <c r="QLN5" s="44"/>
      <c r="QLO5" s="44"/>
      <c r="QLP5" s="44"/>
      <c r="QLQ5" s="44"/>
      <c r="QLR5" s="44"/>
      <c r="QLS5" s="44"/>
      <c r="QLT5" s="44"/>
      <c r="QLU5" s="44"/>
      <c r="QLV5" s="44"/>
      <c r="QLW5" s="44"/>
      <c r="QLX5" s="44"/>
      <c r="QLY5" s="44"/>
      <c r="QLZ5" s="44"/>
      <c r="QMA5" s="44"/>
      <c r="QMB5" s="44"/>
      <c r="QMC5" s="44"/>
      <c r="QMD5" s="44"/>
      <c r="QME5" s="44"/>
      <c r="QMF5" s="44"/>
      <c r="QMG5" s="44"/>
      <c r="QMH5" s="44"/>
      <c r="QMI5" s="44"/>
      <c r="QMJ5" s="44"/>
      <c r="QMK5" s="44"/>
      <c r="QML5" s="44"/>
      <c r="QMM5" s="44"/>
      <c r="QMN5" s="44"/>
      <c r="QMO5" s="44"/>
      <c r="QMP5" s="44"/>
      <c r="QMQ5" s="44"/>
      <c r="QMR5" s="44"/>
      <c r="QMS5" s="44"/>
      <c r="QMT5" s="44"/>
      <c r="QMU5" s="44"/>
      <c r="QMV5" s="44"/>
      <c r="QMW5" s="44"/>
      <c r="QMX5" s="44"/>
      <c r="QMY5" s="44"/>
      <c r="QMZ5" s="44"/>
      <c r="QNA5" s="44"/>
      <c r="QNB5" s="44"/>
      <c r="QNC5" s="44"/>
      <c r="QND5" s="44"/>
      <c r="QNE5" s="44"/>
      <c r="QNF5" s="44"/>
      <c r="QNG5" s="44"/>
      <c r="QNH5" s="44"/>
      <c r="QNI5" s="44"/>
      <c r="QNJ5" s="44"/>
      <c r="QNK5" s="44"/>
      <c r="QNL5" s="44"/>
      <c r="QNM5" s="44"/>
      <c r="QNN5" s="44"/>
      <c r="QNO5" s="44"/>
      <c r="QNP5" s="44"/>
      <c r="QNQ5" s="44"/>
      <c r="QNR5" s="44"/>
      <c r="QNS5" s="44"/>
      <c r="QNT5" s="44"/>
      <c r="QNU5" s="44"/>
      <c r="QNV5" s="44"/>
      <c r="QNW5" s="44"/>
      <c r="QNX5" s="44"/>
      <c r="QNY5" s="44"/>
      <c r="QNZ5" s="44"/>
      <c r="QOA5" s="44"/>
      <c r="QOB5" s="44"/>
      <c r="QOC5" s="44"/>
      <c r="QOD5" s="44"/>
      <c r="QOE5" s="44"/>
      <c r="QOF5" s="44"/>
      <c r="QOG5" s="44"/>
      <c r="QOH5" s="44"/>
      <c r="QOI5" s="44"/>
      <c r="QOJ5" s="44"/>
      <c r="QOK5" s="44"/>
      <c r="QOL5" s="44"/>
      <c r="QOM5" s="44"/>
      <c r="QON5" s="44"/>
      <c r="QOO5" s="44"/>
      <c r="QOP5" s="44"/>
      <c r="QOQ5" s="44"/>
      <c r="QOR5" s="44"/>
      <c r="QOS5" s="44"/>
      <c r="QOT5" s="44"/>
      <c r="QOU5" s="44"/>
      <c r="QOV5" s="44"/>
      <c r="QOW5" s="44"/>
      <c r="QOX5" s="44"/>
      <c r="QOY5" s="44"/>
      <c r="QOZ5" s="44"/>
      <c r="QPA5" s="44"/>
      <c r="QPB5" s="44"/>
      <c r="QPC5" s="44"/>
      <c r="QPD5" s="44"/>
      <c r="QPE5" s="44"/>
      <c r="QPF5" s="44"/>
      <c r="QPG5" s="44"/>
      <c r="QPH5" s="44"/>
      <c r="QPI5" s="44"/>
      <c r="QPJ5" s="44"/>
      <c r="QPK5" s="44"/>
      <c r="QPL5" s="44"/>
      <c r="QPM5" s="44"/>
      <c r="QPN5" s="44"/>
      <c r="QPO5" s="44"/>
      <c r="QPP5" s="44"/>
      <c r="QPQ5" s="44"/>
      <c r="QPR5" s="44"/>
      <c r="QPS5" s="44"/>
      <c r="QPT5" s="44"/>
      <c r="QPU5" s="44"/>
      <c r="QPV5" s="44"/>
      <c r="QPW5" s="44"/>
      <c r="QPX5" s="44"/>
      <c r="QPY5" s="44"/>
      <c r="QPZ5" s="44"/>
      <c r="QQA5" s="44"/>
      <c r="QQB5" s="44"/>
      <c r="QQC5" s="44"/>
      <c r="QQD5" s="44"/>
      <c r="QQE5" s="44"/>
      <c r="QQF5" s="44"/>
      <c r="QQG5" s="44"/>
      <c r="QQH5" s="44"/>
      <c r="QQI5" s="44"/>
      <c r="QQJ5" s="44"/>
      <c r="QQK5" s="44"/>
      <c r="QQL5" s="44"/>
      <c r="QQM5" s="44"/>
      <c r="QQN5" s="44"/>
      <c r="QQO5" s="44"/>
      <c r="QQP5" s="44"/>
      <c r="QQQ5" s="44"/>
      <c r="QQR5" s="44"/>
      <c r="QQS5" s="44"/>
      <c r="QQT5" s="44"/>
      <c r="QQU5" s="44"/>
      <c r="QQV5" s="44"/>
      <c r="QQW5" s="44"/>
      <c r="QQX5" s="44"/>
      <c r="QQY5" s="44"/>
      <c r="QQZ5" s="44"/>
      <c r="QRA5" s="44"/>
      <c r="QRB5" s="44"/>
      <c r="QRC5" s="44"/>
      <c r="QRD5" s="44"/>
      <c r="QRE5" s="44"/>
      <c r="QRF5" s="44"/>
      <c r="QRG5" s="44"/>
      <c r="QRH5" s="44"/>
      <c r="QRI5" s="44"/>
      <c r="QRJ5" s="44"/>
      <c r="QRK5" s="44"/>
      <c r="QRL5" s="44"/>
      <c r="QRM5" s="44"/>
      <c r="QRN5" s="44"/>
      <c r="QRO5" s="44"/>
      <c r="QRP5" s="44"/>
      <c r="QRQ5" s="44"/>
      <c r="QRR5" s="44"/>
      <c r="QRS5" s="44"/>
      <c r="QRT5" s="44"/>
      <c r="QRU5" s="44"/>
      <c r="QRV5" s="44"/>
      <c r="QRW5" s="44"/>
      <c r="QRX5" s="44"/>
      <c r="QRY5" s="44"/>
      <c r="QRZ5" s="44"/>
      <c r="QSA5" s="44"/>
      <c r="QSB5" s="44"/>
      <c r="QSC5" s="44"/>
      <c r="QSD5" s="44"/>
      <c r="QSE5" s="44"/>
      <c r="QSF5" s="44"/>
      <c r="QSG5" s="44"/>
      <c r="QSH5" s="44"/>
      <c r="QSI5" s="44"/>
      <c r="QSJ5" s="44"/>
      <c r="QSK5" s="44"/>
      <c r="QSL5" s="44"/>
      <c r="QSM5" s="44"/>
      <c r="QSN5" s="44"/>
      <c r="QSO5" s="44"/>
      <c r="QSP5" s="44"/>
      <c r="QSQ5" s="44"/>
      <c r="QSR5" s="44"/>
      <c r="QSS5" s="44"/>
      <c r="QST5" s="44"/>
      <c r="QSU5" s="44"/>
      <c r="QSV5" s="44"/>
      <c r="QSW5" s="44"/>
      <c r="QSX5" s="44"/>
      <c r="QSY5" s="44"/>
      <c r="QSZ5" s="44"/>
      <c r="QTA5" s="44"/>
      <c r="QTB5" s="44"/>
      <c r="QTC5" s="44"/>
      <c r="QTD5" s="44"/>
      <c r="QTE5" s="44"/>
      <c r="QTF5" s="44"/>
      <c r="QTG5" s="44"/>
      <c r="QTH5" s="44"/>
      <c r="QTI5" s="44"/>
      <c r="QTJ5" s="44"/>
      <c r="QTK5" s="44"/>
      <c r="QTL5" s="44"/>
      <c r="QTM5" s="44"/>
      <c r="QTN5" s="44"/>
      <c r="QTO5" s="44"/>
      <c r="QTP5" s="44"/>
      <c r="QTQ5" s="44"/>
      <c r="QTR5" s="44"/>
      <c r="QTS5" s="44"/>
      <c r="QTT5" s="44"/>
      <c r="QTU5" s="44"/>
      <c r="QTV5" s="44"/>
      <c r="QTW5" s="44"/>
      <c r="QTX5" s="44"/>
      <c r="QTY5" s="44"/>
      <c r="QTZ5" s="44"/>
      <c r="QUA5" s="44"/>
      <c r="QUB5" s="44"/>
      <c r="QUC5" s="44"/>
      <c r="QUD5" s="44"/>
      <c r="QUE5" s="44"/>
      <c r="QUF5" s="44"/>
      <c r="QUG5" s="44"/>
      <c r="QUH5" s="44"/>
      <c r="QUI5" s="44"/>
      <c r="QUJ5" s="44"/>
      <c r="QUK5" s="44"/>
      <c r="QUL5" s="44"/>
      <c r="QUM5" s="44"/>
      <c r="QUN5" s="44"/>
      <c r="QUO5" s="44"/>
      <c r="QUP5" s="44"/>
      <c r="QUQ5" s="44"/>
      <c r="QUR5" s="44"/>
      <c r="QUS5" s="44"/>
      <c r="QUT5" s="44"/>
      <c r="QUU5" s="44"/>
      <c r="QUV5" s="44"/>
      <c r="QUW5" s="44"/>
      <c r="QUX5" s="44"/>
      <c r="QUY5" s="44"/>
      <c r="QUZ5" s="44"/>
      <c r="QVA5" s="44"/>
      <c r="QVB5" s="44"/>
      <c r="QVC5" s="44"/>
      <c r="QVD5" s="44"/>
      <c r="QVE5" s="44"/>
      <c r="QVF5" s="44"/>
      <c r="QVG5" s="44"/>
      <c r="QVH5" s="44"/>
      <c r="QVI5" s="44"/>
      <c r="QVJ5" s="44"/>
      <c r="QVK5" s="44"/>
      <c r="QVL5" s="44"/>
      <c r="QVM5" s="44"/>
      <c r="QVN5" s="44"/>
      <c r="QVO5" s="44"/>
      <c r="QVP5" s="44"/>
      <c r="QVQ5" s="44"/>
      <c r="QVR5" s="44"/>
      <c r="QVS5" s="44"/>
      <c r="QVT5" s="44"/>
      <c r="QVU5" s="44"/>
      <c r="QVV5" s="44"/>
      <c r="QVW5" s="44"/>
      <c r="QVX5" s="44"/>
      <c r="QVY5" s="44"/>
      <c r="QVZ5" s="44"/>
      <c r="QWA5" s="44"/>
      <c r="QWB5" s="44"/>
      <c r="QWC5" s="44"/>
      <c r="QWD5" s="44"/>
      <c r="QWE5" s="44"/>
      <c r="QWF5" s="44"/>
      <c r="QWG5" s="44"/>
      <c r="QWH5" s="44"/>
      <c r="QWI5" s="44"/>
      <c r="QWJ5" s="44"/>
      <c r="QWK5" s="44"/>
      <c r="QWL5" s="44"/>
      <c r="QWM5" s="44"/>
      <c r="QWN5" s="44"/>
      <c r="QWO5" s="44"/>
      <c r="QWP5" s="44"/>
      <c r="QWQ5" s="44"/>
      <c r="QWR5" s="44"/>
      <c r="QWS5" s="44"/>
      <c r="QWT5" s="44"/>
      <c r="QWU5" s="44"/>
      <c r="QWV5" s="44"/>
      <c r="QWW5" s="44"/>
      <c r="QWX5" s="44"/>
      <c r="QWY5" s="44"/>
      <c r="QWZ5" s="44"/>
      <c r="QXA5" s="44"/>
      <c r="QXB5" s="44"/>
      <c r="QXC5" s="44"/>
      <c r="QXD5" s="44"/>
      <c r="QXE5" s="44"/>
      <c r="QXF5" s="44"/>
      <c r="QXG5" s="44"/>
      <c r="QXH5" s="44"/>
      <c r="QXI5" s="44"/>
      <c r="QXJ5" s="44"/>
      <c r="QXK5" s="44"/>
      <c r="QXL5" s="44"/>
      <c r="QXM5" s="44"/>
      <c r="QXN5" s="44"/>
      <c r="QXO5" s="44"/>
      <c r="QXP5" s="44"/>
      <c r="QXQ5" s="44"/>
      <c r="QXR5" s="44"/>
      <c r="QXS5" s="44"/>
      <c r="QXT5" s="44"/>
      <c r="QXU5" s="44"/>
      <c r="QXV5" s="44"/>
      <c r="QXW5" s="44"/>
      <c r="QXX5" s="44"/>
      <c r="QXY5" s="44"/>
      <c r="QXZ5" s="44"/>
      <c r="QYA5" s="44"/>
      <c r="QYB5" s="44"/>
      <c r="QYC5" s="44"/>
      <c r="QYD5" s="44"/>
      <c r="QYE5" s="44"/>
      <c r="QYF5" s="44"/>
      <c r="QYG5" s="44"/>
      <c r="QYH5" s="44"/>
      <c r="QYI5" s="44"/>
      <c r="QYJ5" s="44"/>
      <c r="QYK5" s="44"/>
      <c r="QYL5" s="44"/>
      <c r="QYM5" s="44"/>
      <c r="QYN5" s="44"/>
      <c r="QYO5" s="44"/>
      <c r="QYP5" s="44"/>
      <c r="QYQ5" s="44"/>
      <c r="QYR5" s="44"/>
      <c r="QYS5" s="44"/>
      <c r="QYT5" s="44"/>
      <c r="QYU5" s="44"/>
      <c r="QYV5" s="44"/>
      <c r="QYW5" s="44"/>
      <c r="QYX5" s="44"/>
      <c r="QYY5" s="44"/>
      <c r="QYZ5" s="44"/>
      <c r="QZA5" s="44"/>
      <c r="QZB5" s="44"/>
      <c r="QZC5" s="44"/>
      <c r="QZD5" s="44"/>
      <c r="QZE5" s="44"/>
      <c r="QZF5" s="44"/>
      <c r="QZG5" s="44"/>
      <c r="QZH5" s="44"/>
      <c r="QZI5" s="44"/>
      <c r="QZJ5" s="44"/>
      <c r="QZK5" s="44"/>
      <c r="QZL5" s="44"/>
      <c r="QZM5" s="44"/>
      <c r="QZN5" s="44"/>
      <c r="QZO5" s="44"/>
      <c r="QZP5" s="44"/>
      <c r="QZQ5" s="44"/>
      <c r="QZR5" s="44"/>
      <c r="QZS5" s="44"/>
      <c r="QZT5" s="44"/>
      <c r="QZU5" s="44"/>
      <c r="QZV5" s="44"/>
      <c r="QZW5" s="44"/>
      <c r="QZX5" s="44"/>
      <c r="QZY5" s="44"/>
      <c r="QZZ5" s="44"/>
      <c r="RAA5" s="44"/>
      <c r="RAB5" s="44"/>
      <c r="RAC5" s="44"/>
      <c r="RAD5" s="44"/>
      <c r="RAE5" s="44"/>
      <c r="RAF5" s="44"/>
      <c r="RAG5" s="44"/>
      <c r="RAH5" s="44"/>
      <c r="RAI5" s="44"/>
      <c r="RAJ5" s="44"/>
      <c r="RAK5" s="44"/>
      <c r="RAL5" s="44"/>
      <c r="RAM5" s="44"/>
      <c r="RAN5" s="44"/>
      <c r="RAO5" s="44"/>
      <c r="RAP5" s="44"/>
      <c r="RAQ5" s="44"/>
      <c r="RAR5" s="44"/>
      <c r="RAS5" s="44"/>
      <c r="RAT5" s="44"/>
      <c r="RAU5" s="44"/>
      <c r="RAV5" s="44"/>
      <c r="RAW5" s="44"/>
      <c r="RAX5" s="44"/>
      <c r="RAY5" s="44"/>
      <c r="RAZ5" s="44"/>
      <c r="RBA5" s="44"/>
      <c r="RBB5" s="44"/>
      <c r="RBC5" s="44"/>
      <c r="RBD5" s="44"/>
      <c r="RBE5" s="44"/>
      <c r="RBF5" s="44"/>
      <c r="RBG5" s="44"/>
      <c r="RBH5" s="44"/>
      <c r="RBI5" s="44"/>
      <c r="RBJ5" s="44"/>
      <c r="RBK5" s="44"/>
      <c r="RBL5" s="44"/>
      <c r="RBM5" s="44"/>
      <c r="RBN5" s="44"/>
      <c r="RBO5" s="44"/>
      <c r="RBP5" s="44"/>
      <c r="RBQ5" s="44"/>
      <c r="RBR5" s="44"/>
      <c r="RBS5" s="44"/>
      <c r="RBT5" s="44"/>
      <c r="RBU5" s="44"/>
      <c r="RBV5" s="44"/>
      <c r="RBW5" s="44"/>
      <c r="RBX5" s="44"/>
      <c r="RBY5" s="44"/>
      <c r="RBZ5" s="44"/>
      <c r="RCA5" s="44"/>
      <c r="RCB5" s="44"/>
      <c r="RCC5" s="44"/>
      <c r="RCD5" s="44"/>
      <c r="RCE5" s="44"/>
      <c r="RCF5" s="44"/>
      <c r="RCG5" s="44"/>
      <c r="RCH5" s="44"/>
      <c r="RCI5" s="44"/>
      <c r="RCJ5" s="44"/>
      <c r="RCK5" s="44"/>
      <c r="RCL5" s="44"/>
      <c r="RCM5" s="44"/>
      <c r="RCN5" s="44"/>
      <c r="RCO5" s="44"/>
      <c r="RCP5" s="44"/>
      <c r="RCQ5" s="44"/>
      <c r="RCR5" s="44"/>
      <c r="RCS5" s="44"/>
      <c r="RCT5" s="44"/>
      <c r="RCU5" s="44"/>
      <c r="RCV5" s="44"/>
      <c r="RCW5" s="44"/>
      <c r="RCX5" s="44"/>
      <c r="RCY5" s="44"/>
      <c r="RCZ5" s="44"/>
      <c r="RDA5" s="44"/>
      <c r="RDB5" s="44"/>
      <c r="RDC5" s="44"/>
      <c r="RDD5" s="44"/>
      <c r="RDE5" s="44"/>
      <c r="RDF5" s="44"/>
      <c r="RDG5" s="44"/>
      <c r="RDH5" s="44"/>
      <c r="RDI5" s="44"/>
      <c r="RDJ5" s="44"/>
      <c r="RDK5" s="44"/>
      <c r="RDL5" s="44"/>
      <c r="RDM5" s="44"/>
      <c r="RDN5" s="44"/>
      <c r="RDO5" s="44"/>
      <c r="RDP5" s="44"/>
      <c r="RDQ5" s="44"/>
      <c r="RDR5" s="44"/>
      <c r="RDS5" s="44"/>
      <c r="RDT5" s="44"/>
      <c r="RDU5" s="44"/>
      <c r="RDV5" s="44"/>
      <c r="RDW5" s="44"/>
      <c r="RDX5" s="44"/>
      <c r="RDY5" s="44"/>
      <c r="RDZ5" s="44"/>
      <c r="REA5" s="44"/>
      <c r="REB5" s="44"/>
      <c r="REC5" s="44"/>
      <c r="RED5" s="44"/>
      <c r="REE5" s="44"/>
      <c r="REF5" s="44"/>
      <c r="REG5" s="44"/>
      <c r="REH5" s="44"/>
      <c r="REI5" s="44"/>
      <c r="REJ5" s="44"/>
      <c r="REK5" s="44"/>
      <c r="REL5" s="44"/>
      <c r="REM5" s="44"/>
      <c r="REN5" s="44"/>
      <c r="REO5" s="44"/>
      <c r="REP5" s="44"/>
      <c r="REQ5" s="44"/>
      <c r="RER5" s="44"/>
      <c r="RES5" s="44"/>
      <c r="RET5" s="44"/>
      <c r="REU5" s="44"/>
      <c r="REV5" s="44"/>
      <c r="REW5" s="44"/>
      <c r="REX5" s="44"/>
      <c r="REY5" s="44"/>
      <c r="REZ5" s="44"/>
      <c r="RFA5" s="44"/>
      <c r="RFB5" s="44"/>
      <c r="RFC5" s="44"/>
      <c r="RFD5" s="44"/>
      <c r="RFE5" s="44"/>
      <c r="RFF5" s="44"/>
      <c r="RFG5" s="44"/>
      <c r="RFH5" s="44"/>
      <c r="RFI5" s="44"/>
      <c r="RFJ5" s="44"/>
      <c r="RFK5" s="44"/>
      <c r="RFL5" s="44"/>
      <c r="RFM5" s="44"/>
      <c r="RFN5" s="44"/>
      <c r="RFO5" s="44"/>
      <c r="RFP5" s="44"/>
      <c r="RFQ5" s="44"/>
      <c r="RFR5" s="44"/>
      <c r="RFS5" s="44"/>
      <c r="RFT5" s="44"/>
      <c r="RFU5" s="44"/>
      <c r="RFV5" s="44"/>
      <c r="RFW5" s="44"/>
      <c r="RFX5" s="44"/>
      <c r="RFY5" s="44"/>
      <c r="RFZ5" s="44"/>
      <c r="RGA5" s="44"/>
      <c r="RGB5" s="44"/>
      <c r="RGC5" s="44"/>
      <c r="RGD5" s="44"/>
      <c r="RGE5" s="44"/>
      <c r="RGF5" s="44"/>
      <c r="RGG5" s="44"/>
      <c r="RGH5" s="44"/>
      <c r="RGI5" s="44"/>
      <c r="RGJ5" s="44"/>
      <c r="RGK5" s="44"/>
      <c r="RGL5" s="44"/>
      <c r="RGM5" s="44"/>
      <c r="RGN5" s="44"/>
      <c r="RGO5" s="44"/>
      <c r="RGP5" s="44"/>
      <c r="RGQ5" s="44"/>
      <c r="RGR5" s="44"/>
      <c r="RGS5" s="44"/>
      <c r="RGT5" s="44"/>
      <c r="RGU5" s="44"/>
      <c r="RGV5" s="44"/>
      <c r="RGW5" s="44"/>
      <c r="RGX5" s="44"/>
      <c r="RGY5" s="44"/>
      <c r="RGZ5" s="44"/>
      <c r="RHA5" s="44"/>
      <c r="RHB5" s="44"/>
      <c r="RHC5" s="44"/>
      <c r="RHD5" s="44"/>
      <c r="RHE5" s="44"/>
      <c r="RHF5" s="44"/>
      <c r="RHG5" s="44"/>
      <c r="RHH5" s="44"/>
      <c r="RHI5" s="44"/>
      <c r="RHJ5" s="44"/>
      <c r="RHK5" s="44"/>
      <c r="RHL5" s="44"/>
      <c r="RHM5" s="44"/>
      <c r="RHN5" s="44"/>
      <c r="RHO5" s="44"/>
      <c r="RHP5" s="44"/>
      <c r="RHQ5" s="44"/>
      <c r="RHR5" s="44"/>
      <c r="RHS5" s="44"/>
      <c r="RHT5" s="44"/>
      <c r="RHU5" s="44"/>
      <c r="RHV5" s="44"/>
      <c r="RHW5" s="44"/>
      <c r="RHX5" s="44"/>
      <c r="RHY5" s="44"/>
      <c r="RHZ5" s="44"/>
      <c r="RIA5" s="44"/>
      <c r="RIB5" s="44"/>
      <c r="RIC5" s="44"/>
      <c r="RID5" s="44"/>
      <c r="RIE5" s="44"/>
      <c r="RIF5" s="44"/>
      <c r="RIG5" s="44"/>
      <c r="RIH5" s="44"/>
      <c r="RII5" s="44"/>
      <c r="RIJ5" s="44"/>
      <c r="RIK5" s="44"/>
      <c r="RIL5" s="44"/>
      <c r="RIM5" s="44"/>
      <c r="RIN5" s="44"/>
      <c r="RIO5" s="44"/>
      <c r="RIP5" s="44"/>
      <c r="RIQ5" s="44"/>
      <c r="RIR5" s="44"/>
      <c r="RIS5" s="44"/>
      <c r="RIT5" s="44"/>
      <c r="RIU5" s="44"/>
      <c r="RIV5" s="44"/>
      <c r="RIW5" s="44"/>
      <c r="RIX5" s="44"/>
      <c r="RIY5" s="44"/>
      <c r="RIZ5" s="44"/>
      <c r="RJA5" s="44"/>
      <c r="RJB5" s="44"/>
      <c r="RJC5" s="44"/>
      <c r="RJD5" s="44"/>
      <c r="RJE5" s="44"/>
      <c r="RJF5" s="44"/>
      <c r="RJG5" s="44"/>
      <c r="RJH5" s="44"/>
      <c r="RJI5" s="44"/>
      <c r="RJJ5" s="44"/>
      <c r="RJK5" s="44"/>
      <c r="RJL5" s="44"/>
      <c r="RJM5" s="44"/>
      <c r="RJN5" s="44"/>
      <c r="RJO5" s="44"/>
      <c r="RJP5" s="44"/>
      <c r="RJQ5" s="44"/>
      <c r="RJR5" s="44"/>
      <c r="RJS5" s="44"/>
      <c r="RJT5" s="44"/>
      <c r="RJU5" s="44"/>
      <c r="RJV5" s="44"/>
      <c r="RJW5" s="44"/>
      <c r="RJX5" s="44"/>
      <c r="RJY5" s="44"/>
      <c r="RJZ5" s="44"/>
      <c r="RKA5" s="44"/>
      <c r="RKB5" s="44"/>
      <c r="RKC5" s="44"/>
      <c r="RKD5" s="44"/>
      <c r="RKE5" s="44"/>
      <c r="RKF5" s="44"/>
      <c r="RKG5" s="44"/>
      <c r="RKH5" s="44"/>
      <c r="RKI5" s="44"/>
      <c r="RKJ5" s="44"/>
      <c r="RKK5" s="44"/>
      <c r="RKL5" s="44"/>
      <c r="RKM5" s="44"/>
      <c r="RKN5" s="44"/>
      <c r="RKO5" s="44"/>
      <c r="RKP5" s="44"/>
      <c r="RKQ5" s="44"/>
      <c r="RKR5" s="44"/>
      <c r="RKS5" s="44"/>
      <c r="RKT5" s="44"/>
      <c r="RKU5" s="44"/>
      <c r="RKV5" s="44"/>
      <c r="RKW5" s="44"/>
      <c r="RKX5" s="44"/>
      <c r="RKY5" s="44"/>
      <c r="RKZ5" s="44"/>
      <c r="RLA5" s="44"/>
      <c r="RLB5" s="44"/>
      <c r="RLC5" s="44"/>
      <c r="RLD5" s="44"/>
      <c r="RLE5" s="44"/>
      <c r="RLF5" s="44"/>
      <c r="RLG5" s="44"/>
      <c r="RLH5" s="44"/>
      <c r="RLI5" s="44"/>
      <c r="RLJ5" s="44"/>
      <c r="RLK5" s="44"/>
      <c r="RLL5" s="44"/>
      <c r="RLM5" s="44"/>
      <c r="RLN5" s="44"/>
      <c r="RLO5" s="44"/>
      <c r="RLP5" s="44"/>
      <c r="RLQ5" s="44"/>
      <c r="RLR5" s="44"/>
      <c r="RLS5" s="44"/>
      <c r="RLT5" s="44"/>
      <c r="RLU5" s="44"/>
      <c r="RLV5" s="44"/>
      <c r="RLW5" s="44"/>
      <c r="RLX5" s="44"/>
      <c r="RLY5" s="44"/>
      <c r="RLZ5" s="44"/>
      <c r="RMA5" s="44"/>
      <c r="RMB5" s="44"/>
      <c r="RMC5" s="44"/>
      <c r="RMD5" s="44"/>
      <c r="RME5" s="44"/>
      <c r="RMF5" s="44"/>
      <c r="RMG5" s="44"/>
      <c r="RMH5" s="44"/>
      <c r="RMI5" s="44"/>
      <c r="RMJ5" s="44"/>
      <c r="RMK5" s="44"/>
      <c r="RML5" s="44"/>
      <c r="RMM5" s="44"/>
      <c r="RMN5" s="44"/>
      <c r="RMO5" s="44"/>
      <c r="RMP5" s="44"/>
      <c r="RMQ5" s="44"/>
      <c r="RMR5" s="44"/>
      <c r="RMS5" s="44"/>
      <c r="RMT5" s="44"/>
      <c r="RMU5" s="44"/>
      <c r="RMV5" s="44"/>
      <c r="RMW5" s="44"/>
      <c r="RMX5" s="44"/>
      <c r="RMY5" s="44"/>
      <c r="RMZ5" s="44"/>
      <c r="RNA5" s="44"/>
      <c r="RNB5" s="44"/>
      <c r="RNC5" s="44"/>
      <c r="RND5" s="44"/>
      <c r="RNE5" s="44"/>
      <c r="RNF5" s="44"/>
      <c r="RNG5" s="44"/>
      <c r="RNH5" s="44"/>
      <c r="RNI5" s="44"/>
      <c r="RNJ5" s="44"/>
      <c r="RNK5" s="44"/>
      <c r="RNL5" s="44"/>
      <c r="RNM5" s="44"/>
      <c r="RNN5" s="44"/>
      <c r="RNO5" s="44"/>
      <c r="RNP5" s="44"/>
      <c r="RNQ5" s="44"/>
      <c r="RNR5" s="44"/>
      <c r="RNS5" s="44"/>
      <c r="RNT5" s="44"/>
      <c r="RNU5" s="44"/>
      <c r="RNV5" s="44"/>
      <c r="RNW5" s="44"/>
      <c r="RNX5" s="44"/>
      <c r="RNY5" s="44"/>
      <c r="RNZ5" s="44"/>
      <c r="ROA5" s="44"/>
      <c r="ROB5" s="44"/>
      <c r="ROC5" s="44"/>
      <c r="ROD5" s="44"/>
      <c r="ROE5" s="44"/>
      <c r="ROF5" s="44"/>
      <c r="ROG5" s="44"/>
      <c r="ROH5" s="44"/>
      <c r="ROI5" s="44"/>
      <c r="ROJ5" s="44"/>
      <c r="ROK5" s="44"/>
      <c r="ROL5" s="44"/>
      <c r="ROM5" s="44"/>
      <c r="RON5" s="44"/>
      <c r="ROO5" s="44"/>
      <c r="ROP5" s="44"/>
      <c r="ROQ5" s="44"/>
      <c r="ROR5" s="44"/>
      <c r="ROS5" s="44"/>
      <c r="ROT5" s="44"/>
      <c r="ROU5" s="44"/>
      <c r="ROV5" s="44"/>
      <c r="ROW5" s="44"/>
      <c r="ROX5" s="44"/>
      <c r="ROY5" s="44"/>
      <c r="ROZ5" s="44"/>
      <c r="RPA5" s="44"/>
      <c r="RPB5" s="44"/>
      <c r="RPC5" s="44"/>
      <c r="RPD5" s="44"/>
      <c r="RPE5" s="44"/>
      <c r="RPF5" s="44"/>
      <c r="RPG5" s="44"/>
      <c r="RPH5" s="44"/>
      <c r="RPI5" s="44"/>
      <c r="RPJ5" s="44"/>
      <c r="RPK5" s="44"/>
      <c r="RPL5" s="44"/>
      <c r="RPM5" s="44"/>
      <c r="RPN5" s="44"/>
      <c r="RPO5" s="44"/>
      <c r="RPP5" s="44"/>
      <c r="RPQ5" s="44"/>
      <c r="RPR5" s="44"/>
      <c r="RPS5" s="44"/>
      <c r="RPT5" s="44"/>
      <c r="RPU5" s="44"/>
      <c r="RPV5" s="44"/>
      <c r="RPW5" s="44"/>
      <c r="RPX5" s="44"/>
      <c r="RPY5" s="44"/>
      <c r="RPZ5" s="44"/>
      <c r="RQA5" s="44"/>
      <c r="RQB5" s="44"/>
      <c r="RQC5" s="44"/>
      <c r="RQD5" s="44"/>
      <c r="RQE5" s="44"/>
      <c r="RQF5" s="44"/>
      <c r="RQG5" s="44"/>
      <c r="RQH5" s="44"/>
      <c r="RQI5" s="44"/>
      <c r="RQJ5" s="44"/>
      <c r="RQK5" s="44"/>
      <c r="RQL5" s="44"/>
      <c r="RQM5" s="44"/>
      <c r="RQN5" s="44"/>
      <c r="RQO5" s="44"/>
      <c r="RQP5" s="44"/>
      <c r="RQQ5" s="44"/>
      <c r="RQR5" s="44"/>
      <c r="RQS5" s="44"/>
      <c r="RQT5" s="44"/>
      <c r="RQU5" s="44"/>
      <c r="RQV5" s="44"/>
      <c r="RQW5" s="44"/>
      <c r="RQX5" s="44"/>
      <c r="RQY5" s="44"/>
      <c r="RQZ5" s="44"/>
      <c r="RRA5" s="44"/>
      <c r="RRB5" s="44"/>
      <c r="RRC5" s="44"/>
      <c r="RRD5" s="44"/>
      <c r="RRE5" s="44"/>
      <c r="RRF5" s="44"/>
      <c r="RRG5" s="44"/>
      <c r="RRH5" s="44"/>
      <c r="RRI5" s="44"/>
      <c r="RRJ5" s="44"/>
      <c r="RRK5" s="44"/>
      <c r="RRL5" s="44"/>
      <c r="RRM5" s="44"/>
      <c r="RRN5" s="44"/>
      <c r="RRO5" s="44"/>
      <c r="RRP5" s="44"/>
      <c r="RRQ5" s="44"/>
      <c r="RRR5" s="44"/>
      <c r="RRS5" s="44"/>
      <c r="RRT5" s="44"/>
      <c r="RRU5" s="44"/>
      <c r="RRV5" s="44"/>
      <c r="RRW5" s="44"/>
      <c r="RRX5" s="44"/>
      <c r="RRY5" s="44"/>
      <c r="RRZ5" s="44"/>
      <c r="RSA5" s="44"/>
      <c r="RSB5" s="44"/>
      <c r="RSC5" s="44"/>
      <c r="RSD5" s="44"/>
      <c r="RSE5" s="44"/>
      <c r="RSF5" s="44"/>
      <c r="RSG5" s="44"/>
      <c r="RSH5" s="44"/>
      <c r="RSI5" s="44"/>
      <c r="RSJ5" s="44"/>
      <c r="RSK5" s="44"/>
      <c r="RSL5" s="44"/>
      <c r="RSM5" s="44"/>
      <c r="RSN5" s="44"/>
      <c r="RSO5" s="44"/>
      <c r="RSP5" s="44"/>
      <c r="RSQ5" s="44"/>
      <c r="RSR5" s="44"/>
      <c r="RSS5" s="44"/>
      <c r="RST5" s="44"/>
      <c r="RSU5" s="44"/>
      <c r="RSV5" s="44"/>
      <c r="RSW5" s="44"/>
      <c r="RSX5" s="44"/>
      <c r="RSY5" s="44"/>
      <c r="RSZ5" s="44"/>
      <c r="RTA5" s="44"/>
      <c r="RTB5" s="44"/>
      <c r="RTC5" s="44"/>
      <c r="RTD5" s="44"/>
      <c r="RTE5" s="44"/>
      <c r="RTF5" s="44"/>
      <c r="RTG5" s="44"/>
      <c r="RTH5" s="44"/>
      <c r="RTI5" s="44"/>
      <c r="RTJ5" s="44"/>
      <c r="RTK5" s="44"/>
      <c r="RTL5" s="44"/>
      <c r="RTM5" s="44"/>
      <c r="RTN5" s="44"/>
      <c r="RTO5" s="44"/>
      <c r="RTP5" s="44"/>
      <c r="RTQ5" s="44"/>
      <c r="RTR5" s="44"/>
      <c r="RTS5" s="44"/>
      <c r="RTT5" s="44"/>
      <c r="RTU5" s="44"/>
      <c r="RTV5" s="44"/>
      <c r="RTW5" s="44"/>
      <c r="RTX5" s="44"/>
      <c r="RTY5" s="44"/>
      <c r="RTZ5" s="44"/>
      <c r="RUA5" s="44"/>
      <c r="RUB5" s="44"/>
      <c r="RUC5" s="44"/>
      <c r="RUD5" s="44"/>
      <c r="RUE5" s="44"/>
      <c r="RUF5" s="44"/>
      <c r="RUG5" s="44"/>
      <c r="RUH5" s="44"/>
      <c r="RUI5" s="44"/>
      <c r="RUJ5" s="44"/>
      <c r="RUK5" s="44"/>
      <c r="RUL5" s="44"/>
      <c r="RUM5" s="44"/>
      <c r="RUN5" s="44"/>
      <c r="RUO5" s="44"/>
      <c r="RUP5" s="44"/>
      <c r="RUQ5" s="44"/>
      <c r="RUR5" s="44"/>
      <c r="RUS5" s="44"/>
      <c r="RUT5" s="44"/>
      <c r="RUU5" s="44"/>
      <c r="RUV5" s="44"/>
      <c r="RUW5" s="44"/>
      <c r="RUX5" s="44"/>
      <c r="RUY5" s="44"/>
      <c r="RUZ5" s="44"/>
      <c r="RVA5" s="44"/>
      <c r="RVB5" s="44"/>
      <c r="RVC5" s="44"/>
      <c r="RVD5" s="44"/>
      <c r="RVE5" s="44"/>
      <c r="RVF5" s="44"/>
      <c r="RVG5" s="44"/>
      <c r="RVH5" s="44"/>
      <c r="RVI5" s="44"/>
      <c r="RVJ5" s="44"/>
      <c r="RVK5" s="44"/>
      <c r="RVL5" s="44"/>
      <c r="RVM5" s="44"/>
      <c r="RVN5" s="44"/>
      <c r="RVO5" s="44"/>
      <c r="RVP5" s="44"/>
      <c r="RVQ5" s="44"/>
      <c r="RVR5" s="44"/>
      <c r="RVS5" s="44"/>
      <c r="RVT5" s="44"/>
      <c r="RVU5" s="44"/>
      <c r="RVV5" s="44"/>
      <c r="RVW5" s="44"/>
      <c r="RVX5" s="44"/>
      <c r="RVY5" s="44"/>
      <c r="RVZ5" s="44"/>
      <c r="RWA5" s="44"/>
      <c r="RWB5" s="44"/>
      <c r="RWC5" s="44"/>
      <c r="RWD5" s="44"/>
      <c r="RWE5" s="44"/>
      <c r="RWF5" s="44"/>
      <c r="RWG5" s="44"/>
      <c r="RWH5" s="44"/>
      <c r="RWI5" s="44"/>
      <c r="RWJ5" s="44"/>
      <c r="RWK5" s="44"/>
      <c r="RWL5" s="44"/>
      <c r="RWM5" s="44"/>
      <c r="RWN5" s="44"/>
      <c r="RWO5" s="44"/>
      <c r="RWP5" s="44"/>
      <c r="RWQ5" s="44"/>
      <c r="RWR5" s="44"/>
      <c r="RWS5" s="44"/>
      <c r="RWT5" s="44"/>
      <c r="RWU5" s="44"/>
      <c r="RWV5" s="44"/>
      <c r="RWW5" s="44"/>
      <c r="RWX5" s="44"/>
      <c r="RWY5" s="44"/>
      <c r="RWZ5" s="44"/>
      <c r="RXA5" s="44"/>
      <c r="RXB5" s="44"/>
      <c r="RXC5" s="44"/>
      <c r="RXD5" s="44"/>
      <c r="RXE5" s="44"/>
      <c r="RXF5" s="44"/>
      <c r="RXG5" s="44"/>
      <c r="RXH5" s="44"/>
      <c r="RXI5" s="44"/>
      <c r="RXJ5" s="44"/>
      <c r="RXK5" s="44"/>
      <c r="RXL5" s="44"/>
      <c r="RXM5" s="44"/>
      <c r="RXN5" s="44"/>
      <c r="RXO5" s="44"/>
      <c r="RXP5" s="44"/>
      <c r="RXQ5" s="44"/>
      <c r="RXR5" s="44"/>
      <c r="RXS5" s="44"/>
      <c r="RXT5" s="44"/>
      <c r="RXU5" s="44"/>
      <c r="RXV5" s="44"/>
      <c r="RXW5" s="44"/>
      <c r="RXX5" s="44"/>
      <c r="RXY5" s="44"/>
      <c r="RXZ5" s="44"/>
      <c r="RYA5" s="44"/>
      <c r="RYB5" s="44"/>
      <c r="RYC5" s="44"/>
      <c r="RYD5" s="44"/>
      <c r="RYE5" s="44"/>
      <c r="RYF5" s="44"/>
      <c r="RYG5" s="44"/>
      <c r="RYH5" s="44"/>
      <c r="RYI5" s="44"/>
      <c r="RYJ5" s="44"/>
      <c r="RYK5" s="44"/>
      <c r="RYL5" s="44"/>
      <c r="RYM5" s="44"/>
      <c r="RYN5" s="44"/>
      <c r="RYO5" s="44"/>
      <c r="RYP5" s="44"/>
      <c r="RYQ5" s="44"/>
      <c r="RYR5" s="44"/>
      <c r="RYS5" s="44"/>
      <c r="RYT5" s="44"/>
      <c r="RYU5" s="44"/>
      <c r="RYV5" s="44"/>
      <c r="RYW5" s="44"/>
      <c r="RYX5" s="44"/>
      <c r="RYY5" s="44"/>
      <c r="RYZ5" s="44"/>
      <c r="RZA5" s="44"/>
      <c r="RZB5" s="44"/>
      <c r="RZC5" s="44"/>
      <c r="RZD5" s="44"/>
      <c r="RZE5" s="44"/>
      <c r="RZF5" s="44"/>
      <c r="RZG5" s="44"/>
      <c r="RZH5" s="44"/>
      <c r="RZI5" s="44"/>
      <c r="RZJ5" s="44"/>
      <c r="RZK5" s="44"/>
      <c r="RZL5" s="44"/>
      <c r="RZM5" s="44"/>
      <c r="RZN5" s="44"/>
      <c r="RZO5" s="44"/>
      <c r="RZP5" s="44"/>
      <c r="RZQ5" s="44"/>
      <c r="RZR5" s="44"/>
      <c r="RZS5" s="44"/>
      <c r="RZT5" s="44"/>
      <c r="RZU5" s="44"/>
      <c r="RZV5" s="44"/>
      <c r="RZW5" s="44"/>
      <c r="RZX5" s="44"/>
      <c r="RZY5" s="44"/>
      <c r="RZZ5" s="44"/>
      <c r="SAA5" s="44"/>
      <c r="SAB5" s="44"/>
      <c r="SAC5" s="44"/>
      <c r="SAD5" s="44"/>
      <c r="SAE5" s="44"/>
      <c r="SAF5" s="44"/>
      <c r="SAG5" s="44"/>
      <c r="SAH5" s="44"/>
      <c r="SAI5" s="44"/>
      <c r="SAJ5" s="44"/>
      <c r="SAK5" s="44"/>
      <c r="SAL5" s="44"/>
      <c r="SAM5" s="44"/>
      <c r="SAN5" s="44"/>
      <c r="SAO5" s="44"/>
      <c r="SAP5" s="44"/>
      <c r="SAQ5" s="44"/>
      <c r="SAR5" s="44"/>
      <c r="SAS5" s="44"/>
      <c r="SAT5" s="44"/>
      <c r="SAU5" s="44"/>
      <c r="SAV5" s="44"/>
      <c r="SAW5" s="44"/>
      <c r="SAX5" s="44"/>
      <c r="SAY5" s="44"/>
      <c r="SAZ5" s="44"/>
      <c r="SBA5" s="44"/>
      <c r="SBB5" s="44"/>
      <c r="SBC5" s="44"/>
      <c r="SBD5" s="44"/>
      <c r="SBE5" s="44"/>
      <c r="SBF5" s="44"/>
      <c r="SBG5" s="44"/>
      <c r="SBH5" s="44"/>
      <c r="SBI5" s="44"/>
      <c r="SBJ5" s="44"/>
      <c r="SBK5" s="44"/>
      <c r="SBL5" s="44"/>
      <c r="SBM5" s="44"/>
      <c r="SBN5" s="44"/>
      <c r="SBO5" s="44"/>
      <c r="SBP5" s="44"/>
      <c r="SBQ5" s="44"/>
      <c r="SBR5" s="44"/>
      <c r="SBS5" s="44"/>
      <c r="SBT5" s="44"/>
      <c r="SBU5" s="44"/>
      <c r="SBV5" s="44"/>
      <c r="SBW5" s="44"/>
      <c r="SBX5" s="44"/>
      <c r="SBY5" s="44"/>
      <c r="SBZ5" s="44"/>
      <c r="SCA5" s="44"/>
      <c r="SCB5" s="44"/>
      <c r="SCC5" s="44"/>
      <c r="SCD5" s="44"/>
      <c r="SCE5" s="44"/>
      <c r="SCF5" s="44"/>
      <c r="SCG5" s="44"/>
      <c r="SCH5" s="44"/>
      <c r="SCI5" s="44"/>
      <c r="SCJ5" s="44"/>
      <c r="SCK5" s="44"/>
      <c r="SCL5" s="44"/>
      <c r="SCM5" s="44"/>
      <c r="SCN5" s="44"/>
      <c r="SCO5" s="44"/>
      <c r="SCP5" s="44"/>
      <c r="SCQ5" s="44"/>
      <c r="SCR5" s="44"/>
      <c r="SCS5" s="44"/>
      <c r="SCT5" s="44"/>
      <c r="SCU5" s="44"/>
      <c r="SCV5" s="44"/>
      <c r="SCW5" s="44"/>
      <c r="SCX5" s="44"/>
      <c r="SCY5" s="44"/>
      <c r="SCZ5" s="44"/>
      <c r="SDA5" s="44"/>
      <c r="SDB5" s="44"/>
      <c r="SDC5" s="44"/>
      <c r="SDD5" s="44"/>
      <c r="SDE5" s="44"/>
      <c r="SDF5" s="44"/>
      <c r="SDG5" s="44"/>
      <c r="SDH5" s="44"/>
      <c r="SDI5" s="44"/>
      <c r="SDJ5" s="44"/>
      <c r="SDK5" s="44"/>
      <c r="SDL5" s="44"/>
      <c r="SDM5" s="44"/>
      <c r="SDN5" s="44"/>
      <c r="SDO5" s="44"/>
      <c r="SDP5" s="44"/>
      <c r="SDQ5" s="44"/>
      <c r="SDR5" s="44"/>
      <c r="SDS5" s="44"/>
      <c r="SDT5" s="44"/>
      <c r="SDU5" s="44"/>
      <c r="SDV5" s="44"/>
      <c r="SDW5" s="44"/>
      <c r="SDX5" s="44"/>
      <c r="SDY5" s="44"/>
      <c r="SDZ5" s="44"/>
      <c r="SEA5" s="44"/>
      <c r="SEB5" s="44"/>
      <c r="SEC5" s="44"/>
      <c r="SED5" s="44"/>
      <c r="SEE5" s="44"/>
      <c r="SEF5" s="44"/>
      <c r="SEG5" s="44"/>
      <c r="SEH5" s="44"/>
      <c r="SEI5" s="44"/>
      <c r="SEJ5" s="44"/>
      <c r="SEK5" s="44"/>
      <c r="SEL5" s="44"/>
      <c r="SEM5" s="44"/>
      <c r="SEN5" s="44"/>
      <c r="SEO5" s="44"/>
      <c r="SEP5" s="44"/>
      <c r="SEQ5" s="44"/>
      <c r="SER5" s="44"/>
      <c r="SES5" s="44"/>
      <c r="SET5" s="44"/>
      <c r="SEU5" s="44"/>
      <c r="SEV5" s="44"/>
      <c r="SEW5" s="44"/>
      <c r="SEX5" s="44"/>
      <c r="SEY5" s="44"/>
      <c r="SEZ5" s="44"/>
      <c r="SFA5" s="44"/>
      <c r="SFB5" s="44"/>
      <c r="SFC5" s="44"/>
      <c r="SFD5" s="44"/>
      <c r="SFE5" s="44"/>
      <c r="SFF5" s="44"/>
      <c r="SFG5" s="44"/>
      <c r="SFH5" s="44"/>
      <c r="SFI5" s="44"/>
      <c r="SFJ5" s="44"/>
      <c r="SFK5" s="44"/>
      <c r="SFL5" s="44"/>
      <c r="SFM5" s="44"/>
      <c r="SFN5" s="44"/>
      <c r="SFO5" s="44"/>
      <c r="SFP5" s="44"/>
      <c r="SFQ5" s="44"/>
      <c r="SFR5" s="44"/>
      <c r="SFS5" s="44"/>
      <c r="SFT5" s="44"/>
      <c r="SFU5" s="44"/>
      <c r="SFV5" s="44"/>
      <c r="SFW5" s="44"/>
      <c r="SFX5" s="44"/>
      <c r="SFY5" s="44"/>
      <c r="SFZ5" s="44"/>
      <c r="SGA5" s="44"/>
      <c r="SGB5" s="44"/>
      <c r="SGC5" s="44"/>
      <c r="SGD5" s="44"/>
      <c r="SGE5" s="44"/>
      <c r="SGF5" s="44"/>
      <c r="SGG5" s="44"/>
      <c r="SGH5" s="44"/>
      <c r="SGI5" s="44"/>
      <c r="SGJ5" s="44"/>
      <c r="SGK5" s="44"/>
      <c r="SGL5" s="44"/>
      <c r="SGM5" s="44"/>
      <c r="SGN5" s="44"/>
      <c r="SGO5" s="44"/>
      <c r="SGP5" s="44"/>
      <c r="SGQ5" s="44"/>
      <c r="SGR5" s="44"/>
      <c r="SGS5" s="44"/>
      <c r="SGT5" s="44"/>
      <c r="SGU5" s="44"/>
      <c r="SGV5" s="44"/>
      <c r="SGW5" s="44"/>
      <c r="SGX5" s="44"/>
      <c r="SGY5" s="44"/>
      <c r="SGZ5" s="44"/>
      <c r="SHA5" s="44"/>
      <c r="SHB5" s="44"/>
      <c r="SHC5" s="44"/>
      <c r="SHD5" s="44"/>
      <c r="SHE5" s="44"/>
      <c r="SHF5" s="44"/>
      <c r="SHG5" s="44"/>
      <c r="SHH5" s="44"/>
      <c r="SHI5" s="44"/>
      <c r="SHJ5" s="44"/>
      <c r="SHK5" s="44"/>
      <c r="SHL5" s="44"/>
      <c r="SHM5" s="44"/>
      <c r="SHN5" s="44"/>
      <c r="SHO5" s="44"/>
      <c r="SHP5" s="44"/>
      <c r="SHQ5" s="44"/>
      <c r="SHR5" s="44"/>
      <c r="SHS5" s="44"/>
      <c r="SHT5" s="44"/>
      <c r="SHU5" s="44"/>
      <c r="SHV5" s="44"/>
      <c r="SHW5" s="44"/>
      <c r="SHX5" s="44"/>
      <c r="SHY5" s="44"/>
      <c r="SHZ5" s="44"/>
      <c r="SIA5" s="44"/>
      <c r="SIB5" s="44"/>
      <c r="SIC5" s="44"/>
      <c r="SID5" s="44"/>
      <c r="SIE5" s="44"/>
      <c r="SIF5" s="44"/>
      <c r="SIG5" s="44"/>
      <c r="SIH5" s="44"/>
      <c r="SII5" s="44"/>
      <c r="SIJ5" s="44"/>
      <c r="SIK5" s="44"/>
      <c r="SIL5" s="44"/>
      <c r="SIM5" s="44"/>
      <c r="SIN5" s="44"/>
      <c r="SIO5" s="44"/>
      <c r="SIP5" s="44"/>
      <c r="SIQ5" s="44"/>
      <c r="SIR5" s="44"/>
      <c r="SIS5" s="44"/>
      <c r="SIT5" s="44"/>
      <c r="SIU5" s="44"/>
      <c r="SIV5" s="44"/>
      <c r="SIW5" s="44"/>
      <c r="SIX5" s="44"/>
      <c r="SIY5" s="44"/>
      <c r="SIZ5" s="44"/>
      <c r="SJA5" s="44"/>
      <c r="SJB5" s="44"/>
      <c r="SJC5" s="44"/>
      <c r="SJD5" s="44"/>
      <c r="SJE5" s="44"/>
      <c r="SJF5" s="44"/>
      <c r="SJG5" s="44"/>
      <c r="SJH5" s="44"/>
      <c r="SJI5" s="44"/>
      <c r="SJJ5" s="44"/>
      <c r="SJK5" s="44"/>
      <c r="SJL5" s="44"/>
      <c r="SJM5" s="44"/>
      <c r="SJN5" s="44"/>
      <c r="SJO5" s="44"/>
      <c r="SJP5" s="44"/>
      <c r="SJQ5" s="44"/>
      <c r="SJR5" s="44"/>
      <c r="SJS5" s="44"/>
      <c r="SJT5" s="44"/>
      <c r="SJU5" s="44"/>
      <c r="SJV5" s="44"/>
      <c r="SJW5" s="44"/>
      <c r="SJX5" s="44"/>
      <c r="SJY5" s="44"/>
      <c r="SJZ5" s="44"/>
      <c r="SKA5" s="44"/>
      <c r="SKB5" s="44"/>
      <c r="SKC5" s="44"/>
      <c r="SKD5" s="44"/>
      <c r="SKE5" s="44"/>
      <c r="SKF5" s="44"/>
      <c r="SKG5" s="44"/>
      <c r="SKH5" s="44"/>
      <c r="SKI5" s="44"/>
      <c r="SKJ5" s="44"/>
      <c r="SKK5" s="44"/>
      <c r="SKL5" s="44"/>
      <c r="SKM5" s="44"/>
      <c r="SKN5" s="44"/>
      <c r="SKO5" s="44"/>
      <c r="SKP5" s="44"/>
      <c r="SKQ5" s="44"/>
      <c r="SKR5" s="44"/>
      <c r="SKS5" s="44"/>
      <c r="SKT5" s="44"/>
      <c r="SKU5" s="44"/>
      <c r="SKV5" s="44"/>
      <c r="SKW5" s="44"/>
      <c r="SKX5" s="44"/>
      <c r="SKY5" s="44"/>
      <c r="SKZ5" s="44"/>
      <c r="SLA5" s="44"/>
      <c r="SLB5" s="44"/>
      <c r="SLC5" s="44"/>
      <c r="SLD5" s="44"/>
      <c r="SLE5" s="44"/>
      <c r="SLF5" s="44"/>
      <c r="SLG5" s="44"/>
      <c r="SLH5" s="44"/>
      <c r="SLI5" s="44"/>
      <c r="SLJ5" s="44"/>
      <c r="SLK5" s="44"/>
      <c r="SLL5" s="44"/>
      <c r="SLM5" s="44"/>
      <c r="SLN5" s="44"/>
      <c r="SLO5" s="44"/>
      <c r="SLP5" s="44"/>
      <c r="SLQ5" s="44"/>
      <c r="SLR5" s="44"/>
      <c r="SLS5" s="44"/>
      <c r="SLT5" s="44"/>
      <c r="SLU5" s="44"/>
      <c r="SLV5" s="44"/>
      <c r="SLW5" s="44"/>
      <c r="SLX5" s="44"/>
      <c r="SLY5" s="44"/>
      <c r="SLZ5" s="44"/>
      <c r="SMA5" s="44"/>
      <c r="SMB5" s="44"/>
      <c r="SMC5" s="44"/>
      <c r="SMD5" s="44"/>
      <c r="SME5" s="44"/>
      <c r="SMF5" s="44"/>
      <c r="SMG5" s="44"/>
      <c r="SMH5" s="44"/>
      <c r="SMI5" s="44"/>
      <c r="SMJ5" s="44"/>
      <c r="SMK5" s="44"/>
      <c r="SML5" s="44"/>
      <c r="SMM5" s="44"/>
      <c r="SMN5" s="44"/>
      <c r="SMO5" s="44"/>
      <c r="SMP5" s="44"/>
      <c r="SMQ5" s="44"/>
      <c r="SMR5" s="44"/>
      <c r="SMS5" s="44"/>
      <c r="SMT5" s="44"/>
      <c r="SMU5" s="44"/>
      <c r="SMV5" s="44"/>
      <c r="SMW5" s="44"/>
      <c r="SMX5" s="44"/>
      <c r="SMY5" s="44"/>
      <c r="SMZ5" s="44"/>
      <c r="SNA5" s="44"/>
      <c r="SNB5" s="44"/>
      <c r="SNC5" s="44"/>
      <c r="SND5" s="44"/>
      <c r="SNE5" s="44"/>
      <c r="SNF5" s="44"/>
      <c r="SNG5" s="44"/>
      <c r="SNH5" s="44"/>
      <c r="SNI5" s="44"/>
      <c r="SNJ5" s="44"/>
      <c r="SNK5" s="44"/>
      <c r="SNL5" s="44"/>
      <c r="SNM5" s="44"/>
      <c r="SNN5" s="44"/>
      <c r="SNO5" s="44"/>
      <c r="SNP5" s="44"/>
      <c r="SNQ5" s="44"/>
      <c r="SNR5" s="44"/>
      <c r="SNS5" s="44"/>
      <c r="SNT5" s="44"/>
      <c r="SNU5" s="44"/>
      <c r="SNV5" s="44"/>
      <c r="SNW5" s="44"/>
      <c r="SNX5" s="44"/>
      <c r="SNY5" s="44"/>
      <c r="SNZ5" s="44"/>
      <c r="SOA5" s="44"/>
      <c r="SOB5" s="44"/>
      <c r="SOC5" s="44"/>
      <c r="SOD5" s="44"/>
      <c r="SOE5" s="44"/>
      <c r="SOF5" s="44"/>
      <c r="SOG5" s="44"/>
      <c r="SOH5" s="44"/>
      <c r="SOI5" s="44"/>
      <c r="SOJ5" s="44"/>
      <c r="SOK5" s="44"/>
      <c r="SOL5" s="44"/>
      <c r="SOM5" s="44"/>
      <c r="SON5" s="44"/>
      <c r="SOO5" s="44"/>
      <c r="SOP5" s="44"/>
      <c r="SOQ5" s="44"/>
      <c r="SOR5" s="44"/>
      <c r="SOS5" s="44"/>
      <c r="SOT5" s="44"/>
      <c r="SOU5" s="44"/>
      <c r="SOV5" s="44"/>
      <c r="SOW5" s="44"/>
      <c r="SOX5" s="44"/>
      <c r="SOY5" s="44"/>
      <c r="SOZ5" s="44"/>
      <c r="SPA5" s="44"/>
      <c r="SPB5" s="44"/>
      <c r="SPC5" s="44"/>
      <c r="SPD5" s="44"/>
      <c r="SPE5" s="44"/>
      <c r="SPF5" s="44"/>
      <c r="SPG5" s="44"/>
      <c r="SPH5" s="44"/>
      <c r="SPI5" s="44"/>
      <c r="SPJ5" s="44"/>
      <c r="SPK5" s="44"/>
      <c r="SPL5" s="44"/>
      <c r="SPM5" s="44"/>
      <c r="SPN5" s="44"/>
      <c r="SPO5" s="44"/>
      <c r="SPP5" s="44"/>
      <c r="SPQ5" s="44"/>
      <c r="SPR5" s="44"/>
      <c r="SPS5" s="44"/>
      <c r="SPT5" s="44"/>
      <c r="SPU5" s="44"/>
      <c r="SPV5" s="44"/>
      <c r="SPW5" s="44"/>
      <c r="SPX5" s="44"/>
      <c r="SPY5" s="44"/>
      <c r="SPZ5" s="44"/>
      <c r="SQA5" s="44"/>
      <c r="SQB5" s="44"/>
      <c r="SQC5" s="44"/>
      <c r="SQD5" s="44"/>
      <c r="SQE5" s="44"/>
      <c r="SQF5" s="44"/>
      <c r="SQG5" s="44"/>
      <c r="SQH5" s="44"/>
      <c r="SQI5" s="44"/>
      <c r="SQJ5" s="44"/>
      <c r="SQK5" s="44"/>
      <c r="SQL5" s="44"/>
      <c r="SQM5" s="44"/>
      <c r="SQN5" s="44"/>
      <c r="SQO5" s="44"/>
      <c r="SQP5" s="44"/>
      <c r="SQQ5" s="44"/>
      <c r="SQR5" s="44"/>
      <c r="SQS5" s="44"/>
      <c r="SQT5" s="44"/>
      <c r="SQU5" s="44"/>
      <c r="SQV5" s="44"/>
      <c r="SQW5" s="44"/>
      <c r="SQX5" s="44"/>
      <c r="SQY5" s="44"/>
      <c r="SQZ5" s="44"/>
      <c r="SRA5" s="44"/>
      <c r="SRB5" s="44"/>
      <c r="SRC5" s="44"/>
      <c r="SRD5" s="44"/>
      <c r="SRE5" s="44"/>
      <c r="SRF5" s="44"/>
      <c r="SRG5" s="44"/>
      <c r="SRH5" s="44"/>
      <c r="SRI5" s="44"/>
      <c r="SRJ5" s="44"/>
      <c r="SRK5" s="44"/>
      <c r="SRL5" s="44"/>
      <c r="SRM5" s="44"/>
      <c r="SRN5" s="44"/>
      <c r="SRO5" s="44"/>
      <c r="SRP5" s="44"/>
      <c r="SRQ5" s="44"/>
      <c r="SRR5" s="44"/>
      <c r="SRS5" s="44"/>
      <c r="SRT5" s="44"/>
      <c r="SRU5" s="44"/>
      <c r="SRV5" s="44"/>
      <c r="SRW5" s="44"/>
      <c r="SRX5" s="44"/>
      <c r="SRY5" s="44"/>
      <c r="SRZ5" s="44"/>
      <c r="SSA5" s="44"/>
      <c r="SSB5" s="44"/>
      <c r="SSC5" s="44"/>
      <c r="SSD5" s="44"/>
      <c r="SSE5" s="44"/>
      <c r="SSF5" s="44"/>
      <c r="SSG5" s="44"/>
      <c r="SSH5" s="44"/>
      <c r="SSI5" s="44"/>
      <c r="SSJ5" s="44"/>
      <c r="SSK5" s="44"/>
      <c r="SSL5" s="44"/>
      <c r="SSM5" s="44"/>
      <c r="SSN5" s="44"/>
      <c r="SSO5" s="44"/>
      <c r="SSP5" s="44"/>
      <c r="SSQ5" s="44"/>
      <c r="SSR5" s="44"/>
      <c r="SSS5" s="44"/>
      <c r="SST5" s="44"/>
      <c r="SSU5" s="44"/>
      <c r="SSV5" s="44"/>
      <c r="SSW5" s="44"/>
      <c r="SSX5" s="44"/>
      <c r="SSY5" s="44"/>
      <c r="SSZ5" s="44"/>
      <c r="STA5" s="44"/>
      <c r="STB5" s="44"/>
      <c r="STC5" s="44"/>
      <c r="STD5" s="44"/>
      <c r="STE5" s="44"/>
      <c r="STF5" s="44"/>
      <c r="STG5" s="44"/>
      <c r="STH5" s="44"/>
      <c r="STI5" s="44"/>
      <c r="STJ5" s="44"/>
      <c r="STK5" s="44"/>
      <c r="STL5" s="44"/>
      <c r="STM5" s="44"/>
      <c r="STN5" s="44"/>
      <c r="STO5" s="44"/>
      <c r="STP5" s="44"/>
      <c r="STQ5" s="44"/>
      <c r="STR5" s="44"/>
      <c r="STS5" s="44"/>
      <c r="STT5" s="44"/>
      <c r="STU5" s="44"/>
      <c r="STV5" s="44"/>
      <c r="STW5" s="44"/>
      <c r="STX5" s="44"/>
      <c r="STY5" s="44"/>
      <c r="STZ5" s="44"/>
      <c r="SUA5" s="44"/>
      <c r="SUB5" s="44"/>
      <c r="SUC5" s="44"/>
      <c r="SUD5" s="44"/>
      <c r="SUE5" s="44"/>
      <c r="SUF5" s="44"/>
      <c r="SUG5" s="44"/>
      <c r="SUH5" s="44"/>
      <c r="SUI5" s="44"/>
      <c r="SUJ5" s="44"/>
      <c r="SUK5" s="44"/>
      <c r="SUL5" s="44"/>
      <c r="SUM5" s="44"/>
      <c r="SUN5" s="44"/>
      <c r="SUO5" s="44"/>
      <c r="SUP5" s="44"/>
      <c r="SUQ5" s="44"/>
      <c r="SUR5" s="44"/>
      <c r="SUS5" s="44"/>
      <c r="SUT5" s="44"/>
      <c r="SUU5" s="44"/>
      <c r="SUV5" s="44"/>
      <c r="SUW5" s="44"/>
      <c r="SUX5" s="44"/>
      <c r="SUY5" s="44"/>
      <c r="SUZ5" s="44"/>
      <c r="SVA5" s="44"/>
      <c r="SVB5" s="44"/>
      <c r="SVC5" s="44"/>
      <c r="SVD5" s="44"/>
      <c r="SVE5" s="44"/>
      <c r="SVF5" s="44"/>
      <c r="SVG5" s="44"/>
      <c r="SVH5" s="44"/>
      <c r="SVI5" s="44"/>
      <c r="SVJ5" s="44"/>
      <c r="SVK5" s="44"/>
      <c r="SVL5" s="44"/>
      <c r="SVM5" s="44"/>
      <c r="SVN5" s="44"/>
      <c r="SVO5" s="44"/>
      <c r="SVP5" s="44"/>
      <c r="SVQ5" s="44"/>
      <c r="SVR5" s="44"/>
      <c r="SVS5" s="44"/>
      <c r="SVT5" s="44"/>
      <c r="SVU5" s="44"/>
      <c r="SVV5" s="44"/>
      <c r="SVW5" s="44"/>
      <c r="SVX5" s="44"/>
      <c r="SVY5" s="44"/>
      <c r="SVZ5" s="44"/>
      <c r="SWA5" s="44"/>
      <c r="SWB5" s="44"/>
      <c r="SWC5" s="44"/>
      <c r="SWD5" s="44"/>
      <c r="SWE5" s="44"/>
      <c r="SWF5" s="44"/>
      <c r="SWG5" s="44"/>
      <c r="SWH5" s="44"/>
      <c r="SWI5" s="44"/>
      <c r="SWJ5" s="44"/>
      <c r="SWK5" s="44"/>
      <c r="SWL5" s="44"/>
      <c r="SWM5" s="44"/>
      <c r="SWN5" s="44"/>
      <c r="SWO5" s="44"/>
      <c r="SWP5" s="44"/>
      <c r="SWQ5" s="44"/>
      <c r="SWR5" s="44"/>
      <c r="SWS5" s="44"/>
      <c r="SWT5" s="44"/>
      <c r="SWU5" s="44"/>
      <c r="SWV5" s="44"/>
      <c r="SWW5" s="44"/>
      <c r="SWX5" s="44"/>
      <c r="SWY5" s="44"/>
      <c r="SWZ5" s="44"/>
      <c r="SXA5" s="44"/>
      <c r="SXB5" s="44"/>
      <c r="SXC5" s="44"/>
      <c r="SXD5" s="44"/>
      <c r="SXE5" s="44"/>
      <c r="SXF5" s="44"/>
      <c r="SXG5" s="44"/>
      <c r="SXH5" s="44"/>
      <c r="SXI5" s="44"/>
      <c r="SXJ5" s="44"/>
      <c r="SXK5" s="44"/>
      <c r="SXL5" s="44"/>
      <c r="SXM5" s="44"/>
      <c r="SXN5" s="44"/>
      <c r="SXO5" s="44"/>
      <c r="SXP5" s="44"/>
      <c r="SXQ5" s="44"/>
      <c r="SXR5" s="44"/>
      <c r="SXS5" s="44"/>
      <c r="SXT5" s="44"/>
      <c r="SXU5" s="44"/>
      <c r="SXV5" s="44"/>
      <c r="SXW5" s="44"/>
      <c r="SXX5" s="44"/>
      <c r="SXY5" s="44"/>
      <c r="SXZ5" s="44"/>
      <c r="SYA5" s="44"/>
      <c r="SYB5" s="44"/>
      <c r="SYC5" s="44"/>
      <c r="SYD5" s="44"/>
      <c r="SYE5" s="44"/>
      <c r="SYF5" s="44"/>
      <c r="SYG5" s="44"/>
      <c r="SYH5" s="44"/>
      <c r="SYI5" s="44"/>
      <c r="SYJ5" s="44"/>
      <c r="SYK5" s="44"/>
      <c r="SYL5" s="44"/>
      <c r="SYM5" s="44"/>
      <c r="SYN5" s="44"/>
      <c r="SYO5" s="44"/>
      <c r="SYP5" s="44"/>
      <c r="SYQ5" s="44"/>
      <c r="SYR5" s="44"/>
      <c r="SYS5" s="44"/>
      <c r="SYT5" s="44"/>
      <c r="SYU5" s="44"/>
      <c r="SYV5" s="44"/>
      <c r="SYW5" s="44"/>
      <c r="SYX5" s="44"/>
      <c r="SYY5" s="44"/>
      <c r="SYZ5" s="44"/>
      <c r="SZA5" s="44"/>
      <c r="SZB5" s="44"/>
      <c r="SZC5" s="44"/>
      <c r="SZD5" s="44"/>
      <c r="SZE5" s="44"/>
      <c r="SZF5" s="44"/>
      <c r="SZG5" s="44"/>
      <c r="SZH5" s="44"/>
      <c r="SZI5" s="44"/>
      <c r="SZJ5" s="44"/>
      <c r="SZK5" s="44"/>
      <c r="SZL5" s="44"/>
      <c r="SZM5" s="44"/>
      <c r="SZN5" s="44"/>
      <c r="SZO5" s="44"/>
      <c r="SZP5" s="44"/>
      <c r="SZQ5" s="44"/>
      <c r="SZR5" s="44"/>
      <c r="SZS5" s="44"/>
      <c r="SZT5" s="44"/>
      <c r="SZU5" s="44"/>
      <c r="SZV5" s="44"/>
      <c r="SZW5" s="44"/>
      <c r="SZX5" s="44"/>
      <c r="SZY5" s="44"/>
      <c r="SZZ5" s="44"/>
      <c r="TAA5" s="44"/>
      <c r="TAB5" s="44"/>
      <c r="TAC5" s="44"/>
      <c r="TAD5" s="44"/>
      <c r="TAE5" s="44"/>
      <c r="TAF5" s="44"/>
      <c r="TAG5" s="44"/>
      <c r="TAH5" s="44"/>
      <c r="TAI5" s="44"/>
      <c r="TAJ5" s="44"/>
      <c r="TAK5" s="44"/>
      <c r="TAL5" s="44"/>
      <c r="TAM5" s="44"/>
      <c r="TAN5" s="44"/>
      <c r="TAO5" s="44"/>
      <c r="TAP5" s="44"/>
      <c r="TAQ5" s="44"/>
      <c r="TAR5" s="44"/>
      <c r="TAS5" s="44"/>
      <c r="TAT5" s="44"/>
      <c r="TAU5" s="44"/>
      <c r="TAV5" s="44"/>
      <c r="TAW5" s="44"/>
      <c r="TAX5" s="44"/>
      <c r="TAY5" s="44"/>
      <c r="TAZ5" s="44"/>
      <c r="TBA5" s="44"/>
      <c r="TBB5" s="44"/>
      <c r="TBC5" s="44"/>
      <c r="TBD5" s="44"/>
      <c r="TBE5" s="44"/>
      <c r="TBF5" s="44"/>
      <c r="TBG5" s="44"/>
      <c r="TBH5" s="44"/>
      <c r="TBI5" s="44"/>
      <c r="TBJ5" s="44"/>
      <c r="TBK5" s="44"/>
      <c r="TBL5" s="44"/>
      <c r="TBM5" s="44"/>
      <c r="TBN5" s="44"/>
      <c r="TBO5" s="44"/>
      <c r="TBP5" s="44"/>
      <c r="TBQ5" s="44"/>
      <c r="TBR5" s="44"/>
      <c r="TBS5" s="44"/>
      <c r="TBT5" s="44"/>
      <c r="TBU5" s="44"/>
      <c r="TBV5" s="44"/>
      <c r="TBW5" s="44"/>
      <c r="TBX5" s="44"/>
      <c r="TBY5" s="44"/>
      <c r="TBZ5" s="44"/>
      <c r="TCA5" s="44"/>
      <c r="TCB5" s="44"/>
      <c r="TCC5" s="44"/>
      <c r="TCD5" s="44"/>
      <c r="TCE5" s="44"/>
      <c r="TCF5" s="44"/>
      <c r="TCG5" s="44"/>
      <c r="TCH5" s="44"/>
      <c r="TCI5" s="44"/>
      <c r="TCJ5" s="44"/>
      <c r="TCK5" s="44"/>
      <c r="TCL5" s="44"/>
      <c r="TCM5" s="44"/>
      <c r="TCN5" s="44"/>
      <c r="TCO5" s="44"/>
      <c r="TCP5" s="44"/>
      <c r="TCQ5" s="44"/>
      <c r="TCR5" s="44"/>
      <c r="TCS5" s="44"/>
      <c r="TCT5" s="44"/>
      <c r="TCU5" s="44"/>
      <c r="TCV5" s="44"/>
      <c r="TCW5" s="44"/>
      <c r="TCX5" s="44"/>
      <c r="TCY5" s="44"/>
      <c r="TCZ5" s="44"/>
      <c r="TDA5" s="44"/>
      <c r="TDB5" s="44"/>
      <c r="TDC5" s="44"/>
      <c r="TDD5" s="44"/>
      <c r="TDE5" s="44"/>
      <c r="TDF5" s="44"/>
      <c r="TDG5" s="44"/>
      <c r="TDH5" s="44"/>
      <c r="TDI5" s="44"/>
      <c r="TDJ5" s="44"/>
      <c r="TDK5" s="44"/>
      <c r="TDL5" s="44"/>
      <c r="TDM5" s="44"/>
      <c r="TDN5" s="44"/>
      <c r="TDO5" s="44"/>
      <c r="TDP5" s="44"/>
      <c r="TDQ5" s="44"/>
      <c r="TDR5" s="44"/>
      <c r="TDS5" s="44"/>
      <c r="TDT5" s="44"/>
      <c r="TDU5" s="44"/>
      <c r="TDV5" s="44"/>
      <c r="TDW5" s="44"/>
      <c r="TDX5" s="44"/>
      <c r="TDY5" s="44"/>
      <c r="TDZ5" s="44"/>
      <c r="TEA5" s="44"/>
      <c r="TEB5" s="44"/>
      <c r="TEC5" s="44"/>
      <c r="TED5" s="44"/>
      <c r="TEE5" s="44"/>
      <c r="TEF5" s="44"/>
      <c r="TEG5" s="44"/>
      <c r="TEH5" s="44"/>
      <c r="TEI5" s="44"/>
      <c r="TEJ5" s="44"/>
      <c r="TEK5" s="44"/>
      <c r="TEL5" s="44"/>
      <c r="TEM5" s="44"/>
      <c r="TEN5" s="44"/>
      <c r="TEO5" s="44"/>
      <c r="TEP5" s="44"/>
      <c r="TEQ5" s="44"/>
      <c r="TER5" s="44"/>
      <c r="TES5" s="44"/>
      <c r="TET5" s="44"/>
      <c r="TEU5" s="44"/>
      <c r="TEV5" s="44"/>
      <c r="TEW5" s="44"/>
      <c r="TEX5" s="44"/>
      <c r="TEY5" s="44"/>
      <c r="TEZ5" s="44"/>
      <c r="TFA5" s="44"/>
      <c r="TFB5" s="44"/>
      <c r="TFC5" s="44"/>
      <c r="TFD5" s="44"/>
      <c r="TFE5" s="44"/>
      <c r="TFF5" s="44"/>
      <c r="TFG5" s="44"/>
      <c r="TFH5" s="44"/>
      <c r="TFI5" s="44"/>
      <c r="TFJ5" s="44"/>
      <c r="TFK5" s="44"/>
      <c r="TFL5" s="44"/>
      <c r="TFM5" s="44"/>
      <c r="TFN5" s="44"/>
      <c r="TFO5" s="44"/>
      <c r="TFP5" s="44"/>
      <c r="TFQ5" s="44"/>
      <c r="TFR5" s="44"/>
      <c r="TFS5" s="44"/>
      <c r="TFT5" s="44"/>
      <c r="TFU5" s="44"/>
      <c r="TFV5" s="44"/>
      <c r="TFW5" s="44"/>
      <c r="TFX5" s="44"/>
      <c r="TFY5" s="44"/>
      <c r="TFZ5" s="44"/>
      <c r="TGA5" s="44"/>
      <c r="TGB5" s="44"/>
      <c r="TGC5" s="44"/>
      <c r="TGD5" s="44"/>
      <c r="TGE5" s="44"/>
      <c r="TGF5" s="44"/>
      <c r="TGG5" s="44"/>
      <c r="TGH5" s="44"/>
      <c r="TGI5" s="44"/>
      <c r="TGJ5" s="44"/>
      <c r="TGK5" s="44"/>
      <c r="TGL5" s="44"/>
      <c r="TGM5" s="44"/>
      <c r="TGN5" s="44"/>
      <c r="TGO5" s="44"/>
      <c r="TGP5" s="44"/>
      <c r="TGQ5" s="44"/>
      <c r="TGR5" s="44"/>
      <c r="TGS5" s="44"/>
      <c r="TGT5" s="44"/>
      <c r="TGU5" s="44"/>
      <c r="TGV5" s="44"/>
      <c r="TGW5" s="44"/>
      <c r="TGX5" s="44"/>
      <c r="TGY5" s="44"/>
      <c r="TGZ5" s="44"/>
      <c r="THA5" s="44"/>
      <c r="THB5" s="44"/>
      <c r="THC5" s="44"/>
      <c r="THD5" s="44"/>
      <c r="THE5" s="44"/>
      <c r="THF5" s="44"/>
      <c r="THG5" s="44"/>
      <c r="THH5" s="44"/>
      <c r="THI5" s="44"/>
      <c r="THJ5" s="44"/>
      <c r="THK5" s="44"/>
      <c r="THL5" s="44"/>
      <c r="THM5" s="44"/>
      <c r="THN5" s="44"/>
      <c r="THO5" s="44"/>
      <c r="THP5" s="44"/>
      <c r="THQ5" s="44"/>
      <c r="THR5" s="44"/>
      <c r="THS5" s="44"/>
      <c r="THT5" s="44"/>
      <c r="THU5" s="44"/>
      <c r="THV5" s="44"/>
      <c r="THW5" s="44"/>
      <c r="THX5" s="44"/>
      <c r="THY5" s="44"/>
      <c r="THZ5" s="44"/>
      <c r="TIA5" s="44"/>
      <c r="TIB5" s="44"/>
      <c r="TIC5" s="44"/>
      <c r="TID5" s="44"/>
      <c r="TIE5" s="44"/>
      <c r="TIF5" s="44"/>
      <c r="TIG5" s="44"/>
      <c r="TIH5" s="44"/>
      <c r="TII5" s="44"/>
      <c r="TIJ5" s="44"/>
      <c r="TIK5" s="44"/>
      <c r="TIL5" s="44"/>
      <c r="TIM5" s="44"/>
      <c r="TIN5" s="44"/>
      <c r="TIO5" s="44"/>
      <c r="TIP5" s="44"/>
      <c r="TIQ5" s="44"/>
      <c r="TIR5" s="44"/>
      <c r="TIS5" s="44"/>
      <c r="TIT5" s="44"/>
      <c r="TIU5" s="44"/>
      <c r="TIV5" s="44"/>
      <c r="TIW5" s="44"/>
      <c r="TIX5" s="44"/>
      <c r="TIY5" s="44"/>
      <c r="TIZ5" s="44"/>
      <c r="TJA5" s="44"/>
      <c r="TJB5" s="44"/>
      <c r="TJC5" s="44"/>
      <c r="TJD5" s="44"/>
      <c r="TJE5" s="44"/>
      <c r="TJF5" s="44"/>
      <c r="TJG5" s="44"/>
      <c r="TJH5" s="44"/>
      <c r="TJI5" s="44"/>
      <c r="TJJ5" s="44"/>
      <c r="TJK5" s="44"/>
      <c r="TJL5" s="44"/>
      <c r="TJM5" s="44"/>
      <c r="TJN5" s="44"/>
      <c r="TJO5" s="44"/>
      <c r="TJP5" s="44"/>
      <c r="TJQ5" s="44"/>
      <c r="TJR5" s="44"/>
      <c r="TJS5" s="44"/>
      <c r="TJT5" s="44"/>
      <c r="TJU5" s="44"/>
      <c r="TJV5" s="44"/>
      <c r="TJW5" s="44"/>
      <c r="TJX5" s="44"/>
      <c r="TJY5" s="44"/>
      <c r="TJZ5" s="44"/>
      <c r="TKA5" s="44"/>
      <c r="TKB5" s="44"/>
      <c r="TKC5" s="44"/>
      <c r="TKD5" s="44"/>
      <c r="TKE5" s="44"/>
      <c r="TKF5" s="44"/>
      <c r="TKG5" s="44"/>
      <c r="TKH5" s="44"/>
      <c r="TKI5" s="44"/>
      <c r="TKJ5" s="44"/>
      <c r="TKK5" s="44"/>
      <c r="TKL5" s="44"/>
      <c r="TKM5" s="44"/>
      <c r="TKN5" s="44"/>
      <c r="TKO5" s="44"/>
      <c r="TKP5" s="44"/>
      <c r="TKQ5" s="44"/>
      <c r="TKR5" s="44"/>
      <c r="TKS5" s="44"/>
      <c r="TKT5" s="44"/>
      <c r="TKU5" s="44"/>
      <c r="TKV5" s="44"/>
      <c r="TKW5" s="44"/>
      <c r="TKX5" s="44"/>
      <c r="TKY5" s="44"/>
      <c r="TKZ5" s="44"/>
      <c r="TLA5" s="44"/>
      <c r="TLB5" s="44"/>
      <c r="TLC5" s="44"/>
      <c r="TLD5" s="44"/>
      <c r="TLE5" s="44"/>
      <c r="TLF5" s="44"/>
      <c r="TLG5" s="44"/>
      <c r="TLH5" s="44"/>
      <c r="TLI5" s="44"/>
      <c r="TLJ5" s="44"/>
      <c r="TLK5" s="44"/>
      <c r="TLL5" s="44"/>
      <c r="TLM5" s="44"/>
      <c r="TLN5" s="44"/>
      <c r="TLO5" s="44"/>
      <c r="TLP5" s="44"/>
      <c r="TLQ5" s="44"/>
      <c r="TLR5" s="44"/>
      <c r="TLS5" s="44"/>
      <c r="TLT5" s="44"/>
      <c r="TLU5" s="44"/>
      <c r="TLV5" s="44"/>
      <c r="TLW5" s="44"/>
      <c r="TLX5" s="44"/>
      <c r="TLY5" s="44"/>
      <c r="TLZ5" s="44"/>
      <c r="TMA5" s="44"/>
      <c r="TMB5" s="44"/>
      <c r="TMC5" s="44"/>
      <c r="TMD5" s="44"/>
      <c r="TME5" s="44"/>
      <c r="TMF5" s="44"/>
      <c r="TMG5" s="44"/>
      <c r="TMH5" s="44"/>
      <c r="TMI5" s="44"/>
      <c r="TMJ5" s="44"/>
      <c r="TMK5" s="44"/>
      <c r="TML5" s="44"/>
      <c r="TMM5" s="44"/>
      <c r="TMN5" s="44"/>
      <c r="TMO5" s="44"/>
      <c r="TMP5" s="44"/>
      <c r="TMQ5" s="44"/>
      <c r="TMR5" s="44"/>
      <c r="TMS5" s="44"/>
      <c r="TMT5" s="44"/>
      <c r="TMU5" s="44"/>
      <c r="TMV5" s="44"/>
      <c r="TMW5" s="44"/>
      <c r="TMX5" s="44"/>
      <c r="TMY5" s="44"/>
      <c r="TMZ5" s="44"/>
      <c r="TNA5" s="44"/>
      <c r="TNB5" s="44"/>
      <c r="TNC5" s="44"/>
      <c r="TND5" s="44"/>
      <c r="TNE5" s="44"/>
      <c r="TNF5" s="44"/>
      <c r="TNG5" s="44"/>
      <c r="TNH5" s="44"/>
      <c r="TNI5" s="44"/>
      <c r="TNJ5" s="44"/>
      <c r="TNK5" s="44"/>
      <c r="TNL5" s="44"/>
      <c r="TNM5" s="44"/>
      <c r="TNN5" s="44"/>
      <c r="TNO5" s="44"/>
      <c r="TNP5" s="44"/>
      <c r="TNQ5" s="44"/>
      <c r="TNR5" s="44"/>
      <c r="TNS5" s="44"/>
      <c r="TNT5" s="44"/>
      <c r="TNU5" s="44"/>
      <c r="TNV5" s="44"/>
      <c r="TNW5" s="44"/>
      <c r="TNX5" s="44"/>
      <c r="TNY5" s="44"/>
      <c r="TNZ5" s="44"/>
      <c r="TOA5" s="44"/>
      <c r="TOB5" s="44"/>
      <c r="TOC5" s="44"/>
      <c r="TOD5" s="44"/>
      <c r="TOE5" s="44"/>
      <c r="TOF5" s="44"/>
      <c r="TOG5" s="44"/>
      <c r="TOH5" s="44"/>
      <c r="TOI5" s="44"/>
      <c r="TOJ5" s="44"/>
      <c r="TOK5" s="44"/>
      <c r="TOL5" s="44"/>
      <c r="TOM5" s="44"/>
      <c r="TON5" s="44"/>
      <c r="TOO5" s="44"/>
      <c r="TOP5" s="44"/>
      <c r="TOQ5" s="44"/>
      <c r="TOR5" s="44"/>
      <c r="TOS5" s="44"/>
      <c r="TOT5" s="44"/>
      <c r="TOU5" s="44"/>
      <c r="TOV5" s="44"/>
      <c r="TOW5" s="44"/>
      <c r="TOX5" s="44"/>
      <c r="TOY5" s="44"/>
      <c r="TOZ5" s="44"/>
      <c r="TPA5" s="44"/>
      <c r="TPB5" s="44"/>
      <c r="TPC5" s="44"/>
      <c r="TPD5" s="44"/>
      <c r="TPE5" s="44"/>
      <c r="TPF5" s="44"/>
      <c r="TPG5" s="44"/>
      <c r="TPH5" s="44"/>
      <c r="TPI5" s="44"/>
      <c r="TPJ5" s="44"/>
      <c r="TPK5" s="44"/>
      <c r="TPL5" s="44"/>
      <c r="TPM5" s="44"/>
      <c r="TPN5" s="44"/>
      <c r="TPO5" s="44"/>
      <c r="TPP5" s="44"/>
      <c r="TPQ5" s="44"/>
      <c r="TPR5" s="44"/>
      <c r="TPS5" s="44"/>
      <c r="TPT5" s="44"/>
      <c r="TPU5" s="44"/>
      <c r="TPV5" s="44"/>
      <c r="TPW5" s="44"/>
      <c r="TPX5" s="44"/>
      <c r="TPY5" s="44"/>
      <c r="TPZ5" s="44"/>
      <c r="TQA5" s="44"/>
      <c r="TQB5" s="44"/>
      <c r="TQC5" s="44"/>
      <c r="TQD5" s="44"/>
      <c r="TQE5" s="44"/>
      <c r="TQF5" s="44"/>
      <c r="TQG5" s="44"/>
      <c r="TQH5" s="44"/>
      <c r="TQI5" s="44"/>
      <c r="TQJ5" s="44"/>
      <c r="TQK5" s="44"/>
      <c r="TQL5" s="44"/>
      <c r="TQM5" s="44"/>
      <c r="TQN5" s="44"/>
      <c r="TQO5" s="44"/>
      <c r="TQP5" s="44"/>
      <c r="TQQ5" s="44"/>
      <c r="TQR5" s="44"/>
      <c r="TQS5" s="44"/>
      <c r="TQT5" s="44"/>
      <c r="TQU5" s="44"/>
      <c r="TQV5" s="44"/>
      <c r="TQW5" s="44"/>
      <c r="TQX5" s="44"/>
      <c r="TQY5" s="44"/>
      <c r="TQZ5" s="44"/>
      <c r="TRA5" s="44"/>
      <c r="TRB5" s="44"/>
      <c r="TRC5" s="44"/>
      <c r="TRD5" s="44"/>
      <c r="TRE5" s="44"/>
      <c r="TRF5" s="44"/>
      <c r="TRG5" s="44"/>
      <c r="TRH5" s="44"/>
      <c r="TRI5" s="44"/>
      <c r="TRJ5" s="44"/>
      <c r="TRK5" s="44"/>
      <c r="TRL5" s="44"/>
      <c r="TRM5" s="44"/>
      <c r="TRN5" s="44"/>
      <c r="TRO5" s="44"/>
      <c r="TRP5" s="44"/>
      <c r="TRQ5" s="44"/>
      <c r="TRR5" s="44"/>
      <c r="TRS5" s="44"/>
      <c r="TRT5" s="44"/>
      <c r="TRU5" s="44"/>
      <c r="TRV5" s="44"/>
      <c r="TRW5" s="44"/>
      <c r="TRX5" s="44"/>
      <c r="TRY5" s="44"/>
      <c r="TRZ5" s="44"/>
      <c r="TSA5" s="44"/>
      <c r="TSB5" s="44"/>
      <c r="TSC5" s="44"/>
      <c r="TSD5" s="44"/>
      <c r="TSE5" s="44"/>
      <c r="TSF5" s="44"/>
      <c r="TSG5" s="44"/>
      <c r="TSH5" s="44"/>
      <c r="TSI5" s="44"/>
      <c r="TSJ5" s="44"/>
      <c r="TSK5" s="44"/>
      <c r="TSL5" s="44"/>
      <c r="TSM5" s="44"/>
      <c r="TSN5" s="44"/>
      <c r="TSO5" s="44"/>
      <c r="TSP5" s="44"/>
      <c r="TSQ5" s="44"/>
      <c r="TSR5" s="44"/>
      <c r="TSS5" s="44"/>
      <c r="TST5" s="44"/>
      <c r="TSU5" s="44"/>
      <c r="TSV5" s="44"/>
      <c r="TSW5" s="44"/>
      <c r="TSX5" s="44"/>
      <c r="TSY5" s="44"/>
      <c r="TSZ5" s="44"/>
      <c r="TTA5" s="44"/>
      <c r="TTB5" s="44"/>
      <c r="TTC5" s="44"/>
      <c r="TTD5" s="44"/>
      <c r="TTE5" s="44"/>
      <c r="TTF5" s="44"/>
      <c r="TTG5" s="44"/>
      <c r="TTH5" s="44"/>
      <c r="TTI5" s="44"/>
      <c r="TTJ5" s="44"/>
      <c r="TTK5" s="44"/>
      <c r="TTL5" s="44"/>
      <c r="TTM5" s="44"/>
      <c r="TTN5" s="44"/>
      <c r="TTO5" s="44"/>
      <c r="TTP5" s="44"/>
      <c r="TTQ5" s="44"/>
      <c r="TTR5" s="44"/>
      <c r="TTS5" s="44"/>
      <c r="TTT5" s="44"/>
      <c r="TTU5" s="44"/>
      <c r="TTV5" s="44"/>
      <c r="TTW5" s="44"/>
      <c r="TTX5" s="44"/>
      <c r="TTY5" s="44"/>
      <c r="TTZ5" s="44"/>
      <c r="TUA5" s="44"/>
      <c r="TUB5" s="44"/>
      <c r="TUC5" s="44"/>
      <c r="TUD5" s="44"/>
      <c r="TUE5" s="44"/>
      <c r="TUF5" s="44"/>
      <c r="TUG5" s="44"/>
      <c r="TUH5" s="44"/>
      <c r="TUI5" s="44"/>
      <c r="TUJ5" s="44"/>
      <c r="TUK5" s="44"/>
      <c r="TUL5" s="44"/>
      <c r="TUM5" s="44"/>
      <c r="TUN5" s="44"/>
      <c r="TUO5" s="44"/>
      <c r="TUP5" s="44"/>
      <c r="TUQ5" s="44"/>
      <c r="TUR5" s="44"/>
      <c r="TUS5" s="44"/>
      <c r="TUT5" s="44"/>
      <c r="TUU5" s="44"/>
      <c r="TUV5" s="44"/>
      <c r="TUW5" s="44"/>
      <c r="TUX5" s="44"/>
      <c r="TUY5" s="44"/>
      <c r="TUZ5" s="44"/>
      <c r="TVA5" s="44"/>
      <c r="TVB5" s="44"/>
      <c r="TVC5" s="44"/>
      <c r="TVD5" s="44"/>
      <c r="TVE5" s="44"/>
      <c r="TVF5" s="44"/>
      <c r="TVG5" s="44"/>
      <c r="TVH5" s="44"/>
      <c r="TVI5" s="44"/>
      <c r="TVJ5" s="44"/>
      <c r="TVK5" s="44"/>
      <c r="TVL5" s="44"/>
      <c r="TVM5" s="44"/>
      <c r="TVN5" s="44"/>
      <c r="TVO5" s="44"/>
      <c r="TVP5" s="44"/>
      <c r="TVQ5" s="44"/>
      <c r="TVR5" s="44"/>
      <c r="TVS5" s="44"/>
      <c r="TVT5" s="44"/>
      <c r="TVU5" s="44"/>
      <c r="TVV5" s="44"/>
      <c r="TVW5" s="44"/>
      <c r="TVX5" s="44"/>
      <c r="TVY5" s="44"/>
      <c r="TVZ5" s="44"/>
      <c r="TWA5" s="44"/>
      <c r="TWB5" s="44"/>
      <c r="TWC5" s="44"/>
      <c r="TWD5" s="44"/>
      <c r="TWE5" s="44"/>
      <c r="TWF5" s="44"/>
      <c r="TWG5" s="44"/>
      <c r="TWH5" s="44"/>
      <c r="TWI5" s="44"/>
      <c r="TWJ5" s="44"/>
      <c r="TWK5" s="44"/>
      <c r="TWL5" s="44"/>
      <c r="TWM5" s="44"/>
      <c r="TWN5" s="44"/>
      <c r="TWO5" s="44"/>
      <c r="TWP5" s="44"/>
      <c r="TWQ5" s="44"/>
      <c r="TWR5" s="44"/>
      <c r="TWS5" s="44"/>
      <c r="TWT5" s="44"/>
      <c r="TWU5" s="44"/>
      <c r="TWV5" s="44"/>
      <c r="TWW5" s="44"/>
      <c r="TWX5" s="44"/>
      <c r="TWY5" s="44"/>
      <c r="TWZ5" s="44"/>
      <c r="TXA5" s="44"/>
      <c r="TXB5" s="44"/>
      <c r="TXC5" s="44"/>
      <c r="TXD5" s="44"/>
      <c r="TXE5" s="44"/>
      <c r="TXF5" s="44"/>
      <c r="TXG5" s="44"/>
      <c r="TXH5" s="44"/>
      <c r="TXI5" s="44"/>
      <c r="TXJ5" s="44"/>
      <c r="TXK5" s="44"/>
      <c r="TXL5" s="44"/>
      <c r="TXM5" s="44"/>
      <c r="TXN5" s="44"/>
      <c r="TXO5" s="44"/>
      <c r="TXP5" s="44"/>
      <c r="TXQ5" s="44"/>
      <c r="TXR5" s="44"/>
      <c r="TXS5" s="44"/>
      <c r="TXT5" s="44"/>
      <c r="TXU5" s="44"/>
      <c r="TXV5" s="44"/>
      <c r="TXW5" s="44"/>
      <c r="TXX5" s="44"/>
      <c r="TXY5" s="44"/>
      <c r="TXZ5" s="44"/>
      <c r="TYA5" s="44"/>
      <c r="TYB5" s="44"/>
      <c r="TYC5" s="44"/>
      <c r="TYD5" s="44"/>
      <c r="TYE5" s="44"/>
      <c r="TYF5" s="44"/>
      <c r="TYG5" s="44"/>
      <c r="TYH5" s="44"/>
      <c r="TYI5" s="44"/>
      <c r="TYJ5" s="44"/>
      <c r="TYK5" s="44"/>
      <c r="TYL5" s="44"/>
      <c r="TYM5" s="44"/>
      <c r="TYN5" s="44"/>
      <c r="TYO5" s="44"/>
      <c r="TYP5" s="44"/>
      <c r="TYQ5" s="44"/>
      <c r="TYR5" s="44"/>
      <c r="TYS5" s="44"/>
      <c r="TYT5" s="44"/>
      <c r="TYU5" s="44"/>
      <c r="TYV5" s="44"/>
      <c r="TYW5" s="44"/>
      <c r="TYX5" s="44"/>
      <c r="TYY5" s="44"/>
      <c r="TYZ5" s="44"/>
      <c r="TZA5" s="44"/>
      <c r="TZB5" s="44"/>
      <c r="TZC5" s="44"/>
      <c r="TZD5" s="44"/>
      <c r="TZE5" s="44"/>
      <c r="TZF5" s="44"/>
      <c r="TZG5" s="44"/>
      <c r="TZH5" s="44"/>
      <c r="TZI5" s="44"/>
      <c r="TZJ5" s="44"/>
      <c r="TZK5" s="44"/>
      <c r="TZL5" s="44"/>
      <c r="TZM5" s="44"/>
      <c r="TZN5" s="44"/>
      <c r="TZO5" s="44"/>
      <c r="TZP5" s="44"/>
      <c r="TZQ5" s="44"/>
      <c r="TZR5" s="44"/>
      <c r="TZS5" s="44"/>
      <c r="TZT5" s="44"/>
      <c r="TZU5" s="44"/>
      <c r="TZV5" s="44"/>
      <c r="TZW5" s="44"/>
      <c r="TZX5" s="44"/>
      <c r="TZY5" s="44"/>
      <c r="TZZ5" s="44"/>
      <c r="UAA5" s="44"/>
      <c r="UAB5" s="44"/>
      <c r="UAC5" s="44"/>
      <c r="UAD5" s="44"/>
      <c r="UAE5" s="44"/>
      <c r="UAF5" s="44"/>
      <c r="UAG5" s="44"/>
      <c r="UAH5" s="44"/>
      <c r="UAI5" s="44"/>
      <c r="UAJ5" s="44"/>
      <c r="UAK5" s="44"/>
      <c r="UAL5" s="44"/>
      <c r="UAM5" s="44"/>
      <c r="UAN5" s="44"/>
      <c r="UAO5" s="44"/>
      <c r="UAP5" s="44"/>
      <c r="UAQ5" s="44"/>
      <c r="UAR5" s="44"/>
      <c r="UAS5" s="44"/>
      <c r="UAT5" s="44"/>
      <c r="UAU5" s="44"/>
      <c r="UAV5" s="44"/>
      <c r="UAW5" s="44"/>
      <c r="UAX5" s="44"/>
      <c r="UAY5" s="44"/>
      <c r="UAZ5" s="44"/>
      <c r="UBA5" s="44"/>
      <c r="UBB5" s="44"/>
      <c r="UBC5" s="44"/>
      <c r="UBD5" s="44"/>
      <c r="UBE5" s="44"/>
      <c r="UBF5" s="44"/>
      <c r="UBG5" s="44"/>
      <c r="UBH5" s="44"/>
      <c r="UBI5" s="44"/>
      <c r="UBJ5" s="44"/>
      <c r="UBK5" s="44"/>
      <c r="UBL5" s="44"/>
      <c r="UBM5" s="44"/>
      <c r="UBN5" s="44"/>
      <c r="UBO5" s="44"/>
      <c r="UBP5" s="44"/>
      <c r="UBQ5" s="44"/>
      <c r="UBR5" s="44"/>
      <c r="UBS5" s="44"/>
      <c r="UBT5" s="44"/>
      <c r="UBU5" s="44"/>
      <c r="UBV5" s="44"/>
      <c r="UBW5" s="44"/>
      <c r="UBX5" s="44"/>
      <c r="UBY5" s="44"/>
      <c r="UBZ5" s="44"/>
      <c r="UCA5" s="44"/>
      <c r="UCB5" s="44"/>
      <c r="UCC5" s="44"/>
      <c r="UCD5" s="44"/>
      <c r="UCE5" s="44"/>
      <c r="UCF5" s="44"/>
      <c r="UCG5" s="44"/>
      <c r="UCH5" s="44"/>
      <c r="UCI5" s="44"/>
      <c r="UCJ5" s="44"/>
      <c r="UCK5" s="44"/>
      <c r="UCL5" s="44"/>
      <c r="UCM5" s="44"/>
      <c r="UCN5" s="44"/>
      <c r="UCO5" s="44"/>
      <c r="UCP5" s="44"/>
      <c r="UCQ5" s="44"/>
      <c r="UCR5" s="44"/>
      <c r="UCS5" s="44"/>
      <c r="UCT5" s="44"/>
      <c r="UCU5" s="44"/>
      <c r="UCV5" s="44"/>
      <c r="UCW5" s="44"/>
      <c r="UCX5" s="44"/>
      <c r="UCY5" s="44"/>
      <c r="UCZ5" s="44"/>
      <c r="UDA5" s="44"/>
      <c r="UDB5" s="44"/>
      <c r="UDC5" s="44"/>
      <c r="UDD5" s="44"/>
      <c r="UDE5" s="44"/>
      <c r="UDF5" s="44"/>
      <c r="UDG5" s="44"/>
      <c r="UDH5" s="44"/>
      <c r="UDI5" s="44"/>
      <c r="UDJ5" s="44"/>
      <c r="UDK5" s="44"/>
      <c r="UDL5" s="44"/>
      <c r="UDM5" s="44"/>
      <c r="UDN5" s="44"/>
      <c r="UDO5" s="44"/>
      <c r="UDP5" s="44"/>
      <c r="UDQ5" s="44"/>
      <c r="UDR5" s="44"/>
      <c r="UDS5" s="44"/>
      <c r="UDT5" s="44"/>
      <c r="UDU5" s="44"/>
      <c r="UDV5" s="44"/>
      <c r="UDW5" s="44"/>
      <c r="UDX5" s="44"/>
      <c r="UDY5" s="44"/>
      <c r="UDZ5" s="44"/>
      <c r="UEA5" s="44"/>
      <c r="UEB5" s="44"/>
      <c r="UEC5" s="44"/>
      <c r="UED5" s="44"/>
      <c r="UEE5" s="44"/>
      <c r="UEF5" s="44"/>
      <c r="UEG5" s="44"/>
      <c r="UEH5" s="44"/>
      <c r="UEI5" s="44"/>
      <c r="UEJ5" s="44"/>
      <c r="UEK5" s="44"/>
      <c r="UEL5" s="44"/>
      <c r="UEM5" s="44"/>
      <c r="UEN5" s="44"/>
      <c r="UEO5" s="44"/>
      <c r="UEP5" s="44"/>
      <c r="UEQ5" s="44"/>
      <c r="UER5" s="44"/>
      <c r="UES5" s="44"/>
      <c r="UET5" s="44"/>
      <c r="UEU5" s="44"/>
      <c r="UEV5" s="44"/>
      <c r="UEW5" s="44"/>
      <c r="UEX5" s="44"/>
      <c r="UEY5" s="44"/>
      <c r="UEZ5" s="44"/>
      <c r="UFA5" s="44"/>
      <c r="UFB5" s="44"/>
      <c r="UFC5" s="44"/>
      <c r="UFD5" s="44"/>
      <c r="UFE5" s="44"/>
      <c r="UFF5" s="44"/>
      <c r="UFG5" s="44"/>
      <c r="UFH5" s="44"/>
      <c r="UFI5" s="44"/>
      <c r="UFJ5" s="44"/>
      <c r="UFK5" s="44"/>
      <c r="UFL5" s="44"/>
      <c r="UFM5" s="44"/>
      <c r="UFN5" s="44"/>
      <c r="UFO5" s="44"/>
      <c r="UFP5" s="44"/>
      <c r="UFQ5" s="44"/>
      <c r="UFR5" s="44"/>
      <c r="UFS5" s="44"/>
      <c r="UFT5" s="44"/>
      <c r="UFU5" s="44"/>
      <c r="UFV5" s="44"/>
      <c r="UFW5" s="44"/>
      <c r="UFX5" s="44"/>
      <c r="UFY5" s="44"/>
      <c r="UFZ5" s="44"/>
      <c r="UGA5" s="44"/>
      <c r="UGB5" s="44"/>
      <c r="UGC5" s="44"/>
      <c r="UGD5" s="44"/>
      <c r="UGE5" s="44"/>
      <c r="UGF5" s="44"/>
      <c r="UGG5" s="44"/>
      <c r="UGH5" s="44"/>
      <c r="UGI5" s="44"/>
      <c r="UGJ5" s="44"/>
      <c r="UGK5" s="44"/>
      <c r="UGL5" s="44"/>
      <c r="UGM5" s="44"/>
      <c r="UGN5" s="44"/>
      <c r="UGO5" s="44"/>
      <c r="UGP5" s="44"/>
      <c r="UGQ5" s="44"/>
      <c r="UGR5" s="44"/>
      <c r="UGS5" s="44"/>
      <c r="UGT5" s="44"/>
      <c r="UGU5" s="44"/>
      <c r="UGV5" s="44"/>
      <c r="UGW5" s="44"/>
      <c r="UGX5" s="44"/>
      <c r="UGY5" s="44"/>
      <c r="UGZ5" s="44"/>
      <c r="UHA5" s="44"/>
      <c r="UHB5" s="44"/>
      <c r="UHC5" s="44"/>
      <c r="UHD5" s="44"/>
      <c r="UHE5" s="44"/>
      <c r="UHF5" s="44"/>
      <c r="UHG5" s="44"/>
      <c r="UHH5" s="44"/>
      <c r="UHI5" s="44"/>
      <c r="UHJ5" s="44"/>
      <c r="UHK5" s="44"/>
      <c r="UHL5" s="44"/>
      <c r="UHM5" s="44"/>
      <c r="UHN5" s="44"/>
      <c r="UHO5" s="44"/>
      <c r="UHP5" s="44"/>
      <c r="UHQ5" s="44"/>
      <c r="UHR5" s="44"/>
      <c r="UHS5" s="44"/>
      <c r="UHT5" s="44"/>
      <c r="UHU5" s="44"/>
      <c r="UHV5" s="44"/>
      <c r="UHW5" s="44"/>
      <c r="UHX5" s="44"/>
      <c r="UHY5" s="44"/>
      <c r="UHZ5" s="44"/>
      <c r="UIA5" s="44"/>
      <c r="UIB5" s="44"/>
      <c r="UIC5" s="44"/>
      <c r="UID5" s="44"/>
      <c r="UIE5" s="44"/>
      <c r="UIF5" s="44"/>
      <c r="UIG5" s="44"/>
      <c r="UIH5" s="44"/>
      <c r="UII5" s="44"/>
      <c r="UIJ5" s="44"/>
      <c r="UIK5" s="44"/>
      <c r="UIL5" s="44"/>
      <c r="UIM5" s="44"/>
      <c r="UIN5" s="44"/>
      <c r="UIO5" s="44"/>
      <c r="UIP5" s="44"/>
      <c r="UIQ5" s="44"/>
      <c r="UIR5" s="44"/>
      <c r="UIS5" s="44"/>
      <c r="UIT5" s="44"/>
      <c r="UIU5" s="44"/>
      <c r="UIV5" s="44"/>
      <c r="UIW5" s="44"/>
      <c r="UIX5" s="44"/>
      <c r="UIY5" s="44"/>
      <c r="UIZ5" s="44"/>
      <c r="UJA5" s="44"/>
      <c r="UJB5" s="44"/>
      <c r="UJC5" s="44"/>
      <c r="UJD5" s="44"/>
      <c r="UJE5" s="44"/>
      <c r="UJF5" s="44"/>
      <c r="UJG5" s="44"/>
      <c r="UJH5" s="44"/>
      <c r="UJI5" s="44"/>
      <c r="UJJ5" s="44"/>
      <c r="UJK5" s="44"/>
      <c r="UJL5" s="44"/>
      <c r="UJM5" s="44"/>
      <c r="UJN5" s="44"/>
      <c r="UJO5" s="44"/>
      <c r="UJP5" s="44"/>
      <c r="UJQ5" s="44"/>
      <c r="UJR5" s="44"/>
      <c r="UJS5" s="44"/>
      <c r="UJT5" s="44"/>
      <c r="UJU5" s="44"/>
      <c r="UJV5" s="44"/>
      <c r="UJW5" s="44"/>
      <c r="UJX5" s="44"/>
      <c r="UJY5" s="44"/>
      <c r="UJZ5" s="44"/>
      <c r="UKA5" s="44"/>
      <c r="UKB5" s="44"/>
      <c r="UKC5" s="44"/>
      <c r="UKD5" s="44"/>
      <c r="UKE5" s="44"/>
      <c r="UKF5" s="44"/>
      <c r="UKG5" s="44"/>
      <c r="UKH5" s="44"/>
      <c r="UKI5" s="44"/>
      <c r="UKJ5" s="44"/>
      <c r="UKK5" s="44"/>
      <c r="UKL5" s="44"/>
      <c r="UKM5" s="44"/>
      <c r="UKN5" s="44"/>
      <c r="UKO5" s="44"/>
      <c r="UKP5" s="44"/>
      <c r="UKQ5" s="44"/>
      <c r="UKR5" s="44"/>
      <c r="UKS5" s="44"/>
      <c r="UKT5" s="44"/>
      <c r="UKU5" s="44"/>
      <c r="UKV5" s="44"/>
      <c r="UKW5" s="44"/>
      <c r="UKX5" s="44"/>
      <c r="UKY5" s="44"/>
      <c r="UKZ5" s="44"/>
      <c r="ULA5" s="44"/>
      <c r="ULB5" s="44"/>
      <c r="ULC5" s="44"/>
      <c r="ULD5" s="44"/>
      <c r="ULE5" s="44"/>
      <c r="ULF5" s="44"/>
      <c r="ULG5" s="44"/>
      <c r="ULH5" s="44"/>
      <c r="ULI5" s="44"/>
      <c r="ULJ5" s="44"/>
      <c r="ULK5" s="44"/>
      <c r="ULL5" s="44"/>
      <c r="ULM5" s="44"/>
      <c r="ULN5" s="44"/>
      <c r="ULO5" s="44"/>
      <c r="ULP5" s="44"/>
      <c r="ULQ5" s="44"/>
      <c r="ULR5" s="44"/>
      <c r="ULS5" s="44"/>
      <c r="ULT5" s="44"/>
      <c r="ULU5" s="44"/>
      <c r="ULV5" s="44"/>
      <c r="ULW5" s="44"/>
      <c r="ULX5" s="44"/>
      <c r="ULY5" s="44"/>
      <c r="ULZ5" s="44"/>
      <c r="UMA5" s="44"/>
      <c r="UMB5" s="44"/>
      <c r="UMC5" s="44"/>
      <c r="UMD5" s="44"/>
      <c r="UME5" s="44"/>
      <c r="UMF5" s="44"/>
      <c r="UMG5" s="44"/>
      <c r="UMH5" s="44"/>
      <c r="UMI5" s="44"/>
      <c r="UMJ5" s="44"/>
      <c r="UMK5" s="44"/>
      <c r="UML5" s="44"/>
      <c r="UMM5" s="44"/>
      <c r="UMN5" s="44"/>
      <c r="UMO5" s="44"/>
      <c r="UMP5" s="44"/>
      <c r="UMQ5" s="44"/>
      <c r="UMR5" s="44"/>
      <c r="UMS5" s="44"/>
      <c r="UMT5" s="44"/>
      <c r="UMU5" s="44"/>
      <c r="UMV5" s="44"/>
      <c r="UMW5" s="44"/>
      <c r="UMX5" s="44"/>
      <c r="UMY5" s="44"/>
      <c r="UMZ5" s="44"/>
      <c r="UNA5" s="44"/>
      <c r="UNB5" s="44"/>
      <c r="UNC5" s="44"/>
      <c r="UND5" s="44"/>
      <c r="UNE5" s="44"/>
      <c r="UNF5" s="44"/>
      <c r="UNG5" s="44"/>
      <c r="UNH5" s="44"/>
      <c r="UNI5" s="44"/>
      <c r="UNJ5" s="44"/>
      <c r="UNK5" s="44"/>
      <c r="UNL5" s="44"/>
      <c r="UNM5" s="44"/>
      <c r="UNN5" s="44"/>
      <c r="UNO5" s="44"/>
      <c r="UNP5" s="44"/>
      <c r="UNQ5" s="44"/>
      <c r="UNR5" s="44"/>
      <c r="UNS5" s="44"/>
      <c r="UNT5" s="44"/>
      <c r="UNU5" s="44"/>
      <c r="UNV5" s="44"/>
      <c r="UNW5" s="44"/>
      <c r="UNX5" s="44"/>
      <c r="UNY5" s="44"/>
      <c r="UNZ5" s="44"/>
      <c r="UOA5" s="44"/>
      <c r="UOB5" s="44"/>
      <c r="UOC5" s="44"/>
      <c r="UOD5" s="44"/>
      <c r="UOE5" s="44"/>
      <c r="UOF5" s="44"/>
      <c r="UOG5" s="44"/>
      <c r="UOH5" s="44"/>
      <c r="UOI5" s="44"/>
      <c r="UOJ5" s="44"/>
      <c r="UOK5" s="44"/>
      <c r="UOL5" s="44"/>
      <c r="UOM5" s="44"/>
      <c r="UON5" s="44"/>
      <c r="UOO5" s="44"/>
      <c r="UOP5" s="44"/>
      <c r="UOQ5" s="44"/>
      <c r="UOR5" s="44"/>
      <c r="UOS5" s="44"/>
      <c r="UOT5" s="44"/>
      <c r="UOU5" s="44"/>
      <c r="UOV5" s="44"/>
      <c r="UOW5" s="44"/>
      <c r="UOX5" s="44"/>
      <c r="UOY5" s="44"/>
      <c r="UOZ5" s="44"/>
      <c r="UPA5" s="44"/>
      <c r="UPB5" s="44"/>
      <c r="UPC5" s="44"/>
      <c r="UPD5" s="44"/>
      <c r="UPE5" s="44"/>
      <c r="UPF5" s="44"/>
      <c r="UPG5" s="44"/>
      <c r="UPH5" s="44"/>
      <c r="UPI5" s="44"/>
      <c r="UPJ5" s="44"/>
      <c r="UPK5" s="44"/>
      <c r="UPL5" s="44"/>
      <c r="UPM5" s="44"/>
      <c r="UPN5" s="44"/>
      <c r="UPO5" s="44"/>
      <c r="UPP5" s="44"/>
      <c r="UPQ5" s="44"/>
      <c r="UPR5" s="44"/>
      <c r="UPS5" s="44"/>
      <c r="UPT5" s="44"/>
      <c r="UPU5" s="44"/>
      <c r="UPV5" s="44"/>
      <c r="UPW5" s="44"/>
      <c r="UPX5" s="44"/>
      <c r="UPY5" s="44"/>
      <c r="UPZ5" s="44"/>
      <c r="UQA5" s="44"/>
      <c r="UQB5" s="44"/>
      <c r="UQC5" s="44"/>
      <c r="UQD5" s="44"/>
      <c r="UQE5" s="44"/>
      <c r="UQF5" s="44"/>
      <c r="UQG5" s="44"/>
      <c r="UQH5" s="44"/>
      <c r="UQI5" s="44"/>
      <c r="UQJ5" s="44"/>
      <c r="UQK5" s="44"/>
      <c r="UQL5" s="44"/>
      <c r="UQM5" s="44"/>
      <c r="UQN5" s="44"/>
      <c r="UQO5" s="44"/>
      <c r="UQP5" s="44"/>
      <c r="UQQ5" s="44"/>
      <c r="UQR5" s="44"/>
      <c r="UQS5" s="44"/>
      <c r="UQT5" s="44"/>
      <c r="UQU5" s="44"/>
      <c r="UQV5" s="44"/>
      <c r="UQW5" s="44"/>
      <c r="UQX5" s="44"/>
      <c r="UQY5" s="44"/>
      <c r="UQZ5" s="44"/>
      <c r="URA5" s="44"/>
      <c r="URB5" s="44"/>
      <c r="URC5" s="44"/>
      <c r="URD5" s="44"/>
      <c r="URE5" s="44"/>
      <c r="URF5" s="44"/>
      <c r="URG5" s="44"/>
      <c r="URH5" s="44"/>
      <c r="URI5" s="44"/>
      <c r="URJ5" s="44"/>
      <c r="URK5" s="44"/>
      <c r="URL5" s="44"/>
      <c r="URM5" s="44"/>
      <c r="URN5" s="44"/>
      <c r="URO5" s="44"/>
      <c r="URP5" s="44"/>
      <c r="URQ5" s="44"/>
      <c r="URR5" s="44"/>
      <c r="URS5" s="44"/>
      <c r="URT5" s="44"/>
      <c r="URU5" s="44"/>
      <c r="URV5" s="44"/>
      <c r="URW5" s="44"/>
      <c r="URX5" s="44"/>
      <c r="URY5" s="44"/>
      <c r="URZ5" s="44"/>
      <c r="USA5" s="44"/>
      <c r="USB5" s="44"/>
      <c r="USC5" s="44"/>
      <c r="USD5" s="44"/>
      <c r="USE5" s="44"/>
      <c r="USF5" s="44"/>
      <c r="USG5" s="44"/>
      <c r="USH5" s="44"/>
      <c r="USI5" s="44"/>
      <c r="USJ5" s="44"/>
      <c r="USK5" s="44"/>
      <c r="USL5" s="44"/>
      <c r="USM5" s="44"/>
      <c r="USN5" s="44"/>
      <c r="USO5" s="44"/>
      <c r="USP5" s="44"/>
      <c r="USQ5" s="44"/>
      <c r="USR5" s="44"/>
      <c r="USS5" s="44"/>
      <c r="UST5" s="44"/>
      <c r="USU5" s="44"/>
      <c r="USV5" s="44"/>
      <c r="USW5" s="44"/>
      <c r="USX5" s="44"/>
      <c r="USY5" s="44"/>
      <c r="USZ5" s="44"/>
      <c r="UTA5" s="44"/>
      <c r="UTB5" s="44"/>
      <c r="UTC5" s="44"/>
      <c r="UTD5" s="44"/>
      <c r="UTE5" s="44"/>
      <c r="UTF5" s="44"/>
      <c r="UTG5" s="44"/>
      <c r="UTH5" s="44"/>
      <c r="UTI5" s="44"/>
      <c r="UTJ5" s="44"/>
      <c r="UTK5" s="44"/>
      <c r="UTL5" s="44"/>
      <c r="UTM5" s="44"/>
      <c r="UTN5" s="44"/>
      <c r="UTO5" s="44"/>
      <c r="UTP5" s="44"/>
      <c r="UTQ5" s="44"/>
      <c r="UTR5" s="44"/>
      <c r="UTS5" s="44"/>
      <c r="UTT5" s="44"/>
      <c r="UTU5" s="44"/>
      <c r="UTV5" s="44"/>
      <c r="UTW5" s="44"/>
      <c r="UTX5" s="44"/>
      <c r="UTY5" s="44"/>
      <c r="UTZ5" s="44"/>
      <c r="UUA5" s="44"/>
      <c r="UUB5" s="44"/>
      <c r="UUC5" s="44"/>
      <c r="UUD5" s="44"/>
      <c r="UUE5" s="44"/>
      <c r="UUF5" s="44"/>
      <c r="UUG5" s="44"/>
      <c r="UUH5" s="44"/>
      <c r="UUI5" s="44"/>
      <c r="UUJ5" s="44"/>
      <c r="UUK5" s="44"/>
      <c r="UUL5" s="44"/>
      <c r="UUM5" s="44"/>
      <c r="UUN5" s="44"/>
      <c r="UUO5" s="44"/>
      <c r="UUP5" s="44"/>
      <c r="UUQ5" s="44"/>
      <c r="UUR5" s="44"/>
      <c r="UUS5" s="44"/>
      <c r="UUT5" s="44"/>
      <c r="UUU5" s="44"/>
      <c r="UUV5" s="44"/>
      <c r="UUW5" s="44"/>
      <c r="UUX5" s="44"/>
      <c r="UUY5" s="44"/>
      <c r="UUZ5" s="44"/>
      <c r="UVA5" s="44"/>
      <c r="UVB5" s="44"/>
      <c r="UVC5" s="44"/>
      <c r="UVD5" s="44"/>
      <c r="UVE5" s="44"/>
      <c r="UVF5" s="44"/>
      <c r="UVG5" s="44"/>
      <c r="UVH5" s="44"/>
      <c r="UVI5" s="44"/>
      <c r="UVJ5" s="44"/>
      <c r="UVK5" s="44"/>
      <c r="UVL5" s="44"/>
      <c r="UVM5" s="44"/>
      <c r="UVN5" s="44"/>
      <c r="UVO5" s="44"/>
      <c r="UVP5" s="44"/>
      <c r="UVQ5" s="44"/>
      <c r="UVR5" s="44"/>
      <c r="UVS5" s="44"/>
      <c r="UVT5" s="44"/>
      <c r="UVU5" s="44"/>
      <c r="UVV5" s="44"/>
      <c r="UVW5" s="44"/>
      <c r="UVX5" s="44"/>
      <c r="UVY5" s="44"/>
      <c r="UVZ5" s="44"/>
      <c r="UWA5" s="44"/>
      <c r="UWB5" s="44"/>
      <c r="UWC5" s="44"/>
      <c r="UWD5" s="44"/>
      <c r="UWE5" s="44"/>
      <c r="UWF5" s="44"/>
      <c r="UWG5" s="44"/>
      <c r="UWH5" s="44"/>
      <c r="UWI5" s="44"/>
      <c r="UWJ5" s="44"/>
      <c r="UWK5" s="44"/>
      <c r="UWL5" s="44"/>
      <c r="UWM5" s="44"/>
      <c r="UWN5" s="44"/>
      <c r="UWO5" s="44"/>
      <c r="UWP5" s="44"/>
      <c r="UWQ5" s="44"/>
      <c r="UWR5" s="44"/>
      <c r="UWS5" s="44"/>
      <c r="UWT5" s="44"/>
      <c r="UWU5" s="44"/>
      <c r="UWV5" s="44"/>
      <c r="UWW5" s="44"/>
      <c r="UWX5" s="44"/>
      <c r="UWY5" s="44"/>
      <c r="UWZ5" s="44"/>
      <c r="UXA5" s="44"/>
      <c r="UXB5" s="44"/>
      <c r="UXC5" s="44"/>
      <c r="UXD5" s="44"/>
      <c r="UXE5" s="44"/>
      <c r="UXF5" s="44"/>
      <c r="UXG5" s="44"/>
      <c r="UXH5" s="44"/>
      <c r="UXI5" s="44"/>
      <c r="UXJ5" s="44"/>
      <c r="UXK5" s="44"/>
      <c r="UXL5" s="44"/>
      <c r="UXM5" s="44"/>
      <c r="UXN5" s="44"/>
      <c r="UXO5" s="44"/>
      <c r="UXP5" s="44"/>
      <c r="UXQ5" s="44"/>
      <c r="UXR5" s="44"/>
      <c r="UXS5" s="44"/>
      <c r="UXT5" s="44"/>
      <c r="UXU5" s="44"/>
      <c r="UXV5" s="44"/>
      <c r="UXW5" s="44"/>
      <c r="UXX5" s="44"/>
      <c r="UXY5" s="44"/>
      <c r="UXZ5" s="44"/>
      <c r="UYA5" s="44"/>
      <c r="UYB5" s="44"/>
      <c r="UYC5" s="44"/>
      <c r="UYD5" s="44"/>
      <c r="UYE5" s="44"/>
      <c r="UYF5" s="44"/>
      <c r="UYG5" s="44"/>
      <c r="UYH5" s="44"/>
      <c r="UYI5" s="44"/>
      <c r="UYJ5" s="44"/>
      <c r="UYK5" s="44"/>
      <c r="UYL5" s="44"/>
      <c r="UYM5" s="44"/>
      <c r="UYN5" s="44"/>
      <c r="UYO5" s="44"/>
      <c r="UYP5" s="44"/>
      <c r="UYQ5" s="44"/>
      <c r="UYR5" s="44"/>
      <c r="UYS5" s="44"/>
      <c r="UYT5" s="44"/>
      <c r="UYU5" s="44"/>
      <c r="UYV5" s="44"/>
      <c r="UYW5" s="44"/>
      <c r="UYX5" s="44"/>
      <c r="UYY5" s="44"/>
      <c r="UYZ5" s="44"/>
      <c r="UZA5" s="44"/>
      <c r="UZB5" s="44"/>
      <c r="UZC5" s="44"/>
      <c r="UZD5" s="44"/>
      <c r="UZE5" s="44"/>
      <c r="UZF5" s="44"/>
      <c r="UZG5" s="44"/>
      <c r="UZH5" s="44"/>
      <c r="UZI5" s="44"/>
      <c r="UZJ5" s="44"/>
      <c r="UZK5" s="44"/>
      <c r="UZL5" s="44"/>
      <c r="UZM5" s="44"/>
      <c r="UZN5" s="44"/>
      <c r="UZO5" s="44"/>
      <c r="UZP5" s="44"/>
      <c r="UZQ5" s="44"/>
      <c r="UZR5" s="44"/>
      <c r="UZS5" s="44"/>
      <c r="UZT5" s="44"/>
      <c r="UZU5" s="44"/>
      <c r="UZV5" s="44"/>
      <c r="UZW5" s="44"/>
      <c r="UZX5" s="44"/>
      <c r="UZY5" s="44"/>
      <c r="UZZ5" s="44"/>
      <c r="VAA5" s="44"/>
      <c r="VAB5" s="44"/>
      <c r="VAC5" s="44"/>
      <c r="VAD5" s="44"/>
      <c r="VAE5" s="44"/>
      <c r="VAF5" s="44"/>
      <c r="VAG5" s="44"/>
      <c r="VAH5" s="44"/>
      <c r="VAI5" s="44"/>
      <c r="VAJ5" s="44"/>
      <c r="VAK5" s="44"/>
      <c r="VAL5" s="44"/>
      <c r="VAM5" s="44"/>
      <c r="VAN5" s="44"/>
      <c r="VAO5" s="44"/>
      <c r="VAP5" s="44"/>
      <c r="VAQ5" s="44"/>
      <c r="VAR5" s="44"/>
      <c r="VAS5" s="44"/>
      <c r="VAT5" s="44"/>
      <c r="VAU5" s="44"/>
      <c r="VAV5" s="44"/>
      <c r="VAW5" s="44"/>
      <c r="VAX5" s="44"/>
      <c r="VAY5" s="44"/>
      <c r="VAZ5" s="44"/>
      <c r="VBA5" s="44"/>
      <c r="VBB5" s="44"/>
      <c r="VBC5" s="44"/>
      <c r="VBD5" s="44"/>
      <c r="VBE5" s="44"/>
      <c r="VBF5" s="44"/>
      <c r="VBG5" s="44"/>
      <c r="VBH5" s="44"/>
      <c r="VBI5" s="44"/>
      <c r="VBJ5" s="44"/>
      <c r="VBK5" s="44"/>
      <c r="VBL5" s="44"/>
      <c r="VBM5" s="44"/>
      <c r="VBN5" s="44"/>
      <c r="VBO5" s="44"/>
      <c r="VBP5" s="44"/>
      <c r="VBQ5" s="44"/>
      <c r="VBR5" s="44"/>
      <c r="VBS5" s="44"/>
      <c r="VBT5" s="44"/>
      <c r="VBU5" s="44"/>
      <c r="VBV5" s="44"/>
      <c r="VBW5" s="44"/>
      <c r="VBX5" s="44"/>
      <c r="VBY5" s="44"/>
      <c r="VBZ5" s="44"/>
      <c r="VCA5" s="44"/>
      <c r="VCB5" s="44"/>
      <c r="VCC5" s="44"/>
      <c r="VCD5" s="44"/>
      <c r="VCE5" s="44"/>
      <c r="VCF5" s="44"/>
      <c r="VCG5" s="44"/>
      <c r="VCH5" s="44"/>
      <c r="VCI5" s="44"/>
      <c r="VCJ5" s="44"/>
      <c r="VCK5" s="44"/>
      <c r="VCL5" s="44"/>
      <c r="VCM5" s="44"/>
      <c r="VCN5" s="44"/>
      <c r="VCO5" s="44"/>
      <c r="VCP5" s="44"/>
      <c r="VCQ5" s="44"/>
      <c r="VCR5" s="44"/>
      <c r="VCS5" s="44"/>
      <c r="VCT5" s="44"/>
      <c r="VCU5" s="44"/>
      <c r="VCV5" s="44"/>
      <c r="VCW5" s="44"/>
      <c r="VCX5" s="44"/>
      <c r="VCY5" s="44"/>
      <c r="VCZ5" s="44"/>
      <c r="VDA5" s="44"/>
      <c r="VDB5" s="44"/>
      <c r="VDC5" s="44"/>
      <c r="VDD5" s="44"/>
      <c r="VDE5" s="44"/>
      <c r="VDF5" s="44"/>
      <c r="VDG5" s="44"/>
      <c r="VDH5" s="44"/>
      <c r="VDI5" s="44"/>
      <c r="VDJ5" s="44"/>
      <c r="VDK5" s="44"/>
      <c r="VDL5" s="44"/>
      <c r="VDM5" s="44"/>
      <c r="VDN5" s="44"/>
      <c r="VDO5" s="44"/>
      <c r="VDP5" s="44"/>
      <c r="VDQ5" s="44"/>
      <c r="VDR5" s="44"/>
      <c r="VDS5" s="44"/>
      <c r="VDT5" s="44"/>
      <c r="VDU5" s="44"/>
      <c r="VDV5" s="44"/>
      <c r="VDW5" s="44"/>
      <c r="VDX5" s="44"/>
      <c r="VDY5" s="44"/>
      <c r="VDZ5" s="44"/>
      <c r="VEA5" s="44"/>
      <c r="VEB5" s="44"/>
      <c r="VEC5" s="44"/>
      <c r="VED5" s="44"/>
      <c r="VEE5" s="44"/>
      <c r="VEF5" s="44"/>
      <c r="VEG5" s="44"/>
      <c r="VEH5" s="44"/>
      <c r="VEI5" s="44"/>
      <c r="VEJ5" s="44"/>
      <c r="VEK5" s="44"/>
      <c r="VEL5" s="44"/>
      <c r="VEM5" s="44"/>
      <c r="VEN5" s="44"/>
      <c r="VEO5" s="44"/>
      <c r="VEP5" s="44"/>
      <c r="VEQ5" s="44"/>
      <c r="VER5" s="44"/>
      <c r="VES5" s="44"/>
      <c r="VET5" s="44"/>
      <c r="VEU5" s="44"/>
      <c r="VEV5" s="44"/>
      <c r="VEW5" s="44"/>
      <c r="VEX5" s="44"/>
      <c r="VEY5" s="44"/>
      <c r="VEZ5" s="44"/>
      <c r="VFA5" s="44"/>
      <c r="VFB5" s="44"/>
      <c r="VFC5" s="44"/>
      <c r="VFD5" s="44"/>
      <c r="VFE5" s="44"/>
      <c r="VFF5" s="44"/>
      <c r="VFG5" s="44"/>
      <c r="VFH5" s="44"/>
      <c r="VFI5" s="44"/>
      <c r="VFJ5" s="44"/>
      <c r="VFK5" s="44"/>
      <c r="VFL5" s="44"/>
      <c r="VFM5" s="44"/>
      <c r="VFN5" s="44"/>
      <c r="VFO5" s="44"/>
      <c r="VFP5" s="44"/>
      <c r="VFQ5" s="44"/>
      <c r="VFR5" s="44"/>
      <c r="VFS5" s="44"/>
      <c r="VFT5" s="44"/>
      <c r="VFU5" s="44"/>
      <c r="VFV5" s="44"/>
      <c r="VFW5" s="44"/>
      <c r="VFX5" s="44"/>
      <c r="VFY5" s="44"/>
      <c r="VFZ5" s="44"/>
      <c r="VGA5" s="44"/>
      <c r="VGB5" s="44"/>
      <c r="VGC5" s="44"/>
      <c r="VGD5" s="44"/>
      <c r="VGE5" s="44"/>
      <c r="VGF5" s="44"/>
      <c r="VGG5" s="44"/>
      <c r="VGH5" s="44"/>
      <c r="VGI5" s="44"/>
      <c r="VGJ5" s="44"/>
      <c r="VGK5" s="44"/>
      <c r="VGL5" s="44"/>
      <c r="VGM5" s="44"/>
      <c r="VGN5" s="44"/>
      <c r="VGO5" s="44"/>
      <c r="VGP5" s="44"/>
      <c r="VGQ5" s="44"/>
      <c r="VGR5" s="44"/>
      <c r="VGS5" s="44"/>
      <c r="VGT5" s="44"/>
      <c r="VGU5" s="44"/>
      <c r="VGV5" s="44"/>
      <c r="VGW5" s="44"/>
      <c r="VGX5" s="44"/>
      <c r="VGY5" s="44"/>
      <c r="VGZ5" s="44"/>
      <c r="VHA5" s="44"/>
      <c r="VHB5" s="44"/>
      <c r="VHC5" s="44"/>
      <c r="VHD5" s="44"/>
      <c r="VHE5" s="44"/>
      <c r="VHF5" s="44"/>
      <c r="VHG5" s="44"/>
      <c r="VHH5" s="44"/>
      <c r="VHI5" s="44"/>
      <c r="VHJ5" s="44"/>
      <c r="VHK5" s="44"/>
      <c r="VHL5" s="44"/>
      <c r="VHM5" s="44"/>
      <c r="VHN5" s="44"/>
      <c r="VHO5" s="44"/>
      <c r="VHP5" s="44"/>
      <c r="VHQ5" s="44"/>
      <c r="VHR5" s="44"/>
      <c r="VHS5" s="44"/>
      <c r="VHT5" s="44"/>
      <c r="VHU5" s="44"/>
      <c r="VHV5" s="44"/>
      <c r="VHW5" s="44"/>
      <c r="VHX5" s="44"/>
      <c r="VHY5" s="44"/>
      <c r="VHZ5" s="44"/>
      <c r="VIA5" s="44"/>
      <c r="VIB5" s="44"/>
      <c r="VIC5" s="44"/>
      <c r="VID5" s="44"/>
      <c r="VIE5" s="44"/>
      <c r="VIF5" s="44"/>
      <c r="VIG5" s="44"/>
      <c r="VIH5" s="44"/>
      <c r="VII5" s="44"/>
      <c r="VIJ5" s="44"/>
      <c r="VIK5" s="44"/>
      <c r="VIL5" s="44"/>
      <c r="VIM5" s="44"/>
      <c r="VIN5" s="44"/>
      <c r="VIO5" s="44"/>
      <c r="VIP5" s="44"/>
      <c r="VIQ5" s="44"/>
      <c r="VIR5" s="44"/>
      <c r="VIS5" s="44"/>
      <c r="VIT5" s="44"/>
      <c r="VIU5" s="44"/>
      <c r="VIV5" s="44"/>
      <c r="VIW5" s="44"/>
      <c r="VIX5" s="44"/>
      <c r="VIY5" s="44"/>
      <c r="VIZ5" s="44"/>
      <c r="VJA5" s="44"/>
      <c r="VJB5" s="44"/>
      <c r="VJC5" s="44"/>
      <c r="VJD5" s="44"/>
      <c r="VJE5" s="44"/>
      <c r="VJF5" s="44"/>
      <c r="VJG5" s="44"/>
      <c r="VJH5" s="44"/>
      <c r="VJI5" s="44"/>
      <c r="VJJ5" s="44"/>
      <c r="VJK5" s="44"/>
      <c r="VJL5" s="44"/>
      <c r="VJM5" s="44"/>
      <c r="VJN5" s="44"/>
      <c r="VJO5" s="44"/>
      <c r="VJP5" s="44"/>
      <c r="VJQ5" s="44"/>
      <c r="VJR5" s="44"/>
      <c r="VJS5" s="44"/>
      <c r="VJT5" s="44"/>
      <c r="VJU5" s="44"/>
      <c r="VJV5" s="44"/>
      <c r="VJW5" s="44"/>
      <c r="VJX5" s="44"/>
      <c r="VJY5" s="44"/>
      <c r="VJZ5" s="44"/>
      <c r="VKA5" s="44"/>
      <c r="VKB5" s="44"/>
      <c r="VKC5" s="44"/>
      <c r="VKD5" s="44"/>
      <c r="VKE5" s="44"/>
      <c r="VKF5" s="44"/>
      <c r="VKG5" s="44"/>
      <c r="VKH5" s="44"/>
      <c r="VKI5" s="44"/>
      <c r="VKJ5" s="44"/>
      <c r="VKK5" s="44"/>
      <c r="VKL5" s="44"/>
      <c r="VKM5" s="44"/>
      <c r="VKN5" s="44"/>
      <c r="VKO5" s="44"/>
      <c r="VKP5" s="44"/>
      <c r="VKQ5" s="44"/>
      <c r="VKR5" s="44"/>
      <c r="VKS5" s="44"/>
      <c r="VKT5" s="44"/>
      <c r="VKU5" s="44"/>
      <c r="VKV5" s="44"/>
      <c r="VKW5" s="44"/>
      <c r="VKX5" s="44"/>
      <c r="VKY5" s="44"/>
      <c r="VKZ5" s="44"/>
      <c r="VLA5" s="44"/>
      <c r="VLB5" s="44"/>
      <c r="VLC5" s="44"/>
      <c r="VLD5" s="44"/>
      <c r="VLE5" s="44"/>
      <c r="VLF5" s="44"/>
      <c r="VLG5" s="44"/>
      <c r="VLH5" s="44"/>
      <c r="VLI5" s="44"/>
      <c r="VLJ5" s="44"/>
      <c r="VLK5" s="44"/>
      <c r="VLL5" s="44"/>
      <c r="VLM5" s="44"/>
      <c r="VLN5" s="44"/>
      <c r="VLO5" s="44"/>
      <c r="VLP5" s="44"/>
      <c r="VLQ5" s="44"/>
      <c r="VLR5" s="44"/>
      <c r="VLS5" s="44"/>
      <c r="VLT5" s="44"/>
      <c r="VLU5" s="44"/>
      <c r="VLV5" s="44"/>
      <c r="VLW5" s="44"/>
      <c r="VLX5" s="44"/>
      <c r="VLY5" s="44"/>
      <c r="VLZ5" s="44"/>
      <c r="VMA5" s="44"/>
      <c r="VMB5" s="44"/>
      <c r="VMC5" s="44"/>
      <c r="VMD5" s="44"/>
      <c r="VME5" s="44"/>
      <c r="VMF5" s="44"/>
      <c r="VMG5" s="44"/>
      <c r="VMH5" s="44"/>
      <c r="VMI5" s="44"/>
      <c r="VMJ5" s="44"/>
      <c r="VMK5" s="44"/>
      <c r="VML5" s="44"/>
      <c r="VMM5" s="44"/>
      <c r="VMN5" s="44"/>
      <c r="VMO5" s="44"/>
      <c r="VMP5" s="44"/>
      <c r="VMQ5" s="44"/>
      <c r="VMR5" s="44"/>
      <c r="VMS5" s="44"/>
      <c r="VMT5" s="44"/>
      <c r="VMU5" s="44"/>
      <c r="VMV5" s="44"/>
      <c r="VMW5" s="44"/>
      <c r="VMX5" s="44"/>
      <c r="VMY5" s="44"/>
      <c r="VMZ5" s="44"/>
      <c r="VNA5" s="44"/>
      <c r="VNB5" s="44"/>
      <c r="VNC5" s="44"/>
      <c r="VND5" s="44"/>
      <c r="VNE5" s="44"/>
      <c r="VNF5" s="44"/>
      <c r="VNG5" s="44"/>
      <c r="VNH5" s="44"/>
      <c r="VNI5" s="44"/>
      <c r="VNJ5" s="44"/>
      <c r="VNK5" s="44"/>
      <c r="VNL5" s="44"/>
      <c r="VNM5" s="44"/>
      <c r="VNN5" s="44"/>
      <c r="VNO5" s="44"/>
      <c r="VNP5" s="44"/>
      <c r="VNQ5" s="44"/>
      <c r="VNR5" s="44"/>
      <c r="VNS5" s="44"/>
      <c r="VNT5" s="44"/>
      <c r="VNU5" s="44"/>
      <c r="VNV5" s="44"/>
      <c r="VNW5" s="44"/>
      <c r="VNX5" s="44"/>
      <c r="VNY5" s="44"/>
      <c r="VNZ5" s="44"/>
      <c r="VOA5" s="44"/>
      <c r="VOB5" s="44"/>
      <c r="VOC5" s="44"/>
      <c r="VOD5" s="44"/>
      <c r="VOE5" s="44"/>
      <c r="VOF5" s="44"/>
      <c r="VOG5" s="44"/>
      <c r="VOH5" s="44"/>
      <c r="VOI5" s="44"/>
      <c r="VOJ5" s="44"/>
      <c r="VOK5" s="44"/>
      <c r="VOL5" s="44"/>
      <c r="VOM5" s="44"/>
      <c r="VON5" s="44"/>
      <c r="VOO5" s="44"/>
      <c r="VOP5" s="44"/>
      <c r="VOQ5" s="44"/>
      <c r="VOR5" s="44"/>
      <c r="VOS5" s="44"/>
      <c r="VOT5" s="44"/>
      <c r="VOU5" s="44"/>
      <c r="VOV5" s="44"/>
      <c r="VOW5" s="44"/>
      <c r="VOX5" s="44"/>
      <c r="VOY5" s="44"/>
      <c r="VOZ5" s="44"/>
      <c r="VPA5" s="44"/>
      <c r="VPB5" s="44"/>
      <c r="VPC5" s="44"/>
      <c r="VPD5" s="44"/>
      <c r="VPE5" s="44"/>
      <c r="VPF5" s="44"/>
      <c r="VPG5" s="44"/>
      <c r="VPH5" s="44"/>
      <c r="VPI5" s="44"/>
      <c r="VPJ5" s="44"/>
      <c r="VPK5" s="44"/>
      <c r="VPL5" s="44"/>
      <c r="VPM5" s="44"/>
      <c r="VPN5" s="44"/>
      <c r="VPO5" s="44"/>
      <c r="VPP5" s="44"/>
      <c r="VPQ5" s="44"/>
      <c r="VPR5" s="44"/>
      <c r="VPS5" s="44"/>
      <c r="VPT5" s="44"/>
      <c r="VPU5" s="44"/>
      <c r="VPV5" s="44"/>
      <c r="VPW5" s="44"/>
      <c r="VPX5" s="44"/>
      <c r="VPY5" s="44"/>
      <c r="VPZ5" s="44"/>
      <c r="VQA5" s="44"/>
      <c r="VQB5" s="44"/>
      <c r="VQC5" s="44"/>
      <c r="VQD5" s="44"/>
      <c r="VQE5" s="44"/>
      <c r="VQF5" s="44"/>
      <c r="VQG5" s="44"/>
      <c r="VQH5" s="44"/>
      <c r="VQI5" s="44"/>
      <c r="VQJ5" s="44"/>
      <c r="VQK5" s="44"/>
      <c r="VQL5" s="44"/>
      <c r="VQM5" s="44"/>
      <c r="VQN5" s="44"/>
      <c r="VQO5" s="44"/>
      <c r="VQP5" s="44"/>
      <c r="VQQ5" s="44"/>
      <c r="VQR5" s="44"/>
      <c r="VQS5" s="44"/>
      <c r="VQT5" s="44"/>
      <c r="VQU5" s="44"/>
      <c r="VQV5" s="44"/>
      <c r="VQW5" s="44"/>
      <c r="VQX5" s="44"/>
      <c r="VQY5" s="44"/>
      <c r="VQZ5" s="44"/>
      <c r="VRA5" s="44"/>
      <c r="VRB5" s="44"/>
      <c r="VRC5" s="44"/>
      <c r="VRD5" s="44"/>
      <c r="VRE5" s="44"/>
      <c r="VRF5" s="44"/>
      <c r="VRG5" s="44"/>
      <c r="VRH5" s="44"/>
      <c r="VRI5" s="44"/>
      <c r="VRJ5" s="44"/>
      <c r="VRK5" s="44"/>
      <c r="VRL5" s="44"/>
      <c r="VRM5" s="44"/>
      <c r="VRN5" s="44"/>
      <c r="VRO5" s="44"/>
      <c r="VRP5" s="44"/>
      <c r="VRQ5" s="44"/>
      <c r="VRR5" s="44"/>
      <c r="VRS5" s="44"/>
      <c r="VRT5" s="44"/>
      <c r="VRU5" s="44"/>
      <c r="VRV5" s="44"/>
      <c r="VRW5" s="44"/>
      <c r="VRX5" s="44"/>
      <c r="VRY5" s="44"/>
      <c r="VRZ5" s="44"/>
      <c r="VSA5" s="44"/>
      <c r="VSB5" s="44"/>
      <c r="VSC5" s="44"/>
      <c r="VSD5" s="44"/>
      <c r="VSE5" s="44"/>
      <c r="VSF5" s="44"/>
      <c r="VSG5" s="44"/>
      <c r="VSH5" s="44"/>
      <c r="VSI5" s="44"/>
      <c r="VSJ5" s="44"/>
      <c r="VSK5" s="44"/>
      <c r="VSL5" s="44"/>
      <c r="VSM5" s="44"/>
      <c r="VSN5" s="44"/>
      <c r="VSO5" s="44"/>
      <c r="VSP5" s="44"/>
      <c r="VSQ5" s="44"/>
      <c r="VSR5" s="44"/>
      <c r="VSS5" s="44"/>
      <c r="VST5" s="44"/>
      <c r="VSU5" s="44"/>
      <c r="VSV5" s="44"/>
      <c r="VSW5" s="44"/>
      <c r="VSX5" s="44"/>
      <c r="VSY5" s="44"/>
      <c r="VSZ5" s="44"/>
      <c r="VTA5" s="44"/>
      <c r="VTB5" s="44"/>
      <c r="VTC5" s="44"/>
      <c r="VTD5" s="44"/>
      <c r="VTE5" s="44"/>
      <c r="VTF5" s="44"/>
      <c r="VTG5" s="44"/>
      <c r="VTH5" s="44"/>
      <c r="VTI5" s="44"/>
      <c r="VTJ5" s="44"/>
      <c r="VTK5" s="44"/>
      <c r="VTL5" s="44"/>
      <c r="VTM5" s="44"/>
      <c r="VTN5" s="44"/>
      <c r="VTO5" s="44"/>
      <c r="VTP5" s="44"/>
      <c r="VTQ5" s="44"/>
      <c r="VTR5" s="44"/>
      <c r="VTS5" s="44"/>
      <c r="VTT5" s="44"/>
      <c r="VTU5" s="44"/>
      <c r="VTV5" s="44"/>
      <c r="VTW5" s="44"/>
      <c r="VTX5" s="44"/>
      <c r="VTY5" s="44"/>
      <c r="VTZ5" s="44"/>
      <c r="VUA5" s="44"/>
      <c r="VUB5" s="44"/>
      <c r="VUC5" s="44"/>
      <c r="VUD5" s="44"/>
      <c r="VUE5" s="44"/>
      <c r="VUF5" s="44"/>
      <c r="VUG5" s="44"/>
      <c r="VUH5" s="44"/>
      <c r="VUI5" s="44"/>
      <c r="VUJ5" s="44"/>
      <c r="VUK5" s="44"/>
      <c r="VUL5" s="44"/>
      <c r="VUM5" s="44"/>
      <c r="VUN5" s="44"/>
      <c r="VUO5" s="44"/>
      <c r="VUP5" s="44"/>
      <c r="VUQ5" s="44"/>
      <c r="VUR5" s="44"/>
      <c r="VUS5" s="44"/>
      <c r="VUT5" s="44"/>
      <c r="VUU5" s="44"/>
      <c r="VUV5" s="44"/>
      <c r="VUW5" s="44"/>
      <c r="VUX5" s="44"/>
      <c r="VUY5" s="44"/>
      <c r="VUZ5" s="44"/>
      <c r="VVA5" s="44"/>
      <c r="VVB5" s="44"/>
      <c r="VVC5" s="44"/>
      <c r="VVD5" s="44"/>
      <c r="VVE5" s="44"/>
      <c r="VVF5" s="44"/>
      <c r="VVG5" s="44"/>
      <c r="VVH5" s="44"/>
      <c r="VVI5" s="44"/>
      <c r="VVJ5" s="44"/>
      <c r="VVK5" s="44"/>
      <c r="VVL5" s="44"/>
      <c r="VVM5" s="44"/>
      <c r="VVN5" s="44"/>
      <c r="VVO5" s="44"/>
      <c r="VVP5" s="44"/>
      <c r="VVQ5" s="44"/>
      <c r="VVR5" s="44"/>
      <c r="VVS5" s="44"/>
      <c r="VVT5" s="44"/>
      <c r="VVU5" s="44"/>
      <c r="VVV5" s="44"/>
      <c r="VVW5" s="44"/>
      <c r="VVX5" s="44"/>
      <c r="VVY5" s="44"/>
      <c r="VVZ5" s="44"/>
      <c r="VWA5" s="44"/>
      <c r="VWB5" s="44"/>
      <c r="VWC5" s="44"/>
      <c r="VWD5" s="44"/>
      <c r="VWE5" s="44"/>
      <c r="VWF5" s="44"/>
      <c r="VWG5" s="44"/>
      <c r="VWH5" s="44"/>
      <c r="VWI5" s="44"/>
      <c r="VWJ5" s="44"/>
      <c r="VWK5" s="44"/>
      <c r="VWL5" s="44"/>
      <c r="VWM5" s="44"/>
      <c r="VWN5" s="44"/>
      <c r="VWO5" s="44"/>
      <c r="VWP5" s="44"/>
      <c r="VWQ5" s="44"/>
      <c r="VWR5" s="44"/>
      <c r="VWS5" s="44"/>
      <c r="VWT5" s="44"/>
      <c r="VWU5" s="44"/>
      <c r="VWV5" s="44"/>
      <c r="VWW5" s="44"/>
      <c r="VWX5" s="44"/>
      <c r="VWY5" s="44"/>
      <c r="VWZ5" s="44"/>
      <c r="VXA5" s="44"/>
      <c r="VXB5" s="44"/>
      <c r="VXC5" s="44"/>
      <c r="VXD5" s="44"/>
      <c r="VXE5" s="44"/>
      <c r="VXF5" s="44"/>
      <c r="VXG5" s="44"/>
      <c r="VXH5" s="44"/>
      <c r="VXI5" s="44"/>
      <c r="VXJ5" s="44"/>
      <c r="VXK5" s="44"/>
      <c r="VXL5" s="44"/>
      <c r="VXM5" s="44"/>
      <c r="VXN5" s="44"/>
      <c r="VXO5" s="44"/>
      <c r="VXP5" s="44"/>
      <c r="VXQ5" s="44"/>
      <c r="VXR5" s="44"/>
      <c r="VXS5" s="44"/>
      <c r="VXT5" s="44"/>
      <c r="VXU5" s="44"/>
      <c r="VXV5" s="44"/>
      <c r="VXW5" s="44"/>
      <c r="VXX5" s="44"/>
      <c r="VXY5" s="44"/>
      <c r="VXZ5" s="44"/>
      <c r="VYA5" s="44"/>
      <c r="VYB5" s="44"/>
      <c r="VYC5" s="44"/>
      <c r="VYD5" s="44"/>
      <c r="VYE5" s="44"/>
      <c r="VYF5" s="44"/>
      <c r="VYG5" s="44"/>
      <c r="VYH5" s="44"/>
      <c r="VYI5" s="44"/>
      <c r="VYJ5" s="44"/>
      <c r="VYK5" s="44"/>
      <c r="VYL5" s="44"/>
      <c r="VYM5" s="44"/>
      <c r="VYN5" s="44"/>
      <c r="VYO5" s="44"/>
      <c r="VYP5" s="44"/>
      <c r="VYQ5" s="44"/>
      <c r="VYR5" s="44"/>
      <c r="VYS5" s="44"/>
      <c r="VYT5" s="44"/>
      <c r="VYU5" s="44"/>
      <c r="VYV5" s="44"/>
      <c r="VYW5" s="44"/>
      <c r="VYX5" s="44"/>
      <c r="VYY5" s="44"/>
      <c r="VYZ5" s="44"/>
      <c r="VZA5" s="44"/>
      <c r="VZB5" s="44"/>
      <c r="VZC5" s="44"/>
      <c r="VZD5" s="44"/>
      <c r="VZE5" s="44"/>
      <c r="VZF5" s="44"/>
      <c r="VZG5" s="44"/>
      <c r="VZH5" s="44"/>
      <c r="VZI5" s="44"/>
      <c r="VZJ5" s="44"/>
      <c r="VZK5" s="44"/>
      <c r="VZL5" s="44"/>
      <c r="VZM5" s="44"/>
      <c r="VZN5" s="44"/>
      <c r="VZO5" s="44"/>
      <c r="VZP5" s="44"/>
      <c r="VZQ5" s="44"/>
      <c r="VZR5" s="44"/>
      <c r="VZS5" s="44"/>
      <c r="VZT5" s="44"/>
      <c r="VZU5" s="44"/>
      <c r="VZV5" s="44"/>
      <c r="VZW5" s="44"/>
      <c r="VZX5" s="44"/>
      <c r="VZY5" s="44"/>
      <c r="VZZ5" s="44"/>
      <c r="WAA5" s="44"/>
      <c r="WAB5" s="44"/>
      <c r="WAC5" s="44"/>
      <c r="WAD5" s="44"/>
      <c r="WAE5" s="44"/>
      <c r="WAF5" s="44"/>
      <c r="WAG5" s="44"/>
      <c r="WAH5" s="44"/>
      <c r="WAI5" s="44"/>
      <c r="WAJ5" s="44"/>
      <c r="WAK5" s="44"/>
      <c r="WAL5" s="44"/>
      <c r="WAM5" s="44"/>
      <c r="WAN5" s="44"/>
      <c r="WAO5" s="44"/>
      <c r="WAP5" s="44"/>
      <c r="WAQ5" s="44"/>
      <c r="WAR5" s="44"/>
      <c r="WAS5" s="44"/>
      <c r="WAT5" s="44"/>
      <c r="WAU5" s="44"/>
      <c r="WAV5" s="44"/>
      <c r="WAW5" s="44"/>
      <c r="WAX5" s="44"/>
      <c r="WAY5" s="44"/>
      <c r="WAZ5" s="44"/>
      <c r="WBA5" s="44"/>
      <c r="WBB5" s="44"/>
      <c r="WBC5" s="44"/>
      <c r="WBD5" s="44"/>
      <c r="WBE5" s="44"/>
      <c r="WBF5" s="44"/>
      <c r="WBG5" s="44"/>
      <c r="WBH5" s="44"/>
      <c r="WBI5" s="44"/>
      <c r="WBJ5" s="44"/>
      <c r="WBK5" s="44"/>
      <c r="WBL5" s="44"/>
      <c r="WBM5" s="44"/>
      <c r="WBN5" s="44"/>
      <c r="WBO5" s="44"/>
      <c r="WBP5" s="44"/>
      <c r="WBQ5" s="44"/>
      <c r="WBR5" s="44"/>
      <c r="WBS5" s="44"/>
      <c r="WBT5" s="44"/>
      <c r="WBU5" s="44"/>
      <c r="WBV5" s="44"/>
      <c r="WBW5" s="44"/>
      <c r="WBX5" s="44"/>
      <c r="WBY5" s="44"/>
      <c r="WBZ5" s="44"/>
      <c r="WCA5" s="44"/>
      <c r="WCB5" s="44"/>
      <c r="WCC5" s="44"/>
      <c r="WCD5" s="44"/>
      <c r="WCE5" s="44"/>
      <c r="WCF5" s="44"/>
      <c r="WCG5" s="44"/>
      <c r="WCH5" s="44"/>
      <c r="WCI5" s="44"/>
      <c r="WCJ5" s="44"/>
      <c r="WCK5" s="44"/>
      <c r="WCL5" s="44"/>
      <c r="WCM5" s="44"/>
      <c r="WCN5" s="44"/>
      <c r="WCO5" s="44"/>
      <c r="WCP5" s="44"/>
      <c r="WCQ5" s="44"/>
      <c r="WCR5" s="44"/>
      <c r="WCS5" s="44"/>
      <c r="WCT5" s="44"/>
      <c r="WCU5" s="44"/>
      <c r="WCV5" s="44"/>
      <c r="WCW5" s="44"/>
      <c r="WCX5" s="44"/>
      <c r="WCY5" s="44"/>
      <c r="WCZ5" s="44"/>
      <c r="WDA5" s="44"/>
      <c r="WDB5" s="44"/>
      <c r="WDC5" s="44"/>
      <c r="WDD5" s="44"/>
      <c r="WDE5" s="44"/>
      <c r="WDF5" s="44"/>
      <c r="WDG5" s="44"/>
      <c r="WDH5" s="44"/>
      <c r="WDI5" s="44"/>
      <c r="WDJ5" s="44"/>
      <c r="WDK5" s="44"/>
      <c r="WDL5" s="44"/>
      <c r="WDM5" s="44"/>
      <c r="WDN5" s="44"/>
      <c r="WDO5" s="44"/>
      <c r="WDP5" s="44"/>
      <c r="WDQ5" s="44"/>
      <c r="WDR5" s="44"/>
      <c r="WDS5" s="44"/>
      <c r="WDT5" s="44"/>
      <c r="WDU5" s="44"/>
      <c r="WDV5" s="44"/>
      <c r="WDW5" s="44"/>
      <c r="WDX5" s="44"/>
      <c r="WDY5" s="44"/>
      <c r="WDZ5" s="44"/>
      <c r="WEA5" s="44"/>
      <c r="WEB5" s="44"/>
      <c r="WEC5" s="44"/>
      <c r="WED5" s="44"/>
      <c r="WEE5" s="44"/>
      <c r="WEF5" s="44"/>
      <c r="WEG5" s="44"/>
      <c r="WEH5" s="44"/>
      <c r="WEI5" s="44"/>
      <c r="WEJ5" s="44"/>
      <c r="WEK5" s="44"/>
      <c r="WEL5" s="44"/>
      <c r="WEM5" s="44"/>
      <c r="WEN5" s="44"/>
      <c r="WEO5" s="44"/>
      <c r="WEP5" s="44"/>
      <c r="WEQ5" s="44"/>
      <c r="WER5" s="44"/>
      <c r="WES5" s="44"/>
      <c r="WET5" s="44"/>
      <c r="WEU5" s="44"/>
      <c r="WEV5" s="44"/>
      <c r="WEW5" s="44"/>
      <c r="WEX5" s="44"/>
      <c r="WEY5" s="44"/>
      <c r="WEZ5" s="44"/>
      <c r="WFA5" s="44"/>
      <c r="WFB5" s="44"/>
      <c r="WFC5" s="44"/>
      <c r="WFD5" s="44"/>
      <c r="WFE5" s="44"/>
      <c r="WFF5" s="44"/>
      <c r="WFG5" s="44"/>
      <c r="WFH5" s="44"/>
      <c r="WFI5" s="44"/>
      <c r="WFJ5" s="44"/>
      <c r="WFK5" s="44"/>
      <c r="WFL5" s="44"/>
      <c r="WFM5" s="44"/>
      <c r="WFN5" s="44"/>
      <c r="WFO5" s="44"/>
      <c r="WFP5" s="44"/>
      <c r="WFQ5" s="44"/>
      <c r="WFR5" s="44"/>
      <c r="WFS5" s="44"/>
      <c r="WFT5" s="44"/>
      <c r="WFU5" s="44"/>
      <c r="WFV5" s="44"/>
      <c r="WFW5" s="44"/>
      <c r="WFX5" s="44"/>
      <c r="WFY5" s="44"/>
      <c r="WFZ5" s="44"/>
      <c r="WGA5" s="44"/>
      <c r="WGB5" s="44"/>
      <c r="WGC5" s="44"/>
      <c r="WGD5" s="44"/>
      <c r="WGE5" s="44"/>
      <c r="WGF5" s="44"/>
      <c r="WGG5" s="44"/>
      <c r="WGH5" s="44"/>
      <c r="WGI5" s="44"/>
      <c r="WGJ5" s="44"/>
      <c r="WGK5" s="44"/>
      <c r="WGL5" s="44"/>
      <c r="WGM5" s="44"/>
      <c r="WGN5" s="44"/>
      <c r="WGO5" s="44"/>
      <c r="WGP5" s="44"/>
      <c r="WGQ5" s="44"/>
      <c r="WGR5" s="44"/>
      <c r="WGS5" s="44"/>
      <c r="WGT5" s="44"/>
      <c r="WGU5" s="44"/>
      <c r="WGV5" s="44"/>
      <c r="WGW5" s="44"/>
      <c r="WGX5" s="44"/>
      <c r="WGY5" s="44"/>
      <c r="WGZ5" s="44"/>
      <c r="WHA5" s="44"/>
      <c r="WHB5" s="44"/>
      <c r="WHC5" s="44"/>
      <c r="WHD5" s="44"/>
      <c r="WHE5" s="44"/>
      <c r="WHF5" s="44"/>
      <c r="WHG5" s="44"/>
      <c r="WHH5" s="44"/>
      <c r="WHI5" s="44"/>
      <c r="WHJ5" s="44"/>
      <c r="WHK5" s="44"/>
      <c r="WHL5" s="44"/>
      <c r="WHM5" s="44"/>
      <c r="WHN5" s="44"/>
      <c r="WHO5" s="44"/>
      <c r="WHP5" s="44"/>
      <c r="WHQ5" s="44"/>
      <c r="WHR5" s="44"/>
      <c r="WHS5" s="44"/>
      <c r="WHT5" s="44"/>
      <c r="WHU5" s="44"/>
      <c r="WHV5" s="44"/>
      <c r="WHW5" s="44"/>
      <c r="WHX5" s="44"/>
      <c r="WHY5" s="44"/>
      <c r="WHZ5" s="44"/>
      <c r="WIA5" s="44"/>
      <c r="WIB5" s="44"/>
      <c r="WIC5" s="44"/>
      <c r="WID5" s="44"/>
      <c r="WIE5" s="44"/>
      <c r="WIF5" s="44"/>
      <c r="WIG5" s="44"/>
      <c r="WIH5" s="44"/>
      <c r="WII5" s="44"/>
      <c r="WIJ5" s="44"/>
      <c r="WIK5" s="44"/>
      <c r="WIL5" s="44"/>
      <c r="WIM5" s="44"/>
      <c r="WIN5" s="44"/>
      <c r="WIO5" s="44"/>
      <c r="WIP5" s="44"/>
      <c r="WIQ5" s="44"/>
      <c r="WIR5" s="44"/>
      <c r="WIS5" s="44"/>
      <c r="WIT5" s="44"/>
      <c r="WIU5" s="44"/>
      <c r="WIV5" s="44"/>
      <c r="WIW5" s="44"/>
      <c r="WIX5" s="44"/>
      <c r="WIY5" s="44"/>
      <c r="WIZ5" s="44"/>
      <c r="WJA5" s="44"/>
      <c r="WJB5" s="44"/>
      <c r="WJC5" s="44"/>
      <c r="WJD5" s="44"/>
      <c r="WJE5" s="44"/>
      <c r="WJF5" s="44"/>
      <c r="WJG5" s="44"/>
      <c r="WJH5" s="44"/>
      <c r="WJI5" s="44"/>
      <c r="WJJ5" s="44"/>
      <c r="WJK5" s="44"/>
      <c r="WJL5" s="44"/>
      <c r="WJM5" s="44"/>
      <c r="WJN5" s="44"/>
      <c r="WJO5" s="44"/>
      <c r="WJP5" s="44"/>
      <c r="WJQ5" s="44"/>
      <c r="WJR5" s="44"/>
      <c r="WJS5" s="44"/>
      <c r="WJT5" s="44"/>
      <c r="WJU5" s="44"/>
      <c r="WJV5" s="44"/>
      <c r="WJW5" s="44"/>
      <c r="WJX5" s="44"/>
      <c r="WJY5" s="44"/>
      <c r="WJZ5" s="44"/>
      <c r="WKA5" s="44"/>
      <c r="WKB5" s="44"/>
      <c r="WKC5" s="44"/>
      <c r="WKD5" s="44"/>
      <c r="WKE5" s="44"/>
      <c r="WKF5" s="44"/>
      <c r="WKG5" s="44"/>
      <c r="WKH5" s="44"/>
      <c r="WKI5" s="44"/>
      <c r="WKJ5" s="44"/>
      <c r="WKK5" s="44"/>
      <c r="WKL5" s="44"/>
      <c r="WKM5" s="44"/>
      <c r="WKN5" s="44"/>
      <c r="WKO5" s="44"/>
      <c r="WKP5" s="44"/>
      <c r="WKQ5" s="44"/>
      <c r="WKR5" s="44"/>
      <c r="WKS5" s="44"/>
      <c r="WKT5" s="44"/>
      <c r="WKU5" s="44"/>
      <c r="WKV5" s="44"/>
      <c r="WKW5" s="44"/>
      <c r="WKX5" s="44"/>
      <c r="WKY5" s="44"/>
      <c r="WKZ5" s="44"/>
      <c r="WLA5" s="44"/>
      <c r="WLB5" s="44"/>
      <c r="WLC5" s="44"/>
      <c r="WLD5" s="44"/>
      <c r="WLE5" s="44"/>
      <c r="WLF5" s="44"/>
      <c r="WLG5" s="44"/>
      <c r="WLH5" s="44"/>
      <c r="WLI5" s="44"/>
      <c r="WLJ5" s="44"/>
      <c r="WLK5" s="44"/>
      <c r="WLL5" s="44"/>
      <c r="WLM5" s="44"/>
      <c r="WLN5" s="44"/>
      <c r="WLO5" s="44"/>
      <c r="WLP5" s="44"/>
      <c r="WLQ5" s="44"/>
      <c r="WLR5" s="44"/>
      <c r="WLS5" s="44"/>
      <c r="WLT5" s="44"/>
      <c r="WLU5" s="44"/>
      <c r="WLV5" s="44"/>
      <c r="WLW5" s="44"/>
      <c r="WLX5" s="44"/>
      <c r="WLY5" s="44"/>
      <c r="WLZ5" s="44"/>
      <c r="WMA5" s="44"/>
      <c r="WMB5" s="44"/>
      <c r="WMC5" s="44"/>
      <c r="WMD5" s="44"/>
      <c r="WME5" s="44"/>
      <c r="WMF5" s="44"/>
      <c r="WMG5" s="44"/>
      <c r="WMH5" s="44"/>
      <c r="WMI5" s="44"/>
      <c r="WMJ5" s="44"/>
      <c r="WMK5" s="44"/>
      <c r="WML5" s="44"/>
      <c r="WMM5" s="44"/>
      <c r="WMN5" s="44"/>
      <c r="WMO5" s="44"/>
      <c r="WMP5" s="44"/>
      <c r="WMQ5" s="44"/>
      <c r="WMR5" s="44"/>
      <c r="WMS5" s="44"/>
      <c r="WMT5" s="44"/>
      <c r="WMU5" s="44"/>
      <c r="WMV5" s="44"/>
      <c r="WMW5" s="44"/>
      <c r="WMX5" s="44"/>
      <c r="WMY5" s="44"/>
      <c r="WMZ5" s="44"/>
      <c r="WNA5" s="44"/>
      <c r="WNB5" s="44"/>
      <c r="WNC5" s="44"/>
      <c r="WND5" s="44"/>
      <c r="WNE5" s="44"/>
      <c r="WNF5" s="44"/>
      <c r="WNG5" s="44"/>
      <c r="WNH5" s="44"/>
      <c r="WNI5" s="44"/>
      <c r="WNJ5" s="44"/>
      <c r="WNK5" s="44"/>
      <c r="WNL5" s="44"/>
      <c r="WNM5" s="44"/>
      <c r="WNN5" s="44"/>
      <c r="WNO5" s="44"/>
      <c r="WNP5" s="44"/>
      <c r="WNQ5" s="44"/>
      <c r="WNR5" s="44"/>
      <c r="WNS5" s="44"/>
      <c r="WNT5" s="44"/>
      <c r="WNU5" s="44"/>
      <c r="WNV5" s="44"/>
      <c r="WNW5" s="44"/>
      <c r="WNX5" s="44"/>
      <c r="WNY5" s="44"/>
      <c r="WNZ5" s="44"/>
      <c r="WOA5" s="44"/>
      <c r="WOB5" s="44"/>
      <c r="WOC5" s="44"/>
      <c r="WOD5" s="44"/>
      <c r="WOE5" s="44"/>
      <c r="WOF5" s="44"/>
      <c r="WOG5" s="44"/>
      <c r="WOH5" s="44"/>
      <c r="WOI5" s="44"/>
      <c r="WOJ5" s="44"/>
      <c r="WOK5" s="44"/>
      <c r="WOL5" s="44"/>
      <c r="WOM5" s="44"/>
      <c r="WON5" s="44"/>
      <c r="WOO5" s="44"/>
      <c r="WOP5" s="44"/>
      <c r="WOQ5" s="44"/>
      <c r="WOR5" s="44"/>
      <c r="WOS5" s="44"/>
      <c r="WOT5" s="44"/>
      <c r="WOU5" s="44"/>
      <c r="WOV5" s="44"/>
      <c r="WOW5" s="44"/>
      <c r="WOX5" s="44"/>
      <c r="WOY5" s="44"/>
      <c r="WOZ5" s="44"/>
      <c r="WPA5" s="44"/>
      <c r="WPB5" s="44"/>
      <c r="WPC5" s="44"/>
      <c r="WPD5" s="44"/>
      <c r="WPE5" s="44"/>
      <c r="WPF5" s="44"/>
      <c r="WPG5" s="44"/>
      <c r="WPH5" s="44"/>
      <c r="WPI5" s="44"/>
      <c r="WPJ5" s="44"/>
      <c r="WPK5" s="44"/>
      <c r="WPL5" s="44"/>
      <c r="WPM5" s="44"/>
      <c r="WPN5" s="44"/>
      <c r="WPO5" s="44"/>
      <c r="WPP5" s="44"/>
      <c r="WPQ5" s="44"/>
      <c r="WPR5" s="44"/>
      <c r="WPS5" s="44"/>
      <c r="WPT5" s="44"/>
      <c r="WPU5" s="44"/>
      <c r="WPV5" s="44"/>
      <c r="WPW5" s="44"/>
      <c r="WPX5" s="44"/>
      <c r="WPY5" s="44"/>
      <c r="WPZ5" s="44"/>
      <c r="WQA5" s="44"/>
      <c r="WQB5" s="44"/>
      <c r="WQC5" s="44"/>
      <c r="WQD5" s="44"/>
      <c r="WQE5" s="44"/>
      <c r="WQF5" s="44"/>
      <c r="WQG5" s="44"/>
      <c r="WQH5" s="44"/>
      <c r="WQI5" s="44"/>
      <c r="WQJ5" s="44"/>
      <c r="WQK5" s="44"/>
      <c r="WQL5" s="44"/>
      <c r="WQM5" s="44"/>
      <c r="WQN5" s="44"/>
      <c r="WQO5" s="44"/>
      <c r="WQP5" s="44"/>
      <c r="WQQ5" s="44"/>
      <c r="WQR5" s="44"/>
      <c r="WQS5" s="44"/>
      <c r="WQT5" s="44"/>
      <c r="WQU5" s="44"/>
      <c r="WQV5" s="44"/>
      <c r="WQW5" s="44"/>
      <c r="WQX5" s="44"/>
      <c r="WQY5" s="44"/>
      <c r="WQZ5" s="44"/>
      <c r="WRA5" s="44"/>
      <c r="WRB5" s="44"/>
      <c r="WRC5" s="44"/>
      <c r="WRD5" s="44"/>
      <c r="WRE5" s="44"/>
      <c r="WRF5" s="44"/>
      <c r="WRG5" s="44"/>
      <c r="WRH5" s="44"/>
      <c r="WRI5" s="44"/>
      <c r="WRJ5" s="44"/>
      <c r="WRK5" s="44"/>
      <c r="WRL5" s="44"/>
      <c r="WRM5" s="44"/>
      <c r="WRN5" s="44"/>
      <c r="WRO5" s="44"/>
      <c r="WRP5" s="44"/>
      <c r="WRQ5" s="44"/>
      <c r="WRR5" s="44"/>
      <c r="WRS5" s="44"/>
      <c r="WRT5" s="44"/>
      <c r="WRU5" s="44"/>
      <c r="WRV5" s="44"/>
      <c r="WRW5" s="44"/>
      <c r="WRX5" s="44"/>
      <c r="WRY5" s="44"/>
      <c r="WRZ5" s="44"/>
      <c r="WSA5" s="44"/>
      <c r="WSB5" s="44"/>
      <c r="WSC5" s="44"/>
      <c r="WSD5" s="44"/>
      <c r="WSE5" s="44"/>
      <c r="WSF5" s="44"/>
      <c r="WSG5" s="44"/>
      <c r="WSH5" s="44"/>
      <c r="WSI5" s="44"/>
      <c r="WSJ5" s="44"/>
      <c r="WSK5" s="44"/>
      <c r="WSL5" s="44"/>
      <c r="WSM5" s="44"/>
      <c r="WSN5" s="44"/>
      <c r="WSO5" s="44"/>
      <c r="WSP5" s="44"/>
      <c r="WSQ5" s="44"/>
      <c r="WSR5" s="44"/>
      <c r="WSS5" s="44"/>
      <c r="WST5" s="44"/>
      <c r="WSU5" s="44"/>
      <c r="WSV5" s="44"/>
      <c r="WSW5" s="44"/>
      <c r="WSX5" s="44"/>
      <c r="WSY5" s="44"/>
      <c r="WSZ5" s="44"/>
      <c r="WTA5" s="44"/>
      <c r="WTB5" s="44"/>
      <c r="WTC5" s="44"/>
      <c r="WTD5" s="44"/>
      <c r="WTE5" s="44"/>
      <c r="WTF5" s="44"/>
      <c r="WTG5" s="44"/>
      <c r="WTH5" s="44"/>
      <c r="WTI5" s="44"/>
      <c r="WTJ5" s="44"/>
      <c r="WTK5" s="44"/>
      <c r="WTL5" s="44"/>
      <c r="WTM5" s="44"/>
      <c r="WTN5" s="44"/>
      <c r="WTO5" s="44"/>
      <c r="WTP5" s="44"/>
      <c r="WTQ5" s="44"/>
      <c r="WTR5" s="44"/>
      <c r="WTS5" s="44"/>
      <c r="WTT5" s="44"/>
      <c r="WTU5" s="44"/>
      <c r="WTV5" s="44"/>
      <c r="WTW5" s="44"/>
      <c r="WTX5" s="44"/>
      <c r="WTY5" s="44"/>
      <c r="WTZ5" s="44"/>
      <c r="WUA5" s="44"/>
      <c r="WUB5" s="44"/>
      <c r="WUC5" s="44"/>
      <c r="WUD5" s="44"/>
      <c r="WUE5" s="44"/>
      <c r="WUF5" s="44"/>
      <c r="WUG5" s="44"/>
      <c r="WUH5" s="44"/>
      <c r="WUI5" s="44"/>
      <c r="WUJ5" s="44"/>
      <c r="WUK5" s="44"/>
      <c r="WUL5" s="44"/>
      <c r="WUM5" s="44"/>
      <c r="WUN5" s="44"/>
      <c r="WUO5" s="44"/>
      <c r="WUP5" s="44"/>
      <c r="WUQ5" s="44"/>
      <c r="WUR5" s="44"/>
      <c r="WUS5" s="44"/>
      <c r="WUT5" s="44"/>
      <c r="WUU5" s="44"/>
      <c r="WUV5" s="44"/>
      <c r="WUW5" s="44"/>
      <c r="WUX5" s="44"/>
      <c r="WUY5" s="44"/>
      <c r="WUZ5" s="44"/>
      <c r="WVA5" s="44"/>
      <c r="WVB5" s="44"/>
      <c r="WVC5" s="44"/>
      <c r="WVD5" s="44"/>
      <c r="WVE5" s="44"/>
      <c r="WVF5" s="44"/>
      <c r="WVG5" s="44"/>
      <c r="WVH5" s="44"/>
      <c r="WVI5" s="44"/>
      <c r="WVJ5" s="44"/>
      <c r="WVK5" s="44"/>
      <c r="WVL5" s="44"/>
      <c r="WVM5" s="44"/>
      <c r="WVN5" s="44"/>
      <c r="WVO5" s="44"/>
      <c r="WVP5" s="44"/>
      <c r="WVQ5" s="44"/>
      <c r="WVR5" s="44"/>
      <c r="WVS5" s="44"/>
      <c r="WVT5" s="44"/>
      <c r="WVU5" s="44"/>
      <c r="WVV5" s="44"/>
      <c r="WVW5" s="44"/>
      <c r="WVX5" s="44"/>
      <c r="WVY5" s="44"/>
      <c r="WVZ5" s="44"/>
      <c r="WWA5" s="44"/>
      <c r="WWB5" s="44"/>
      <c r="WWC5" s="44"/>
      <c r="WWD5" s="44"/>
      <c r="WWE5" s="44"/>
      <c r="WWF5" s="44"/>
      <c r="WWG5" s="44"/>
      <c r="WWH5" s="44"/>
      <c r="WWI5" s="44"/>
      <c r="WWJ5" s="44"/>
      <c r="WWK5" s="44"/>
      <c r="WWL5" s="44"/>
      <c r="WWM5" s="44"/>
      <c r="WWN5" s="44"/>
      <c r="WWO5" s="44"/>
      <c r="WWP5" s="44"/>
      <c r="WWQ5" s="44"/>
      <c r="WWR5" s="44"/>
      <c r="WWS5" s="44"/>
      <c r="WWT5" s="44"/>
      <c r="WWU5" s="44"/>
      <c r="WWV5" s="44"/>
      <c r="WWW5" s="44"/>
      <c r="WWX5" s="44"/>
      <c r="WWY5" s="44"/>
      <c r="WWZ5" s="44"/>
      <c r="WXA5" s="44"/>
      <c r="WXB5" s="44"/>
      <c r="WXC5" s="44"/>
      <c r="WXD5" s="44"/>
      <c r="WXE5" s="44"/>
      <c r="WXF5" s="44"/>
      <c r="WXG5" s="44"/>
      <c r="WXH5" s="44"/>
      <c r="WXI5" s="44"/>
      <c r="WXJ5" s="44"/>
      <c r="WXK5" s="44"/>
      <c r="WXL5" s="44"/>
      <c r="WXM5" s="44"/>
      <c r="WXN5" s="44"/>
      <c r="WXO5" s="44"/>
      <c r="WXP5" s="44"/>
      <c r="WXQ5" s="44"/>
      <c r="WXR5" s="44"/>
      <c r="WXS5" s="44"/>
      <c r="WXT5" s="44"/>
      <c r="WXU5" s="44"/>
      <c r="WXV5" s="44"/>
      <c r="WXW5" s="44"/>
      <c r="WXX5" s="44"/>
      <c r="WXY5" s="44"/>
      <c r="WXZ5" s="44"/>
      <c r="WYA5" s="44"/>
      <c r="WYB5" s="44"/>
      <c r="WYC5" s="44"/>
      <c r="WYD5" s="44"/>
      <c r="WYE5" s="44"/>
      <c r="WYF5" s="44"/>
      <c r="WYG5" s="44"/>
      <c r="WYH5" s="44"/>
      <c r="WYI5" s="44"/>
      <c r="WYJ5" s="44"/>
      <c r="WYK5" s="44"/>
      <c r="WYL5" s="44"/>
      <c r="WYM5" s="44"/>
      <c r="WYN5" s="44"/>
      <c r="WYO5" s="44"/>
      <c r="WYP5" s="44"/>
      <c r="WYQ5" s="44"/>
      <c r="WYR5" s="44"/>
      <c r="WYS5" s="44"/>
      <c r="WYT5" s="44"/>
      <c r="WYU5" s="44"/>
      <c r="WYV5" s="44"/>
      <c r="WYW5" s="44"/>
      <c r="WYX5" s="44"/>
      <c r="WYY5" s="44"/>
      <c r="WYZ5" s="44"/>
      <c r="WZA5" s="44"/>
      <c r="WZB5" s="44"/>
      <c r="WZC5" s="44"/>
      <c r="WZD5" s="44"/>
      <c r="WZE5" s="44"/>
      <c r="WZF5" s="44"/>
      <c r="WZG5" s="44"/>
      <c r="WZH5" s="44"/>
      <c r="WZI5" s="44"/>
      <c r="WZJ5" s="44"/>
      <c r="WZK5" s="44"/>
      <c r="WZL5" s="44"/>
      <c r="WZM5" s="44"/>
      <c r="WZN5" s="44"/>
      <c r="WZO5" s="44"/>
      <c r="WZP5" s="44"/>
      <c r="WZQ5" s="44"/>
      <c r="WZR5" s="44"/>
      <c r="WZS5" s="44"/>
      <c r="WZT5" s="44"/>
      <c r="WZU5" s="44"/>
      <c r="WZV5" s="44"/>
      <c r="WZW5" s="44"/>
      <c r="WZX5" s="44"/>
      <c r="WZY5" s="44"/>
      <c r="WZZ5" s="44"/>
      <c r="XAA5" s="44"/>
      <c r="XAB5" s="44"/>
      <c r="XAC5" s="44"/>
      <c r="XAD5" s="44"/>
      <c r="XAE5" s="44"/>
      <c r="XAF5" s="44"/>
      <c r="XAG5" s="44"/>
      <c r="XAH5" s="44"/>
      <c r="XAI5" s="44"/>
      <c r="XAJ5" s="44"/>
      <c r="XAK5" s="44"/>
      <c r="XAL5" s="44"/>
      <c r="XAM5" s="44"/>
      <c r="XAN5" s="44"/>
      <c r="XAO5" s="44"/>
      <c r="XAP5" s="44"/>
      <c r="XAQ5" s="44"/>
      <c r="XAR5" s="44"/>
      <c r="XAS5" s="44"/>
      <c r="XAT5" s="44"/>
      <c r="XAU5" s="44"/>
      <c r="XAV5" s="44"/>
      <c r="XAW5" s="44"/>
      <c r="XAX5" s="44"/>
      <c r="XAY5" s="44"/>
      <c r="XAZ5" s="44"/>
      <c r="XBA5" s="44"/>
      <c r="XBB5" s="44"/>
      <c r="XBC5" s="44"/>
      <c r="XBD5" s="44"/>
      <c r="XBE5" s="44"/>
      <c r="XBF5" s="44"/>
      <c r="XBG5" s="44"/>
      <c r="XBH5" s="44"/>
      <c r="XBI5" s="44"/>
      <c r="XBJ5" s="44"/>
      <c r="XBK5" s="44"/>
      <c r="XBL5" s="44"/>
      <c r="XBM5" s="44"/>
      <c r="XBN5" s="44"/>
      <c r="XBO5" s="44"/>
      <c r="XBP5" s="44"/>
      <c r="XBQ5" s="44"/>
      <c r="XBR5" s="44"/>
      <c r="XBS5" s="44"/>
      <c r="XBT5" s="44"/>
      <c r="XBU5" s="44"/>
      <c r="XBV5" s="44"/>
      <c r="XBW5" s="44"/>
      <c r="XBX5" s="44"/>
      <c r="XBY5" s="44"/>
      <c r="XBZ5" s="44"/>
      <c r="XCA5" s="44"/>
      <c r="XCB5" s="44"/>
      <c r="XCC5" s="44"/>
      <c r="XCD5" s="44"/>
      <c r="XCE5" s="44"/>
      <c r="XCF5" s="44"/>
      <c r="XCG5" s="44"/>
      <c r="XCH5" s="44"/>
      <c r="XCI5" s="44"/>
      <c r="XCJ5" s="44"/>
      <c r="XCK5" s="44"/>
      <c r="XCL5" s="44"/>
      <c r="XCM5" s="44"/>
      <c r="XCN5" s="44"/>
      <c r="XCO5" s="44"/>
      <c r="XCP5" s="44"/>
      <c r="XCQ5" s="44"/>
      <c r="XCR5" s="44"/>
      <c r="XCS5" s="44"/>
      <c r="XCT5" s="44"/>
      <c r="XCU5" s="44"/>
      <c r="XCV5" s="44"/>
      <c r="XCW5" s="44"/>
      <c r="XCX5" s="44"/>
      <c r="XCY5" s="44"/>
      <c r="XCZ5" s="44"/>
      <c r="XDA5" s="44"/>
      <c r="XDB5" s="44"/>
      <c r="XDC5" s="44"/>
      <c r="XDD5" s="44"/>
      <c r="XDE5" s="44"/>
      <c r="XDF5" s="44"/>
      <c r="XDG5" s="44"/>
      <c r="XDH5" s="44"/>
      <c r="XDI5" s="44"/>
      <c r="XDJ5" s="44"/>
      <c r="XDK5" s="44"/>
      <c r="XDL5" s="44"/>
      <c r="XDM5" s="44"/>
      <c r="XDN5" s="44"/>
      <c r="XDO5" s="44"/>
      <c r="XDP5" s="44"/>
      <c r="XDQ5" s="44"/>
      <c r="XDR5" s="44"/>
      <c r="XDS5" s="44"/>
      <c r="XDT5" s="44"/>
      <c r="XDU5" s="44"/>
      <c r="XDV5" s="44"/>
      <c r="XDW5" s="44"/>
      <c r="XDX5" s="44"/>
      <c r="XDY5" s="44"/>
      <c r="XDZ5" s="44"/>
      <c r="XEA5" s="44"/>
      <c r="XEB5" s="44"/>
      <c r="XEC5" s="44"/>
      <c r="XED5" s="44"/>
      <c r="XEE5" s="44"/>
      <c r="XEF5" s="44"/>
      <c r="XEG5" s="44"/>
      <c r="XEH5" s="44"/>
      <c r="XEI5" s="44"/>
      <c r="XEJ5" s="44"/>
      <c r="XEK5" s="44"/>
      <c r="XEL5" s="44"/>
      <c r="XEM5" s="44"/>
      <c r="XEN5" s="44"/>
      <c r="XEO5" s="44"/>
      <c r="XEP5" s="44"/>
      <c r="XEQ5" s="44"/>
      <c r="XER5" s="44"/>
      <c r="XES5" s="44"/>
      <c r="XET5" s="44"/>
      <c r="XEU5" s="44"/>
      <c r="XEV5" s="44"/>
      <c r="XEW5" s="44"/>
      <c r="XEX5" s="44"/>
      <c r="XEY5" s="44"/>
      <c r="XEZ5" s="44"/>
      <c r="XFA5" s="44"/>
      <c r="XFB5" s="44"/>
      <c r="XFC5" s="44"/>
      <c r="XFD5" s="44"/>
    </row>
    <row r="7" spans="1:16384" s="44" customFormat="1" x14ac:dyDescent="0.25">
      <c r="C7" s="102" t="s">
        <v>627</v>
      </c>
    </row>
    <row r="8" spans="1:16384" x14ac:dyDescent="0.25">
      <c r="D8" t="str">
        <f>"Número de líneas en "&amp;Year.selected-1</f>
        <v>Número de líneas en 2021</v>
      </c>
      <c r="H8" s="77" t="s">
        <v>221</v>
      </c>
      <c r="J8" s="193">
        <f>INDEX(AEP.telephone.lines,MATCH(Year.selected-1,Years,0))</f>
        <v>11346638</v>
      </c>
      <c r="M8" s="193">
        <f>J8</f>
        <v>11346638</v>
      </c>
    </row>
    <row r="9" spans="1:16384" x14ac:dyDescent="0.25">
      <c r="D9" s="44" t="str">
        <f>"Número de líneas en "&amp;Year.selected</f>
        <v>Número de líneas en 2022</v>
      </c>
      <c r="H9" s="77" t="s">
        <v>221</v>
      </c>
      <c r="J9" s="193">
        <f>INDEX(AEP.telephone.lines,MATCH(Year.selected,Years,0))</f>
        <v>10804136</v>
      </c>
      <c r="M9" s="193">
        <f>J9</f>
        <v>10804136</v>
      </c>
    </row>
    <row r="10" spans="1:16384" x14ac:dyDescent="0.25">
      <c r="D10" t="s">
        <v>625</v>
      </c>
      <c r="H10" s="77" t="s">
        <v>221</v>
      </c>
      <c r="J10" s="134">
        <f>J9-J8</f>
        <v>-542502</v>
      </c>
      <c r="M10" s="134">
        <f>J10</f>
        <v>-542502</v>
      </c>
    </row>
    <row r="12" spans="1:16384" x14ac:dyDescent="0.25">
      <c r="D12" t="s">
        <v>428</v>
      </c>
      <c r="H12" s="190" t="s">
        <v>172</v>
      </c>
      <c r="J12" s="229">
        <f>Line.rental.churn</f>
        <v>1.3650000000000001E-2</v>
      </c>
      <c r="M12" s="229">
        <f>J12</f>
        <v>1.3650000000000001E-2</v>
      </c>
    </row>
    <row r="14" spans="1:16384" x14ac:dyDescent="0.25">
      <c r="D14" t="s">
        <v>626</v>
      </c>
      <c r="H14" s="77" t="s">
        <v>221</v>
      </c>
      <c r="J14" s="134">
        <f>J8*J12+J10</f>
        <v>-387620.39130000002</v>
      </c>
      <c r="M14" s="134">
        <f>J14</f>
        <v>-387620.39130000002</v>
      </c>
    </row>
    <row r="16" spans="1:16384" x14ac:dyDescent="0.25">
      <c r="C16" s="102" t="s">
        <v>629</v>
      </c>
      <c r="D16" s="44"/>
      <c r="E16" s="44"/>
      <c r="F16" s="44"/>
      <c r="G16" s="44"/>
      <c r="H16" s="44"/>
      <c r="I16" s="44"/>
      <c r="J16" s="44"/>
      <c r="L16" s="44"/>
      <c r="M16" s="44"/>
    </row>
    <row r="17" spans="3:13" x14ac:dyDescent="0.25">
      <c r="C17" s="44"/>
      <c r="D17" s="44" t="str">
        <f>"Número de líneas en "&amp;Year.selected-1</f>
        <v>Número de líneas en 2021</v>
      </c>
      <c r="E17" s="44"/>
      <c r="F17" s="44"/>
      <c r="G17" s="44"/>
      <c r="H17" s="77" t="s">
        <v>221</v>
      </c>
      <c r="I17" s="44"/>
      <c r="J17" s="134">
        <f>INDEX(AEP.telephone.lines.voice.only.residential,MATCH(Year.selected-1,Years,0))</f>
        <v>1014860.4366986202</v>
      </c>
      <c r="L17" s="44"/>
      <c r="M17" s="193">
        <f>J17</f>
        <v>1014860.4366986202</v>
      </c>
    </row>
    <row r="18" spans="3:13" x14ac:dyDescent="0.25">
      <c r="C18" s="44"/>
      <c r="D18" s="44" t="str">
        <f>"Número de líneas en "&amp;Year.selected</f>
        <v>Número de líneas en 2022</v>
      </c>
      <c r="E18" s="44"/>
      <c r="F18" s="44"/>
      <c r="G18" s="44"/>
      <c r="H18" s="77" t="s">
        <v>221</v>
      </c>
      <c r="I18" s="44"/>
      <c r="J18" s="134">
        <f>INDEX(AEP.telephone.lines.voice.only.residential,MATCH(Year.selected,Years,0))</f>
        <v>941578.72974916431</v>
      </c>
      <c r="L18" s="44"/>
      <c r="M18" s="193">
        <f>J18</f>
        <v>941578.72974916431</v>
      </c>
    </row>
    <row r="19" spans="3:13" x14ac:dyDescent="0.25">
      <c r="C19" s="44"/>
      <c r="D19" s="44" t="s">
        <v>625</v>
      </c>
      <c r="E19" s="44"/>
      <c r="F19" s="44"/>
      <c r="G19" s="44"/>
      <c r="H19" s="77" t="s">
        <v>221</v>
      </c>
      <c r="I19" s="44"/>
      <c r="J19" s="196">
        <f>J18-J17</f>
        <v>-73281.706949455896</v>
      </c>
      <c r="L19" s="44"/>
      <c r="M19" s="193">
        <f>J19</f>
        <v>-73281.706949455896</v>
      </c>
    </row>
    <row r="20" spans="3:13" x14ac:dyDescent="0.25">
      <c r="C20" s="44"/>
      <c r="D20" s="44"/>
      <c r="E20" s="44"/>
      <c r="F20" s="44"/>
      <c r="G20" s="44"/>
      <c r="H20" s="44"/>
      <c r="I20" s="44"/>
      <c r="J20" s="44"/>
      <c r="L20" s="44"/>
      <c r="M20" s="44"/>
    </row>
    <row r="21" spans="3:13" x14ac:dyDescent="0.25">
      <c r="C21" s="44"/>
      <c r="D21" s="44" t="s">
        <v>428</v>
      </c>
      <c r="E21" s="44"/>
      <c r="F21" s="44"/>
      <c r="G21" s="44"/>
      <c r="H21" s="190" t="s">
        <v>172</v>
      </c>
      <c r="I21" s="44"/>
      <c r="J21" s="229">
        <f>Line.rental.churn</f>
        <v>1.3650000000000001E-2</v>
      </c>
      <c r="L21" s="44"/>
      <c r="M21" s="229">
        <f>J21</f>
        <v>1.3650000000000001E-2</v>
      </c>
    </row>
    <row r="22" spans="3:13" x14ac:dyDescent="0.25">
      <c r="C22" s="44"/>
      <c r="D22" s="44"/>
      <c r="E22" s="44"/>
      <c r="F22" s="44"/>
      <c r="G22" s="44"/>
      <c r="H22" s="44"/>
      <c r="I22" s="44"/>
      <c r="J22" s="44"/>
      <c r="L22" s="44"/>
      <c r="M22" s="44"/>
    </row>
    <row r="23" spans="3:13" x14ac:dyDescent="0.25">
      <c r="C23" s="44"/>
      <c r="D23" s="44" t="s">
        <v>626</v>
      </c>
      <c r="E23" s="44"/>
      <c r="F23" s="44"/>
      <c r="G23" s="44"/>
      <c r="H23" s="77" t="s">
        <v>221</v>
      </c>
      <c r="I23" s="44"/>
      <c r="J23" s="196">
        <f>J17*J21+J19</f>
        <v>-59428.861988519726</v>
      </c>
      <c r="L23" s="44"/>
      <c r="M23" s="193">
        <f>J23</f>
        <v>-59428.861988519726</v>
      </c>
    </row>
    <row r="24" spans="3:13" x14ac:dyDescent="0.25">
      <c r="C24" s="44"/>
      <c r="D24" s="44"/>
      <c r="E24" s="44"/>
      <c r="F24" s="44"/>
      <c r="G24" s="44"/>
      <c r="H24" s="44"/>
      <c r="I24" s="44"/>
      <c r="J24" s="44"/>
      <c r="L24" s="44"/>
      <c r="M24" s="44"/>
    </row>
    <row r="25" spans="3:13" x14ac:dyDescent="0.25">
      <c r="C25" s="102" t="s">
        <v>630</v>
      </c>
      <c r="D25" s="44"/>
      <c r="E25" s="44"/>
      <c r="F25" s="44"/>
      <c r="G25" s="44"/>
      <c r="H25" s="44"/>
      <c r="I25" s="44"/>
      <c r="J25" s="44"/>
      <c r="L25" s="44"/>
      <c r="M25" s="44"/>
    </row>
    <row r="26" spans="3:13" x14ac:dyDescent="0.25">
      <c r="C26" s="44"/>
      <c r="D26" s="44" t="str">
        <f>"Número de líneas en "&amp;Year.selected-1</f>
        <v>Número de líneas en 2021</v>
      </c>
      <c r="E26" s="44"/>
      <c r="F26" s="44"/>
      <c r="G26" s="44"/>
      <c r="H26" s="77" t="s">
        <v>221</v>
      </c>
      <c r="I26" s="44"/>
      <c r="J26" s="134">
        <f>INDEX(AEP.telephone.lines.voice.only.noresidential,MATCH(Year.selected-1,Years,0))</f>
        <v>1397945.0220209034</v>
      </c>
      <c r="L26" s="44"/>
      <c r="M26" s="193">
        <f>J26</f>
        <v>1397945.0220209034</v>
      </c>
    </row>
    <row r="27" spans="3:13" x14ac:dyDescent="0.25">
      <c r="C27" s="44"/>
      <c r="D27" s="44" t="str">
        <f>"Número de líneas en "&amp;Year.selected</f>
        <v>Número de líneas en 2022</v>
      </c>
      <c r="E27" s="44"/>
      <c r="F27" s="44"/>
      <c r="G27" s="44"/>
      <c r="H27" s="77" t="s">
        <v>221</v>
      </c>
      <c r="I27" s="44"/>
      <c r="J27" s="134">
        <f>INDEX(AEP.telephone.lines.voice.only.noresidential,MATCH(Year.selected,Years,0))</f>
        <v>1476266.6373775213</v>
      </c>
      <c r="L27" s="44"/>
      <c r="M27" s="193">
        <f>J27</f>
        <v>1476266.6373775213</v>
      </c>
    </row>
    <row r="28" spans="3:13" x14ac:dyDescent="0.25">
      <c r="C28" s="44"/>
      <c r="D28" s="44" t="s">
        <v>625</v>
      </c>
      <c r="E28" s="44"/>
      <c r="F28" s="44"/>
      <c r="G28" s="44"/>
      <c r="H28" s="77" t="s">
        <v>221</v>
      </c>
      <c r="I28" s="44"/>
      <c r="J28" s="196">
        <f>J27-J26</f>
        <v>78321.61535661784</v>
      </c>
      <c r="L28" s="44"/>
      <c r="M28" s="193">
        <f>J28</f>
        <v>78321.61535661784</v>
      </c>
    </row>
    <row r="29" spans="3:13" x14ac:dyDescent="0.25">
      <c r="C29" s="44"/>
      <c r="D29" s="44"/>
      <c r="E29" s="44"/>
      <c r="F29" s="44"/>
      <c r="G29" s="44"/>
      <c r="H29" s="44"/>
      <c r="I29" s="44"/>
      <c r="J29" s="44"/>
      <c r="L29" s="44"/>
      <c r="M29" s="44"/>
    </row>
    <row r="30" spans="3:13" x14ac:dyDescent="0.25">
      <c r="C30" s="44"/>
      <c r="D30" s="44" t="s">
        <v>428</v>
      </c>
      <c r="E30" s="44"/>
      <c r="F30" s="44"/>
      <c r="G30" s="44"/>
      <c r="H30" s="190" t="s">
        <v>172</v>
      </c>
      <c r="I30" s="44"/>
      <c r="J30" s="229">
        <f>Line.rental.churn</f>
        <v>1.3650000000000001E-2</v>
      </c>
      <c r="K30" s="221"/>
      <c r="L30" s="221"/>
      <c r="M30" s="229">
        <f>J30</f>
        <v>1.3650000000000001E-2</v>
      </c>
    </row>
    <row r="31" spans="3:13" x14ac:dyDescent="0.25">
      <c r="C31" s="44"/>
      <c r="D31" s="44"/>
      <c r="E31" s="44"/>
      <c r="F31" s="44"/>
      <c r="G31" s="44"/>
      <c r="H31" s="44"/>
      <c r="I31" s="44"/>
      <c r="J31" s="44"/>
      <c r="L31" s="44"/>
      <c r="M31" s="44"/>
    </row>
    <row r="32" spans="3:13" x14ac:dyDescent="0.25">
      <c r="C32" s="44"/>
      <c r="D32" s="44" t="s">
        <v>626</v>
      </c>
      <c r="E32" s="44"/>
      <c r="F32" s="44"/>
      <c r="G32" s="44"/>
      <c r="H32" s="77" t="s">
        <v>221</v>
      </c>
      <c r="I32" s="44"/>
      <c r="J32" s="196">
        <f>J26*J30+J28</f>
        <v>97403.564907203167</v>
      </c>
      <c r="L32" s="44"/>
      <c r="M32" s="193">
        <f>J32</f>
        <v>97403.564907203167</v>
      </c>
    </row>
    <row r="34" spans="2:16384" x14ac:dyDescent="0.25">
      <c r="C34" s="102" t="s">
        <v>636</v>
      </c>
    </row>
    <row r="35" spans="2:16384" x14ac:dyDescent="0.25">
      <c r="D35" t="s">
        <v>197</v>
      </c>
      <c r="H35" s="77" t="s">
        <v>221</v>
      </c>
      <c r="J35" s="196">
        <f>AVERAGE(J17:J18)</f>
        <v>978219.58322389226</v>
      </c>
      <c r="M35" s="193">
        <f>J35</f>
        <v>978219.58322389226</v>
      </c>
    </row>
    <row r="36" spans="2:16384" x14ac:dyDescent="0.25">
      <c r="D36" t="s">
        <v>637</v>
      </c>
      <c r="H36" s="77" t="s">
        <v>221</v>
      </c>
      <c r="J36" s="196">
        <f>AVERAGE(J26:J27)</f>
        <v>1437105.8296992122</v>
      </c>
      <c r="M36" s="193">
        <f>J36</f>
        <v>1437105.8296992122</v>
      </c>
    </row>
    <row r="38" spans="2:16384" x14ac:dyDescent="0.25">
      <c r="C38" s="102" t="s">
        <v>628</v>
      </c>
    </row>
    <row r="39" spans="2:16384" x14ac:dyDescent="0.25">
      <c r="D39" s="44" t="s">
        <v>197</v>
      </c>
      <c r="E39" s="44"/>
      <c r="F39" s="44"/>
      <c r="G39" s="44"/>
      <c r="H39" s="77" t="s">
        <v>221</v>
      </c>
      <c r="J39" s="196">
        <f>Broadband.gross.adds.residential.with.line.rental</f>
        <v>201975.26529395697</v>
      </c>
      <c r="L39" s="44"/>
      <c r="M39" s="193">
        <f>J39</f>
        <v>201975.26529395697</v>
      </c>
    </row>
    <row r="40" spans="2:16384" x14ac:dyDescent="0.25">
      <c r="D40" s="44" t="s">
        <v>637</v>
      </c>
      <c r="E40" s="44"/>
      <c r="F40" s="44"/>
      <c r="G40" s="44"/>
      <c r="H40" s="77" t="s">
        <v>221</v>
      </c>
      <c r="J40" s="196">
        <f>Broadband.gross.adds.non.residential</f>
        <v>-51112.403193958584</v>
      </c>
      <c r="L40" s="44"/>
      <c r="M40" s="193">
        <f>J40</f>
        <v>-51112.403193958584</v>
      </c>
    </row>
    <row r="42" spans="2:16384" x14ac:dyDescent="0.25">
      <c r="C42" s="102" t="s">
        <v>638</v>
      </c>
    </row>
    <row r="43" spans="2:16384" x14ac:dyDescent="0.25">
      <c r="D43" s="44" t="s">
        <v>197</v>
      </c>
      <c r="H43" s="77" t="s">
        <v>221</v>
      </c>
      <c r="I43" s="44"/>
      <c r="J43" s="196">
        <f>MAX(0,J39,J23)</f>
        <v>201975.26529395697</v>
      </c>
      <c r="L43" s="44"/>
      <c r="M43" s="193">
        <f>J43</f>
        <v>201975.26529395697</v>
      </c>
    </row>
    <row r="44" spans="2:16384" x14ac:dyDescent="0.25">
      <c r="D44" s="44" t="s">
        <v>637</v>
      </c>
      <c r="H44" s="77" t="s">
        <v>221</v>
      </c>
      <c r="I44" s="44"/>
      <c r="J44" s="196">
        <f>MAX(0,J40,J24)</f>
        <v>0</v>
      </c>
      <c r="L44" s="44"/>
      <c r="M44" s="193">
        <f>J44</f>
        <v>0</v>
      </c>
    </row>
    <row r="46" spans="2:16384" x14ac:dyDescent="0.25">
      <c r="B46" s="100">
        <v>1.2</v>
      </c>
      <c r="C46" s="100" t="s">
        <v>644</v>
      </c>
      <c r="D46" s="100"/>
      <c r="E46" s="100"/>
      <c r="F46" s="100"/>
      <c r="G46" s="10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c r="DJ46" s="44"/>
      <c r="DK46" s="44"/>
      <c r="DL46" s="44"/>
      <c r="DM46" s="44"/>
      <c r="DN46" s="44"/>
      <c r="DO46" s="44"/>
      <c r="DP46" s="44"/>
      <c r="DQ46" s="44"/>
      <c r="DR46" s="44"/>
      <c r="DS46" s="44"/>
      <c r="DT46" s="44"/>
      <c r="DU46" s="44"/>
      <c r="DV46" s="44"/>
      <c r="DW46" s="44"/>
      <c r="DX46" s="44"/>
      <c r="DY46" s="44"/>
      <c r="DZ46" s="44"/>
      <c r="EA46" s="44"/>
      <c r="EB46" s="44"/>
      <c r="EC46" s="44"/>
      <c r="ED46" s="44"/>
      <c r="EE46" s="44"/>
      <c r="EF46" s="44"/>
      <c r="EG46" s="44"/>
      <c r="EH46" s="44"/>
      <c r="EI46" s="44"/>
      <c r="EJ46" s="44"/>
      <c r="EK46" s="44"/>
      <c r="EL46" s="44"/>
      <c r="EM46" s="44"/>
      <c r="EN46" s="44"/>
      <c r="EO46" s="44"/>
      <c r="EP46" s="44"/>
      <c r="EQ46" s="44"/>
      <c r="ER46" s="44"/>
      <c r="ES46" s="44"/>
      <c r="ET46" s="44"/>
      <c r="EU46" s="44"/>
      <c r="EV46" s="44"/>
      <c r="EW46" s="44"/>
      <c r="EX46" s="44"/>
      <c r="EY46" s="44"/>
      <c r="EZ46" s="44"/>
      <c r="FA46" s="44"/>
      <c r="FB46" s="44"/>
      <c r="FC46" s="44"/>
      <c r="FD46" s="44"/>
      <c r="FE46" s="44"/>
      <c r="FF46" s="44"/>
      <c r="FG46" s="44"/>
      <c r="FH46" s="44"/>
      <c r="FI46" s="44"/>
      <c r="FJ46" s="44"/>
      <c r="FK46" s="44"/>
      <c r="FL46" s="44"/>
      <c r="FM46" s="44"/>
      <c r="FN46" s="44"/>
      <c r="FO46" s="44"/>
      <c r="FP46" s="44"/>
      <c r="FQ46" s="44"/>
      <c r="FR46" s="44"/>
      <c r="FS46" s="44"/>
      <c r="FT46" s="44"/>
      <c r="FU46" s="44"/>
      <c r="FV46" s="44"/>
      <c r="FW46" s="44"/>
      <c r="FX46" s="44"/>
      <c r="FY46" s="44"/>
      <c r="FZ46" s="44"/>
      <c r="GA46" s="44"/>
      <c r="GB46" s="44"/>
      <c r="GC46" s="44"/>
      <c r="GD46" s="44"/>
      <c r="GE46" s="44"/>
      <c r="GF46" s="44"/>
      <c r="GG46" s="44"/>
      <c r="GH46" s="44"/>
      <c r="GI46" s="44"/>
      <c r="GJ46" s="44"/>
      <c r="GK46" s="44"/>
      <c r="GL46" s="44"/>
      <c r="GM46" s="44"/>
      <c r="GN46" s="44"/>
      <c r="GO46" s="44"/>
      <c r="GP46" s="44"/>
      <c r="GQ46" s="44"/>
      <c r="GR46" s="44"/>
      <c r="GS46" s="44"/>
      <c r="GT46" s="44"/>
      <c r="GU46" s="44"/>
      <c r="GV46" s="44"/>
      <c r="GW46" s="44"/>
      <c r="GX46" s="44"/>
      <c r="GY46" s="44"/>
      <c r="GZ46" s="44"/>
      <c r="HA46" s="44"/>
      <c r="HB46" s="44"/>
      <c r="HC46" s="44"/>
      <c r="HD46" s="44"/>
      <c r="HE46" s="44"/>
      <c r="HF46" s="44"/>
      <c r="HG46" s="44"/>
      <c r="HH46" s="44"/>
      <c r="HI46" s="44"/>
      <c r="HJ46" s="44"/>
      <c r="HK46" s="44"/>
      <c r="HL46" s="44"/>
      <c r="HM46" s="44"/>
      <c r="HN46" s="44"/>
      <c r="HO46" s="44"/>
      <c r="HP46" s="44"/>
      <c r="HQ46" s="44"/>
      <c r="HR46" s="44"/>
      <c r="HS46" s="44"/>
      <c r="HT46" s="44"/>
      <c r="HU46" s="44"/>
      <c r="HV46" s="44"/>
      <c r="HW46" s="44"/>
      <c r="HX46" s="44"/>
      <c r="HY46" s="44"/>
      <c r="HZ46" s="44"/>
      <c r="IA46" s="44"/>
      <c r="IB46" s="44"/>
      <c r="IC46" s="44"/>
      <c r="ID46" s="44"/>
      <c r="IE46" s="44"/>
      <c r="IF46" s="44"/>
      <c r="IG46" s="44"/>
      <c r="IH46" s="44"/>
      <c r="II46" s="44"/>
      <c r="IJ46" s="44"/>
      <c r="IK46" s="44"/>
      <c r="IL46" s="44"/>
      <c r="IM46" s="44"/>
      <c r="IN46" s="44"/>
      <c r="IO46" s="44"/>
      <c r="IP46" s="44"/>
      <c r="IQ46" s="44"/>
      <c r="IR46" s="44"/>
      <c r="IS46" s="44"/>
      <c r="IT46" s="44"/>
      <c r="IU46" s="44"/>
      <c r="IV46" s="44"/>
      <c r="IW46" s="44"/>
      <c r="IX46" s="44"/>
      <c r="IY46" s="44"/>
      <c r="IZ46" s="44"/>
      <c r="JA46" s="44"/>
      <c r="JB46" s="44"/>
      <c r="JC46" s="44"/>
      <c r="JD46" s="44"/>
      <c r="JE46" s="44"/>
      <c r="JF46" s="44"/>
      <c r="JG46" s="44"/>
      <c r="JH46" s="44"/>
      <c r="JI46" s="44"/>
      <c r="JJ46" s="44"/>
      <c r="JK46" s="44"/>
      <c r="JL46" s="44"/>
      <c r="JM46" s="44"/>
      <c r="JN46" s="44"/>
      <c r="JO46" s="44"/>
      <c r="JP46" s="44"/>
      <c r="JQ46" s="44"/>
      <c r="JR46" s="44"/>
      <c r="JS46" s="44"/>
      <c r="JT46" s="44"/>
      <c r="JU46" s="44"/>
      <c r="JV46" s="44"/>
      <c r="JW46" s="44"/>
      <c r="JX46" s="44"/>
      <c r="JY46" s="44"/>
      <c r="JZ46" s="44"/>
      <c r="KA46" s="44"/>
      <c r="KB46" s="44"/>
      <c r="KC46" s="44"/>
      <c r="KD46" s="44"/>
      <c r="KE46" s="44"/>
      <c r="KF46" s="44"/>
      <c r="KG46" s="44"/>
      <c r="KH46" s="44"/>
      <c r="KI46" s="44"/>
      <c r="KJ46" s="44"/>
      <c r="KK46" s="44"/>
      <c r="KL46" s="44"/>
      <c r="KM46" s="44"/>
      <c r="KN46" s="44"/>
      <c r="KO46" s="44"/>
      <c r="KP46" s="44"/>
      <c r="KQ46" s="44"/>
      <c r="KR46" s="44"/>
      <c r="KS46" s="44"/>
      <c r="KT46" s="44"/>
      <c r="KU46" s="44"/>
      <c r="KV46" s="44"/>
      <c r="KW46" s="44"/>
      <c r="KX46" s="44"/>
      <c r="KY46" s="44"/>
      <c r="KZ46" s="44"/>
      <c r="LA46" s="44"/>
      <c r="LB46" s="44"/>
      <c r="LC46" s="44"/>
      <c r="LD46" s="44"/>
      <c r="LE46" s="44"/>
      <c r="LF46" s="44"/>
      <c r="LG46" s="44"/>
      <c r="LH46" s="44"/>
      <c r="LI46" s="44"/>
      <c r="LJ46" s="44"/>
      <c r="LK46" s="44"/>
      <c r="LL46" s="44"/>
      <c r="LM46" s="44"/>
      <c r="LN46" s="44"/>
      <c r="LO46" s="44"/>
      <c r="LP46" s="44"/>
      <c r="LQ46" s="44"/>
      <c r="LR46" s="44"/>
      <c r="LS46" s="44"/>
      <c r="LT46" s="44"/>
      <c r="LU46" s="44"/>
      <c r="LV46" s="44"/>
      <c r="LW46" s="44"/>
      <c r="LX46" s="44"/>
      <c r="LY46" s="44"/>
      <c r="LZ46" s="44"/>
      <c r="MA46" s="44"/>
      <c r="MB46" s="44"/>
      <c r="MC46" s="44"/>
      <c r="MD46" s="44"/>
      <c r="ME46" s="44"/>
      <c r="MF46" s="44"/>
      <c r="MG46" s="44"/>
      <c r="MH46" s="44"/>
      <c r="MI46" s="44"/>
      <c r="MJ46" s="44"/>
      <c r="MK46" s="44"/>
      <c r="ML46" s="44"/>
      <c r="MM46" s="44"/>
      <c r="MN46" s="44"/>
      <c r="MO46" s="44"/>
      <c r="MP46" s="44"/>
      <c r="MQ46" s="44"/>
      <c r="MR46" s="44"/>
      <c r="MS46" s="44"/>
      <c r="MT46" s="44"/>
      <c r="MU46" s="44"/>
      <c r="MV46" s="44"/>
      <c r="MW46" s="44"/>
      <c r="MX46" s="44"/>
      <c r="MY46" s="44"/>
      <c r="MZ46" s="44"/>
      <c r="NA46" s="44"/>
      <c r="NB46" s="44"/>
      <c r="NC46" s="44"/>
      <c r="ND46" s="44"/>
      <c r="NE46" s="44"/>
      <c r="NF46" s="44"/>
      <c r="NG46" s="44"/>
      <c r="NH46" s="44"/>
      <c r="NI46" s="44"/>
      <c r="NJ46" s="44"/>
      <c r="NK46" s="44"/>
      <c r="NL46" s="44"/>
      <c r="NM46" s="44"/>
      <c r="NN46" s="44"/>
      <c r="NO46" s="44"/>
      <c r="NP46" s="44"/>
      <c r="NQ46" s="44"/>
      <c r="NR46" s="44"/>
      <c r="NS46" s="44"/>
      <c r="NT46" s="44"/>
      <c r="NU46" s="44"/>
      <c r="NV46" s="44"/>
      <c r="NW46" s="44"/>
      <c r="NX46" s="44"/>
      <c r="NY46" s="44"/>
      <c r="NZ46" s="44"/>
      <c r="OA46" s="44"/>
      <c r="OB46" s="44"/>
      <c r="OC46" s="44"/>
      <c r="OD46" s="44"/>
      <c r="OE46" s="44"/>
      <c r="OF46" s="44"/>
      <c r="OG46" s="44"/>
      <c r="OH46" s="44"/>
      <c r="OI46" s="44"/>
      <c r="OJ46" s="44"/>
      <c r="OK46" s="44"/>
      <c r="OL46" s="44"/>
      <c r="OM46" s="44"/>
      <c r="ON46" s="44"/>
      <c r="OO46" s="44"/>
      <c r="OP46" s="44"/>
      <c r="OQ46" s="44"/>
      <c r="OR46" s="44"/>
      <c r="OS46" s="44"/>
      <c r="OT46" s="44"/>
      <c r="OU46" s="44"/>
      <c r="OV46" s="44"/>
      <c r="OW46" s="44"/>
      <c r="OX46" s="44"/>
      <c r="OY46" s="44"/>
      <c r="OZ46" s="44"/>
      <c r="PA46" s="44"/>
      <c r="PB46" s="44"/>
      <c r="PC46" s="44"/>
      <c r="PD46" s="44"/>
      <c r="PE46" s="44"/>
      <c r="PF46" s="44"/>
      <c r="PG46" s="44"/>
      <c r="PH46" s="44"/>
      <c r="PI46" s="44"/>
      <c r="PJ46" s="44"/>
      <c r="PK46" s="44"/>
      <c r="PL46" s="44"/>
      <c r="PM46" s="44"/>
      <c r="PN46" s="44"/>
      <c r="PO46" s="44"/>
      <c r="PP46" s="44"/>
      <c r="PQ46" s="44"/>
      <c r="PR46" s="44"/>
      <c r="PS46" s="44"/>
      <c r="PT46" s="44"/>
      <c r="PU46" s="44"/>
      <c r="PV46" s="44"/>
      <c r="PW46" s="44"/>
      <c r="PX46" s="44"/>
      <c r="PY46" s="44"/>
      <c r="PZ46" s="44"/>
      <c r="QA46" s="44"/>
      <c r="QB46" s="44"/>
      <c r="QC46" s="44"/>
      <c r="QD46" s="44"/>
      <c r="QE46" s="44"/>
      <c r="QF46" s="44"/>
      <c r="QG46" s="44"/>
      <c r="QH46" s="44"/>
      <c r="QI46" s="44"/>
      <c r="QJ46" s="44"/>
      <c r="QK46" s="44"/>
      <c r="QL46" s="44"/>
      <c r="QM46" s="44"/>
      <c r="QN46" s="44"/>
      <c r="QO46" s="44"/>
      <c r="QP46" s="44"/>
      <c r="QQ46" s="44"/>
      <c r="QR46" s="44"/>
      <c r="QS46" s="44"/>
      <c r="QT46" s="44"/>
      <c r="QU46" s="44"/>
      <c r="QV46" s="44"/>
      <c r="QW46" s="44"/>
      <c r="QX46" s="44"/>
      <c r="QY46" s="44"/>
      <c r="QZ46" s="44"/>
      <c r="RA46" s="44"/>
      <c r="RB46" s="44"/>
      <c r="RC46" s="44"/>
      <c r="RD46" s="44"/>
      <c r="RE46" s="44"/>
      <c r="RF46" s="44"/>
      <c r="RG46" s="44"/>
      <c r="RH46" s="44"/>
      <c r="RI46" s="44"/>
      <c r="RJ46" s="44"/>
      <c r="RK46" s="44"/>
      <c r="RL46" s="44"/>
      <c r="RM46" s="44"/>
      <c r="RN46" s="44"/>
      <c r="RO46" s="44"/>
      <c r="RP46" s="44"/>
      <c r="RQ46" s="44"/>
      <c r="RR46" s="44"/>
      <c r="RS46" s="44"/>
      <c r="RT46" s="44"/>
      <c r="RU46" s="44"/>
      <c r="RV46" s="44"/>
      <c r="RW46" s="44"/>
      <c r="RX46" s="44"/>
      <c r="RY46" s="44"/>
      <c r="RZ46" s="44"/>
      <c r="SA46" s="44"/>
      <c r="SB46" s="44"/>
      <c r="SC46" s="44"/>
      <c r="SD46" s="44"/>
      <c r="SE46" s="44"/>
      <c r="SF46" s="44"/>
      <c r="SG46" s="44"/>
      <c r="SH46" s="44"/>
      <c r="SI46" s="44"/>
      <c r="SJ46" s="44"/>
      <c r="SK46" s="44"/>
      <c r="SL46" s="44"/>
      <c r="SM46" s="44"/>
      <c r="SN46" s="44"/>
      <c r="SO46" s="44"/>
      <c r="SP46" s="44"/>
      <c r="SQ46" s="44"/>
      <c r="SR46" s="44"/>
      <c r="SS46" s="44"/>
      <c r="ST46" s="44"/>
      <c r="SU46" s="44"/>
      <c r="SV46" s="44"/>
      <c r="SW46" s="44"/>
      <c r="SX46" s="44"/>
      <c r="SY46" s="44"/>
      <c r="SZ46" s="44"/>
      <c r="TA46" s="44"/>
      <c r="TB46" s="44"/>
      <c r="TC46" s="44"/>
      <c r="TD46" s="44"/>
      <c r="TE46" s="44"/>
      <c r="TF46" s="44"/>
      <c r="TG46" s="44"/>
      <c r="TH46" s="44"/>
      <c r="TI46" s="44"/>
      <c r="TJ46" s="44"/>
      <c r="TK46" s="44"/>
      <c r="TL46" s="44"/>
      <c r="TM46" s="44"/>
      <c r="TN46" s="44"/>
      <c r="TO46" s="44"/>
      <c r="TP46" s="44"/>
      <c r="TQ46" s="44"/>
      <c r="TR46" s="44"/>
      <c r="TS46" s="44"/>
      <c r="TT46" s="44"/>
      <c r="TU46" s="44"/>
      <c r="TV46" s="44"/>
      <c r="TW46" s="44"/>
      <c r="TX46" s="44"/>
      <c r="TY46" s="44"/>
      <c r="TZ46" s="44"/>
      <c r="UA46" s="44"/>
      <c r="UB46" s="44"/>
      <c r="UC46" s="44"/>
      <c r="UD46" s="44"/>
      <c r="UE46" s="44"/>
      <c r="UF46" s="44"/>
      <c r="UG46" s="44"/>
      <c r="UH46" s="44"/>
      <c r="UI46" s="44"/>
      <c r="UJ46" s="44"/>
      <c r="UK46" s="44"/>
      <c r="UL46" s="44"/>
      <c r="UM46" s="44"/>
      <c r="UN46" s="44"/>
      <c r="UO46" s="44"/>
      <c r="UP46" s="44"/>
      <c r="UQ46" s="44"/>
      <c r="UR46" s="44"/>
      <c r="US46" s="44"/>
      <c r="UT46" s="44"/>
      <c r="UU46" s="44"/>
      <c r="UV46" s="44"/>
      <c r="UW46" s="44"/>
      <c r="UX46" s="44"/>
      <c r="UY46" s="44"/>
      <c r="UZ46" s="44"/>
      <c r="VA46" s="44"/>
      <c r="VB46" s="44"/>
      <c r="VC46" s="44"/>
      <c r="VD46" s="44"/>
      <c r="VE46" s="44"/>
      <c r="VF46" s="44"/>
      <c r="VG46" s="44"/>
      <c r="VH46" s="44"/>
      <c r="VI46" s="44"/>
      <c r="VJ46" s="44"/>
      <c r="VK46" s="44"/>
      <c r="VL46" s="44"/>
      <c r="VM46" s="44"/>
      <c r="VN46" s="44"/>
      <c r="VO46" s="44"/>
      <c r="VP46" s="44"/>
      <c r="VQ46" s="44"/>
      <c r="VR46" s="44"/>
      <c r="VS46" s="44"/>
      <c r="VT46" s="44"/>
      <c r="VU46" s="44"/>
      <c r="VV46" s="44"/>
      <c r="VW46" s="44"/>
      <c r="VX46" s="44"/>
      <c r="VY46" s="44"/>
      <c r="VZ46" s="44"/>
      <c r="WA46" s="44"/>
      <c r="WB46" s="44"/>
      <c r="WC46" s="44"/>
      <c r="WD46" s="44"/>
      <c r="WE46" s="44"/>
      <c r="WF46" s="44"/>
      <c r="WG46" s="44"/>
      <c r="WH46" s="44"/>
      <c r="WI46" s="44"/>
      <c r="WJ46" s="44"/>
      <c r="WK46" s="44"/>
      <c r="WL46" s="44"/>
      <c r="WM46" s="44"/>
      <c r="WN46" s="44"/>
      <c r="WO46" s="44"/>
      <c r="WP46" s="44"/>
      <c r="WQ46" s="44"/>
      <c r="WR46" s="44"/>
      <c r="WS46" s="44"/>
      <c r="WT46" s="44"/>
      <c r="WU46" s="44"/>
      <c r="WV46" s="44"/>
      <c r="WW46" s="44"/>
      <c r="WX46" s="44"/>
      <c r="WY46" s="44"/>
      <c r="WZ46" s="44"/>
      <c r="XA46" s="44"/>
      <c r="XB46" s="44"/>
      <c r="XC46" s="44"/>
      <c r="XD46" s="44"/>
      <c r="XE46" s="44"/>
      <c r="XF46" s="44"/>
      <c r="XG46" s="44"/>
      <c r="XH46" s="44"/>
      <c r="XI46" s="44"/>
      <c r="XJ46" s="44"/>
      <c r="XK46" s="44"/>
      <c r="XL46" s="44"/>
      <c r="XM46" s="44"/>
      <c r="XN46" s="44"/>
      <c r="XO46" s="44"/>
      <c r="XP46" s="44"/>
      <c r="XQ46" s="44"/>
      <c r="XR46" s="44"/>
      <c r="XS46" s="44"/>
      <c r="XT46" s="44"/>
      <c r="XU46" s="44"/>
      <c r="XV46" s="44"/>
      <c r="XW46" s="44"/>
      <c r="XX46" s="44"/>
      <c r="XY46" s="44"/>
      <c r="XZ46" s="44"/>
      <c r="YA46" s="44"/>
      <c r="YB46" s="44"/>
      <c r="YC46" s="44"/>
      <c r="YD46" s="44"/>
      <c r="YE46" s="44"/>
      <c r="YF46" s="44"/>
      <c r="YG46" s="44"/>
      <c r="YH46" s="44"/>
      <c r="YI46" s="44"/>
      <c r="YJ46" s="44"/>
      <c r="YK46" s="44"/>
      <c r="YL46" s="44"/>
      <c r="YM46" s="44"/>
      <c r="YN46" s="44"/>
      <c r="YO46" s="44"/>
      <c r="YP46" s="44"/>
      <c r="YQ46" s="44"/>
      <c r="YR46" s="44"/>
      <c r="YS46" s="44"/>
      <c r="YT46" s="44"/>
      <c r="YU46" s="44"/>
      <c r="YV46" s="44"/>
      <c r="YW46" s="44"/>
      <c r="YX46" s="44"/>
      <c r="YY46" s="44"/>
      <c r="YZ46" s="44"/>
      <c r="ZA46" s="44"/>
      <c r="ZB46" s="44"/>
      <c r="ZC46" s="44"/>
      <c r="ZD46" s="44"/>
      <c r="ZE46" s="44"/>
      <c r="ZF46" s="44"/>
      <c r="ZG46" s="44"/>
      <c r="ZH46" s="44"/>
      <c r="ZI46" s="44"/>
      <c r="ZJ46" s="44"/>
      <c r="ZK46" s="44"/>
      <c r="ZL46" s="44"/>
      <c r="ZM46" s="44"/>
      <c r="ZN46" s="44"/>
      <c r="ZO46" s="44"/>
      <c r="ZP46" s="44"/>
      <c r="ZQ46" s="44"/>
      <c r="ZR46" s="44"/>
      <c r="ZS46" s="44"/>
      <c r="ZT46" s="44"/>
      <c r="ZU46" s="44"/>
      <c r="ZV46" s="44"/>
      <c r="ZW46" s="44"/>
      <c r="ZX46" s="44"/>
      <c r="ZY46" s="44"/>
      <c r="ZZ46" s="44"/>
      <c r="AAA46" s="44"/>
      <c r="AAB46" s="44"/>
      <c r="AAC46" s="44"/>
      <c r="AAD46" s="44"/>
      <c r="AAE46" s="44"/>
      <c r="AAF46" s="44"/>
      <c r="AAG46" s="44"/>
      <c r="AAH46" s="44"/>
      <c r="AAI46" s="44"/>
      <c r="AAJ46" s="44"/>
      <c r="AAK46" s="44"/>
      <c r="AAL46" s="44"/>
      <c r="AAM46" s="44"/>
      <c r="AAN46" s="44"/>
      <c r="AAO46" s="44"/>
      <c r="AAP46" s="44"/>
      <c r="AAQ46" s="44"/>
      <c r="AAR46" s="44"/>
      <c r="AAS46" s="44"/>
      <c r="AAT46" s="44"/>
      <c r="AAU46" s="44"/>
      <c r="AAV46" s="44"/>
      <c r="AAW46" s="44"/>
      <c r="AAX46" s="44"/>
      <c r="AAY46" s="44"/>
      <c r="AAZ46" s="44"/>
      <c r="ABA46" s="44"/>
      <c r="ABB46" s="44"/>
      <c r="ABC46" s="44"/>
      <c r="ABD46" s="44"/>
      <c r="ABE46" s="44"/>
      <c r="ABF46" s="44"/>
      <c r="ABG46" s="44"/>
      <c r="ABH46" s="44"/>
      <c r="ABI46" s="44"/>
      <c r="ABJ46" s="44"/>
      <c r="ABK46" s="44"/>
      <c r="ABL46" s="44"/>
      <c r="ABM46" s="44"/>
      <c r="ABN46" s="44"/>
      <c r="ABO46" s="44"/>
      <c r="ABP46" s="44"/>
      <c r="ABQ46" s="44"/>
      <c r="ABR46" s="44"/>
      <c r="ABS46" s="44"/>
      <c r="ABT46" s="44"/>
      <c r="ABU46" s="44"/>
      <c r="ABV46" s="44"/>
      <c r="ABW46" s="44"/>
      <c r="ABX46" s="44"/>
      <c r="ABY46" s="44"/>
      <c r="ABZ46" s="44"/>
      <c r="ACA46" s="44"/>
      <c r="ACB46" s="44"/>
      <c r="ACC46" s="44"/>
      <c r="ACD46" s="44"/>
      <c r="ACE46" s="44"/>
      <c r="ACF46" s="44"/>
      <c r="ACG46" s="44"/>
      <c r="ACH46" s="44"/>
      <c r="ACI46" s="44"/>
      <c r="ACJ46" s="44"/>
      <c r="ACK46" s="44"/>
      <c r="ACL46" s="44"/>
      <c r="ACM46" s="44"/>
      <c r="ACN46" s="44"/>
      <c r="ACO46" s="44"/>
      <c r="ACP46" s="44"/>
      <c r="ACQ46" s="44"/>
      <c r="ACR46" s="44"/>
      <c r="ACS46" s="44"/>
      <c r="ACT46" s="44"/>
      <c r="ACU46" s="44"/>
      <c r="ACV46" s="44"/>
      <c r="ACW46" s="44"/>
      <c r="ACX46" s="44"/>
      <c r="ACY46" s="44"/>
      <c r="ACZ46" s="44"/>
      <c r="ADA46" s="44"/>
      <c r="ADB46" s="44"/>
      <c r="ADC46" s="44"/>
      <c r="ADD46" s="44"/>
      <c r="ADE46" s="44"/>
      <c r="ADF46" s="44"/>
      <c r="ADG46" s="44"/>
      <c r="ADH46" s="44"/>
      <c r="ADI46" s="44"/>
      <c r="ADJ46" s="44"/>
      <c r="ADK46" s="44"/>
      <c r="ADL46" s="44"/>
      <c r="ADM46" s="44"/>
      <c r="ADN46" s="44"/>
      <c r="ADO46" s="44"/>
      <c r="ADP46" s="44"/>
      <c r="ADQ46" s="44"/>
      <c r="ADR46" s="44"/>
      <c r="ADS46" s="44"/>
      <c r="ADT46" s="44"/>
      <c r="ADU46" s="44"/>
      <c r="ADV46" s="44"/>
      <c r="ADW46" s="44"/>
      <c r="ADX46" s="44"/>
      <c r="ADY46" s="44"/>
      <c r="ADZ46" s="44"/>
      <c r="AEA46" s="44"/>
      <c r="AEB46" s="44"/>
      <c r="AEC46" s="44"/>
      <c r="AED46" s="44"/>
      <c r="AEE46" s="44"/>
      <c r="AEF46" s="44"/>
      <c r="AEG46" s="44"/>
      <c r="AEH46" s="44"/>
      <c r="AEI46" s="44"/>
      <c r="AEJ46" s="44"/>
      <c r="AEK46" s="44"/>
      <c r="AEL46" s="44"/>
      <c r="AEM46" s="44"/>
      <c r="AEN46" s="44"/>
      <c r="AEO46" s="44"/>
      <c r="AEP46" s="44"/>
      <c r="AEQ46" s="44"/>
      <c r="AER46" s="44"/>
      <c r="AES46" s="44"/>
      <c r="AET46" s="44"/>
      <c r="AEU46" s="44"/>
      <c r="AEV46" s="44"/>
      <c r="AEW46" s="44"/>
      <c r="AEX46" s="44"/>
      <c r="AEY46" s="44"/>
      <c r="AEZ46" s="44"/>
      <c r="AFA46" s="44"/>
      <c r="AFB46" s="44"/>
      <c r="AFC46" s="44"/>
      <c r="AFD46" s="44"/>
      <c r="AFE46" s="44"/>
      <c r="AFF46" s="44"/>
      <c r="AFG46" s="44"/>
      <c r="AFH46" s="44"/>
      <c r="AFI46" s="44"/>
      <c r="AFJ46" s="44"/>
      <c r="AFK46" s="44"/>
      <c r="AFL46" s="44"/>
      <c r="AFM46" s="44"/>
      <c r="AFN46" s="44"/>
      <c r="AFO46" s="44"/>
      <c r="AFP46" s="44"/>
      <c r="AFQ46" s="44"/>
      <c r="AFR46" s="44"/>
      <c r="AFS46" s="44"/>
      <c r="AFT46" s="44"/>
      <c r="AFU46" s="44"/>
      <c r="AFV46" s="44"/>
      <c r="AFW46" s="44"/>
      <c r="AFX46" s="44"/>
      <c r="AFY46" s="44"/>
      <c r="AFZ46" s="44"/>
      <c r="AGA46" s="44"/>
      <c r="AGB46" s="44"/>
      <c r="AGC46" s="44"/>
      <c r="AGD46" s="44"/>
      <c r="AGE46" s="44"/>
      <c r="AGF46" s="44"/>
      <c r="AGG46" s="44"/>
      <c r="AGH46" s="44"/>
      <c r="AGI46" s="44"/>
      <c r="AGJ46" s="44"/>
      <c r="AGK46" s="44"/>
      <c r="AGL46" s="44"/>
      <c r="AGM46" s="44"/>
      <c r="AGN46" s="44"/>
      <c r="AGO46" s="44"/>
      <c r="AGP46" s="44"/>
      <c r="AGQ46" s="44"/>
      <c r="AGR46" s="44"/>
      <c r="AGS46" s="44"/>
      <c r="AGT46" s="44"/>
      <c r="AGU46" s="44"/>
      <c r="AGV46" s="44"/>
      <c r="AGW46" s="44"/>
      <c r="AGX46" s="44"/>
      <c r="AGY46" s="44"/>
      <c r="AGZ46" s="44"/>
      <c r="AHA46" s="44"/>
      <c r="AHB46" s="44"/>
      <c r="AHC46" s="44"/>
      <c r="AHD46" s="44"/>
      <c r="AHE46" s="44"/>
      <c r="AHF46" s="44"/>
      <c r="AHG46" s="44"/>
      <c r="AHH46" s="44"/>
      <c r="AHI46" s="44"/>
      <c r="AHJ46" s="44"/>
      <c r="AHK46" s="44"/>
      <c r="AHL46" s="44"/>
      <c r="AHM46" s="44"/>
      <c r="AHN46" s="44"/>
      <c r="AHO46" s="44"/>
      <c r="AHP46" s="44"/>
      <c r="AHQ46" s="44"/>
      <c r="AHR46" s="44"/>
      <c r="AHS46" s="44"/>
      <c r="AHT46" s="44"/>
      <c r="AHU46" s="44"/>
      <c r="AHV46" s="44"/>
      <c r="AHW46" s="44"/>
      <c r="AHX46" s="44"/>
      <c r="AHY46" s="44"/>
      <c r="AHZ46" s="44"/>
      <c r="AIA46" s="44"/>
      <c r="AIB46" s="44"/>
      <c r="AIC46" s="44"/>
      <c r="AID46" s="44"/>
      <c r="AIE46" s="44"/>
      <c r="AIF46" s="44"/>
      <c r="AIG46" s="44"/>
      <c r="AIH46" s="44"/>
      <c r="AII46" s="44"/>
      <c r="AIJ46" s="44"/>
      <c r="AIK46" s="44"/>
      <c r="AIL46" s="44"/>
      <c r="AIM46" s="44"/>
      <c r="AIN46" s="44"/>
      <c r="AIO46" s="44"/>
      <c r="AIP46" s="44"/>
      <c r="AIQ46" s="44"/>
      <c r="AIR46" s="44"/>
      <c r="AIS46" s="44"/>
      <c r="AIT46" s="44"/>
      <c r="AIU46" s="44"/>
      <c r="AIV46" s="44"/>
      <c r="AIW46" s="44"/>
      <c r="AIX46" s="44"/>
      <c r="AIY46" s="44"/>
      <c r="AIZ46" s="44"/>
      <c r="AJA46" s="44"/>
      <c r="AJB46" s="44"/>
      <c r="AJC46" s="44"/>
      <c r="AJD46" s="44"/>
      <c r="AJE46" s="44"/>
      <c r="AJF46" s="44"/>
      <c r="AJG46" s="44"/>
      <c r="AJH46" s="44"/>
      <c r="AJI46" s="44"/>
      <c r="AJJ46" s="44"/>
      <c r="AJK46" s="44"/>
      <c r="AJL46" s="44"/>
      <c r="AJM46" s="44"/>
      <c r="AJN46" s="44"/>
      <c r="AJO46" s="44"/>
      <c r="AJP46" s="44"/>
      <c r="AJQ46" s="44"/>
      <c r="AJR46" s="44"/>
      <c r="AJS46" s="44"/>
      <c r="AJT46" s="44"/>
      <c r="AJU46" s="44"/>
      <c r="AJV46" s="44"/>
      <c r="AJW46" s="44"/>
      <c r="AJX46" s="44"/>
      <c r="AJY46" s="44"/>
      <c r="AJZ46" s="44"/>
      <c r="AKA46" s="44"/>
      <c r="AKB46" s="44"/>
      <c r="AKC46" s="44"/>
      <c r="AKD46" s="44"/>
      <c r="AKE46" s="44"/>
      <c r="AKF46" s="44"/>
      <c r="AKG46" s="44"/>
      <c r="AKH46" s="44"/>
      <c r="AKI46" s="44"/>
      <c r="AKJ46" s="44"/>
      <c r="AKK46" s="44"/>
      <c r="AKL46" s="44"/>
      <c r="AKM46" s="44"/>
      <c r="AKN46" s="44"/>
      <c r="AKO46" s="44"/>
      <c r="AKP46" s="44"/>
      <c r="AKQ46" s="44"/>
      <c r="AKR46" s="44"/>
      <c r="AKS46" s="44"/>
      <c r="AKT46" s="44"/>
      <c r="AKU46" s="44"/>
      <c r="AKV46" s="44"/>
      <c r="AKW46" s="44"/>
      <c r="AKX46" s="44"/>
      <c r="AKY46" s="44"/>
      <c r="AKZ46" s="44"/>
      <c r="ALA46" s="44"/>
      <c r="ALB46" s="44"/>
      <c r="ALC46" s="44"/>
      <c r="ALD46" s="44"/>
      <c r="ALE46" s="44"/>
      <c r="ALF46" s="44"/>
      <c r="ALG46" s="44"/>
      <c r="ALH46" s="44"/>
      <c r="ALI46" s="44"/>
      <c r="ALJ46" s="44"/>
      <c r="ALK46" s="44"/>
      <c r="ALL46" s="44"/>
      <c r="ALM46" s="44"/>
      <c r="ALN46" s="44"/>
      <c r="ALO46" s="44"/>
      <c r="ALP46" s="44"/>
      <c r="ALQ46" s="44"/>
      <c r="ALR46" s="44"/>
      <c r="ALS46" s="44"/>
      <c r="ALT46" s="44"/>
      <c r="ALU46" s="44"/>
      <c r="ALV46" s="44"/>
      <c r="ALW46" s="44"/>
      <c r="ALX46" s="44"/>
      <c r="ALY46" s="44"/>
      <c r="ALZ46" s="44"/>
      <c r="AMA46" s="44"/>
      <c r="AMB46" s="44"/>
      <c r="AMC46" s="44"/>
      <c r="AMD46" s="44"/>
      <c r="AME46" s="44"/>
      <c r="AMF46" s="44"/>
      <c r="AMG46" s="44"/>
      <c r="AMH46" s="44"/>
      <c r="AMI46" s="44"/>
      <c r="AMJ46" s="44"/>
      <c r="AMK46" s="44"/>
      <c r="AML46" s="44"/>
      <c r="AMM46" s="44"/>
      <c r="AMN46" s="44"/>
      <c r="AMO46" s="44"/>
      <c r="AMP46" s="44"/>
      <c r="AMQ46" s="44"/>
      <c r="AMR46" s="44"/>
      <c r="AMS46" s="44"/>
      <c r="AMT46" s="44"/>
      <c r="AMU46" s="44"/>
      <c r="AMV46" s="44"/>
      <c r="AMW46" s="44"/>
      <c r="AMX46" s="44"/>
      <c r="AMY46" s="44"/>
      <c r="AMZ46" s="44"/>
      <c r="ANA46" s="44"/>
      <c r="ANB46" s="44"/>
      <c r="ANC46" s="44"/>
      <c r="AND46" s="44"/>
      <c r="ANE46" s="44"/>
      <c r="ANF46" s="44"/>
      <c r="ANG46" s="44"/>
      <c r="ANH46" s="44"/>
      <c r="ANI46" s="44"/>
      <c r="ANJ46" s="44"/>
      <c r="ANK46" s="44"/>
      <c r="ANL46" s="44"/>
      <c r="ANM46" s="44"/>
      <c r="ANN46" s="44"/>
      <c r="ANO46" s="44"/>
      <c r="ANP46" s="44"/>
      <c r="ANQ46" s="44"/>
      <c r="ANR46" s="44"/>
      <c r="ANS46" s="44"/>
      <c r="ANT46" s="44"/>
      <c r="ANU46" s="44"/>
      <c r="ANV46" s="44"/>
      <c r="ANW46" s="44"/>
      <c r="ANX46" s="44"/>
      <c r="ANY46" s="44"/>
      <c r="ANZ46" s="44"/>
      <c r="AOA46" s="44"/>
      <c r="AOB46" s="44"/>
      <c r="AOC46" s="44"/>
      <c r="AOD46" s="44"/>
      <c r="AOE46" s="44"/>
      <c r="AOF46" s="44"/>
      <c r="AOG46" s="44"/>
      <c r="AOH46" s="44"/>
      <c r="AOI46" s="44"/>
      <c r="AOJ46" s="44"/>
      <c r="AOK46" s="44"/>
      <c r="AOL46" s="44"/>
      <c r="AOM46" s="44"/>
      <c r="AON46" s="44"/>
      <c r="AOO46" s="44"/>
      <c r="AOP46" s="44"/>
      <c r="AOQ46" s="44"/>
      <c r="AOR46" s="44"/>
      <c r="AOS46" s="44"/>
      <c r="AOT46" s="44"/>
      <c r="AOU46" s="44"/>
      <c r="AOV46" s="44"/>
      <c r="AOW46" s="44"/>
      <c r="AOX46" s="44"/>
      <c r="AOY46" s="44"/>
      <c r="AOZ46" s="44"/>
      <c r="APA46" s="44"/>
      <c r="APB46" s="44"/>
      <c r="APC46" s="44"/>
      <c r="APD46" s="44"/>
      <c r="APE46" s="44"/>
      <c r="APF46" s="44"/>
      <c r="APG46" s="44"/>
      <c r="APH46" s="44"/>
      <c r="API46" s="44"/>
      <c r="APJ46" s="44"/>
      <c r="APK46" s="44"/>
      <c r="APL46" s="44"/>
      <c r="APM46" s="44"/>
      <c r="APN46" s="44"/>
      <c r="APO46" s="44"/>
      <c r="APP46" s="44"/>
      <c r="APQ46" s="44"/>
      <c r="APR46" s="44"/>
      <c r="APS46" s="44"/>
      <c r="APT46" s="44"/>
      <c r="APU46" s="44"/>
      <c r="APV46" s="44"/>
      <c r="APW46" s="44"/>
      <c r="APX46" s="44"/>
      <c r="APY46" s="44"/>
      <c r="APZ46" s="44"/>
      <c r="AQA46" s="44"/>
      <c r="AQB46" s="44"/>
      <c r="AQC46" s="44"/>
      <c r="AQD46" s="44"/>
      <c r="AQE46" s="44"/>
      <c r="AQF46" s="44"/>
      <c r="AQG46" s="44"/>
      <c r="AQH46" s="44"/>
      <c r="AQI46" s="44"/>
      <c r="AQJ46" s="44"/>
      <c r="AQK46" s="44"/>
      <c r="AQL46" s="44"/>
      <c r="AQM46" s="44"/>
      <c r="AQN46" s="44"/>
      <c r="AQO46" s="44"/>
      <c r="AQP46" s="44"/>
      <c r="AQQ46" s="44"/>
      <c r="AQR46" s="44"/>
      <c r="AQS46" s="44"/>
      <c r="AQT46" s="44"/>
      <c r="AQU46" s="44"/>
      <c r="AQV46" s="44"/>
      <c r="AQW46" s="44"/>
      <c r="AQX46" s="44"/>
      <c r="AQY46" s="44"/>
      <c r="AQZ46" s="44"/>
      <c r="ARA46" s="44"/>
      <c r="ARB46" s="44"/>
      <c r="ARC46" s="44"/>
      <c r="ARD46" s="44"/>
      <c r="ARE46" s="44"/>
      <c r="ARF46" s="44"/>
      <c r="ARG46" s="44"/>
      <c r="ARH46" s="44"/>
      <c r="ARI46" s="44"/>
      <c r="ARJ46" s="44"/>
      <c r="ARK46" s="44"/>
      <c r="ARL46" s="44"/>
      <c r="ARM46" s="44"/>
      <c r="ARN46" s="44"/>
      <c r="ARO46" s="44"/>
      <c r="ARP46" s="44"/>
      <c r="ARQ46" s="44"/>
      <c r="ARR46" s="44"/>
      <c r="ARS46" s="44"/>
      <c r="ART46" s="44"/>
      <c r="ARU46" s="44"/>
      <c r="ARV46" s="44"/>
      <c r="ARW46" s="44"/>
      <c r="ARX46" s="44"/>
      <c r="ARY46" s="44"/>
      <c r="ARZ46" s="44"/>
      <c r="ASA46" s="44"/>
      <c r="ASB46" s="44"/>
      <c r="ASC46" s="44"/>
      <c r="ASD46" s="44"/>
      <c r="ASE46" s="44"/>
      <c r="ASF46" s="44"/>
      <c r="ASG46" s="44"/>
      <c r="ASH46" s="44"/>
      <c r="ASI46" s="44"/>
      <c r="ASJ46" s="44"/>
      <c r="ASK46" s="44"/>
      <c r="ASL46" s="44"/>
      <c r="ASM46" s="44"/>
      <c r="ASN46" s="44"/>
      <c r="ASO46" s="44"/>
      <c r="ASP46" s="44"/>
      <c r="ASQ46" s="44"/>
      <c r="ASR46" s="44"/>
      <c r="ASS46" s="44"/>
      <c r="AST46" s="44"/>
      <c r="ASU46" s="44"/>
      <c r="ASV46" s="44"/>
      <c r="ASW46" s="44"/>
      <c r="ASX46" s="44"/>
      <c r="ASY46" s="44"/>
      <c r="ASZ46" s="44"/>
      <c r="ATA46" s="44"/>
      <c r="ATB46" s="44"/>
      <c r="ATC46" s="44"/>
      <c r="ATD46" s="44"/>
      <c r="ATE46" s="44"/>
      <c r="ATF46" s="44"/>
      <c r="ATG46" s="44"/>
      <c r="ATH46" s="44"/>
      <c r="ATI46" s="44"/>
      <c r="ATJ46" s="44"/>
      <c r="ATK46" s="44"/>
      <c r="ATL46" s="44"/>
      <c r="ATM46" s="44"/>
      <c r="ATN46" s="44"/>
      <c r="ATO46" s="44"/>
      <c r="ATP46" s="44"/>
      <c r="ATQ46" s="44"/>
      <c r="ATR46" s="44"/>
      <c r="ATS46" s="44"/>
      <c r="ATT46" s="44"/>
      <c r="ATU46" s="44"/>
      <c r="ATV46" s="44"/>
      <c r="ATW46" s="44"/>
      <c r="ATX46" s="44"/>
      <c r="ATY46" s="44"/>
      <c r="ATZ46" s="44"/>
      <c r="AUA46" s="44"/>
      <c r="AUB46" s="44"/>
      <c r="AUC46" s="44"/>
      <c r="AUD46" s="44"/>
      <c r="AUE46" s="44"/>
      <c r="AUF46" s="44"/>
      <c r="AUG46" s="44"/>
      <c r="AUH46" s="44"/>
      <c r="AUI46" s="44"/>
      <c r="AUJ46" s="44"/>
      <c r="AUK46" s="44"/>
      <c r="AUL46" s="44"/>
      <c r="AUM46" s="44"/>
      <c r="AUN46" s="44"/>
      <c r="AUO46" s="44"/>
      <c r="AUP46" s="44"/>
      <c r="AUQ46" s="44"/>
      <c r="AUR46" s="44"/>
      <c r="AUS46" s="44"/>
      <c r="AUT46" s="44"/>
      <c r="AUU46" s="44"/>
      <c r="AUV46" s="44"/>
      <c r="AUW46" s="44"/>
      <c r="AUX46" s="44"/>
      <c r="AUY46" s="44"/>
      <c r="AUZ46" s="44"/>
      <c r="AVA46" s="44"/>
      <c r="AVB46" s="44"/>
      <c r="AVC46" s="44"/>
      <c r="AVD46" s="44"/>
      <c r="AVE46" s="44"/>
      <c r="AVF46" s="44"/>
      <c r="AVG46" s="44"/>
      <c r="AVH46" s="44"/>
      <c r="AVI46" s="44"/>
      <c r="AVJ46" s="44"/>
      <c r="AVK46" s="44"/>
      <c r="AVL46" s="44"/>
      <c r="AVM46" s="44"/>
      <c r="AVN46" s="44"/>
      <c r="AVO46" s="44"/>
      <c r="AVP46" s="44"/>
      <c r="AVQ46" s="44"/>
      <c r="AVR46" s="44"/>
      <c r="AVS46" s="44"/>
      <c r="AVT46" s="44"/>
      <c r="AVU46" s="44"/>
      <c r="AVV46" s="44"/>
      <c r="AVW46" s="44"/>
      <c r="AVX46" s="44"/>
      <c r="AVY46" s="44"/>
      <c r="AVZ46" s="44"/>
      <c r="AWA46" s="44"/>
      <c r="AWB46" s="44"/>
      <c r="AWC46" s="44"/>
      <c r="AWD46" s="44"/>
      <c r="AWE46" s="44"/>
      <c r="AWF46" s="44"/>
      <c r="AWG46" s="44"/>
      <c r="AWH46" s="44"/>
      <c r="AWI46" s="44"/>
      <c r="AWJ46" s="44"/>
      <c r="AWK46" s="44"/>
      <c r="AWL46" s="44"/>
      <c r="AWM46" s="44"/>
      <c r="AWN46" s="44"/>
      <c r="AWO46" s="44"/>
      <c r="AWP46" s="44"/>
      <c r="AWQ46" s="44"/>
      <c r="AWR46" s="44"/>
      <c r="AWS46" s="44"/>
      <c r="AWT46" s="44"/>
      <c r="AWU46" s="44"/>
      <c r="AWV46" s="44"/>
      <c r="AWW46" s="44"/>
      <c r="AWX46" s="44"/>
      <c r="AWY46" s="44"/>
      <c r="AWZ46" s="44"/>
      <c r="AXA46" s="44"/>
      <c r="AXB46" s="44"/>
      <c r="AXC46" s="44"/>
      <c r="AXD46" s="44"/>
      <c r="AXE46" s="44"/>
      <c r="AXF46" s="44"/>
      <c r="AXG46" s="44"/>
      <c r="AXH46" s="44"/>
      <c r="AXI46" s="44"/>
      <c r="AXJ46" s="44"/>
      <c r="AXK46" s="44"/>
      <c r="AXL46" s="44"/>
      <c r="AXM46" s="44"/>
      <c r="AXN46" s="44"/>
      <c r="AXO46" s="44"/>
      <c r="AXP46" s="44"/>
      <c r="AXQ46" s="44"/>
      <c r="AXR46" s="44"/>
      <c r="AXS46" s="44"/>
      <c r="AXT46" s="44"/>
      <c r="AXU46" s="44"/>
      <c r="AXV46" s="44"/>
      <c r="AXW46" s="44"/>
      <c r="AXX46" s="44"/>
      <c r="AXY46" s="44"/>
      <c r="AXZ46" s="44"/>
      <c r="AYA46" s="44"/>
      <c r="AYB46" s="44"/>
      <c r="AYC46" s="44"/>
      <c r="AYD46" s="44"/>
      <c r="AYE46" s="44"/>
      <c r="AYF46" s="44"/>
      <c r="AYG46" s="44"/>
      <c r="AYH46" s="44"/>
      <c r="AYI46" s="44"/>
      <c r="AYJ46" s="44"/>
      <c r="AYK46" s="44"/>
      <c r="AYL46" s="44"/>
      <c r="AYM46" s="44"/>
      <c r="AYN46" s="44"/>
      <c r="AYO46" s="44"/>
      <c r="AYP46" s="44"/>
      <c r="AYQ46" s="44"/>
      <c r="AYR46" s="44"/>
      <c r="AYS46" s="44"/>
      <c r="AYT46" s="44"/>
      <c r="AYU46" s="44"/>
      <c r="AYV46" s="44"/>
      <c r="AYW46" s="44"/>
      <c r="AYX46" s="44"/>
      <c r="AYY46" s="44"/>
      <c r="AYZ46" s="44"/>
      <c r="AZA46" s="44"/>
      <c r="AZB46" s="44"/>
      <c r="AZC46" s="44"/>
      <c r="AZD46" s="44"/>
      <c r="AZE46" s="44"/>
      <c r="AZF46" s="44"/>
      <c r="AZG46" s="44"/>
      <c r="AZH46" s="44"/>
      <c r="AZI46" s="44"/>
      <c r="AZJ46" s="44"/>
      <c r="AZK46" s="44"/>
      <c r="AZL46" s="44"/>
      <c r="AZM46" s="44"/>
      <c r="AZN46" s="44"/>
      <c r="AZO46" s="44"/>
      <c r="AZP46" s="44"/>
      <c r="AZQ46" s="44"/>
      <c r="AZR46" s="44"/>
      <c r="AZS46" s="44"/>
      <c r="AZT46" s="44"/>
      <c r="AZU46" s="44"/>
      <c r="AZV46" s="44"/>
      <c r="AZW46" s="44"/>
      <c r="AZX46" s="44"/>
      <c r="AZY46" s="44"/>
      <c r="AZZ46" s="44"/>
      <c r="BAA46" s="44"/>
      <c r="BAB46" s="44"/>
      <c r="BAC46" s="44"/>
      <c r="BAD46" s="44"/>
      <c r="BAE46" s="44"/>
      <c r="BAF46" s="44"/>
      <c r="BAG46" s="44"/>
      <c r="BAH46" s="44"/>
      <c r="BAI46" s="44"/>
      <c r="BAJ46" s="44"/>
      <c r="BAK46" s="44"/>
      <c r="BAL46" s="44"/>
      <c r="BAM46" s="44"/>
      <c r="BAN46" s="44"/>
      <c r="BAO46" s="44"/>
      <c r="BAP46" s="44"/>
      <c r="BAQ46" s="44"/>
      <c r="BAR46" s="44"/>
      <c r="BAS46" s="44"/>
      <c r="BAT46" s="44"/>
      <c r="BAU46" s="44"/>
      <c r="BAV46" s="44"/>
      <c r="BAW46" s="44"/>
      <c r="BAX46" s="44"/>
      <c r="BAY46" s="44"/>
      <c r="BAZ46" s="44"/>
      <c r="BBA46" s="44"/>
      <c r="BBB46" s="44"/>
      <c r="BBC46" s="44"/>
      <c r="BBD46" s="44"/>
      <c r="BBE46" s="44"/>
      <c r="BBF46" s="44"/>
      <c r="BBG46" s="44"/>
      <c r="BBH46" s="44"/>
      <c r="BBI46" s="44"/>
      <c r="BBJ46" s="44"/>
      <c r="BBK46" s="44"/>
      <c r="BBL46" s="44"/>
      <c r="BBM46" s="44"/>
      <c r="BBN46" s="44"/>
      <c r="BBO46" s="44"/>
      <c r="BBP46" s="44"/>
      <c r="BBQ46" s="44"/>
      <c r="BBR46" s="44"/>
      <c r="BBS46" s="44"/>
      <c r="BBT46" s="44"/>
      <c r="BBU46" s="44"/>
      <c r="BBV46" s="44"/>
      <c r="BBW46" s="44"/>
      <c r="BBX46" s="44"/>
      <c r="BBY46" s="44"/>
      <c r="BBZ46" s="44"/>
      <c r="BCA46" s="44"/>
      <c r="BCB46" s="44"/>
      <c r="BCC46" s="44"/>
      <c r="BCD46" s="44"/>
      <c r="BCE46" s="44"/>
      <c r="BCF46" s="44"/>
      <c r="BCG46" s="44"/>
      <c r="BCH46" s="44"/>
      <c r="BCI46" s="44"/>
      <c r="BCJ46" s="44"/>
      <c r="BCK46" s="44"/>
      <c r="BCL46" s="44"/>
      <c r="BCM46" s="44"/>
      <c r="BCN46" s="44"/>
      <c r="BCO46" s="44"/>
      <c r="BCP46" s="44"/>
      <c r="BCQ46" s="44"/>
      <c r="BCR46" s="44"/>
      <c r="BCS46" s="44"/>
      <c r="BCT46" s="44"/>
      <c r="BCU46" s="44"/>
      <c r="BCV46" s="44"/>
      <c r="BCW46" s="44"/>
      <c r="BCX46" s="44"/>
      <c r="BCY46" s="44"/>
      <c r="BCZ46" s="44"/>
      <c r="BDA46" s="44"/>
      <c r="BDB46" s="44"/>
      <c r="BDC46" s="44"/>
      <c r="BDD46" s="44"/>
      <c r="BDE46" s="44"/>
      <c r="BDF46" s="44"/>
      <c r="BDG46" s="44"/>
      <c r="BDH46" s="44"/>
      <c r="BDI46" s="44"/>
      <c r="BDJ46" s="44"/>
      <c r="BDK46" s="44"/>
      <c r="BDL46" s="44"/>
      <c r="BDM46" s="44"/>
      <c r="BDN46" s="44"/>
      <c r="BDO46" s="44"/>
      <c r="BDP46" s="44"/>
      <c r="BDQ46" s="44"/>
      <c r="BDR46" s="44"/>
      <c r="BDS46" s="44"/>
      <c r="BDT46" s="44"/>
      <c r="BDU46" s="44"/>
      <c r="BDV46" s="44"/>
      <c r="BDW46" s="44"/>
      <c r="BDX46" s="44"/>
      <c r="BDY46" s="44"/>
      <c r="BDZ46" s="44"/>
      <c r="BEA46" s="44"/>
      <c r="BEB46" s="44"/>
      <c r="BEC46" s="44"/>
      <c r="BED46" s="44"/>
      <c r="BEE46" s="44"/>
      <c r="BEF46" s="44"/>
      <c r="BEG46" s="44"/>
      <c r="BEH46" s="44"/>
      <c r="BEI46" s="44"/>
      <c r="BEJ46" s="44"/>
      <c r="BEK46" s="44"/>
      <c r="BEL46" s="44"/>
      <c r="BEM46" s="44"/>
      <c r="BEN46" s="44"/>
      <c r="BEO46" s="44"/>
      <c r="BEP46" s="44"/>
      <c r="BEQ46" s="44"/>
      <c r="BER46" s="44"/>
      <c r="BES46" s="44"/>
      <c r="BET46" s="44"/>
      <c r="BEU46" s="44"/>
      <c r="BEV46" s="44"/>
      <c r="BEW46" s="44"/>
      <c r="BEX46" s="44"/>
      <c r="BEY46" s="44"/>
      <c r="BEZ46" s="44"/>
      <c r="BFA46" s="44"/>
      <c r="BFB46" s="44"/>
      <c r="BFC46" s="44"/>
      <c r="BFD46" s="44"/>
      <c r="BFE46" s="44"/>
      <c r="BFF46" s="44"/>
      <c r="BFG46" s="44"/>
      <c r="BFH46" s="44"/>
      <c r="BFI46" s="44"/>
      <c r="BFJ46" s="44"/>
      <c r="BFK46" s="44"/>
      <c r="BFL46" s="44"/>
      <c r="BFM46" s="44"/>
      <c r="BFN46" s="44"/>
      <c r="BFO46" s="44"/>
      <c r="BFP46" s="44"/>
      <c r="BFQ46" s="44"/>
      <c r="BFR46" s="44"/>
      <c r="BFS46" s="44"/>
      <c r="BFT46" s="44"/>
      <c r="BFU46" s="44"/>
      <c r="BFV46" s="44"/>
      <c r="BFW46" s="44"/>
      <c r="BFX46" s="44"/>
      <c r="BFY46" s="44"/>
      <c r="BFZ46" s="44"/>
      <c r="BGA46" s="44"/>
      <c r="BGB46" s="44"/>
      <c r="BGC46" s="44"/>
      <c r="BGD46" s="44"/>
      <c r="BGE46" s="44"/>
      <c r="BGF46" s="44"/>
      <c r="BGG46" s="44"/>
      <c r="BGH46" s="44"/>
      <c r="BGI46" s="44"/>
      <c r="BGJ46" s="44"/>
      <c r="BGK46" s="44"/>
      <c r="BGL46" s="44"/>
      <c r="BGM46" s="44"/>
      <c r="BGN46" s="44"/>
      <c r="BGO46" s="44"/>
      <c r="BGP46" s="44"/>
      <c r="BGQ46" s="44"/>
      <c r="BGR46" s="44"/>
      <c r="BGS46" s="44"/>
      <c r="BGT46" s="44"/>
      <c r="BGU46" s="44"/>
      <c r="BGV46" s="44"/>
      <c r="BGW46" s="44"/>
      <c r="BGX46" s="44"/>
      <c r="BGY46" s="44"/>
      <c r="BGZ46" s="44"/>
      <c r="BHA46" s="44"/>
      <c r="BHB46" s="44"/>
      <c r="BHC46" s="44"/>
      <c r="BHD46" s="44"/>
      <c r="BHE46" s="44"/>
      <c r="BHF46" s="44"/>
      <c r="BHG46" s="44"/>
      <c r="BHH46" s="44"/>
      <c r="BHI46" s="44"/>
      <c r="BHJ46" s="44"/>
      <c r="BHK46" s="44"/>
      <c r="BHL46" s="44"/>
      <c r="BHM46" s="44"/>
      <c r="BHN46" s="44"/>
      <c r="BHO46" s="44"/>
      <c r="BHP46" s="44"/>
      <c r="BHQ46" s="44"/>
      <c r="BHR46" s="44"/>
      <c r="BHS46" s="44"/>
      <c r="BHT46" s="44"/>
      <c r="BHU46" s="44"/>
      <c r="BHV46" s="44"/>
      <c r="BHW46" s="44"/>
      <c r="BHX46" s="44"/>
      <c r="BHY46" s="44"/>
      <c r="BHZ46" s="44"/>
      <c r="BIA46" s="44"/>
      <c r="BIB46" s="44"/>
      <c r="BIC46" s="44"/>
      <c r="BID46" s="44"/>
      <c r="BIE46" s="44"/>
      <c r="BIF46" s="44"/>
      <c r="BIG46" s="44"/>
      <c r="BIH46" s="44"/>
      <c r="BII46" s="44"/>
      <c r="BIJ46" s="44"/>
      <c r="BIK46" s="44"/>
      <c r="BIL46" s="44"/>
      <c r="BIM46" s="44"/>
      <c r="BIN46" s="44"/>
      <c r="BIO46" s="44"/>
      <c r="BIP46" s="44"/>
      <c r="BIQ46" s="44"/>
      <c r="BIR46" s="44"/>
      <c r="BIS46" s="44"/>
      <c r="BIT46" s="44"/>
      <c r="BIU46" s="44"/>
      <c r="BIV46" s="44"/>
      <c r="BIW46" s="44"/>
      <c r="BIX46" s="44"/>
      <c r="BIY46" s="44"/>
      <c r="BIZ46" s="44"/>
      <c r="BJA46" s="44"/>
      <c r="BJB46" s="44"/>
      <c r="BJC46" s="44"/>
      <c r="BJD46" s="44"/>
      <c r="BJE46" s="44"/>
      <c r="BJF46" s="44"/>
      <c r="BJG46" s="44"/>
      <c r="BJH46" s="44"/>
      <c r="BJI46" s="44"/>
      <c r="BJJ46" s="44"/>
      <c r="BJK46" s="44"/>
      <c r="BJL46" s="44"/>
      <c r="BJM46" s="44"/>
      <c r="BJN46" s="44"/>
      <c r="BJO46" s="44"/>
      <c r="BJP46" s="44"/>
      <c r="BJQ46" s="44"/>
      <c r="BJR46" s="44"/>
      <c r="BJS46" s="44"/>
      <c r="BJT46" s="44"/>
      <c r="BJU46" s="44"/>
      <c r="BJV46" s="44"/>
      <c r="BJW46" s="44"/>
      <c r="BJX46" s="44"/>
      <c r="BJY46" s="44"/>
      <c r="BJZ46" s="44"/>
      <c r="BKA46" s="44"/>
      <c r="BKB46" s="44"/>
      <c r="BKC46" s="44"/>
      <c r="BKD46" s="44"/>
      <c r="BKE46" s="44"/>
      <c r="BKF46" s="44"/>
      <c r="BKG46" s="44"/>
      <c r="BKH46" s="44"/>
      <c r="BKI46" s="44"/>
      <c r="BKJ46" s="44"/>
      <c r="BKK46" s="44"/>
      <c r="BKL46" s="44"/>
      <c r="BKM46" s="44"/>
      <c r="BKN46" s="44"/>
      <c r="BKO46" s="44"/>
      <c r="BKP46" s="44"/>
      <c r="BKQ46" s="44"/>
      <c r="BKR46" s="44"/>
      <c r="BKS46" s="44"/>
      <c r="BKT46" s="44"/>
      <c r="BKU46" s="44"/>
      <c r="BKV46" s="44"/>
      <c r="BKW46" s="44"/>
      <c r="BKX46" s="44"/>
      <c r="BKY46" s="44"/>
      <c r="BKZ46" s="44"/>
      <c r="BLA46" s="44"/>
      <c r="BLB46" s="44"/>
      <c r="BLC46" s="44"/>
      <c r="BLD46" s="44"/>
      <c r="BLE46" s="44"/>
      <c r="BLF46" s="44"/>
      <c r="BLG46" s="44"/>
      <c r="BLH46" s="44"/>
      <c r="BLI46" s="44"/>
      <c r="BLJ46" s="44"/>
      <c r="BLK46" s="44"/>
      <c r="BLL46" s="44"/>
      <c r="BLM46" s="44"/>
      <c r="BLN46" s="44"/>
      <c r="BLO46" s="44"/>
      <c r="BLP46" s="44"/>
      <c r="BLQ46" s="44"/>
      <c r="BLR46" s="44"/>
      <c r="BLS46" s="44"/>
      <c r="BLT46" s="44"/>
      <c r="BLU46" s="44"/>
      <c r="BLV46" s="44"/>
      <c r="BLW46" s="44"/>
      <c r="BLX46" s="44"/>
      <c r="BLY46" s="44"/>
      <c r="BLZ46" s="44"/>
      <c r="BMA46" s="44"/>
      <c r="BMB46" s="44"/>
      <c r="BMC46" s="44"/>
      <c r="BMD46" s="44"/>
      <c r="BME46" s="44"/>
      <c r="BMF46" s="44"/>
      <c r="BMG46" s="44"/>
      <c r="BMH46" s="44"/>
      <c r="BMI46" s="44"/>
      <c r="BMJ46" s="44"/>
      <c r="BMK46" s="44"/>
      <c r="BML46" s="44"/>
      <c r="BMM46" s="44"/>
      <c r="BMN46" s="44"/>
      <c r="BMO46" s="44"/>
      <c r="BMP46" s="44"/>
      <c r="BMQ46" s="44"/>
      <c r="BMR46" s="44"/>
      <c r="BMS46" s="44"/>
      <c r="BMT46" s="44"/>
      <c r="BMU46" s="44"/>
      <c r="BMV46" s="44"/>
      <c r="BMW46" s="44"/>
      <c r="BMX46" s="44"/>
      <c r="BMY46" s="44"/>
      <c r="BMZ46" s="44"/>
      <c r="BNA46" s="44"/>
      <c r="BNB46" s="44"/>
      <c r="BNC46" s="44"/>
      <c r="BND46" s="44"/>
      <c r="BNE46" s="44"/>
      <c r="BNF46" s="44"/>
      <c r="BNG46" s="44"/>
      <c r="BNH46" s="44"/>
      <c r="BNI46" s="44"/>
      <c r="BNJ46" s="44"/>
      <c r="BNK46" s="44"/>
      <c r="BNL46" s="44"/>
      <c r="BNM46" s="44"/>
      <c r="BNN46" s="44"/>
      <c r="BNO46" s="44"/>
      <c r="BNP46" s="44"/>
      <c r="BNQ46" s="44"/>
      <c r="BNR46" s="44"/>
      <c r="BNS46" s="44"/>
      <c r="BNT46" s="44"/>
      <c r="BNU46" s="44"/>
      <c r="BNV46" s="44"/>
      <c r="BNW46" s="44"/>
      <c r="BNX46" s="44"/>
      <c r="BNY46" s="44"/>
      <c r="BNZ46" s="44"/>
      <c r="BOA46" s="44"/>
      <c r="BOB46" s="44"/>
      <c r="BOC46" s="44"/>
      <c r="BOD46" s="44"/>
      <c r="BOE46" s="44"/>
      <c r="BOF46" s="44"/>
      <c r="BOG46" s="44"/>
      <c r="BOH46" s="44"/>
      <c r="BOI46" s="44"/>
      <c r="BOJ46" s="44"/>
      <c r="BOK46" s="44"/>
      <c r="BOL46" s="44"/>
      <c r="BOM46" s="44"/>
      <c r="BON46" s="44"/>
      <c r="BOO46" s="44"/>
      <c r="BOP46" s="44"/>
      <c r="BOQ46" s="44"/>
      <c r="BOR46" s="44"/>
      <c r="BOS46" s="44"/>
      <c r="BOT46" s="44"/>
      <c r="BOU46" s="44"/>
      <c r="BOV46" s="44"/>
      <c r="BOW46" s="44"/>
      <c r="BOX46" s="44"/>
      <c r="BOY46" s="44"/>
      <c r="BOZ46" s="44"/>
      <c r="BPA46" s="44"/>
      <c r="BPB46" s="44"/>
      <c r="BPC46" s="44"/>
      <c r="BPD46" s="44"/>
      <c r="BPE46" s="44"/>
      <c r="BPF46" s="44"/>
      <c r="BPG46" s="44"/>
      <c r="BPH46" s="44"/>
      <c r="BPI46" s="44"/>
      <c r="BPJ46" s="44"/>
      <c r="BPK46" s="44"/>
      <c r="BPL46" s="44"/>
      <c r="BPM46" s="44"/>
      <c r="BPN46" s="44"/>
      <c r="BPO46" s="44"/>
      <c r="BPP46" s="44"/>
      <c r="BPQ46" s="44"/>
      <c r="BPR46" s="44"/>
      <c r="BPS46" s="44"/>
      <c r="BPT46" s="44"/>
      <c r="BPU46" s="44"/>
      <c r="BPV46" s="44"/>
      <c r="BPW46" s="44"/>
      <c r="BPX46" s="44"/>
      <c r="BPY46" s="44"/>
      <c r="BPZ46" s="44"/>
      <c r="BQA46" s="44"/>
      <c r="BQB46" s="44"/>
      <c r="BQC46" s="44"/>
      <c r="BQD46" s="44"/>
      <c r="BQE46" s="44"/>
      <c r="BQF46" s="44"/>
      <c r="BQG46" s="44"/>
      <c r="BQH46" s="44"/>
      <c r="BQI46" s="44"/>
      <c r="BQJ46" s="44"/>
      <c r="BQK46" s="44"/>
      <c r="BQL46" s="44"/>
      <c r="BQM46" s="44"/>
      <c r="BQN46" s="44"/>
      <c r="BQO46" s="44"/>
      <c r="BQP46" s="44"/>
      <c r="BQQ46" s="44"/>
      <c r="BQR46" s="44"/>
      <c r="BQS46" s="44"/>
      <c r="BQT46" s="44"/>
      <c r="BQU46" s="44"/>
      <c r="BQV46" s="44"/>
      <c r="BQW46" s="44"/>
      <c r="BQX46" s="44"/>
      <c r="BQY46" s="44"/>
      <c r="BQZ46" s="44"/>
      <c r="BRA46" s="44"/>
      <c r="BRB46" s="44"/>
      <c r="BRC46" s="44"/>
      <c r="BRD46" s="44"/>
      <c r="BRE46" s="44"/>
      <c r="BRF46" s="44"/>
      <c r="BRG46" s="44"/>
      <c r="BRH46" s="44"/>
      <c r="BRI46" s="44"/>
      <c r="BRJ46" s="44"/>
      <c r="BRK46" s="44"/>
      <c r="BRL46" s="44"/>
      <c r="BRM46" s="44"/>
      <c r="BRN46" s="44"/>
      <c r="BRO46" s="44"/>
      <c r="BRP46" s="44"/>
      <c r="BRQ46" s="44"/>
      <c r="BRR46" s="44"/>
      <c r="BRS46" s="44"/>
      <c r="BRT46" s="44"/>
      <c r="BRU46" s="44"/>
      <c r="BRV46" s="44"/>
      <c r="BRW46" s="44"/>
      <c r="BRX46" s="44"/>
      <c r="BRY46" s="44"/>
      <c r="BRZ46" s="44"/>
      <c r="BSA46" s="44"/>
      <c r="BSB46" s="44"/>
      <c r="BSC46" s="44"/>
      <c r="BSD46" s="44"/>
      <c r="BSE46" s="44"/>
      <c r="BSF46" s="44"/>
      <c r="BSG46" s="44"/>
      <c r="BSH46" s="44"/>
      <c r="BSI46" s="44"/>
      <c r="BSJ46" s="44"/>
      <c r="BSK46" s="44"/>
      <c r="BSL46" s="44"/>
      <c r="BSM46" s="44"/>
      <c r="BSN46" s="44"/>
      <c r="BSO46" s="44"/>
      <c r="BSP46" s="44"/>
      <c r="BSQ46" s="44"/>
      <c r="BSR46" s="44"/>
      <c r="BSS46" s="44"/>
      <c r="BST46" s="44"/>
      <c r="BSU46" s="44"/>
      <c r="BSV46" s="44"/>
      <c r="BSW46" s="44"/>
      <c r="BSX46" s="44"/>
      <c r="BSY46" s="44"/>
      <c r="BSZ46" s="44"/>
      <c r="BTA46" s="44"/>
      <c r="BTB46" s="44"/>
      <c r="BTC46" s="44"/>
      <c r="BTD46" s="44"/>
      <c r="BTE46" s="44"/>
      <c r="BTF46" s="44"/>
      <c r="BTG46" s="44"/>
      <c r="BTH46" s="44"/>
      <c r="BTI46" s="44"/>
      <c r="BTJ46" s="44"/>
      <c r="BTK46" s="44"/>
      <c r="BTL46" s="44"/>
      <c r="BTM46" s="44"/>
      <c r="BTN46" s="44"/>
      <c r="BTO46" s="44"/>
      <c r="BTP46" s="44"/>
      <c r="BTQ46" s="44"/>
      <c r="BTR46" s="44"/>
      <c r="BTS46" s="44"/>
      <c r="BTT46" s="44"/>
      <c r="BTU46" s="44"/>
      <c r="BTV46" s="44"/>
      <c r="BTW46" s="44"/>
      <c r="BTX46" s="44"/>
      <c r="BTY46" s="44"/>
      <c r="BTZ46" s="44"/>
      <c r="BUA46" s="44"/>
      <c r="BUB46" s="44"/>
      <c r="BUC46" s="44"/>
      <c r="BUD46" s="44"/>
      <c r="BUE46" s="44"/>
      <c r="BUF46" s="44"/>
      <c r="BUG46" s="44"/>
      <c r="BUH46" s="44"/>
      <c r="BUI46" s="44"/>
      <c r="BUJ46" s="44"/>
      <c r="BUK46" s="44"/>
      <c r="BUL46" s="44"/>
      <c r="BUM46" s="44"/>
      <c r="BUN46" s="44"/>
      <c r="BUO46" s="44"/>
      <c r="BUP46" s="44"/>
      <c r="BUQ46" s="44"/>
      <c r="BUR46" s="44"/>
      <c r="BUS46" s="44"/>
      <c r="BUT46" s="44"/>
      <c r="BUU46" s="44"/>
      <c r="BUV46" s="44"/>
      <c r="BUW46" s="44"/>
      <c r="BUX46" s="44"/>
      <c r="BUY46" s="44"/>
      <c r="BUZ46" s="44"/>
      <c r="BVA46" s="44"/>
      <c r="BVB46" s="44"/>
      <c r="BVC46" s="44"/>
      <c r="BVD46" s="44"/>
      <c r="BVE46" s="44"/>
      <c r="BVF46" s="44"/>
      <c r="BVG46" s="44"/>
      <c r="BVH46" s="44"/>
      <c r="BVI46" s="44"/>
      <c r="BVJ46" s="44"/>
      <c r="BVK46" s="44"/>
      <c r="BVL46" s="44"/>
      <c r="BVM46" s="44"/>
      <c r="BVN46" s="44"/>
      <c r="BVO46" s="44"/>
      <c r="BVP46" s="44"/>
      <c r="BVQ46" s="44"/>
      <c r="BVR46" s="44"/>
      <c r="BVS46" s="44"/>
      <c r="BVT46" s="44"/>
      <c r="BVU46" s="44"/>
      <c r="BVV46" s="44"/>
      <c r="BVW46" s="44"/>
      <c r="BVX46" s="44"/>
      <c r="BVY46" s="44"/>
      <c r="BVZ46" s="44"/>
      <c r="BWA46" s="44"/>
      <c r="BWB46" s="44"/>
      <c r="BWC46" s="44"/>
      <c r="BWD46" s="44"/>
      <c r="BWE46" s="44"/>
      <c r="BWF46" s="44"/>
      <c r="BWG46" s="44"/>
      <c r="BWH46" s="44"/>
      <c r="BWI46" s="44"/>
      <c r="BWJ46" s="44"/>
      <c r="BWK46" s="44"/>
      <c r="BWL46" s="44"/>
      <c r="BWM46" s="44"/>
      <c r="BWN46" s="44"/>
      <c r="BWO46" s="44"/>
      <c r="BWP46" s="44"/>
      <c r="BWQ46" s="44"/>
      <c r="BWR46" s="44"/>
      <c r="BWS46" s="44"/>
      <c r="BWT46" s="44"/>
      <c r="BWU46" s="44"/>
      <c r="BWV46" s="44"/>
      <c r="BWW46" s="44"/>
      <c r="BWX46" s="44"/>
      <c r="BWY46" s="44"/>
      <c r="BWZ46" s="44"/>
      <c r="BXA46" s="44"/>
      <c r="BXB46" s="44"/>
      <c r="BXC46" s="44"/>
      <c r="BXD46" s="44"/>
      <c r="BXE46" s="44"/>
      <c r="BXF46" s="44"/>
      <c r="BXG46" s="44"/>
      <c r="BXH46" s="44"/>
      <c r="BXI46" s="44"/>
      <c r="BXJ46" s="44"/>
      <c r="BXK46" s="44"/>
      <c r="BXL46" s="44"/>
      <c r="BXM46" s="44"/>
      <c r="BXN46" s="44"/>
      <c r="BXO46" s="44"/>
      <c r="BXP46" s="44"/>
      <c r="BXQ46" s="44"/>
      <c r="BXR46" s="44"/>
      <c r="BXS46" s="44"/>
      <c r="BXT46" s="44"/>
      <c r="BXU46" s="44"/>
      <c r="BXV46" s="44"/>
      <c r="BXW46" s="44"/>
      <c r="BXX46" s="44"/>
      <c r="BXY46" s="44"/>
      <c r="BXZ46" s="44"/>
      <c r="BYA46" s="44"/>
      <c r="BYB46" s="44"/>
      <c r="BYC46" s="44"/>
      <c r="BYD46" s="44"/>
      <c r="BYE46" s="44"/>
      <c r="BYF46" s="44"/>
      <c r="BYG46" s="44"/>
      <c r="BYH46" s="44"/>
      <c r="BYI46" s="44"/>
      <c r="BYJ46" s="44"/>
      <c r="BYK46" s="44"/>
      <c r="BYL46" s="44"/>
      <c r="BYM46" s="44"/>
      <c r="BYN46" s="44"/>
      <c r="BYO46" s="44"/>
      <c r="BYP46" s="44"/>
      <c r="BYQ46" s="44"/>
      <c r="BYR46" s="44"/>
      <c r="BYS46" s="44"/>
      <c r="BYT46" s="44"/>
      <c r="BYU46" s="44"/>
      <c r="BYV46" s="44"/>
      <c r="BYW46" s="44"/>
      <c r="BYX46" s="44"/>
      <c r="BYY46" s="44"/>
      <c r="BYZ46" s="44"/>
      <c r="BZA46" s="44"/>
      <c r="BZB46" s="44"/>
      <c r="BZC46" s="44"/>
      <c r="BZD46" s="44"/>
      <c r="BZE46" s="44"/>
      <c r="BZF46" s="44"/>
      <c r="BZG46" s="44"/>
      <c r="BZH46" s="44"/>
      <c r="BZI46" s="44"/>
      <c r="BZJ46" s="44"/>
      <c r="BZK46" s="44"/>
      <c r="BZL46" s="44"/>
      <c r="BZM46" s="44"/>
      <c r="BZN46" s="44"/>
      <c r="BZO46" s="44"/>
      <c r="BZP46" s="44"/>
      <c r="BZQ46" s="44"/>
      <c r="BZR46" s="44"/>
      <c r="BZS46" s="44"/>
      <c r="BZT46" s="44"/>
      <c r="BZU46" s="44"/>
      <c r="BZV46" s="44"/>
      <c r="BZW46" s="44"/>
      <c r="BZX46" s="44"/>
      <c r="BZY46" s="44"/>
      <c r="BZZ46" s="44"/>
      <c r="CAA46" s="44"/>
      <c r="CAB46" s="44"/>
      <c r="CAC46" s="44"/>
      <c r="CAD46" s="44"/>
      <c r="CAE46" s="44"/>
      <c r="CAF46" s="44"/>
      <c r="CAG46" s="44"/>
      <c r="CAH46" s="44"/>
      <c r="CAI46" s="44"/>
      <c r="CAJ46" s="44"/>
      <c r="CAK46" s="44"/>
      <c r="CAL46" s="44"/>
      <c r="CAM46" s="44"/>
      <c r="CAN46" s="44"/>
      <c r="CAO46" s="44"/>
      <c r="CAP46" s="44"/>
      <c r="CAQ46" s="44"/>
      <c r="CAR46" s="44"/>
      <c r="CAS46" s="44"/>
      <c r="CAT46" s="44"/>
      <c r="CAU46" s="44"/>
      <c r="CAV46" s="44"/>
      <c r="CAW46" s="44"/>
      <c r="CAX46" s="44"/>
      <c r="CAY46" s="44"/>
      <c r="CAZ46" s="44"/>
      <c r="CBA46" s="44"/>
      <c r="CBB46" s="44"/>
      <c r="CBC46" s="44"/>
      <c r="CBD46" s="44"/>
      <c r="CBE46" s="44"/>
      <c r="CBF46" s="44"/>
      <c r="CBG46" s="44"/>
      <c r="CBH46" s="44"/>
      <c r="CBI46" s="44"/>
      <c r="CBJ46" s="44"/>
      <c r="CBK46" s="44"/>
      <c r="CBL46" s="44"/>
      <c r="CBM46" s="44"/>
      <c r="CBN46" s="44"/>
      <c r="CBO46" s="44"/>
      <c r="CBP46" s="44"/>
      <c r="CBQ46" s="44"/>
      <c r="CBR46" s="44"/>
      <c r="CBS46" s="44"/>
      <c r="CBT46" s="44"/>
      <c r="CBU46" s="44"/>
      <c r="CBV46" s="44"/>
      <c r="CBW46" s="44"/>
      <c r="CBX46" s="44"/>
      <c r="CBY46" s="44"/>
      <c r="CBZ46" s="44"/>
      <c r="CCA46" s="44"/>
      <c r="CCB46" s="44"/>
      <c r="CCC46" s="44"/>
      <c r="CCD46" s="44"/>
      <c r="CCE46" s="44"/>
      <c r="CCF46" s="44"/>
      <c r="CCG46" s="44"/>
      <c r="CCH46" s="44"/>
      <c r="CCI46" s="44"/>
      <c r="CCJ46" s="44"/>
      <c r="CCK46" s="44"/>
      <c r="CCL46" s="44"/>
      <c r="CCM46" s="44"/>
      <c r="CCN46" s="44"/>
      <c r="CCO46" s="44"/>
      <c r="CCP46" s="44"/>
      <c r="CCQ46" s="44"/>
      <c r="CCR46" s="44"/>
      <c r="CCS46" s="44"/>
      <c r="CCT46" s="44"/>
      <c r="CCU46" s="44"/>
      <c r="CCV46" s="44"/>
      <c r="CCW46" s="44"/>
      <c r="CCX46" s="44"/>
      <c r="CCY46" s="44"/>
      <c r="CCZ46" s="44"/>
      <c r="CDA46" s="44"/>
      <c r="CDB46" s="44"/>
      <c r="CDC46" s="44"/>
      <c r="CDD46" s="44"/>
      <c r="CDE46" s="44"/>
      <c r="CDF46" s="44"/>
      <c r="CDG46" s="44"/>
      <c r="CDH46" s="44"/>
      <c r="CDI46" s="44"/>
      <c r="CDJ46" s="44"/>
      <c r="CDK46" s="44"/>
      <c r="CDL46" s="44"/>
      <c r="CDM46" s="44"/>
      <c r="CDN46" s="44"/>
      <c r="CDO46" s="44"/>
      <c r="CDP46" s="44"/>
      <c r="CDQ46" s="44"/>
      <c r="CDR46" s="44"/>
      <c r="CDS46" s="44"/>
      <c r="CDT46" s="44"/>
      <c r="CDU46" s="44"/>
      <c r="CDV46" s="44"/>
      <c r="CDW46" s="44"/>
      <c r="CDX46" s="44"/>
      <c r="CDY46" s="44"/>
      <c r="CDZ46" s="44"/>
      <c r="CEA46" s="44"/>
      <c r="CEB46" s="44"/>
      <c r="CEC46" s="44"/>
      <c r="CED46" s="44"/>
      <c r="CEE46" s="44"/>
      <c r="CEF46" s="44"/>
      <c r="CEG46" s="44"/>
      <c r="CEH46" s="44"/>
      <c r="CEI46" s="44"/>
      <c r="CEJ46" s="44"/>
      <c r="CEK46" s="44"/>
      <c r="CEL46" s="44"/>
      <c r="CEM46" s="44"/>
      <c r="CEN46" s="44"/>
      <c r="CEO46" s="44"/>
      <c r="CEP46" s="44"/>
      <c r="CEQ46" s="44"/>
      <c r="CER46" s="44"/>
      <c r="CES46" s="44"/>
      <c r="CET46" s="44"/>
      <c r="CEU46" s="44"/>
      <c r="CEV46" s="44"/>
      <c r="CEW46" s="44"/>
      <c r="CEX46" s="44"/>
      <c r="CEY46" s="44"/>
      <c r="CEZ46" s="44"/>
      <c r="CFA46" s="44"/>
      <c r="CFB46" s="44"/>
      <c r="CFC46" s="44"/>
      <c r="CFD46" s="44"/>
      <c r="CFE46" s="44"/>
      <c r="CFF46" s="44"/>
      <c r="CFG46" s="44"/>
      <c r="CFH46" s="44"/>
      <c r="CFI46" s="44"/>
      <c r="CFJ46" s="44"/>
      <c r="CFK46" s="44"/>
      <c r="CFL46" s="44"/>
      <c r="CFM46" s="44"/>
      <c r="CFN46" s="44"/>
      <c r="CFO46" s="44"/>
      <c r="CFP46" s="44"/>
      <c r="CFQ46" s="44"/>
      <c r="CFR46" s="44"/>
      <c r="CFS46" s="44"/>
      <c r="CFT46" s="44"/>
      <c r="CFU46" s="44"/>
      <c r="CFV46" s="44"/>
      <c r="CFW46" s="44"/>
      <c r="CFX46" s="44"/>
      <c r="CFY46" s="44"/>
      <c r="CFZ46" s="44"/>
      <c r="CGA46" s="44"/>
      <c r="CGB46" s="44"/>
      <c r="CGC46" s="44"/>
      <c r="CGD46" s="44"/>
      <c r="CGE46" s="44"/>
      <c r="CGF46" s="44"/>
      <c r="CGG46" s="44"/>
      <c r="CGH46" s="44"/>
      <c r="CGI46" s="44"/>
      <c r="CGJ46" s="44"/>
      <c r="CGK46" s="44"/>
      <c r="CGL46" s="44"/>
      <c r="CGM46" s="44"/>
      <c r="CGN46" s="44"/>
      <c r="CGO46" s="44"/>
      <c r="CGP46" s="44"/>
      <c r="CGQ46" s="44"/>
      <c r="CGR46" s="44"/>
      <c r="CGS46" s="44"/>
      <c r="CGT46" s="44"/>
      <c r="CGU46" s="44"/>
      <c r="CGV46" s="44"/>
      <c r="CGW46" s="44"/>
      <c r="CGX46" s="44"/>
      <c r="CGY46" s="44"/>
      <c r="CGZ46" s="44"/>
      <c r="CHA46" s="44"/>
      <c r="CHB46" s="44"/>
      <c r="CHC46" s="44"/>
      <c r="CHD46" s="44"/>
      <c r="CHE46" s="44"/>
      <c r="CHF46" s="44"/>
      <c r="CHG46" s="44"/>
      <c r="CHH46" s="44"/>
      <c r="CHI46" s="44"/>
      <c r="CHJ46" s="44"/>
      <c r="CHK46" s="44"/>
      <c r="CHL46" s="44"/>
      <c r="CHM46" s="44"/>
      <c r="CHN46" s="44"/>
      <c r="CHO46" s="44"/>
      <c r="CHP46" s="44"/>
      <c r="CHQ46" s="44"/>
      <c r="CHR46" s="44"/>
      <c r="CHS46" s="44"/>
      <c r="CHT46" s="44"/>
      <c r="CHU46" s="44"/>
      <c r="CHV46" s="44"/>
      <c r="CHW46" s="44"/>
      <c r="CHX46" s="44"/>
      <c r="CHY46" s="44"/>
      <c r="CHZ46" s="44"/>
      <c r="CIA46" s="44"/>
      <c r="CIB46" s="44"/>
      <c r="CIC46" s="44"/>
      <c r="CID46" s="44"/>
      <c r="CIE46" s="44"/>
      <c r="CIF46" s="44"/>
      <c r="CIG46" s="44"/>
      <c r="CIH46" s="44"/>
      <c r="CII46" s="44"/>
      <c r="CIJ46" s="44"/>
      <c r="CIK46" s="44"/>
      <c r="CIL46" s="44"/>
      <c r="CIM46" s="44"/>
      <c r="CIN46" s="44"/>
      <c r="CIO46" s="44"/>
      <c r="CIP46" s="44"/>
      <c r="CIQ46" s="44"/>
      <c r="CIR46" s="44"/>
      <c r="CIS46" s="44"/>
      <c r="CIT46" s="44"/>
      <c r="CIU46" s="44"/>
      <c r="CIV46" s="44"/>
      <c r="CIW46" s="44"/>
      <c r="CIX46" s="44"/>
      <c r="CIY46" s="44"/>
      <c r="CIZ46" s="44"/>
      <c r="CJA46" s="44"/>
      <c r="CJB46" s="44"/>
      <c r="CJC46" s="44"/>
      <c r="CJD46" s="44"/>
      <c r="CJE46" s="44"/>
      <c r="CJF46" s="44"/>
      <c r="CJG46" s="44"/>
      <c r="CJH46" s="44"/>
      <c r="CJI46" s="44"/>
      <c r="CJJ46" s="44"/>
      <c r="CJK46" s="44"/>
      <c r="CJL46" s="44"/>
      <c r="CJM46" s="44"/>
      <c r="CJN46" s="44"/>
      <c r="CJO46" s="44"/>
      <c r="CJP46" s="44"/>
      <c r="CJQ46" s="44"/>
      <c r="CJR46" s="44"/>
      <c r="CJS46" s="44"/>
      <c r="CJT46" s="44"/>
      <c r="CJU46" s="44"/>
      <c r="CJV46" s="44"/>
      <c r="CJW46" s="44"/>
      <c r="CJX46" s="44"/>
      <c r="CJY46" s="44"/>
      <c r="CJZ46" s="44"/>
      <c r="CKA46" s="44"/>
      <c r="CKB46" s="44"/>
      <c r="CKC46" s="44"/>
      <c r="CKD46" s="44"/>
      <c r="CKE46" s="44"/>
      <c r="CKF46" s="44"/>
      <c r="CKG46" s="44"/>
      <c r="CKH46" s="44"/>
      <c r="CKI46" s="44"/>
      <c r="CKJ46" s="44"/>
      <c r="CKK46" s="44"/>
      <c r="CKL46" s="44"/>
      <c r="CKM46" s="44"/>
      <c r="CKN46" s="44"/>
      <c r="CKO46" s="44"/>
      <c r="CKP46" s="44"/>
      <c r="CKQ46" s="44"/>
      <c r="CKR46" s="44"/>
      <c r="CKS46" s="44"/>
      <c r="CKT46" s="44"/>
      <c r="CKU46" s="44"/>
      <c r="CKV46" s="44"/>
      <c r="CKW46" s="44"/>
      <c r="CKX46" s="44"/>
      <c r="CKY46" s="44"/>
      <c r="CKZ46" s="44"/>
      <c r="CLA46" s="44"/>
      <c r="CLB46" s="44"/>
      <c r="CLC46" s="44"/>
      <c r="CLD46" s="44"/>
      <c r="CLE46" s="44"/>
      <c r="CLF46" s="44"/>
      <c r="CLG46" s="44"/>
      <c r="CLH46" s="44"/>
      <c r="CLI46" s="44"/>
      <c r="CLJ46" s="44"/>
      <c r="CLK46" s="44"/>
      <c r="CLL46" s="44"/>
      <c r="CLM46" s="44"/>
      <c r="CLN46" s="44"/>
      <c r="CLO46" s="44"/>
      <c r="CLP46" s="44"/>
      <c r="CLQ46" s="44"/>
      <c r="CLR46" s="44"/>
      <c r="CLS46" s="44"/>
      <c r="CLT46" s="44"/>
      <c r="CLU46" s="44"/>
      <c r="CLV46" s="44"/>
      <c r="CLW46" s="44"/>
      <c r="CLX46" s="44"/>
      <c r="CLY46" s="44"/>
      <c r="CLZ46" s="44"/>
      <c r="CMA46" s="44"/>
      <c r="CMB46" s="44"/>
      <c r="CMC46" s="44"/>
      <c r="CMD46" s="44"/>
      <c r="CME46" s="44"/>
      <c r="CMF46" s="44"/>
      <c r="CMG46" s="44"/>
      <c r="CMH46" s="44"/>
      <c r="CMI46" s="44"/>
      <c r="CMJ46" s="44"/>
      <c r="CMK46" s="44"/>
      <c r="CML46" s="44"/>
      <c r="CMM46" s="44"/>
      <c r="CMN46" s="44"/>
      <c r="CMO46" s="44"/>
      <c r="CMP46" s="44"/>
      <c r="CMQ46" s="44"/>
      <c r="CMR46" s="44"/>
      <c r="CMS46" s="44"/>
      <c r="CMT46" s="44"/>
      <c r="CMU46" s="44"/>
      <c r="CMV46" s="44"/>
      <c r="CMW46" s="44"/>
      <c r="CMX46" s="44"/>
      <c r="CMY46" s="44"/>
      <c r="CMZ46" s="44"/>
      <c r="CNA46" s="44"/>
      <c r="CNB46" s="44"/>
      <c r="CNC46" s="44"/>
      <c r="CND46" s="44"/>
      <c r="CNE46" s="44"/>
      <c r="CNF46" s="44"/>
      <c r="CNG46" s="44"/>
      <c r="CNH46" s="44"/>
      <c r="CNI46" s="44"/>
      <c r="CNJ46" s="44"/>
      <c r="CNK46" s="44"/>
      <c r="CNL46" s="44"/>
      <c r="CNM46" s="44"/>
      <c r="CNN46" s="44"/>
      <c r="CNO46" s="44"/>
      <c r="CNP46" s="44"/>
      <c r="CNQ46" s="44"/>
      <c r="CNR46" s="44"/>
      <c r="CNS46" s="44"/>
      <c r="CNT46" s="44"/>
      <c r="CNU46" s="44"/>
      <c r="CNV46" s="44"/>
      <c r="CNW46" s="44"/>
      <c r="CNX46" s="44"/>
      <c r="CNY46" s="44"/>
      <c r="CNZ46" s="44"/>
      <c r="COA46" s="44"/>
      <c r="COB46" s="44"/>
      <c r="COC46" s="44"/>
      <c r="COD46" s="44"/>
      <c r="COE46" s="44"/>
      <c r="COF46" s="44"/>
      <c r="COG46" s="44"/>
      <c r="COH46" s="44"/>
      <c r="COI46" s="44"/>
      <c r="COJ46" s="44"/>
      <c r="COK46" s="44"/>
      <c r="COL46" s="44"/>
      <c r="COM46" s="44"/>
      <c r="CON46" s="44"/>
      <c r="COO46" s="44"/>
      <c r="COP46" s="44"/>
      <c r="COQ46" s="44"/>
      <c r="COR46" s="44"/>
      <c r="COS46" s="44"/>
      <c r="COT46" s="44"/>
      <c r="COU46" s="44"/>
      <c r="COV46" s="44"/>
      <c r="COW46" s="44"/>
      <c r="COX46" s="44"/>
      <c r="COY46" s="44"/>
      <c r="COZ46" s="44"/>
      <c r="CPA46" s="44"/>
      <c r="CPB46" s="44"/>
      <c r="CPC46" s="44"/>
      <c r="CPD46" s="44"/>
      <c r="CPE46" s="44"/>
      <c r="CPF46" s="44"/>
      <c r="CPG46" s="44"/>
      <c r="CPH46" s="44"/>
      <c r="CPI46" s="44"/>
      <c r="CPJ46" s="44"/>
      <c r="CPK46" s="44"/>
      <c r="CPL46" s="44"/>
      <c r="CPM46" s="44"/>
      <c r="CPN46" s="44"/>
      <c r="CPO46" s="44"/>
      <c r="CPP46" s="44"/>
      <c r="CPQ46" s="44"/>
      <c r="CPR46" s="44"/>
      <c r="CPS46" s="44"/>
      <c r="CPT46" s="44"/>
      <c r="CPU46" s="44"/>
      <c r="CPV46" s="44"/>
      <c r="CPW46" s="44"/>
      <c r="CPX46" s="44"/>
      <c r="CPY46" s="44"/>
      <c r="CPZ46" s="44"/>
      <c r="CQA46" s="44"/>
      <c r="CQB46" s="44"/>
      <c r="CQC46" s="44"/>
      <c r="CQD46" s="44"/>
      <c r="CQE46" s="44"/>
      <c r="CQF46" s="44"/>
      <c r="CQG46" s="44"/>
      <c r="CQH46" s="44"/>
      <c r="CQI46" s="44"/>
      <c r="CQJ46" s="44"/>
      <c r="CQK46" s="44"/>
      <c r="CQL46" s="44"/>
      <c r="CQM46" s="44"/>
      <c r="CQN46" s="44"/>
      <c r="CQO46" s="44"/>
      <c r="CQP46" s="44"/>
      <c r="CQQ46" s="44"/>
      <c r="CQR46" s="44"/>
      <c r="CQS46" s="44"/>
      <c r="CQT46" s="44"/>
      <c r="CQU46" s="44"/>
      <c r="CQV46" s="44"/>
      <c r="CQW46" s="44"/>
      <c r="CQX46" s="44"/>
      <c r="CQY46" s="44"/>
      <c r="CQZ46" s="44"/>
      <c r="CRA46" s="44"/>
      <c r="CRB46" s="44"/>
      <c r="CRC46" s="44"/>
      <c r="CRD46" s="44"/>
      <c r="CRE46" s="44"/>
      <c r="CRF46" s="44"/>
      <c r="CRG46" s="44"/>
      <c r="CRH46" s="44"/>
      <c r="CRI46" s="44"/>
      <c r="CRJ46" s="44"/>
      <c r="CRK46" s="44"/>
      <c r="CRL46" s="44"/>
      <c r="CRM46" s="44"/>
      <c r="CRN46" s="44"/>
      <c r="CRO46" s="44"/>
      <c r="CRP46" s="44"/>
      <c r="CRQ46" s="44"/>
      <c r="CRR46" s="44"/>
      <c r="CRS46" s="44"/>
      <c r="CRT46" s="44"/>
      <c r="CRU46" s="44"/>
      <c r="CRV46" s="44"/>
      <c r="CRW46" s="44"/>
      <c r="CRX46" s="44"/>
      <c r="CRY46" s="44"/>
      <c r="CRZ46" s="44"/>
      <c r="CSA46" s="44"/>
      <c r="CSB46" s="44"/>
      <c r="CSC46" s="44"/>
      <c r="CSD46" s="44"/>
      <c r="CSE46" s="44"/>
      <c r="CSF46" s="44"/>
      <c r="CSG46" s="44"/>
      <c r="CSH46" s="44"/>
      <c r="CSI46" s="44"/>
      <c r="CSJ46" s="44"/>
      <c r="CSK46" s="44"/>
      <c r="CSL46" s="44"/>
      <c r="CSM46" s="44"/>
      <c r="CSN46" s="44"/>
      <c r="CSO46" s="44"/>
      <c r="CSP46" s="44"/>
      <c r="CSQ46" s="44"/>
      <c r="CSR46" s="44"/>
      <c r="CSS46" s="44"/>
      <c r="CST46" s="44"/>
      <c r="CSU46" s="44"/>
      <c r="CSV46" s="44"/>
      <c r="CSW46" s="44"/>
      <c r="CSX46" s="44"/>
      <c r="CSY46" s="44"/>
      <c r="CSZ46" s="44"/>
      <c r="CTA46" s="44"/>
      <c r="CTB46" s="44"/>
      <c r="CTC46" s="44"/>
      <c r="CTD46" s="44"/>
      <c r="CTE46" s="44"/>
      <c r="CTF46" s="44"/>
      <c r="CTG46" s="44"/>
      <c r="CTH46" s="44"/>
      <c r="CTI46" s="44"/>
      <c r="CTJ46" s="44"/>
      <c r="CTK46" s="44"/>
      <c r="CTL46" s="44"/>
      <c r="CTM46" s="44"/>
      <c r="CTN46" s="44"/>
      <c r="CTO46" s="44"/>
      <c r="CTP46" s="44"/>
      <c r="CTQ46" s="44"/>
      <c r="CTR46" s="44"/>
      <c r="CTS46" s="44"/>
      <c r="CTT46" s="44"/>
      <c r="CTU46" s="44"/>
      <c r="CTV46" s="44"/>
      <c r="CTW46" s="44"/>
      <c r="CTX46" s="44"/>
      <c r="CTY46" s="44"/>
      <c r="CTZ46" s="44"/>
      <c r="CUA46" s="44"/>
      <c r="CUB46" s="44"/>
      <c r="CUC46" s="44"/>
      <c r="CUD46" s="44"/>
      <c r="CUE46" s="44"/>
      <c r="CUF46" s="44"/>
      <c r="CUG46" s="44"/>
      <c r="CUH46" s="44"/>
      <c r="CUI46" s="44"/>
      <c r="CUJ46" s="44"/>
      <c r="CUK46" s="44"/>
      <c r="CUL46" s="44"/>
      <c r="CUM46" s="44"/>
      <c r="CUN46" s="44"/>
      <c r="CUO46" s="44"/>
      <c r="CUP46" s="44"/>
      <c r="CUQ46" s="44"/>
      <c r="CUR46" s="44"/>
      <c r="CUS46" s="44"/>
      <c r="CUT46" s="44"/>
      <c r="CUU46" s="44"/>
      <c r="CUV46" s="44"/>
      <c r="CUW46" s="44"/>
      <c r="CUX46" s="44"/>
      <c r="CUY46" s="44"/>
      <c r="CUZ46" s="44"/>
      <c r="CVA46" s="44"/>
      <c r="CVB46" s="44"/>
      <c r="CVC46" s="44"/>
      <c r="CVD46" s="44"/>
      <c r="CVE46" s="44"/>
      <c r="CVF46" s="44"/>
      <c r="CVG46" s="44"/>
      <c r="CVH46" s="44"/>
      <c r="CVI46" s="44"/>
      <c r="CVJ46" s="44"/>
      <c r="CVK46" s="44"/>
      <c r="CVL46" s="44"/>
      <c r="CVM46" s="44"/>
      <c r="CVN46" s="44"/>
      <c r="CVO46" s="44"/>
      <c r="CVP46" s="44"/>
      <c r="CVQ46" s="44"/>
      <c r="CVR46" s="44"/>
      <c r="CVS46" s="44"/>
      <c r="CVT46" s="44"/>
      <c r="CVU46" s="44"/>
      <c r="CVV46" s="44"/>
      <c r="CVW46" s="44"/>
      <c r="CVX46" s="44"/>
      <c r="CVY46" s="44"/>
      <c r="CVZ46" s="44"/>
      <c r="CWA46" s="44"/>
      <c r="CWB46" s="44"/>
      <c r="CWC46" s="44"/>
      <c r="CWD46" s="44"/>
      <c r="CWE46" s="44"/>
      <c r="CWF46" s="44"/>
      <c r="CWG46" s="44"/>
      <c r="CWH46" s="44"/>
      <c r="CWI46" s="44"/>
      <c r="CWJ46" s="44"/>
      <c r="CWK46" s="44"/>
      <c r="CWL46" s="44"/>
      <c r="CWM46" s="44"/>
      <c r="CWN46" s="44"/>
      <c r="CWO46" s="44"/>
      <c r="CWP46" s="44"/>
      <c r="CWQ46" s="44"/>
      <c r="CWR46" s="44"/>
      <c r="CWS46" s="44"/>
      <c r="CWT46" s="44"/>
      <c r="CWU46" s="44"/>
      <c r="CWV46" s="44"/>
      <c r="CWW46" s="44"/>
      <c r="CWX46" s="44"/>
      <c r="CWY46" s="44"/>
      <c r="CWZ46" s="44"/>
      <c r="CXA46" s="44"/>
      <c r="CXB46" s="44"/>
      <c r="CXC46" s="44"/>
      <c r="CXD46" s="44"/>
      <c r="CXE46" s="44"/>
      <c r="CXF46" s="44"/>
      <c r="CXG46" s="44"/>
      <c r="CXH46" s="44"/>
      <c r="CXI46" s="44"/>
      <c r="CXJ46" s="44"/>
      <c r="CXK46" s="44"/>
      <c r="CXL46" s="44"/>
      <c r="CXM46" s="44"/>
      <c r="CXN46" s="44"/>
      <c r="CXO46" s="44"/>
      <c r="CXP46" s="44"/>
      <c r="CXQ46" s="44"/>
      <c r="CXR46" s="44"/>
      <c r="CXS46" s="44"/>
      <c r="CXT46" s="44"/>
      <c r="CXU46" s="44"/>
      <c r="CXV46" s="44"/>
      <c r="CXW46" s="44"/>
      <c r="CXX46" s="44"/>
      <c r="CXY46" s="44"/>
      <c r="CXZ46" s="44"/>
      <c r="CYA46" s="44"/>
      <c r="CYB46" s="44"/>
      <c r="CYC46" s="44"/>
      <c r="CYD46" s="44"/>
      <c r="CYE46" s="44"/>
      <c r="CYF46" s="44"/>
      <c r="CYG46" s="44"/>
      <c r="CYH46" s="44"/>
      <c r="CYI46" s="44"/>
      <c r="CYJ46" s="44"/>
      <c r="CYK46" s="44"/>
      <c r="CYL46" s="44"/>
      <c r="CYM46" s="44"/>
      <c r="CYN46" s="44"/>
      <c r="CYO46" s="44"/>
      <c r="CYP46" s="44"/>
      <c r="CYQ46" s="44"/>
      <c r="CYR46" s="44"/>
      <c r="CYS46" s="44"/>
      <c r="CYT46" s="44"/>
      <c r="CYU46" s="44"/>
      <c r="CYV46" s="44"/>
      <c r="CYW46" s="44"/>
      <c r="CYX46" s="44"/>
      <c r="CYY46" s="44"/>
      <c r="CYZ46" s="44"/>
      <c r="CZA46" s="44"/>
      <c r="CZB46" s="44"/>
      <c r="CZC46" s="44"/>
      <c r="CZD46" s="44"/>
      <c r="CZE46" s="44"/>
      <c r="CZF46" s="44"/>
      <c r="CZG46" s="44"/>
      <c r="CZH46" s="44"/>
      <c r="CZI46" s="44"/>
      <c r="CZJ46" s="44"/>
      <c r="CZK46" s="44"/>
      <c r="CZL46" s="44"/>
      <c r="CZM46" s="44"/>
      <c r="CZN46" s="44"/>
      <c r="CZO46" s="44"/>
      <c r="CZP46" s="44"/>
      <c r="CZQ46" s="44"/>
      <c r="CZR46" s="44"/>
      <c r="CZS46" s="44"/>
      <c r="CZT46" s="44"/>
      <c r="CZU46" s="44"/>
      <c r="CZV46" s="44"/>
      <c r="CZW46" s="44"/>
      <c r="CZX46" s="44"/>
      <c r="CZY46" s="44"/>
      <c r="CZZ46" s="44"/>
      <c r="DAA46" s="44"/>
      <c r="DAB46" s="44"/>
      <c r="DAC46" s="44"/>
      <c r="DAD46" s="44"/>
      <c r="DAE46" s="44"/>
      <c r="DAF46" s="44"/>
      <c r="DAG46" s="44"/>
      <c r="DAH46" s="44"/>
      <c r="DAI46" s="44"/>
      <c r="DAJ46" s="44"/>
      <c r="DAK46" s="44"/>
      <c r="DAL46" s="44"/>
      <c r="DAM46" s="44"/>
      <c r="DAN46" s="44"/>
      <c r="DAO46" s="44"/>
      <c r="DAP46" s="44"/>
      <c r="DAQ46" s="44"/>
      <c r="DAR46" s="44"/>
      <c r="DAS46" s="44"/>
      <c r="DAT46" s="44"/>
      <c r="DAU46" s="44"/>
      <c r="DAV46" s="44"/>
      <c r="DAW46" s="44"/>
      <c r="DAX46" s="44"/>
      <c r="DAY46" s="44"/>
      <c r="DAZ46" s="44"/>
      <c r="DBA46" s="44"/>
      <c r="DBB46" s="44"/>
      <c r="DBC46" s="44"/>
      <c r="DBD46" s="44"/>
      <c r="DBE46" s="44"/>
      <c r="DBF46" s="44"/>
      <c r="DBG46" s="44"/>
      <c r="DBH46" s="44"/>
      <c r="DBI46" s="44"/>
      <c r="DBJ46" s="44"/>
      <c r="DBK46" s="44"/>
      <c r="DBL46" s="44"/>
      <c r="DBM46" s="44"/>
      <c r="DBN46" s="44"/>
      <c r="DBO46" s="44"/>
      <c r="DBP46" s="44"/>
      <c r="DBQ46" s="44"/>
      <c r="DBR46" s="44"/>
      <c r="DBS46" s="44"/>
      <c r="DBT46" s="44"/>
      <c r="DBU46" s="44"/>
      <c r="DBV46" s="44"/>
      <c r="DBW46" s="44"/>
      <c r="DBX46" s="44"/>
      <c r="DBY46" s="44"/>
      <c r="DBZ46" s="44"/>
      <c r="DCA46" s="44"/>
      <c r="DCB46" s="44"/>
      <c r="DCC46" s="44"/>
      <c r="DCD46" s="44"/>
      <c r="DCE46" s="44"/>
      <c r="DCF46" s="44"/>
      <c r="DCG46" s="44"/>
      <c r="DCH46" s="44"/>
      <c r="DCI46" s="44"/>
      <c r="DCJ46" s="44"/>
      <c r="DCK46" s="44"/>
      <c r="DCL46" s="44"/>
      <c r="DCM46" s="44"/>
      <c r="DCN46" s="44"/>
      <c r="DCO46" s="44"/>
      <c r="DCP46" s="44"/>
      <c r="DCQ46" s="44"/>
      <c r="DCR46" s="44"/>
      <c r="DCS46" s="44"/>
      <c r="DCT46" s="44"/>
      <c r="DCU46" s="44"/>
      <c r="DCV46" s="44"/>
      <c r="DCW46" s="44"/>
      <c r="DCX46" s="44"/>
      <c r="DCY46" s="44"/>
      <c r="DCZ46" s="44"/>
      <c r="DDA46" s="44"/>
      <c r="DDB46" s="44"/>
      <c r="DDC46" s="44"/>
      <c r="DDD46" s="44"/>
      <c r="DDE46" s="44"/>
      <c r="DDF46" s="44"/>
      <c r="DDG46" s="44"/>
      <c r="DDH46" s="44"/>
      <c r="DDI46" s="44"/>
      <c r="DDJ46" s="44"/>
      <c r="DDK46" s="44"/>
      <c r="DDL46" s="44"/>
      <c r="DDM46" s="44"/>
      <c r="DDN46" s="44"/>
      <c r="DDO46" s="44"/>
      <c r="DDP46" s="44"/>
      <c r="DDQ46" s="44"/>
      <c r="DDR46" s="44"/>
      <c r="DDS46" s="44"/>
      <c r="DDT46" s="44"/>
      <c r="DDU46" s="44"/>
      <c r="DDV46" s="44"/>
      <c r="DDW46" s="44"/>
      <c r="DDX46" s="44"/>
      <c r="DDY46" s="44"/>
      <c r="DDZ46" s="44"/>
      <c r="DEA46" s="44"/>
      <c r="DEB46" s="44"/>
      <c r="DEC46" s="44"/>
      <c r="DED46" s="44"/>
      <c r="DEE46" s="44"/>
      <c r="DEF46" s="44"/>
      <c r="DEG46" s="44"/>
      <c r="DEH46" s="44"/>
      <c r="DEI46" s="44"/>
      <c r="DEJ46" s="44"/>
      <c r="DEK46" s="44"/>
      <c r="DEL46" s="44"/>
      <c r="DEM46" s="44"/>
      <c r="DEN46" s="44"/>
      <c r="DEO46" s="44"/>
      <c r="DEP46" s="44"/>
      <c r="DEQ46" s="44"/>
      <c r="DER46" s="44"/>
      <c r="DES46" s="44"/>
      <c r="DET46" s="44"/>
      <c r="DEU46" s="44"/>
      <c r="DEV46" s="44"/>
      <c r="DEW46" s="44"/>
      <c r="DEX46" s="44"/>
      <c r="DEY46" s="44"/>
      <c r="DEZ46" s="44"/>
      <c r="DFA46" s="44"/>
      <c r="DFB46" s="44"/>
      <c r="DFC46" s="44"/>
      <c r="DFD46" s="44"/>
      <c r="DFE46" s="44"/>
      <c r="DFF46" s="44"/>
      <c r="DFG46" s="44"/>
      <c r="DFH46" s="44"/>
      <c r="DFI46" s="44"/>
      <c r="DFJ46" s="44"/>
      <c r="DFK46" s="44"/>
      <c r="DFL46" s="44"/>
      <c r="DFM46" s="44"/>
      <c r="DFN46" s="44"/>
      <c r="DFO46" s="44"/>
      <c r="DFP46" s="44"/>
      <c r="DFQ46" s="44"/>
      <c r="DFR46" s="44"/>
      <c r="DFS46" s="44"/>
      <c r="DFT46" s="44"/>
      <c r="DFU46" s="44"/>
      <c r="DFV46" s="44"/>
      <c r="DFW46" s="44"/>
      <c r="DFX46" s="44"/>
      <c r="DFY46" s="44"/>
      <c r="DFZ46" s="44"/>
      <c r="DGA46" s="44"/>
      <c r="DGB46" s="44"/>
      <c r="DGC46" s="44"/>
      <c r="DGD46" s="44"/>
      <c r="DGE46" s="44"/>
      <c r="DGF46" s="44"/>
      <c r="DGG46" s="44"/>
      <c r="DGH46" s="44"/>
      <c r="DGI46" s="44"/>
      <c r="DGJ46" s="44"/>
      <c r="DGK46" s="44"/>
      <c r="DGL46" s="44"/>
      <c r="DGM46" s="44"/>
      <c r="DGN46" s="44"/>
      <c r="DGO46" s="44"/>
      <c r="DGP46" s="44"/>
      <c r="DGQ46" s="44"/>
      <c r="DGR46" s="44"/>
      <c r="DGS46" s="44"/>
      <c r="DGT46" s="44"/>
      <c r="DGU46" s="44"/>
      <c r="DGV46" s="44"/>
      <c r="DGW46" s="44"/>
      <c r="DGX46" s="44"/>
      <c r="DGY46" s="44"/>
      <c r="DGZ46" s="44"/>
      <c r="DHA46" s="44"/>
      <c r="DHB46" s="44"/>
      <c r="DHC46" s="44"/>
      <c r="DHD46" s="44"/>
      <c r="DHE46" s="44"/>
      <c r="DHF46" s="44"/>
      <c r="DHG46" s="44"/>
      <c r="DHH46" s="44"/>
      <c r="DHI46" s="44"/>
      <c r="DHJ46" s="44"/>
      <c r="DHK46" s="44"/>
      <c r="DHL46" s="44"/>
      <c r="DHM46" s="44"/>
      <c r="DHN46" s="44"/>
      <c r="DHO46" s="44"/>
      <c r="DHP46" s="44"/>
      <c r="DHQ46" s="44"/>
      <c r="DHR46" s="44"/>
      <c r="DHS46" s="44"/>
      <c r="DHT46" s="44"/>
      <c r="DHU46" s="44"/>
      <c r="DHV46" s="44"/>
      <c r="DHW46" s="44"/>
      <c r="DHX46" s="44"/>
      <c r="DHY46" s="44"/>
      <c r="DHZ46" s="44"/>
      <c r="DIA46" s="44"/>
      <c r="DIB46" s="44"/>
      <c r="DIC46" s="44"/>
      <c r="DID46" s="44"/>
      <c r="DIE46" s="44"/>
      <c r="DIF46" s="44"/>
      <c r="DIG46" s="44"/>
      <c r="DIH46" s="44"/>
      <c r="DII46" s="44"/>
      <c r="DIJ46" s="44"/>
      <c r="DIK46" s="44"/>
      <c r="DIL46" s="44"/>
      <c r="DIM46" s="44"/>
      <c r="DIN46" s="44"/>
      <c r="DIO46" s="44"/>
      <c r="DIP46" s="44"/>
      <c r="DIQ46" s="44"/>
      <c r="DIR46" s="44"/>
      <c r="DIS46" s="44"/>
      <c r="DIT46" s="44"/>
      <c r="DIU46" s="44"/>
      <c r="DIV46" s="44"/>
      <c r="DIW46" s="44"/>
      <c r="DIX46" s="44"/>
      <c r="DIY46" s="44"/>
      <c r="DIZ46" s="44"/>
      <c r="DJA46" s="44"/>
      <c r="DJB46" s="44"/>
      <c r="DJC46" s="44"/>
      <c r="DJD46" s="44"/>
      <c r="DJE46" s="44"/>
      <c r="DJF46" s="44"/>
      <c r="DJG46" s="44"/>
      <c r="DJH46" s="44"/>
      <c r="DJI46" s="44"/>
      <c r="DJJ46" s="44"/>
      <c r="DJK46" s="44"/>
      <c r="DJL46" s="44"/>
      <c r="DJM46" s="44"/>
      <c r="DJN46" s="44"/>
      <c r="DJO46" s="44"/>
      <c r="DJP46" s="44"/>
      <c r="DJQ46" s="44"/>
      <c r="DJR46" s="44"/>
      <c r="DJS46" s="44"/>
      <c r="DJT46" s="44"/>
      <c r="DJU46" s="44"/>
      <c r="DJV46" s="44"/>
      <c r="DJW46" s="44"/>
      <c r="DJX46" s="44"/>
      <c r="DJY46" s="44"/>
      <c r="DJZ46" s="44"/>
      <c r="DKA46" s="44"/>
      <c r="DKB46" s="44"/>
      <c r="DKC46" s="44"/>
      <c r="DKD46" s="44"/>
      <c r="DKE46" s="44"/>
      <c r="DKF46" s="44"/>
      <c r="DKG46" s="44"/>
      <c r="DKH46" s="44"/>
      <c r="DKI46" s="44"/>
      <c r="DKJ46" s="44"/>
      <c r="DKK46" s="44"/>
      <c r="DKL46" s="44"/>
      <c r="DKM46" s="44"/>
      <c r="DKN46" s="44"/>
      <c r="DKO46" s="44"/>
      <c r="DKP46" s="44"/>
      <c r="DKQ46" s="44"/>
      <c r="DKR46" s="44"/>
      <c r="DKS46" s="44"/>
      <c r="DKT46" s="44"/>
      <c r="DKU46" s="44"/>
      <c r="DKV46" s="44"/>
      <c r="DKW46" s="44"/>
      <c r="DKX46" s="44"/>
      <c r="DKY46" s="44"/>
      <c r="DKZ46" s="44"/>
      <c r="DLA46" s="44"/>
      <c r="DLB46" s="44"/>
      <c r="DLC46" s="44"/>
      <c r="DLD46" s="44"/>
      <c r="DLE46" s="44"/>
      <c r="DLF46" s="44"/>
      <c r="DLG46" s="44"/>
      <c r="DLH46" s="44"/>
      <c r="DLI46" s="44"/>
      <c r="DLJ46" s="44"/>
      <c r="DLK46" s="44"/>
      <c r="DLL46" s="44"/>
      <c r="DLM46" s="44"/>
      <c r="DLN46" s="44"/>
      <c r="DLO46" s="44"/>
      <c r="DLP46" s="44"/>
      <c r="DLQ46" s="44"/>
      <c r="DLR46" s="44"/>
      <c r="DLS46" s="44"/>
      <c r="DLT46" s="44"/>
      <c r="DLU46" s="44"/>
      <c r="DLV46" s="44"/>
      <c r="DLW46" s="44"/>
      <c r="DLX46" s="44"/>
      <c r="DLY46" s="44"/>
      <c r="DLZ46" s="44"/>
      <c r="DMA46" s="44"/>
      <c r="DMB46" s="44"/>
      <c r="DMC46" s="44"/>
      <c r="DMD46" s="44"/>
      <c r="DME46" s="44"/>
      <c r="DMF46" s="44"/>
      <c r="DMG46" s="44"/>
      <c r="DMH46" s="44"/>
      <c r="DMI46" s="44"/>
      <c r="DMJ46" s="44"/>
      <c r="DMK46" s="44"/>
      <c r="DML46" s="44"/>
      <c r="DMM46" s="44"/>
      <c r="DMN46" s="44"/>
      <c r="DMO46" s="44"/>
      <c r="DMP46" s="44"/>
      <c r="DMQ46" s="44"/>
      <c r="DMR46" s="44"/>
      <c r="DMS46" s="44"/>
      <c r="DMT46" s="44"/>
      <c r="DMU46" s="44"/>
      <c r="DMV46" s="44"/>
      <c r="DMW46" s="44"/>
      <c r="DMX46" s="44"/>
      <c r="DMY46" s="44"/>
      <c r="DMZ46" s="44"/>
      <c r="DNA46" s="44"/>
      <c r="DNB46" s="44"/>
      <c r="DNC46" s="44"/>
      <c r="DND46" s="44"/>
      <c r="DNE46" s="44"/>
      <c r="DNF46" s="44"/>
      <c r="DNG46" s="44"/>
      <c r="DNH46" s="44"/>
      <c r="DNI46" s="44"/>
      <c r="DNJ46" s="44"/>
      <c r="DNK46" s="44"/>
      <c r="DNL46" s="44"/>
      <c r="DNM46" s="44"/>
      <c r="DNN46" s="44"/>
      <c r="DNO46" s="44"/>
      <c r="DNP46" s="44"/>
      <c r="DNQ46" s="44"/>
      <c r="DNR46" s="44"/>
      <c r="DNS46" s="44"/>
      <c r="DNT46" s="44"/>
      <c r="DNU46" s="44"/>
      <c r="DNV46" s="44"/>
      <c r="DNW46" s="44"/>
      <c r="DNX46" s="44"/>
      <c r="DNY46" s="44"/>
      <c r="DNZ46" s="44"/>
      <c r="DOA46" s="44"/>
      <c r="DOB46" s="44"/>
      <c r="DOC46" s="44"/>
      <c r="DOD46" s="44"/>
      <c r="DOE46" s="44"/>
      <c r="DOF46" s="44"/>
      <c r="DOG46" s="44"/>
      <c r="DOH46" s="44"/>
      <c r="DOI46" s="44"/>
      <c r="DOJ46" s="44"/>
      <c r="DOK46" s="44"/>
      <c r="DOL46" s="44"/>
      <c r="DOM46" s="44"/>
      <c r="DON46" s="44"/>
      <c r="DOO46" s="44"/>
      <c r="DOP46" s="44"/>
      <c r="DOQ46" s="44"/>
      <c r="DOR46" s="44"/>
      <c r="DOS46" s="44"/>
      <c r="DOT46" s="44"/>
      <c r="DOU46" s="44"/>
      <c r="DOV46" s="44"/>
      <c r="DOW46" s="44"/>
      <c r="DOX46" s="44"/>
      <c r="DOY46" s="44"/>
      <c r="DOZ46" s="44"/>
      <c r="DPA46" s="44"/>
      <c r="DPB46" s="44"/>
      <c r="DPC46" s="44"/>
      <c r="DPD46" s="44"/>
      <c r="DPE46" s="44"/>
      <c r="DPF46" s="44"/>
      <c r="DPG46" s="44"/>
      <c r="DPH46" s="44"/>
      <c r="DPI46" s="44"/>
      <c r="DPJ46" s="44"/>
      <c r="DPK46" s="44"/>
      <c r="DPL46" s="44"/>
      <c r="DPM46" s="44"/>
      <c r="DPN46" s="44"/>
      <c r="DPO46" s="44"/>
      <c r="DPP46" s="44"/>
      <c r="DPQ46" s="44"/>
      <c r="DPR46" s="44"/>
      <c r="DPS46" s="44"/>
      <c r="DPT46" s="44"/>
      <c r="DPU46" s="44"/>
      <c r="DPV46" s="44"/>
      <c r="DPW46" s="44"/>
      <c r="DPX46" s="44"/>
      <c r="DPY46" s="44"/>
      <c r="DPZ46" s="44"/>
      <c r="DQA46" s="44"/>
      <c r="DQB46" s="44"/>
      <c r="DQC46" s="44"/>
      <c r="DQD46" s="44"/>
      <c r="DQE46" s="44"/>
      <c r="DQF46" s="44"/>
      <c r="DQG46" s="44"/>
      <c r="DQH46" s="44"/>
      <c r="DQI46" s="44"/>
      <c r="DQJ46" s="44"/>
      <c r="DQK46" s="44"/>
      <c r="DQL46" s="44"/>
      <c r="DQM46" s="44"/>
      <c r="DQN46" s="44"/>
      <c r="DQO46" s="44"/>
      <c r="DQP46" s="44"/>
      <c r="DQQ46" s="44"/>
      <c r="DQR46" s="44"/>
      <c r="DQS46" s="44"/>
      <c r="DQT46" s="44"/>
      <c r="DQU46" s="44"/>
      <c r="DQV46" s="44"/>
      <c r="DQW46" s="44"/>
      <c r="DQX46" s="44"/>
      <c r="DQY46" s="44"/>
      <c r="DQZ46" s="44"/>
      <c r="DRA46" s="44"/>
      <c r="DRB46" s="44"/>
      <c r="DRC46" s="44"/>
      <c r="DRD46" s="44"/>
      <c r="DRE46" s="44"/>
      <c r="DRF46" s="44"/>
      <c r="DRG46" s="44"/>
      <c r="DRH46" s="44"/>
      <c r="DRI46" s="44"/>
      <c r="DRJ46" s="44"/>
      <c r="DRK46" s="44"/>
      <c r="DRL46" s="44"/>
      <c r="DRM46" s="44"/>
      <c r="DRN46" s="44"/>
      <c r="DRO46" s="44"/>
      <c r="DRP46" s="44"/>
      <c r="DRQ46" s="44"/>
      <c r="DRR46" s="44"/>
      <c r="DRS46" s="44"/>
      <c r="DRT46" s="44"/>
      <c r="DRU46" s="44"/>
      <c r="DRV46" s="44"/>
      <c r="DRW46" s="44"/>
      <c r="DRX46" s="44"/>
      <c r="DRY46" s="44"/>
      <c r="DRZ46" s="44"/>
      <c r="DSA46" s="44"/>
      <c r="DSB46" s="44"/>
      <c r="DSC46" s="44"/>
      <c r="DSD46" s="44"/>
      <c r="DSE46" s="44"/>
      <c r="DSF46" s="44"/>
      <c r="DSG46" s="44"/>
      <c r="DSH46" s="44"/>
      <c r="DSI46" s="44"/>
      <c r="DSJ46" s="44"/>
      <c r="DSK46" s="44"/>
      <c r="DSL46" s="44"/>
      <c r="DSM46" s="44"/>
      <c r="DSN46" s="44"/>
      <c r="DSO46" s="44"/>
      <c r="DSP46" s="44"/>
      <c r="DSQ46" s="44"/>
      <c r="DSR46" s="44"/>
      <c r="DSS46" s="44"/>
      <c r="DST46" s="44"/>
      <c r="DSU46" s="44"/>
      <c r="DSV46" s="44"/>
      <c r="DSW46" s="44"/>
      <c r="DSX46" s="44"/>
      <c r="DSY46" s="44"/>
      <c r="DSZ46" s="44"/>
      <c r="DTA46" s="44"/>
      <c r="DTB46" s="44"/>
      <c r="DTC46" s="44"/>
      <c r="DTD46" s="44"/>
      <c r="DTE46" s="44"/>
      <c r="DTF46" s="44"/>
      <c r="DTG46" s="44"/>
      <c r="DTH46" s="44"/>
      <c r="DTI46" s="44"/>
      <c r="DTJ46" s="44"/>
      <c r="DTK46" s="44"/>
      <c r="DTL46" s="44"/>
      <c r="DTM46" s="44"/>
      <c r="DTN46" s="44"/>
      <c r="DTO46" s="44"/>
      <c r="DTP46" s="44"/>
      <c r="DTQ46" s="44"/>
      <c r="DTR46" s="44"/>
      <c r="DTS46" s="44"/>
      <c r="DTT46" s="44"/>
      <c r="DTU46" s="44"/>
      <c r="DTV46" s="44"/>
      <c r="DTW46" s="44"/>
      <c r="DTX46" s="44"/>
      <c r="DTY46" s="44"/>
      <c r="DTZ46" s="44"/>
      <c r="DUA46" s="44"/>
      <c r="DUB46" s="44"/>
      <c r="DUC46" s="44"/>
      <c r="DUD46" s="44"/>
      <c r="DUE46" s="44"/>
      <c r="DUF46" s="44"/>
      <c r="DUG46" s="44"/>
      <c r="DUH46" s="44"/>
      <c r="DUI46" s="44"/>
      <c r="DUJ46" s="44"/>
      <c r="DUK46" s="44"/>
      <c r="DUL46" s="44"/>
      <c r="DUM46" s="44"/>
      <c r="DUN46" s="44"/>
      <c r="DUO46" s="44"/>
      <c r="DUP46" s="44"/>
      <c r="DUQ46" s="44"/>
      <c r="DUR46" s="44"/>
      <c r="DUS46" s="44"/>
      <c r="DUT46" s="44"/>
      <c r="DUU46" s="44"/>
      <c r="DUV46" s="44"/>
      <c r="DUW46" s="44"/>
      <c r="DUX46" s="44"/>
      <c r="DUY46" s="44"/>
      <c r="DUZ46" s="44"/>
      <c r="DVA46" s="44"/>
      <c r="DVB46" s="44"/>
      <c r="DVC46" s="44"/>
      <c r="DVD46" s="44"/>
      <c r="DVE46" s="44"/>
      <c r="DVF46" s="44"/>
      <c r="DVG46" s="44"/>
      <c r="DVH46" s="44"/>
      <c r="DVI46" s="44"/>
      <c r="DVJ46" s="44"/>
      <c r="DVK46" s="44"/>
      <c r="DVL46" s="44"/>
      <c r="DVM46" s="44"/>
      <c r="DVN46" s="44"/>
      <c r="DVO46" s="44"/>
      <c r="DVP46" s="44"/>
      <c r="DVQ46" s="44"/>
      <c r="DVR46" s="44"/>
      <c r="DVS46" s="44"/>
      <c r="DVT46" s="44"/>
      <c r="DVU46" s="44"/>
      <c r="DVV46" s="44"/>
      <c r="DVW46" s="44"/>
      <c r="DVX46" s="44"/>
      <c r="DVY46" s="44"/>
      <c r="DVZ46" s="44"/>
      <c r="DWA46" s="44"/>
      <c r="DWB46" s="44"/>
      <c r="DWC46" s="44"/>
      <c r="DWD46" s="44"/>
      <c r="DWE46" s="44"/>
      <c r="DWF46" s="44"/>
      <c r="DWG46" s="44"/>
      <c r="DWH46" s="44"/>
      <c r="DWI46" s="44"/>
      <c r="DWJ46" s="44"/>
      <c r="DWK46" s="44"/>
      <c r="DWL46" s="44"/>
      <c r="DWM46" s="44"/>
      <c r="DWN46" s="44"/>
      <c r="DWO46" s="44"/>
      <c r="DWP46" s="44"/>
      <c r="DWQ46" s="44"/>
      <c r="DWR46" s="44"/>
      <c r="DWS46" s="44"/>
      <c r="DWT46" s="44"/>
      <c r="DWU46" s="44"/>
      <c r="DWV46" s="44"/>
      <c r="DWW46" s="44"/>
      <c r="DWX46" s="44"/>
      <c r="DWY46" s="44"/>
      <c r="DWZ46" s="44"/>
      <c r="DXA46" s="44"/>
      <c r="DXB46" s="44"/>
      <c r="DXC46" s="44"/>
      <c r="DXD46" s="44"/>
      <c r="DXE46" s="44"/>
      <c r="DXF46" s="44"/>
      <c r="DXG46" s="44"/>
      <c r="DXH46" s="44"/>
      <c r="DXI46" s="44"/>
      <c r="DXJ46" s="44"/>
      <c r="DXK46" s="44"/>
      <c r="DXL46" s="44"/>
      <c r="DXM46" s="44"/>
      <c r="DXN46" s="44"/>
      <c r="DXO46" s="44"/>
      <c r="DXP46" s="44"/>
      <c r="DXQ46" s="44"/>
      <c r="DXR46" s="44"/>
      <c r="DXS46" s="44"/>
      <c r="DXT46" s="44"/>
      <c r="DXU46" s="44"/>
      <c r="DXV46" s="44"/>
      <c r="DXW46" s="44"/>
      <c r="DXX46" s="44"/>
      <c r="DXY46" s="44"/>
      <c r="DXZ46" s="44"/>
      <c r="DYA46" s="44"/>
      <c r="DYB46" s="44"/>
      <c r="DYC46" s="44"/>
      <c r="DYD46" s="44"/>
      <c r="DYE46" s="44"/>
      <c r="DYF46" s="44"/>
      <c r="DYG46" s="44"/>
      <c r="DYH46" s="44"/>
      <c r="DYI46" s="44"/>
      <c r="DYJ46" s="44"/>
      <c r="DYK46" s="44"/>
      <c r="DYL46" s="44"/>
      <c r="DYM46" s="44"/>
      <c r="DYN46" s="44"/>
      <c r="DYO46" s="44"/>
      <c r="DYP46" s="44"/>
      <c r="DYQ46" s="44"/>
      <c r="DYR46" s="44"/>
      <c r="DYS46" s="44"/>
      <c r="DYT46" s="44"/>
      <c r="DYU46" s="44"/>
      <c r="DYV46" s="44"/>
      <c r="DYW46" s="44"/>
      <c r="DYX46" s="44"/>
      <c r="DYY46" s="44"/>
      <c r="DYZ46" s="44"/>
      <c r="DZA46" s="44"/>
      <c r="DZB46" s="44"/>
      <c r="DZC46" s="44"/>
      <c r="DZD46" s="44"/>
      <c r="DZE46" s="44"/>
      <c r="DZF46" s="44"/>
      <c r="DZG46" s="44"/>
      <c r="DZH46" s="44"/>
      <c r="DZI46" s="44"/>
      <c r="DZJ46" s="44"/>
      <c r="DZK46" s="44"/>
      <c r="DZL46" s="44"/>
      <c r="DZM46" s="44"/>
      <c r="DZN46" s="44"/>
      <c r="DZO46" s="44"/>
      <c r="DZP46" s="44"/>
      <c r="DZQ46" s="44"/>
      <c r="DZR46" s="44"/>
      <c r="DZS46" s="44"/>
      <c r="DZT46" s="44"/>
      <c r="DZU46" s="44"/>
      <c r="DZV46" s="44"/>
      <c r="DZW46" s="44"/>
      <c r="DZX46" s="44"/>
      <c r="DZY46" s="44"/>
      <c r="DZZ46" s="44"/>
      <c r="EAA46" s="44"/>
      <c r="EAB46" s="44"/>
      <c r="EAC46" s="44"/>
      <c r="EAD46" s="44"/>
      <c r="EAE46" s="44"/>
      <c r="EAF46" s="44"/>
      <c r="EAG46" s="44"/>
      <c r="EAH46" s="44"/>
      <c r="EAI46" s="44"/>
      <c r="EAJ46" s="44"/>
      <c r="EAK46" s="44"/>
      <c r="EAL46" s="44"/>
      <c r="EAM46" s="44"/>
      <c r="EAN46" s="44"/>
      <c r="EAO46" s="44"/>
      <c r="EAP46" s="44"/>
      <c r="EAQ46" s="44"/>
      <c r="EAR46" s="44"/>
      <c r="EAS46" s="44"/>
      <c r="EAT46" s="44"/>
      <c r="EAU46" s="44"/>
      <c r="EAV46" s="44"/>
      <c r="EAW46" s="44"/>
      <c r="EAX46" s="44"/>
      <c r="EAY46" s="44"/>
      <c r="EAZ46" s="44"/>
      <c r="EBA46" s="44"/>
      <c r="EBB46" s="44"/>
      <c r="EBC46" s="44"/>
      <c r="EBD46" s="44"/>
      <c r="EBE46" s="44"/>
      <c r="EBF46" s="44"/>
      <c r="EBG46" s="44"/>
      <c r="EBH46" s="44"/>
      <c r="EBI46" s="44"/>
      <c r="EBJ46" s="44"/>
      <c r="EBK46" s="44"/>
      <c r="EBL46" s="44"/>
      <c r="EBM46" s="44"/>
      <c r="EBN46" s="44"/>
      <c r="EBO46" s="44"/>
      <c r="EBP46" s="44"/>
      <c r="EBQ46" s="44"/>
      <c r="EBR46" s="44"/>
      <c r="EBS46" s="44"/>
      <c r="EBT46" s="44"/>
      <c r="EBU46" s="44"/>
      <c r="EBV46" s="44"/>
      <c r="EBW46" s="44"/>
      <c r="EBX46" s="44"/>
      <c r="EBY46" s="44"/>
      <c r="EBZ46" s="44"/>
      <c r="ECA46" s="44"/>
      <c r="ECB46" s="44"/>
      <c r="ECC46" s="44"/>
      <c r="ECD46" s="44"/>
      <c r="ECE46" s="44"/>
      <c r="ECF46" s="44"/>
      <c r="ECG46" s="44"/>
      <c r="ECH46" s="44"/>
      <c r="ECI46" s="44"/>
      <c r="ECJ46" s="44"/>
      <c r="ECK46" s="44"/>
      <c r="ECL46" s="44"/>
      <c r="ECM46" s="44"/>
      <c r="ECN46" s="44"/>
      <c r="ECO46" s="44"/>
      <c r="ECP46" s="44"/>
      <c r="ECQ46" s="44"/>
      <c r="ECR46" s="44"/>
      <c r="ECS46" s="44"/>
      <c r="ECT46" s="44"/>
      <c r="ECU46" s="44"/>
      <c r="ECV46" s="44"/>
      <c r="ECW46" s="44"/>
      <c r="ECX46" s="44"/>
      <c r="ECY46" s="44"/>
      <c r="ECZ46" s="44"/>
      <c r="EDA46" s="44"/>
      <c r="EDB46" s="44"/>
      <c r="EDC46" s="44"/>
      <c r="EDD46" s="44"/>
      <c r="EDE46" s="44"/>
      <c r="EDF46" s="44"/>
      <c r="EDG46" s="44"/>
      <c r="EDH46" s="44"/>
      <c r="EDI46" s="44"/>
      <c r="EDJ46" s="44"/>
      <c r="EDK46" s="44"/>
      <c r="EDL46" s="44"/>
      <c r="EDM46" s="44"/>
      <c r="EDN46" s="44"/>
      <c r="EDO46" s="44"/>
      <c r="EDP46" s="44"/>
      <c r="EDQ46" s="44"/>
      <c r="EDR46" s="44"/>
      <c r="EDS46" s="44"/>
      <c r="EDT46" s="44"/>
      <c r="EDU46" s="44"/>
      <c r="EDV46" s="44"/>
      <c r="EDW46" s="44"/>
      <c r="EDX46" s="44"/>
      <c r="EDY46" s="44"/>
      <c r="EDZ46" s="44"/>
      <c r="EEA46" s="44"/>
      <c r="EEB46" s="44"/>
      <c r="EEC46" s="44"/>
      <c r="EED46" s="44"/>
      <c r="EEE46" s="44"/>
      <c r="EEF46" s="44"/>
      <c r="EEG46" s="44"/>
      <c r="EEH46" s="44"/>
      <c r="EEI46" s="44"/>
      <c r="EEJ46" s="44"/>
      <c r="EEK46" s="44"/>
      <c r="EEL46" s="44"/>
      <c r="EEM46" s="44"/>
      <c r="EEN46" s="44"/>
      <c r="EEO46" s="44"/>
      <c r="EEP46" s="44"/>
      <c r="EEQ46" s="44"/>
      <c r="EER46" s="44"/>
      <c r="EES46" s="44"/>
      <c r="EET46" s="44"/>
      <c r="EEU46" s="44"/>
      <c r="EEV46" s="44"/>
      <c r="EEW46" s="44"/>
      <c r="EEX46" s="44"/>
      <c r="EEY46" s="44"/>
      <c r="EEZ46" s="44"/>
      <c r="EFA46" s="44"/>
      <c r="EFB46" s="44"/>
      <c r="EFC46" s="44"/>
      <c r="EFD46" s="44"/>
      <c r="EFE46" s="44"/>
      <c r="EFF46" s="44"/>
      <c r="EFG46" s="44"/>
      <c r="EFH46" s="44"/>
      <c r="EFI46" s="44"/>
      <c r="EFJ46" s="44"/>
      <c r="EFK46" s="44"/>
      <c r="EFL46" s="44"/>
      <c r="EFM46" s="44"/>
      <c r="EFN46" s="44"/>
      <c r="EFO46" s="44"/>
      <c r="EFP46" s="44"/>
      <c r="EFQ46" s="44"/>
      <c r="EFR46" s="44"/>
      <c r="EFS46" s="44"/>
      <c r="EFT46" s="44"/>
      <c r="EFU46" s="44"/>
      <c r="EFV46" s="44"/>
      <c r="EFW46" s="44"/>
      <c r="EFX46" s="44"/>
      <c r="EFY46" s="44"/>
      <c r="EFZ46" s="44"/>
      <c r="EGA46" s="44"/>
      <c r="EGB46" s="44"/>
      <c r="EGC46" s="44"/>
      <c r="EGD46" s="44"/>
      <c r="EGE46" s="44"/>
      <c r="EGF46" s="44"/>
      <c r="EGG46" s="44"/>
      <c r="EGH46" s="44"/>
      <c r="EGI46" s="44"/>
      <c r="EGJ46" s="44"/>
      <c r="EGK46" s="44"/>
      <c r="EGL46" s="44"/>
      <c r="EGM46" s="44"/>
      <c r="EGN46" s="44"/>
      <c r="EGO46" s="44"/>
      <c r="EGP46" s="44"/>
      <c r="EGQ46" s="44"/>
      <c r="EGR46" s="44"/>
      <c r="EGS46" s="44"/>
      <c r="EGT46" s="44"/>
      <c r="EGU46" s="44"/>
      <c r="EGV46" s="44"/>
      <c r="EGW46" s="44"/>
      <c r="EGX46" s="44"/>
      <c r="EGY46" s="44"/>
      <c r="EGZ46" s="44"/>
      <c r="EHA46" s="44"/>
      <c r="EHB46" s="44"/>
      <c r="EHC46" s="44"/>
      <c r="EHD46" s="44"/>
      <c r="EHE46" s="44"/>
      <c r="EHF46" s="44"/>
      <c r="EHG46" s="44"/>
      <c r="EHH46" s="44"/>
      <c r="EHI46" s="44"/>
      <c r="EHJ46" s="44"/>
      <c r="EHK46" s="44"/>
      <c r="EHL46" s="44"/>
      <c r="EHM46" s="44"/>
      <c r="EHN46" s="44"/>
      <c r="EHO46" s="44"/>
      <c r="EHP46" s="44"/>
      <c r="EHQ46" s="44"/>
      <c r="EHR46" s="44"/>
      <c r="EHS46" s="44"/>
      <c r="EHT46" s="44"/>
      <c r="EHU46" s="44"/>
      <c r="EHV46" s="44"/>
      <c r="EHW46" s="44"/>
      <c r="EHX46" s="44"/>
      <c r="EHY46" s="44"/>
      <c r="EHZ46" s="44"/>
      <c r="EIA46" s="44"/>
      <c r="EIB46" s="44"/>
      <c r="EIC46" s="44"/>
      <c r="EID46" s="44"/>
      <c r="EIE46" s="44"/>
      <c r="EIF46" s="44"/>
      <c r="EIG46" s="44"/>
      <c r="EIH46" s="44"/>
      <c r="EII46" s="44"/>
      <c r="EIJ46" s="44"/>
      <c r="EIK46" s="44"/>
      <c r="EIL46" s="44"/>
      <c r="EIM46" s="44"/>
      <c r="EIN46" s="44"/>
      <c r="EIO46" s="44"/>
      <c r="EIP46" s="44"/>
      <c r="EIQ46" s="44"/>
      <c r="EIR46" s="44"/>
      <c r="EIS46" s="44"/>
      <c r="EIT46" s="44"/>
      <c r="EIU46" s="44"/>
      <c r="EIV46" s="44"/>
      <c r="EIW46" s="44"/>
      <c r="EIX46" s="44"/>
      <c r="EIY46" s="44"/>
      <c r="EIZ46" s="44"/>
      <c r="EJA46" s="44"/>
      <c r="EJB46" s="44"/>
      <c r="EJC46" s="44"/>
      <c r="EJD46" s="44"/>
      <c r="EJE46" s="44"/>
      <c r="EJF46" s="44"/>
      <c r="EJG46" s="44"/>
      <c r="EJH46" s="44"/>
      <c r="EJI46" s="44"/>
      <c r="EJJ46" s="44"/>
      <c r="EJK46" s="44"/>
      <c r="EJL46" s="44"/>
      <c r="EJM46" s="44"/>
      <c r="EJN46" s="44"/>
      <c r="EJO46" s="44"/>
      <c r="EJP46" s="44"/>
      <c r="EJQ46" s="44"/>
      <c r="EJR46" s="44"/>
      <c r="EJS46" s="44"/>
      <c r="EJT46" s="44"/>
      <c r="EJU46" s="44"/>
      <c r="EJV46" s="44"/>
      <c r="EJW46" s="44"/>
      <c r="EJX46" s="44"/>
      <c r="EJY46" s="44"/>
      <c r="EJZ46" s="44"/>
      <c r="EKA46" s="44"/>
      <c r="EKB46" s="44"/>
      <c r="EKC46" s="44"/>
      <c r="EKD46" s="44"/>
      <c r="EKE46" s="44"/>
      <c r="EKF46" s="44"/>
      <c r="EKG46" s="44"/>
      <c r="EKH46" s="44"/>
      <c r="EKI46" s="44"/>
      <c r="EKJ46" s="44"/>
      <c r="EKK46" s="44"/>
      <c r="EKL46" s="44"/>
      <c r="EKM46" s="44"/>
      <c r="EKN46" s="44"/>
      <c r="EKO46" s="44"/>
      <c r="EKP46" s="44"/>
      <c r="EKQ46" s="44"/>
      <c r="EKR46" s="44"/>
      <c r="EKS46" s="44"/>
      <c r="EKT46" s="44"/>
      <c r="EKU46" s="44"/>
      <c r="EKV46" s="44"/>
      <c r="EKW46" s="44"/>
      <c r="EKX46" s="44"/>
      <c r="EKY46" s="44"/>
      <c r="EKZ46" s="44"/>
      <c r="ELA46" s="44"/>
      <c r="ELB46" s="44"/>
      <c r="ELC46" s="44"/>
      <c r="ELD46" s="44"/>
      <c r="ELE46" s="44"/>
      <c r="ELF46" s="44"/>
      <c r="ELG46" s="44"/>
      <c r="ELH46" s="44"/>
      <c r="ELI46" s="44"/>
      <c r="ELJ46" s="44"/>
      <c r="ELK46" s="44"/>
      <c r="ELL46" s="44"/>
      <c r="ELM46" s="44"/>
      <c r="ELN46" s="44"/>
      <c r="ELO46" s="44"/>
      <c r="ELP46" s="44"/>
      <c r="ELQ46" s="44"/>
      <c r="ELR46" s="44"/>
      <c r="ELS46" s="44"/>
      <c r="ELT46" s="44"/>
      <c r="ELU46" s="44"/>
      <c r="ELV46" s="44"/>
      <c r="ELW46" s="44"/>
      <c r="ELX46" s="44"/>
      <c r="ELY46" s="44"/>
      <c r="ELZ46" s="44"/>
      <c r="EMA46" s="44"/>
      <c r="EMB46" s="44"/>
      <c r="EMC46" s="44"/>
      <c r="EMD46" s="44"/>
      <c r="EME46" s="44"/>
      <c r="EMF46" s="44"/>
      <c r="EMG46" s="44"/>
      <c r="EMH46" s="44"/>
      <c r="EMI46" s="44"/>
      <c r="EMJ46" s="44"/>
      <c r="EMK46" s="44"/>
      <c r="EML46" s="44"/>
      <c r="EMM46" s="44"/>
      <c r="EMN46" s="44"/>
      <c r="EMO46" s="44"/>
      <c r="EMP46" s="44"/>
      <c r="EMQ46" s="44"/>
      <c r="EMR46" s="44"/>
      <c r="EMS46" s="44"/>
      <c r="EMT46" s="44"/>
      <c r="EMU46" s="44"/>
      <c r="EMV46" s="44"/>
      <c r="EMW46" s="44"/>
      <c r="EMX46" s="44"/>
      <c r="EMY46" s="44"/>
      <c r="EMZ46" s="44"/>
      <c r="ENA46" s="44"/>
      <c r="ENB46" s="44"/>
      <c r="ENC46" s="44"/>
      <c r="END46" s="44"/>
      <c r="ENE46" s="44"/>
      <c r="ENF46" s="44"/>
      <c r="ENG46" s="44"/>
      <c r="ENH46" s="44"/>
      <c r="ENI46" s="44"/>
      <c r="ENJ46" s="44"/>
      <c r="ENK46" s="44"/>
      <c r="ENL46" s="44"/>
      <c r="ENM46" s="44"/>
      <c r="ENN46" s="44"/>
      <c r="ENO46" s="44"/>
      <c r="ENP46" s="44"/>
      <c r="ENQ46" s="44"/>
      <c r="ENR46" s="44"/>
      <c r="ENS46" s="44"/>
      <c r="ENT46" s="44"/>
      <c r="ENU46" s="44"/>
      <c r="ENV46" s="44"/>
      <c r="ENW46" s="44"/>
      <c r="ENX46" s="44"/>
      <c r="ENY46" s="44"/>
      <c r="ENZ46" s="44"/>
      <c r="EOA46" s="44"/>
      <c r="EOB46" s="44"/>
      <c r="EOC46" s="44"/>
      <c r="EOD46" s="44"/>
      <c r="EOE46" s="44"/>
      <c r="EOF46" s="44"/>
      <c r="EOG46" s="44"/>
      <c r="EOH46" s="44"/>
      <c r="EOI46" s="44"/>
      <c r="EOJ46" s="44"/>
      <c r="EOK46" s="44"/>
      <c r="EOL46" s="44"/>
      <c r="EOM46" s="44"/>
      <c r="EON46" s="44"/>
      <c r="EOO46" s="44"/>
      <c r="EOP46" s="44"/>
      <c r="EOQ46" s="44"/>
      <c r="EOR46" s="44"/>
      <c r="EOS46" s="44"/>
      <c r="EOT46" s="44"/>
      <c r="EOU46" s="44"/>
      <c r="EOV46" s="44"/>
      <c r="EOW46" s="44"/>
      <c r="EOX46" s="44"/>
      <c r="EOY46" s="44"/>
      <c r="EOZ46" s="44"/>
      <c r="EPA46" s="44"/>
      <c r="EPB46" s="44"/>
      <c r="EPC46" s="44"/>
      <c r="EPD46" s="44"/>
      <c r="EPE46" s="44"/>
      <c r="EPF46" s="44"/>
      <c r="EPG46" s="44"/>
      <c r="EPH46" s="44"/>
      <c r="EPI46" s="44"/>
      <c r="EPJ46" s="44"/>
      <c r="EPK46" s="44"/>
      <c r="EPL46" s="44"/>
      <c r="EPM46" s="44"/>
      <c r="EPN46" s="44"/>
      <c r="EPO46" s="44"/>
      <c r="EPP46" s="44"/>
      <c r="EPQ46" s="44"/>
      <c r="EPR46" s="44"/>
      <c r="EPS46" s="44"/>
      <c r="EPT46" s="44"/>
      <c r="EPU46" s="44"/>
      <c r="EPV46" s="44"/>
      <c r="EPW46" s="44"/>
      <c r="EPX46" s="44"/>
      <c r="EPY46" s="44"/>
      <c r="EPZ46" s="44"/>
      <c r="EQA46" s="44"/>
      <c r="EQB46" s="44"/>
      <c r="EQC46" s="44"/>
      <c r="EQD46" s="44"/>
      <c r="EQE46" s="44"/>
      <c r="EQF46" s="44"/>
      <c r="EQG46" s="44"/>
      <c r="EQH46" s="44"/>
      <c r="EQI46" s="44"/>
      <c r="EQJ46" s="44"/>
      <c r="EQK46" s="44"/>
      <c r="EQL46" s="44"/>
      <c r="EQM46" s="44"/>
      <c r="EQN46" s="44"/>
      <c r="EQO46" s="44"/>
      <c r="EQP46" s="44"/>
      <c r="EQQ46" s="44"/>
      <c r="EQR46" s="44"/>
      <c r="EQS46" s="44"/>
      <c r="EQT46" s="44"/>
      <c r="EQU46" s="44"/>
      <c r="EQV46" s="44"/>
      <c r="EQW46" s="44"/>
      <c r="EQX46" s="44"/>
      <c r="EQY46" s="44"/>
      <c r="EQZ46" s="44"/>
      <c r="ERA46" s="44"/>
      <c r="ERB46" s="44"/>
      <c r="ERC46" s="44"/>
      <c r="ERD46" s="44"/>
      <c r="ERE46" s="44"/>
      <c r="ERF46" s="44"/>
      <c r="ERG46" s="44"/>
      <c r="ERH46" s="44"/>
      <c r="ERI46" s="44"/>
      <c r="ERJ46" s="44"/>
      <c r="ERK46" s="44"/>
      <c r="ERL46" s="44"/>
      <c r="ERM46" s="44"/>
      <c r="ERN46" s="44"/>
      <c r="ERO46" s="44"/>
      <c r="ERP46" s="44"/>
      <c r="ERQ46" s="44"/>
      <c r="ERR46" s="44"/>
      <c r="ERS46" s="44"/>
      <c r="ERT46" s="44"/>
      <c r="ERU46" s="44"/>
      <c r="ERV46" s="44"/>
      <c r="ERW46" s="44"/>
      <c r="ERX46" s="44"/>
      <c r="ERY46" s="44"/>
      <c r="ERZ46" s="44"/>
      <c r="ESA46" s="44"/>
      <c r="ESB46" s="44"/>
      <c r="ESC46" s="44"/>
      <c r="ESD46" s="44"/>
      <c r="ESE46" s="44"/>
      <c r="ESF46" s="44"/>
      <c r="ESG46" s="44"/>
      <c r="ESH46" s="44"/>
      <c r="ESI46" s="44"/>
      <c r="ESJ46" s="44"/>
      <c r="ESK46" s="44"/>
      <c r="ESL46" s="44"/>
      <c r="ESM46" s="44"/>
      <c r="ESN46" s="44"/>
      <c r="ESO46" s="44"/>
      <c r="ESP46" s="44"/>
      <c r="ESQ46" s="44"/>
      <c r="ESR46" s="44"/>
      <c r="ESS46" s="44"/>
      <c r="EST46" s="44"/>
      <c r="ESU46" s="44"/>
      <c r="ESV46" s="44"/>
      <c r="ESW46" s="44"/>
      <c r="ESX46" s="44"/>
      <c r="ESY46" s="44"/>
      <c r="ESZ46" s="44"/>
      <c r="ETA46" s="44"/>
      <c r="ETB46" s="44"/>
      <c r="ETC46" s="44"/>
      <c r="ETD46" s="44"/>
      <c r="ETE46" s="44"/>
      <c r="ETF46" s="44"/>
      <c r="ETG46" s="44"/>
      <c r="ETH46" s="44"/>
      <c r="ETI46" s="44"/>
      <c r="ETJ46" s="44"/>
      <c r="ETK46" s="44"/>
      <c r="ETL46" s="44"/>
      <c r="ETM46" s="44"/>
      <c r="ETN46" s="44"/>
      <c r="ETO46" s="44"/>
      <c r="ETP46" s="44"/>
      <c r="ETQ46" s="44"/>
      <c r="ETR46" s="44"/>
      <c r="ETS46" s="44"/>
      <c r="ETT46" s="44"/>
      <c r="ETU46" s="44"/>
      <c r="ETV46" s="44"/>
      <c r="ETW46" s="44"/>
      <c r="ETX46" s="44"/>
      <c r="ETY46" s="44"/>
      <c r="ETZ46" s="44"/>
      <c r="EUA46" s="44"/>
      <c r="EUB46" s="44"/>
      <c r="EUC46" s="44"/>
      <c r="EUD46" s="44"/>
      <c r="EUE46" s="44"/>
      <c r="EUF46" s="44"/>
      <c r="EUG46" s="44"/>
      <c r="EUH46" s="44"/>
      <c r="EUI46" s="44"/>
      <c r="EUJ46" s="44"/>
      <c r="EUK46" s="44"/>
      <c r="EUL46" s="44"/>
      <c r="EUM46" s="44"/>
      <c r="EUN46" s="44"/>
      <c r="EUO46" s="44"/>
      <c r="EUP46" s="44"/>
      <c r="EUQ46" s="44"/>
      <c r="EUR46" s="44"/>
      <c r="EUS46" s="44"/>
      <c r="EUT46" s="44"/>
      <c r="EUU46" s="44"/>
      <c r="EUV46" s="44"/>
      <c r="EUW46" s="44"/>
      <c r="EUX46" s="44"/>
      <c r="EUY46" s="44"/>
      <c r="EUZ46" s="44"/>
      <c r="EVA46" s="44"/>
      <c r="EVB46" s="44"/>
      <c r="EVC46" s="44"/>
      <c r="EVD46" s="44"/>
      <c r="EVE46" s="44"/>
      <c r="EVF46" s="44"/>
      <c r="EVG46" s="44"/>
      <c r="EVH46" s="44"/>
      <c r="EVI46" s="44"/>
      <c r="EVJ46" s="44"/>
      <c r="EVK46" s="44"/>
      <c r="EVL46" s="44"/>
      <c r="EVM46" s="44"/>
      <c r="EVN46" s="44"/>
      <c r="EVO46" s="44"/>
      <c r="EVP46" s="44"/>
      <c r="EVQ46" s="44"/>
      <c r="EVR46" s="44"/>
      <c r="EVS46" s="44"/>
      <c r="EVT46" s="44"/>
      <c r="EVU46" s="44"/>
      <c r="EVV46" s="44"/>
      <c r="EVW46" s="44"/>
      <c r="EVX46" s="44"/>
      <c r="EVY46" s="44"/>
      <c r="EVZ46" s="44"/>
      <c r="EWA46" s="44"/>
      <c r="EWB46" s="44"/>
      <c r="EWC46" s="44"/>
      <c r="EWD46" s="44"/>
      <c r="EWE46" s="44"/>
      <c r="EWF46" s="44"/>
      <c r="EWG46" s="44"/>
      <c r="EWH46" s="44"/>
      <c r="EWI46" s="44"/>
      <c r="EWJ46" s="44"/>
      <c r="EWK46" s="44"/>
      <c r="EWL46" s="44"/>
      <c r="EWM46" s="44"/>
      <c r="EWN46" s="44"/>
      <c r="EWO46" s="44"/>
      <c r="EWP46" s="44"/>
      <c r="EWQ46" s="44"/>
      <c r="EWR46" s="44"/>
      <c r="EWS46" s="44"/>
      <c r="EWT46" s="44"/>
      <c r="EWU46" s="44"/>
      <c r="EWV46" s="44"/>
      <c r="EWW46" s="44"/>
      <c r="EWX46" s="44"/>
      <c r="EWY46" s="44"/>
      <c r="EWZ46" s="44"/>
      <c r="EXA46" s="44"/>
      <c r="EXB46" s="44"/>
      <c r="EXC46" s="44"/>
      <c r="EXD46" s="44"/>
      <c r="EXE46" s="44"/>
      <c r="EXF46" s="44"/>
      <c r="EXG46" s="44"/>
      <c r="EXH46" s="44"/>
      <c r="EXI46" s="44"/>
      <c r="EXJ46" s="44"/>
      <c r="EXK46" s="44"/>
      <c r="EXL46" s="44"/>
      <c r="EXM46" s="44"/>
      <c r="EXN46" s="44"/>
      <c r="EXO46" s="44"/>
      <c r="EXP46" s="44"/>
      <c r="EXQ46" s="44"/>
      <c r="EXR46" s="44"/>
      <c r="EXS46" s="44"/>
      <c r="EXT46" s="44"/>
      <c r="EXU46" s="44"/>
      <c r="EXV46" s="44"/>
      <c r="EXW46" s="44"/>
      <c r="EXX46" s="44"/>
      <c r="EXY46" s="44"/>
      <c r="EXZ46" s="44"/>
      <c r="EYA46" s="44"/>
      <c r="EYB46" s="44"/>
      <c r="EYC46" s="44"/>
      <c r="EYD46" s="44"/>
      <c r="EYE46" s="44"/>
      <c r="EYF46" s="44"/>
      <c r="EYG46" s="44"/>
      <c r="EYH46" s="44"/>
      <c r="EYI46" s="44"/>
      <c r="EYJ46" s="44"/>
      <c r="EYK46" s="44"/>
      <c r="EYL46" s="44"/>
      <c r="EYM46" s="44"/>
      <c r="EYN46" s="44"/>
      <c r="EYO46" s="44"/>
      <c r="EYP46" s="44"/>
      <c r="EYQ46" s="44"/>
      <c r="EYR46" s="44"/>
      <c r="EYS46" s="44"/>
      <c r="EYT46" s="44"/>
      <c r="EYU46" s="44"/>
      <c r="EYV46" s="44"/>
      <c r="EYW46" s="44"/>
      <c r="EYX46" s="44"/>
      <c r="EYY46" s="44"/>
      <c r="EYZ46" s="44"/>
      <c r="EZA46" s="44"/>
      <c r="EZB46" s="44"/>
      <c r="EZC46" s="44"/>
      <c r="EZD46" s="44"/>
      <c r="EZE46" s="44"/>
      <c r="EZF46" s="44"/>
      <c r="EZG46" s="44"/>
      <c r="EZH46" s="44"/>
      <c r="EZI46" s="44"/>
      <c r="EZJ46" s="44"/>
      <c r="EZK46" s="44"/>
      <c r="EZL46" s="44"/>
      <c r="EZM46" s="44"/>
      <c r="EZN46" s="44"/>
      <c r="EZO46" s="44"/>
      <c r="EZP46" s="44"/>
      <c r="EZQ46" s="44"/>
      <c r="EZR46" s="44"/>
      <c r="EZS46" s="44"/>
      <c r="EZT46" s="44"/>
      <c r="EZU46" s="44"/>
      <c r="EZV46" s="44"/>
      <c r="EZW46" s="44"/>
      <c r="EZX46" s="44"/>
      <c r="EZY46" s="44"/>
      <c r="EZZ46" s="44"/>
      <c r="FAA46" s="44"/>
      <c r="FAB46" s="44"/>
      <c r="FAC46" s="44"/>
      <c r="FAD46" s="44"/>
      <c r="FAE46" s="44"/>
      <c r="FAF46" s="44"/>
      <c r="FAG46" s="44"/>
      <c r="FAH46" s="44"/>
      <c r="FAI46" s="44"/>
      <c r="FAJ46" s="44"/>
      <c r="FAK46" s="44"/>
      <c r="FAL46" s="44"/>
      <c r="FAM46" s="44"/>
      <c r="FAN46" s="44"/>
      <c r="FAO46" s="44"/>
      <c r="FAP46" s="44"/>
      <c r="FAQ46" s="44"/>
      <c r="FAR46" s="44"/>
      <c r="FAS46" s="44"/>
      <c r="FAT46" s="44"/>
      <c r="FAU46" s="44"/>
      <c r="FAV46" s="44"/>
      <c r="FAW46" s="44"/>
      <c r="FAX46" s="44"/>
      <c r="FAY46" s="44"/>
      <c r="FAZ46" s="44"/>
      <c r="FBA46" s="44"/>
      <c r="FBB46" s="44"/>
      <c r="FBC46" s="44"/>
      <c r="FBD46" s="44"/>
      <c r="FBE46" s="44"/>
      <c r="FBF46" s="44"/>
      <c r="FBG46" s="44"/>
      <c r="FBH46" s="44"/>
      <c r="FBI46" s="44"/>
      <c r="FBJ46" s="44"/>
      <c r="FBK46" s="44"/>
      <c r="FBL46" s="44"/>
      <c r="FBM46" s="44"/>
      <c r="FBN46" s="44"/>
      <c r="FBO46" s="44"/>
      <c r="FBP46" s="44"/>
      <c r="FBQ46" s="44"/>
      <c r="FBR46" s="44"/>
      <c r="FBS46" s="44"/>
      <c r="FBT46" s="44"/>
      <c r="FBU46" s="44"/>
      <c r="FBV46" s="44"/>
      <c r="FBW46" s="44"/>
      <c r="FBX46" s="44"/>
      <c r="FBY46" s="44"/>
      <c r="FBZ46" s="44"/>
      <c r="FCA46" s="44"/>
      <c r="FCB46" s="44"/>
      <c r="FCC46" s="44"/>
      <c r="FCD46" s="44"/>
      <c r="FCE46" s="44"/>
      <c r="FCF46" s="44"/>
      <c r="FCG46" s="44"/>
      <c r="FCH46" s="44"/>
      <c r="FCI46" s="44"/>
      <c r="FCJ46" s="44"/>
      <c r="FCK46" s="44"/>
      <c r="FCL46" s="44"/>
      <c r="FCM46" s="44"/>
      <c r="FCN46" s="44"/>
      <c r="FCO46" s="44"/>
      <c r="FCP46" s="44"/>
      <c r="FCQ46" s="44"/>
      <c r="FCR46" s="44"/>
      <c r="FCS46" s="44"/>
      <c r="FCT46" s="44"/>
      <c r="FCU46" s="44"/>
      <c r="FCV46" s="44"/>
      <c r="FCW46" s="44"/>
      <c r="FCX46" s="44"/>
      <c r="FCY46" s="44"/>
      <c r="FCZ46" s="44"/>
      <c r="FDA46" s="44"/>
      <c r="FDB46" s="44"/>
      <c r="FDC46" s="44"/>
      <c r="FDD46" s="44"/>
      <c r="FDE46" s="44"/>
      <c r="FDF46" s="44"/>
      <c r="FDG46" s="44"/>
      <c r="FDH46" s="44"/>
      <c r="FDI46" s="44"/>
      <c r="FDJ46" s="44"/>
      <c r="FDK46" s="44"/>
      <c r="FDL46" s="44"/>
      <c r="FDM46" s="44"/>
      <c r="FDN46" s="44"/>
      <c r="FDO46" s="44"/>
      <c r="FDP46" s="44"/>
      <c r="FDQ46" s="44"/>
      <c r="FDR46" s="44"/>
      <c r="FDS46" s="44"/>
      <c r="FDT46" s="44"/>
      <c r="FDU46" s="44"/>
      <c r="FDV46" s="44"/>
      <c r="FDW46" s="44"/>
      <c r="FDX46" s="44"/>
      <c r="FDY46" s="44"/>
      <c r="FDZ46" s="44"/>
      <c r="FEA46" s="44"/>
      <c r="FEB46" s="44"/>
      <c r="FEC46" s="44"/>
      <c r="FED46" s="44"/>
      <c r="FEE46" s="44"/>
      <c r="FEF46" s="44"/>
      <c r="FEG46" s="44"/>
      <c r="FEH46" s="44"/>
      <c r="FEI46" s="44"/>
      <c r="FEJ46" s="44"/>
      <c r="FEK46" s="44"/>
      <c r="FEL46" s="44"/>
      <c r="FEM46" s="44"/>
      <c r="FEN46" s="44"/>
      <c r="FEO46" s="44"/>
      <c r="FEP46" s="44"/>
      <c r="FEQ46" s="44"/>
      <c r="FER46" s="44"/>
      <c r="FES46" s="44"/>
      <c r="FET46" s="44"/>
      <c r="FEU46" s="44"/>
      <c r="FEV46" s="44"/>
      <c r="FEW46" s="44"/>
      <c r="FEX46" s="44"/>
      <c r="FEY46" s="44"/>
      <c r="FEZ46" s="44"/>
      <c r="FFA46" s="44"/>
      <c r="FFB46" s="44"/>
      <c r="FFC46" s="44"/>
      <c r="FFD46" s="44"/>
      <c r="FFE46" s="44"/>
      <c r="FFF46" s="44"/>
      <c r="FFG46" s="44"/>
      <c r="FFH46" s="44"/>
      <c r="FFI46" s="44"/>
      <c r="FFJ46" s="44"/>
      <c r="FFK46" s="44"/>
      <c r="FFL46" s="44"/>
      <c r="FFM46" s="44"/>
      <c r="FFN46" s="44"/>
      <c r="FFO46" s="44"/>
      <c r="FFP46" s="44"/>
      <c r="FFQ46" s="44"/>
      <c r="FFR46" s="44"/>
      <c r="FFS46" s="44"/>
      <c r="FFT46" s="44"/>
      <c r="FFU46" s="44"/>
      <c r="FFV46" s="44"/>
      <c r="FFW46" s="44"/>
      <c r="FFX46" s="44"/>
      <c r="FFY46" s="44"/>
      <c r="FFZ46" s="44"/>
      <c r="FGA46" s="44"/>
      <c r="FGB46" s="44"/>
      <c r="FGC46" s="44"/>
      <c r="FGD46" s="44"/>
      <c r="FGE46" s="44"/>
      <c r="FGF46" s="44"/>
      <c r="FGG46" s="44"/>
      <c r="FGH46" s="44"/>
      <c r="FGI46" s="44"/>
      <c r="FGJ46" s="44"/>
      <c r="FGK46" s="44"/>
      <c r="FGL46" s="44"/>
      <c r="FGM46" s="44"/>
      <c r="FGN46" s="44"/>
      <c r="FGO46" s="44"/>
      <c r="FGP46" s="44"/>
      <c r="FGQ46" s="44"/>
      <c r="FGR46" s="44"/>
      <c r="FGS46" s="44"/>
      <c r="FGT46" s="44"/>
      <c r="FGU46" s="44"/>
      <c r="FGV46" s="44"/>
      <c r="FGW46" s="44"/>
      <c r="FGX46" s="44"/>
      <c r="FGY46" s="44"/>
      <c r="FGZ46" s="44"/>
      <c r="FHA46" s="44"/>
      <c r="FHB46" s="44"/>
      <c r="FHC46" s="44"/>
      <c r="FHD46" s="44"/>
      <c r="FHE46" s="44"/>
      <c r="FHF46" s="44"/>
      <c r="FHG46" s="44"/>
      <c r="FHH46" s="44"/>
      <c r="FHI46" s="44"/>
      <c r="FHJ46" s="44"/>
      <c r="FHK46" s="44"/>
      <c r="FHL46" s="44"/>
      <c r="FHM46" s="44"/>
      <c r="FHN46" s="44"/>
      <c r="FHO46" s="44"/>
      <c r="FHP46" s="44"/>
      <c r="FHQ46" s="44"/>
      <c r="FHR46" s="44"/>
      <c r="FHS46" s="44"/>
      <c r="FHT46" s="44"/>
      <c r="FHU46" s="44"/>
      <c r="FHV46" s="44"/>
      <c r="FHW46" s="44"/>
      <c r="FHX46" s="44"/>
      <c r="FHY46" s="44"/>
      <c r="FHZ46" s="44"/>
      <c r="FIA46" s="44"/>
      <c r="FIB46" s="44"/>
      <c r="FIC46" s="44"/>
      <c r="FID46" s="44"/>
      <c r="FIE46" s="44"/>
      <c r="FIF46" s="44"/>
      <c r="FIG46" s="44"/>
      <c r="FIH46" s="44"/>
      <c r="FII46" s="44"/>
      <c r="FIJ46" s="44"/>
      <c r="FIK46" s="44"/>
      <c r="FIL46" s="44"/>
      <c r="FIM46" s="44"/>
      <c r="FIN46" s="44"/>
      <c r="FIO46" s="44"/>
      <c r="FIP46" s="44"/>
      <c r="FIQ46" s="44"/>
      <c r="FIR46" s="44"/>
      <c r="FIS46" s="44"/>
      <c r="FIT46" s="44"/>
      <c r="FIU46" s="44"/>
      <c r="FIV46" s="44"/>
      <c r="FIW46" s="44"/>
      <c r="FIX46" s="44"/>
      <c r="FIY46" s="44"/>
      <c r="FIZ46" s="44"/>
      <c r="FJA46" s="44"/>
      <c r="FJB46" s="44"/>
      <c r="FJC46" s="44"/>
      <c r="FJD46" s="44"/>
      <c r="FJE46" s="44"/>
      <c r="FJF46" s="44"/>
      <c r="FJG46" s="44"/>
      <c r="FJH46" s="44"/>
      <c r="FJI46" s="44"/>
      <c r="FJJ46" s="44"/>
      <c r="FJK46" s="44"/>
      <c r="FJL46" s="44"/>
      <c r="FJM46" s="44"/>
      <c r="FJN46" s="44"/>
      <c r="FJO46" s="44"/>
      <c r="FJP46" s="44"/>
      <c r="FJQ46" s="44"/>
      <c r="FJR46" s="44"/>
      <c r="FJS46" s="44"/>
      <c r="FJT46" s="44"/>
      <c r="FJU46" s="44"/>
      <c r="FJV46" s="44"/>
      <c r="FJW46" s="44"/>
      <c r="FJX46" s="44"/>
      <c r="FJY46" s="44"/>
      <c r="FJZ46" s="44"/>
      <c r="FKA46" s="44"/>
      <c r="FKB46" s="44"/>
      <c r="FKC46" s="44"/>
      <c r="FKD46" s="44"/>
      <c r="FKE46" s="44"/>
      <c r="FKF46" s="44"/>
      <c r="FKG46" s="44"/>
      <c r="FKH46" s="44"/>
      <c r="FKI46" s="44"/>
      <c r="FKJ46" s="44"/>
      <c r="FKK46" s="44"/>
      <c r="FKL46" s="44"/>
      <c r="FKM46" s="44"/>
      <c r="FKN46" s="44"/>
      <c r="FKO46" s="44"/>
      <c r="FKP46" s="44"/>
      <c r="FKQ46" s="44"/>
      <c r="FKR46" s="44"/>
      <c r="FKS46" s="44"/>
      <c r="FKT46" s="44"/>
      <c r="FKU46" s="44"/>
      <c r="FKV46" s="44"/>
      <c r="FKW46" s="44"/>
      <c r="FKX46" s="44"/>
      <c r="FKY46" s="44"/>
      <c r="FKZ46" s="44"/>
      <c r="FLA46" s="44"/>
      <c r="FLB46" s="44"/>
      <c r="FLC46" s="44"/>
      <c r="FLD46" s="44"/>
      <c r="FLE46" s="44"/>
      <c r="FLF46" s="44"/>
      <c r="FLG46" s="44"/>
      <c r="FLH46" s="44"/>
      <c r="FLI46" s="44"/>
      <c r="FLJ46" s="44"/>
      <c r="FLK46" s="44"/>
      <c r="FLL46" s="44"/>
      <c r="FLM46" s="44"/>
      <c r="FLN46" s="44"/>
      <c r="FLO46" s="44"/>
      <c r="FLP46" s="44"/>
      <c r="FLQ46" s="44"/>
      <c r="FLR46" s="44"/>
      <c r="FLS46" s="44"/>
      <c r="FLT46" s="44"/>
      <c r="FLU46" s="44"/>
      <c r="FLV46" s="44"/>
      <c r="FLW46" s="44"/>
      <c r="FLX46" s="44"/>
      <c r="FLY46" s="44"/>
      <c r="FLZ46" s="44"/>
      <c r="FMA46" s="44"/>
      <c r="FMB46" s="44"/>
      <c r="FMC46" s="44"/>
      <c r="FMD46" s="44"/>
      <c r="FME46" s="44"/>
      <c r="FMF46" s="44"/>
      <c r="FMG46" s="44"/>
      <c r="FMH46" s="44"/>
      <c r="FMI46" s="44"/>
      <c r="FMJ46" s="44"/>
      <c r="FMK46" s="44"/>
      <c r="FML46" s="44"/>
      <c r="FMM46" s="44"/>
      <c r="FMN46" s="44"/>
      <c r="FMO46" s="44"/>
      <c r="FMP46" s="44"/>
      <c r="FMQ46" s="44"/>
      <c r="FMR46" s="44"/>
      <c r="FMS46" s="44"/>
      <c r="FMT46" s="44"/>
      <c r="FMU46" s="44"/>
      <c r="FMV46" s="44"/>
      <c r="FMW46" s="44"/>
      <c r="FMX46" s="44"/>
      <c r="FMY46" s="44"/>
      <c r="FMZ46" s="44"/>
      <c r="FNA46" s="44"/>
      <c r="FNB46" s="44"/>
      <c r="FNC46" s="44"/>
      <c r="FND46" s="44"/>
      <c r="FNE46" s="44"/>
      <c r="FNF46" s="44"/>
      <c r="FNG46" s="44"/>
      <c r="FNH46" s="44"/>
      <c r="FNI46" s="44"/>
      <c r="FNJ46" s="44"/>
      <c r="FNK46" s="44"/>
      <c r="FNL46" s="44"/>
      <c r="FNM46" s="44"/>
      <c r="FNN46" s="44"/>
      <c r="FNO46" s="44"/>
      <c r="FNP46" s="44"/>
      <c r="FNQ46" s="44"/>
      <c r="FNR46" s="44"/>
      <c r="FNS46" s="44"/>
      <c r="FNT46" s="44"/>
      <c r="FNU46" s="44"/>
      <c r="FNV46" s="44"/>
      <c r="FNW46" s="44"/>
      <c r="FNX46" s="44"/>
      <c r="FNY46" s="44"/>
      <c r="FNZ46" s="44"/>
      <c r="FOA46" s="44"/>
      <c r="FOB46" s="44"/>
      <c r="FOC46" s="44"/>
      <c r="FOD46" s="44"/>
      <c r="FOE46" s="44"/>
      <c r="FOF46" s="44"/>
      <c r="FOG46" s="44"/>
      <c r="FOH46" s="44"/>
      <c r="FOI46" s="44"/>
      <c r="FOJ46" s="44"/>
      <c r="FOK46" s="44"/>
      <c r="FOL46" s="44"/>
      <c r="FOM46" s="44"/>
      <c r="FON46" s="44"/>
      <c r="FOO46" s="44"/>
      <c r="FOP46" s="44"/>
      <c r="FOQ46" s="44"/>
      <c r="FOR46" s="44"/>
      <c r="FOS46" s="44"/>
      <c r="FOT46" s="44"/>
      <c r="FOU46" s="44"/>
      <c r="FOV46" s="44"/>
      <c r="FOW46" s="44"/>
      <c r="FOX46" s="44"/>
      <c r="FOY46" s="44"/>
      <c r="FOZ46" s="44"/>
      <c r="FPA46" s="44"/>
      <c r="FPB46" s="44"/>
      <c r="FPC46" s="44"/>
      <c r="FPD46" s="44"/>
      <c r="FPE46" s="44"/>
      <c r="FPF46" s="44"/>
      <c r="FPG46" s="44"/>
      <c r="FPH46" s="44"/>
      <c r="FPI46" s="44"/>
      <c r="FPJ46" s="44"/>
      <c r="FPK46" s="44"/>
      <c r="FPL46" s="44"/>
      <c r="FPM46" s="44"/>
      <c r="FPN46" s="44"/>
      <c r="FPO46" s="44"/>
      <c r="FPP46" s="44"/>
      <c r="FPQ46" s="44"/>
      <c r="FPR46" s="44"/>
      <c r="FPS46" s="44"/>
      <c r="FPT46" s="44"/>
      <c r="FPU46" s="44"/>
      <c r="FPV46" s="44"/>
      <c r="FPW46" s="44"/>
      <c r="FPX46" s="44"/>
      <c r="FPY46" s="44"/>
      <c r="FPZ46" s="44"/>
      <c r="FQA46" s="44"/>
      <c r="FQB46" s="44"/>
      <c r="FQC46" s="44"/>
      <c r="FQD46" s="44"/>
      <c r="FQE46" s="44"/>
      <c r="FQF46" s="44"/>
      <c r="FQG46" s="44"/>
      <c r="FQH46" s="44"/>
      <c r="FQI46" s="44"/>
      <c r="FQJ46" s="44"/>
      <c r="FQK46" s="44"/>
      <c r="FQL46" s="44"/>
      <c r="FQM46" s="44"/>
      <c r="FQN46" s="44"/>
      <c r="FQO46" s="44"/>
      <c r="FQP46" s="44"/>
      <c r="FQQ46" s="44"/>
      <c r="FQR46" s="44"/>
      <c r="FQS46" s="44"/>
      <c r="FQT46" s="44"/>
      <c r="FQU46" s="44"/>
      <c r="FQV46" s="44"/>
      <c r="FQW46" s="44"/>
      <c r="FQX46" s="44"/>
      <c r="FQY46" s="44"/>
      <c r="FQZ46" s="44"/>
      <c r="FRA46" s="44"/>
      <c r="FRB46" s="44"/>
      <c r="FRC46" s="44"/>
      <c r="FRD46" s="44"/>
      <c r="FRE46" s="44"/>
      <c r="FRF46" s="44"/>
      <c r="FRG46" s="44"/>
      <c r="FRH46" s="44"/>
      <c r="FRI46" s="44"/>
      <c r="FRJ46" s="44"/>
      <c r="FRK46" s="44"/>
      <c r="FRL46" s="44"/>
      <c r="FRM46" s="44"/>
      <c r="FRN46" s="44"/>
      <c r="FRO46" s="44"/>
      <c r="FRP46" s="44"/>
      <c r="FRQ46" s="44"/>
      <c r="FRR46" s="44"/>
      <c r="FRS46" s="44"/>
      <c r="FRT46" s="44"/>
      <c r="FRU46" s="44"/>
      <c r="FRV46" s="44"/>
      <c r="FRW46" s="44"/>
      <c r="FRX46" s="44"/>
      <c r="FRY46" s="44"/>
      <c r="FRZ46" s="44"/>
      <c r="FSA46" s="44"/>
      <c r="FSB46" s="44"/>
      <c r="FSC46" s="44"/>
      <c r="FSD46" s="44"/>
      <c r="FSE46" s="44"/>
      <c r="FSF46" s="44"/>
      <c r="FSG46" s="44"/>
      <c r="FSH46" s="44"/>
      <c r="FSI46" s="44"/>
      <c r="FSJ46" s="44"/>
      <c r="FSK46" s="44"/>
      <c r="FSL46" s="44"/>
      <c r="FSM46" s="44"/>
      <c r="FSN46" s="44"/>
      <c r="FSO46" s="44"/>
      <c r="FSP46" s="44"/>
      <c r="FSQ46" s="44"/>
      <c r="FSR46" s="44"/>
      <c r="FSS46" s="44"/>
      <c r="FST46" s="44"/>
      <c r="FSU46" s="44"/>
      <c r="FSV46" s="44"/>
      <c r="FSW46" s="44"/>
      <c r="FSX46" s="44"/>
      <c r="FSY46" s="44"/>
      <c r="FSZ46" s="44"/>
      <c r="FTA46" s="44"/>
      <c r="FTB46" s="44"/>
      <c r="FTC46" s="44"/>
      <c r="FTD46" s="44"/>
      <c r="FTE46" s="44"/>
      <c r="FTF46" s="44"/>
      <c r="FTG46" s="44"/>
      <c r="FTH46" s="44"/>
      <c r="FTI46" s="44"/>
      <c r="FTJ46" s="44"/>
      <c r="FTK46" s="44"/>
      <c r="FTL46" s="44"/>
      <c r="FTM46" s="44"/>
      <c r="FTN46" s="44"/>
      <c r="FTO46" s="44"/>
      <c r="FTP46" s="44"/>
      <c r="FTQ46" s="44"/>
      <c r="FTR46" s="44"/>
      <c r="FTS46" s="44"/>
      <c r="FTT46" s="44"/>
      <c r="FTU46" s="44"/>
      <c r="FTV46" s="44"/>
      <c r="FTW46" s="44"/>
      <c r="FTX46" s="44"/>
      <c r="FTY46" s="44"/>
      <c r="FTZ46" s="44"/>
      <c r="FUA46" s="44"/>
      <c r="FUB46" s="44"/>
      <c r="FUC46" s="44"/>
      <c r="FUD46" s="44"/>
      <c r="FUE46" s="44"/>
      <c r="FUF46" s="44"/>
      <c r="FUG46" s="44"/>
      <c r="FUH46" s="44"/>
      <c r="FUI46" s="44"/>
      <c r="FUJ46" s="44"/>
      <c r="FUK46" s="44"/>
      <c r="FUL46" s="44"/>
      <c r="FUM46" s="44"/>
      <c r="FUN46" s="44"/>
      <c r="FUO46" s="44"/>
      <c r="FUP46" s="44"/>
      <c r="FUQ46" s="44"/>
      <c r="FUR46" s="44"/>
      <c r="FUS46" s="44"/>
      <c r="FUT46" s="44"/>
      <c r="FUU46" s="44"/>
      <c r="FUV46" s="44"/>
      <c r="FUW46" s="44"/>
      <c r="FUX46" s="44"/>
      <c r="FUY46" s="44"/>
      <c r="FUZ46" s="44"/>
      <c r="FVA46" s="44"/>
      <c r="FVB46" s="44"/>
      <c r="FVC46" s="44"/>
      <c r="FVD46" s="44"/>
      <c r="FVE46" s="44"/>
      <c r="FVF46" s="44"/>
      <c r="FVG46" s="44"/>
      <c r="FVH46" s="44"/>
      <c r="FVI46" s="44"/>
      <c r="FVJ46" s="44"/>
      <c r="FVK46" s="44"/>
      <c r="FVL46" s="44"/>
      <c r="FVM46" s="44"/>
      <c r="FVN46" s="44"/>
      <c r="FVO46" s="44"/>
      <c r="FVP46" s="44"/>
      <c r="FVQ46" s="44"/>
      <c r="FVR46" s="44"/>
      <c r="FVS46" s="44"/>
      <c r="FVT46" s="44"/>
      <c r="FVU46" s="44"/>
      <c r="FVV46" s="44"/>
      <c r="FVW46" s="44"/>
      <c r="FVX46" s="44"/>
      <c r="FVY46" s="44"/>
      <c r="FVZ46" s="44"/>
      <c r="FWA46" s="44"/>
      <c r="FWB46" s="44"/>
      <c r="FWC46" s="44"/>
      <c r="FWD46" s="44"/>
      <c r="FWE46" s="44"/>
      <c r="FWF46" s="44"/>
      <c r="FWG46" s="44"/>
      <c r="FWH46" s="44"/>
      <c r="FWI46" s="44"/>
      <c r="FWJ46" s="44"/>
      <c r="FWK46" s="44"/>
      <c r="FWL46" s="44"/>
      <c r="FWM46" s="44"/>
      <c r="FWN46" s="44"/>
      <c r="FWO46" s="44"/>
      <c r="FWP46" s="44"/>
      <c r="FWQ46" s="44"/>
      <c r="FWR46" s="44"/>
      <c r="FWS46" s="44"/>
      <c r="FWT46" s="44"/>
      <c r="FWU46" s="44"/>
      <c r="FWV46" s="44"/>
      <c r="FWW46" s="44"/>
      <c r="FWX46" s="44"/>
      <c r="FWY46" s="44"/>
      <c r="FWZ46" s="44"/>
      <c r="FXA46" s="44"/>
      <c r="FXB46" s="44"/>
      <c r="FXC46" s="44"/>
      <c r="FXD46" s="44"/>
      <c r="FXE46" s="44"/>
      <c r="FXF46" s="44"/>
      <c r="FXG46" s="44"/>
      <c r="FXH46" s="44"/>
      <c r="FXI46" s="44"/>
      <c r="FXJ46" s="44"/>
      <c r="FXK46" s="44"/>
      <c r="FXL46" s="44"/>
      <c r="FXM46" s="44"/>
      <c r="FXN46" s="44"/>
      <c r="FXO46" s="44"/>
      <c r="FXP46" s="44"/>
      <c r="FXQ46" s="44"/>
      <c r="FXR46" s="44"/>
      <c r="FXS46" s="44"/>
      <c r="FXT46" s="44"/>
      <c r="FXU46" s="44"/>
      <c r="FXV46" s="44"/>
      <c r="FXW46" s="44"/>
      <c r="FXX46" s="44"/>
      <c r="FXY46" s="44"/>
      <c r="FXZ46" s="44"/>
      <c r="FYA46" s="44"/>
      <c r="FYB46" s="44"/>
      <c r="FYC46" s="44"/>
      <c r="FYD46" s="44"/>
      <c r="FYE46" s="44"/>
      <c r="FYF46" s="44"/>
      <c r="FYG46" s="44"/>
      <c r="FYH46" s="44"/>
      <c r="FYI46" s="44"/>
      <c r="FYJ46" s="44"/>
      <c r="FYK46" s="44"/>
      <c r="FYL46" s="44"/>
      <c r="FYM46" s="44"/>
      <c r="FYN46" s="44"/>
      <c r="FYO46" s="44"/>
      <c r="FYP46" s="44"/>
      <c r="FYQ46" s="44"/>
      <c r="FYR46" s="44"/>
      <c r="FYS46" s="44"/>
      <c r="FYT46" s="44"/>
      <c r="FYU46" s="44"/>
      <c r="FYV46" s="44"/>
      <c r="FYW46" s="44"/>
      <c r="FYX46" s="44"/>
      <c r="FYY46" s="44"/>
      <c r="FYZ46" s="44"/>
      <c r="FZA46" s="44"/>
      <c r="FZB46" s="44"/>
      <c r="FZC46" s="44"/>
      <c r="FZD46" s="44"/>
      <c r="FZE46" s="44"/>
      <c r="FZF46" s="44"/>
      <c r="FZG46" s="44"/>
      <c r="FZH46" s="44"/>
      <c r="FZI46" s="44"/>
      <c r="FZJ46" s="44"/>
      <c r="FZK46" s="44"/>
      <c r="FZL46" s="44"/>
      <c r="FZM46" s="44"/>
      <c r="FZN46" s="44"/>
      <c r="FZO46" s="44"/>
      <c r="FZP46" s="44"/>
      <c r="FZQ46" s="44"/>
      <c r="FZR46" s="44"/>
      <c r="FZS46" s="44"/>
      <c r="FZT46" s="44"/>
      <c r="FZU46" s="44"/>
      <c r="FZV46" s="44"/>
      <c r="FZW46" s="44"/>
      <c r="FZX46" s="44"/>
      <c r="FZY46" s="44"/>
      <c r="FZZ46" s="44"/>
      <c r="GAA46" s="44"/>
      <c r="GAB46" s="44"/>
      <c r="GAC46" s="44"/>
      <c r="GAD46" s="44"/>
      <c r="GAE46" s="44"/>
      <c r="GAF46" s="44"/>
      <c r="GAG46" s="44"/>
      <c r="GAH46" s="44"/>
      <c r="GAI46" s="44"/>
      <c r="GAJ46" s="44"/>
      <c r="GAK46" s="44"/>
      <c r="GAL46" s="44"/>
      <c r="GAM46" s="44"/>
      <c r="GAN46" s="44"/>
      <c r="GAO46" s="44"/>
      <c r="GAP46" s="44"/>
      <c r="GAQ46" s="44"/>
      <c r="GAR46" s="44"/>
      <c r="GAS46" s="44"/>
      <c r="GAT46" s="44"/>
      <c r="GAU46" s="44"/>
      <c r="GAV46" s="44"/>
      <c r="GAW46" s="44"/>
      <c r="GAX46" s="44"/>
      <c r="GAY46" s="44"/>
      <c r="GAZ46" s="44"/>
      <c r="GBA46" s="44"/>
      <c r="GBB46" s="44"/>
      <c r="GBC46" s="44"/>
      <c r="GBD46" s="44"/>
      <c r="GBE46" s="44"/>
      <c r="GBF46" s="44"/>
      <c r="GBG46" s="44"/>
      <c r="GBH46" s="44"/>
      <c r="GBI46" s="44"/>
      <c r="GBJ46" s="44"/>
      <c r="GBK46" s="44"/>
      <c r="GBL46" s="44"/>
      <c r="GBM46" s="44"/>
      <c r="GBN46" s="44"/>
      <c r="GBO46" s="44"/>
      <c r="GBP46" s="44"/>
      <c r="GBQ46" s="44"/>
      <c r="GBR46" s="44"/>
      <c r="GBS46" s="44"/>
      <c r="GBT46" s="44"/>
      <c r="GBU46" s="44"/>
      <c r="GBV46" s="44"/>
      <c r="GBW46" s="44"/>
      <c r="GBX46" s="44"/>
      <c r="GBY46" s="44"/>
      <c r="GBZ46" s="44"/>
      <c r="GCA46" s="44"/>
      <c r="GCB46" s="44"/>
      <c r="GCC46" s="44"/>
      <c r="GCD46" s="44"/>
      <c r="GCE46" s="44"/>
      <c r="GCF46" s="44"/>
      <c r="GCG46" s="44"/>
      <c r="GCH46" s="44"/>
      <c r="GCI46" s="44"/>
      <c r="GCJ46" s="44"/>
      <c r="GCK46" s="44"/>
      <c r="GCL46" s="44"/>
      <c r="GCM46" s="44"/>
      <c r="GCN46" s="44"/>
      <c r="GCO46" s="44"/>
      <c r="GCP46" s="44"/>
      <c r="GCQ46" s="44"/>
      <c r="GCR46" s="44"/>
      <c r="GCS46" s="44"/>
      <c r="GCT46" s="44"/>
      <c r="GCU46" s="44"/>
      <c r="GCV46" s="44"/>
      <c r="GCW46" s="44"/>
      <c r="GCX46" s="44"/>
      <c r="GCY46" s="44"/>
      <c r="GCZ46" s="44"/>
      <c r="GDA46" s="44"/>
      <c r="GDB46" s="44"/>
      <c r="GDC46" s="44"/>
      <c r="GDD46" s="44"/>
      <c r="GDE46" s="44"/>
      <c r="GDF46" s="44"/>
      <c r="GDG46" s="44"/>
      <c r="GDH46" s="44"/>
      <c r="GDI46" s="44"/>
      <c r="GDJ46" s="44"/>
      <c r="GDK46" s="44"/>
      <c r="GDL46" s="44"/>
      <c r="GDM46" s="44"/>
      <c r="GDN46" s="44"/>
      <c r="GDO46" s="44"/>
      <c r="GDP46" s="44"/>
      <c r="GDQ46" s="44"/>
      <c r="GDR46" s="44"/>
      <c r="GDS46" s="44"/>
      <c r="GDT46" s="44"/>
      <c r="GDU46" s="44"/>
      <c r="GDV46" s="44"/>
      <c r="GDW46" s="44"/>
      <c r="GDX46" s="44"/>
      <c r="GDY46" s="44"/>
      <c r="GDZ46" s="44"/>
      <c r="GEA46" s="44"/>
      <c r="GEB46" s="44"/>
      <c r="GEC46" s="44"/>
      <c r="GED46" s="44"/>
      <c r="GEE46" s="44"/>
      <c r="GEF46" s="44"/>
      <c r="GEG46" s="44"/>
      <c r="GEH46" s="44"/>
      <c r="GEI46" s="44"/>
      <c r="GEJ46" s="44"/>
      <c r="GEK46" s="44"/>
      <c r="GEL46" s="44"/>
      <c r="GEM46" s="44"/>
      <c r="GEN46" s="44"/>
      <c r="GEO46" s="44"/>
      <c r="GEP46" s="44"/>
      <c r="GEQ46" s="44"/>
      <c r="GER46" s="44"/>
      <c r="GES46" s="44"/>
      <c r="GET46" s="44"/>
      <c r="GEU46" s="44"/>
      <c r="GEV46" s="44"/>
      <c r="GEW46" s="44"/>
      <c r="GEX46" s="44"/>
      <c r="GEY46" s="44"/>
      <c r="GEZ46" s="44"/>
      <c r="GFA46" s="44"/>
      <c r="GFB46" s="44"/>
      <c r="GFC46" s="44"/>
      <c r="GFD46" s="44"/>
      <c r="GFE46" s="44"/>
      <c r="GFF46" s="44"/>
      <c r="GFG46" s="44"/>
      <c r="GFH46" s="44"/>
      <c r="GFI46" s="44"/>
      <c r="GFJ46" s="44"/>
      <c r="GFK46" s="44"/>
      <c r="GFL46" s="44"/>
      <c r="GFM46" s="44"/>
      <c r="GFN46" s="44"/>
      <c r="GFO46" s="44"/>
      <c r="GFP46" s="44"/>
      <c r="GFQ46" s="44"/>
      <c r="GFR46" s="44"/>
      <c r="GFS46" s="44"/>
      <c r="GFT46" s="44"/>
      <c r="GFU46" s="44"/>
      <c r="GFV46" s="44"/>
      <c r="GFW46" s="44"/>
      <c r="GFX46" s="44"/>
      <c r="GFY46" s="44"/>
      <c r="GFZ46" s="44"/>
      <c r="GGA46" s="44"/>
      <c r="GGB46" s="44"/>
      <c r="GGC46" s="44"/>
      <c r="GGD46" s="44"/>
      <c r="GGE46" s="44"/>
      <c r="GGF46" s="44"/>
      <c r="GGG46" s="44"/>
      <c r="GGH46" s="44"/>
      <c r="GGI46" s="44"/>
      <c r="GGJ46" s="44"/>
      <c r="GGK46" s="44"/>
      <c r="GGL46" s="44"/>
      <c r="GGM46" s="44"/>
      <c r="GGN46" s="44"/>
      <c r="GGO46" s="44"/>
      <c r="GGP46" s="44"/>
      <c r="GGQ46" s="44"/>
      <c r="GGR46" s="44"/>
      <c r="GGS46" s="44"/>
      <c r="GGT46" s="44"/>
      <c r="GGU46" s="44"/>
      <c r="GGV46" s="44"/>
      <c r="GGW46" s="44"/>
      <c r="GGX46" s="44"/>
      <c r="GGY46" s="44"/>
      <c r="GGZ46" s="44"/>
      <c r="GHA46" s="44"/>
      <c r="GHB46" s="44"/>
      <c r="GHC46" s="44"/>
      <c r="GHD46" s="44"/>
      <c r="GHE46" s="44"/>
      <c r="GHF46" s="44"/>
      <c r="GHG46" s="44"/>
      <c r="GHH46" s="44"/>
      <c r="GHI46" s="44"/>
      <c r="GHJ46" s="44"/>
      <c r="GHK46" s="44"/>
      <c r="GHL46" s="44"/>
      <c r="GHM46" s="44"/>
      <c r="GHN46" s="44"/>
      <c r="GHO46" s="44"/>
      <c r="GHP46" s="44"/>
      <c r="GHQ46" s="44"/>
      <c r="GHR46" s="44"/>
      <c r="GHS46" s="44"/>
      <c r="GHT46" s="44"/>
      <c r="GHU46" s="44"/>
      <c r="GHV46" s="44"/>
      <c r="GHW46" s="44"/>
      <c r="GHX46" s="44"/>
      <c r="GHY46" s="44"/>
      <c r="GHZ46" s="44"/>
      <c r="GIA46" s="44"/>
      <c r="GIB46" s="44"/>
      <c r="GIC46" s="44"/>
      <c r="GID46" s="44"/>
      <c r="GIE46" s="44"/>
      <c r="GIF46" s="44"/>
      <c r="GIG46" s="44"/>
      <c r="GIH46" s="44"/>
      <c r="GII46" s="44"/>
      <c r="GIJ46" s="44"/>
      <c r="GIK46" s="44"/>
      <c r="GIL46" s="44"/>
      <c r="GIM46" s="44"/>
      <c r="GIN46" s="44"/>
      <c r="GIO46" s="44"/>
      <c r="GIP46" s="44"/>
      <c r="GIQ46" s="44"/>
      <c r="GIR46" s="44"/>
      <c r="GIS46" s="44"/>
      <c r="GIT46" s="44"/>
      <c r="GIU46" s="44"/>
      <c r="GIV46" s="44"/>
      <c r="GIW46" s="44"/>
      <c r="GIX46" s="44"/>
      <c r="GIY46" s="44"/>
      <c r="GIZ46" s="44"/>
      <c r="GJA46" s="44"/>
      <c r="GJB46" s="44"/>
      <c r="GJC46" s="44"/>
      <c r="GJD46" s="44"/>
      <c r="GJE46" s="44"/>
      <c r="GJF46" s="44"/>
      <c r="GJG46" s="44"/>
      <c r="GJH46" s="44"/>
      <c r="GJI46" s="44"/>
      <c r="GJJ46" s="44"/>
      <c r="GJK46" s="44"/>
      <c r="GJL46" s="44"/>
      <c r="GJM46" s="44"/>
      <c r="GJN46" s="44"/>
      <c r="GJO46" s="44"/>
      <c r="GJP46" s="44"/>
      <c r="GJQ46" s="44"/>
      <c r="GJR46" s="44"/>
      <c r="GJS46" s="44"/>
      <c r="GJT46" s="44"/>
      <c r="GJU46" s="44"/>
      <c r="GJV46" s="44"/>
      <c r="GJW46" s="44"/>
      <c r="GJX46" s="44"/>
      <c r="GJY46" s="44"/>
      <c r="GJZ46" s="44"/>
      <c r="GKA46" s="44"/>
      <c r="GKB46" s="44"/>
      <c r="GKC46" s="44"/>
      <c r="GKD46" s="44"/>
      <c r="GKE46" s="44"/>
      <c r="GKF46" s="44"/>
      <c r="GKG46" s="44"/>
      <c r="GKH46" s="44"/>
      <c r="GKI46" s="44"/>
      <c r="GKJ46" s="44"/>
      <c r="GKK46" s="44"/>
      <c r="GKL46" s="44"/>
      <c r="GKM46" s="44"/>
      <c r="GKN46" s="44"/>
      <c r="GKO46" s="44"/>
      <c r="GKP46" s="44"/>
      <c r="GKQ46" s="44"/>
      <c r="GKR46" s="44"/>
      <c r="GKS46" s="44"/>
      <c r="GKT46" s="44"/>
      <c r="GKU46" s="44"/>
      <c r="GKV46" s="44"/>
      <c r="GKW46" s="44"/>
      <c r="GKX46" s="44"/>
      <c r="GKY46" s="44"/>
      <c r="GKZ46" s="44"/>
      <c r="GLA46" s="44"/>
      <c r="GLB46" s="44"/>
      <c r="GLC46" s="44"/>
      <c r="GLD46" s="44"/>
      <c r="GLE46" s="44"/>
      <c r="GLF46" s="44"/>
      <c r="GLG46" s="44"/>
      <c r="GLH46" s="44"/>
      <c r="GLI46" s="44"/>
      <c r="GLJ46" s="44"/>
      <c r="GLK46" s="44"/>
      <c r="GLL46" s="44"/>
      <c r="GLM46" s="44"/>
      <c r="GLN46" s="44"/>
      <c r="GLO46" s="44"/>
      <c r="GLP46" s="44"/>
      <c r="GLQ46" s="44"/>
      <c r="GLR46" s="44"/>
      <c r="GLS46" s="44"/>
      <c r="GLT46" s="44"/>
      <c r="GLU46" s="44"/>
      <c r="GLV46" s="44"/>
      <c r="GLW46" s="44"/>
      <c r="GLX46" s="44"/>
      <c r="GLY46" s="44"/>
      <c r="GLZ46" s="44"/>
      <c r="GMA46" s="44"/>
      <c r="GMB46" s="44"/>
      <c r="GMC46" s="44"/>
      <c r="GMD46" s="44"/>
      <c r="GME46" s="44"/>
      <c r="GMF46" s="44"/>
      <c r="GMG46" s="44"/>
      <c r="GMH46" s="44"/>
      <c r="GMI46" s="44"/>
      <c r="GMJ46" s="44"/>
      <c r="GMK46" s="44"/>
      <c r="GML46" s="44"/>
      <c r="GMM46" s="44"/>
      <c r="GMN46" s="44"/>
      <c r="GMO46" s="44"/>
      <c r="GMP46" s="44"/>
      <c r="GMQ46" s="44"/>
      <c r="GMR46" s="44"/>
      <c r="GMS46" s="44"/>
      <c r="GMT46" s="44"/>
      <c r="GMU46" s="44"/>
      <c r="GMV46" s="44"/>
      <c r="GMW46" s="44"/>
      <c r="GMX46" s="44"/>
      <c r="GMY46" s="44"/>
      <c r="GMZ46" s="44"/>
      <c r="GNA46" s="44"/>
      <c r="GNB46" s="44"/>
      <c r="GNC46" s="44"/>
      <c r="GND46" s="44"/>
      <c r="GNE46" s="44"/>
      <c r="GNF46" s="44"/>
      <c r="GNG46" s="44"/>
      <c r="GNH46" s="44"/>
      <c r="GNI46" s="44"/>
      <c r="GNJ46" s="44"/>
      <c r="GNK46" s="44"/>
      <c r="GNL46" s="44"/>
      <c r="GNM46" s="44"/>
      <c r="GNN46" s="44"/>
      <c r="GNO46" s="44"/>
      <c r="GNP46" s="44"/>
      <c r="GNQ46" s="44"/>
      <c r="GNR46" s="44"/>
      <c r="GNS46" s="44"/>
      <c r="GNT46" s="44"/>
      <c r="GNU46" s="44"/>
      <c r="GNV46" s="44"/>
      <c r="GNW46" s="44"/>
      <c r="GNX46" s="44"/>
      <c r="GNY46" s="44"/>
      <c r="GNZ46" s="44"/>
      <c r="GOA46" s="44"/>
      <c r="GOB46" s="44"/>
      <c r="GOC46" s="44"/>
      <c r="GOD46" s="44"/>
      <c r="GOE46" s="44"/>
      <c r="GOF46" s="44"/>
      <c r="GOG46" s="44"/>
      <c r="GOH46" s="44"/>
      <c r="GOI46" s="44"/>
      <c r="GOJ46" s="44"/>
      <c r="GOK46" s="44"/>
      <c r="GOL46" s="44"/>
      <c r="GOM46" s="44"/>
      <c r="GON46" s="44"/>
      <c r="GOO46" s="44"/>
      <c r="GOP46" s="44"/>
      <c r="GOQ46" s="44"/>
      <c r="GOR46" s="44"/>
      <c r="GOS46" s="44"/>
      <c r="GOT46" s="44"/>
      <c r="GOU46" s="44"/>
      <c r="GOV46" s="44"/>
      <c r="GOW46" s="44"/>
      <c r="GOX46" s="44"/>
      <c r="GOY46" s="44"/>
      <c r="GOZ46" s="44"/>
      <c r="GPA46" s="44"/>
      <c r="GPB46" s="44"/>
      <c r="GPC46" s="44"/>
      <c r="GPD46" s="44"/>
      <c r="GPE46" s="44"/>
      <c r="GPF46" s="44"/>
      <c r="GPG46" s="44"/>
      <c r="GPH46" s="44"/>
      <c r="GPI46" s="44"/>
      <c r="GPJ46" s="44"/>
      <c r="GPK46" s="44"/>
      <c r="GPL46" s="44"/>
      <c r="GPM46" s="44"/>
      <c r="GPN46" s="44"/>
      <c r="GPO46" s="44"/>
      <c r="GPP46" s="44"/>
      <c r="GPQ46" s="44"/>
      <c r="GPR46" s="44"/>
      <c r="GPS46" s="44"/>
      <c r="GPT46" s="44"/>
      <c r="GPU46" s="44"/>
      <c r="GPV46" s="44"/>
      <c r="GPW46" s="44"/>
      <c r="GPX46" s="44"/>
      <c r="GPY46" s="44"/>
      <c r="GPZ46" s="44"/>
      <c r="GQA46" s="44"/>
      <c r="GQB46" s="44"/>
      <c r="GQC46" s="44"/>
      <c r="GQD46" s="44"/>
      <c r="GQE46" s="44"/>
      <c r="GQF46" s="44"/>
      <c r="GQG46" s="44"/>
      <c r="GQH46" s="44"/>
      <c r="GQI46" s="44"/>
      <c r="GQJ46" s="44"/>
      <c r="GQK46" s="44"/>
      <c r="GQL46" s="44"/>
      <c r="GQM46" s="44"/>
      <c r="GQN46" s="44"/>
      <c r="GQO46" s="44"/>
      <c r="GQP46" s="44"/>
      <c r="GQQ46" s="44"/>
      <c r="GQR46" s="44"/>
      <c r="GQS46" s="44"/>
      <c r="GQT46" s="44"/>
      <c r="GQU46" s="44"/>
      <c r="GQV46" s="44"/>
      <c r="GQW46" s="44"/>
      <c r="GQX46" s="44"/>
      <c r="GQY46" s="44"/>
      <c r="GQZ46" s="44"/>
      <c r="GRA46" s="44"/>
      <c r="GRB46" s="44"/>
      <c r="GRC46" s="44"/>
      <c r="GRD46" s="44"/>
      <c r="GRE46" s="44"/>
      <c r="GRF46" s="44"/>
      <c r="GRG46" s="44"/>
      <c r="GRH46" s="44"/>
      <c r="GRI46" s="44"/>
      <c r="GRJ46" s="44"/>
      <c r="GRK46" s="44"/>
      <c r="GRL46" s="44"/>
      <c r="GRM46" s="44"/>
      <c r="GRN46" s="44"/>
      <c r="GRO46" s="44"/>
      <c r="GRP46" s="44"/>
      <c r="GRQ46" s="44"/>
      <c r="GRR46" s="44"/>
      <c r="GRS46" s="44"/>
      <c r="GRT46" s="44"/>
      <c r="GRU46" s="44"/>
      <c r="GRV46" s="44"/>
      <c r="GRW46" s="44"/>
      <c r="GRX46" s="44"/>
      <c r="GRY46" s="44"/>
      <c r="GRZ46" s="44"/>
      <c r="GSA46" s="44"/>
      <c r="GSB46" s="44"/>
      <c r="GSC46" s="44"/>
      <c r="GSD46" s="44"/>
      <c r="GSE46" s="44"/>
      <c r="GSF46" s="44"/>
      <c r="GSG46" s="44"/>
      <c r="GSH46" s="44"/>
      <c r="GSI46" s="44"/>
      <c r="GSJ46" s="44"/>
      <c r="GSK46" s="44"/>
      <c r="GSL46" s="44"/>
      <c r="GSM46" s="44"/>
      <c r="GSN46" s="44"/>
      <c r="GSO46" s="44"/>
      <c r="GSP46" s="44"/>
      <c r="GSQ46" s="44"/>
      <c r="GSR46" s="44"/>
      <c r="GSS46" s="44"/>
      <c r="GST46" s="44"/>
      <c r="GSU46" s="44"/>
      <c r="GSV46" s="44"/>
      <c r="GSW46" s="44"/>
      <c r="GSX46" s="44"/>
      <c r="GSY46" s="44"/>
      <c r="GSZ46" s="44"/>
      <c r="GTA46" s="44"/>
      <c r="GTB46" s="44"/>
      <c r="GTC46" s="44"/>
      <c r="GTD46" s="44"/>
      <c r="GTE46" s="44"/>
      <c r="GTF46" s="44"/>
      <c r="GTG46" s="44"/>
      <c r="GTH46" s="44"/>
      <c r="GTI46" s="44"/>
      <c r="GTJ46" s="44"/>
      <c r="GTK46" s="44"/>
      <c r="GTL46" s="44"/>
      <c r="GTM46" s="44"/>
      <c r="GTN46" s="44"/>
      <c r="GTO46" s="44"/>
      <c r="GTP46" s="44"/>
      <c r="GTQ46" s="44"/>
      <c r="GTR46" s="44"/>
      <c r="GTS46" s="44"/>
      <c r="GTT46" s="44"/>
      <c r="GTU46" s="44"/>
      <c r="GTV46" s="44"/>
      <c r="GTW46" s="44"/>
      <c r="GTX46" s="44"/>
      <c r="GTY46" s="44"/>
      <c r="GTZ46" s="44"/>
      <c r="GUA46" s="44"/>
      <c r="GUB46" s="44"/>
      <c r="GUC46" s="44"/>
      <c r="GUD46" s="44"/>
      <c r="GUE46" s="44"/>
      <c r="GUF46" s="44"/>
      <c r="GUG46" s="44"/>
      <c r="GUH46" s="44"/>
      <c r="GUI46" s="44"/>
      <c r="GUJ46" s="44"/>
      <c r="GUK46" s="44"/>
      <c r="GUL46" s="44"/>
      <c r="GUM46" s="44"/>
      <c r="GUN46" s="44"/>
      <c r="GUO46" s="44"/>
      <c r="GUP46" s="44"/>
      <c r="GUQ46" s="44"/>
      <c r="GUR46" s="44"/>
      <c r="GUS46" s="44"/>
      <c r="GUT46" s="44"/>
      <c r="GUU46" s="44"/>
      <c r="GUV46" s="44"/>
      <c r="GUW46" s="44"/>
      <c r="GUX46" s="44"/>
      <c r="GUY46" s="44"/>
      <c r="GUZ46" s="44"/>
      <c r="GVA46" s="44"/>
      <c r="GVB46" s="44"/>
      <c r="GVC46" s="44"/>
      <c r="GVD46" s="44"/>
      <c r="GVE46" s="44"/>
      <c r="GVF46" s="44"/>
      <c r="GVG46" s="44"/>
      <c r="GVH46" s="44"/>
      <c r="GVI46" s="44"/>
      <c r="GVJ46" s="44"/>
      <c r="GVK46" s="44"/>
      <c r="GVL46" s="44"/>
      <c r="GVM46" s="44"/>
      <c r="GVN46" s="44"/>
      <c r="GVO46" s="44"/>
      <c r="GVP46" s="44"/>
      <c r="GVQ46" s="44"/>
      <c r="GVR46" s="44"/>
      <c r="GVS46" s="44"/>
      <c r="GVT46" s="44"/>
      <c r="GVU46" s="44"/>
      <c r="GVV46" s="44"/>
      <c r="GVW46" s="44"/>
      <c r="GVX46" s="44"/>
      <c r="GVY46" s="44"/>
      <c r="GVZ46" s="44"/>
      <c r="GWA46" s="44"/>
      <c r="GWB46" s="44"/>
      <c r="GWC46" s="44"/>
      <c r="GWD46" s="44"/>
      <c r="GWE46" s="44"/>
      <c r="GWF46" s="44"/>
      <c r="GWG46" s="44"/>
      <c r="GWH46" s="44"/>
      <c r="GWI46" s="44"/>
      <c r="GWJ46" s="44"/>
      <c r="GWK46" s="44"/>
      <c r="GWL46" s="44"/>
      <c r="GWM46" s="44"/>
      <c r="GWN46" s="44"/>
      <c r="GWO46" s="44"/>
      <c r="GWP46" s="44"/>
      <c r="GWQ46" s="44"/>
      <c r="GWR46" s="44"/>
      <c r="GWS46" s="44"/>
      <c r="GWT46" s="44"/>
      <c r="GWU46" s="44"/>
      <c r="GWV46" s="44"/>
      <c r="GWW46" s="44"/>
      <c r="GWX46" s="44"/>
      <c r="GWY46" s="44"/>
      <c r="GWZ46" s="44"/>
      <c r="GXA46" s="44"/>
      <c r="GXB46" s="44"/>
      <c r="GXC46" s="44"/>
      <c r="GXD46" s="44"/>
      <c r="GXE46" s="44"/>
      <c r="GXF46" s="44"/>
      <c r="GXG46" s="44"/>
      <c r="GXH46" s="44"/>
      <c r="GXI46" s="44"/>
      <c r="GXJ46" s="44"/>
      <c r="GXK46" s="44"/>
      <c r="GXL46" s="44"/>
      <c r="GXM46" s="44"/>
      <c r="GXN46" s="44"/>
      <c r="GXO46" s="44"/>
      <c r="GXP46" s="44"/>
      <c r="GXQ46" s="44"/>
      <c r="GXR46" s="44"/>
      <c r="GXS46" s="44"/>
      <c r="GXT46" s="44"/>
      <c r="GXU46" s="44"/>
      <c r="GXV46" s="44"/>
      <c r="GXW46" s="44"/>
      <c r="GXX46" s="44"/>
      <c r="GXY46" s="44"/>
      <c r="GXZ46" s="44"/>
      <c r="GYA46" s="44"/>
      <c r="GYB46" s="44"/>
      <c r="GYC46" s="44"/>
      <c r="GYD46" s="44"/>
      <c r="GYE46" s="44"/>
      <c r="GYF46" s="44"/>
      <c r="GYG46" s="44"/>
      <c r="GYH46" s="44"/>
      <c r="GYI46" s="44"/>
      <c r="GYJ46" s="44"/>
      <c r="GYK46" s="44"/>
      <c r="GYL46" s="44"/>
      <c r="GYM46" s="44"/>
      <c r="GYN46" s="44"/>
      <c r="GYO46" s="44"/>
      <c r="GYP46" s="44"/>
      <c r="GYQ46" s="44"/>
      <c r="GYR46" s="44"/>
      <c r="GYS46" s="44"/>
      <c r="GYT46" s="44"/>
      <c r="GYU46" s="44"/>
      <c r="GYV46" s="44"/>
      <c r="GYW46" s="44"/>
      <c r="GYX46" s="44"/>
      <c r="GYY46" s="44"/>
      <c r="GYZ46" s="44"/>
      <c r="GZA46" s="44"/>
      <c r="GZB46" s="44"/>
      <c r="GZC46" s="44"/>
      <c r="GZD46" s="44"/>
      <c r="GZE46" s="44"/>
      <c r="GZF46" s="44"/>
      <c r="GZG46" s="44"/>
      <c r="GZH46" s="44"/>
      <c r="GZI46" s="44"/>
      <c r="GZJ46" s="44"/>
      <c r="GZK46" s="44"/>
      <c r="GZL46" s="44"/>
      <c r="GZM46" s="44"/>
      <c r="GZN46" s="44"/>
      <c r="GZO46" s="44"/>
      <c r="GZP46" s="44"/>
      <c r="GZQ46" s="44"/>
      <c r="GZR46" s="44"/>
      <c r="GZS46" s="44"/>
      <c r="GZT46" s="44"/>
      <c r="GZU46" s="44"/>
      <c r="GZV46" s="44"/>
      <c r="GZW46" s="44"/>
      <c r="GZX46" s="44"/>
      <c r="GZY46" s="44"/>
      <c r="GZZ46" s="44"/>
      <c r="HAA46" s="44"/>
      <c r="HAB46" s="44"/>
      <c r="HAC46" s="44"/>
      <c r="HAD46" s="44"/>
      <c r="HAE46" s="44"/>
      <c r="HAF46" s="44"/>
      <c r="HAG46" s="44"/>
      <c r="HAH46" s="44"/>
      <c r="HAI46" s="44"/>
      <c r="HAJ46" s="44"/>
      <c r="HAK46" s="44"/>
      <c r="HAL46" s="44"/>
      <c r="HAM46" s="44"/>
      <c r="HAN46" s="44"/>
      <c r="HAO46" s="44"/>
      <c r="HAP46" s="44"/>
      <c r="HAQ46" s="44"/>
      <c r="HAR46" s="44"/>
      <c r="HAS46" s="44"/>
      <c r="HAT46" s="44"/>
      <c r="HAU46" s="44"/>
      <c r="HAV46" s="44"/>
      <c r="HAW46" s="44"/>
      <c r="HAX46" s="44"/>
      <c r="HAY46" s="44"/>
      <c r="HAZ46" s="44"/>
      <c r="HBA46" s="44"/>
      <c r="HBB46" s="44"/>
      <c r="HBC46" s="44"/>
      <c r="HBD46" s="44"/>
      <c r="HBE46" s="44"/>
      <c r="HBF46" s="44"/>
      <c r="HBG46" s="44"/>
      <c r="HBH46" s="44"/>
      <c r="HBI46" s="44"/>
      <c r="HBJ46" s="44"/>
      <c r="HBK46" s="44"/>
      <c r="HBL46" s="44"/>
      <c r="HBM46" s="44"/>
      <c r="HBN46" s="44"/>
      <c r="HBO46" s="44"/>
      <c r="HBP46" s="44"/>
      <c r="HBQ46" s="44"/>
      <c r="HBR46" s="44"/>
      <c r="HBS46" s="44"/>
      <c r="HBT46" s="44"/>
      <c r="HBU46" s="44"/>
      <c r="HBV46" s="44"/>
      <c r="HBW46" s="44"/>
      <c r="HBX46" s="44"/>
      <c r="HBY46" s="44"/>
      <c r="HBZ46" s="44"/>
      <c r="HCA46" s="44"/>
      <c r="HCB46" s="44"/>
      <c r="HCC46" s="44"/>
      <c r="HCD46" s="44"/>
      <c r="HCE46" s="44"/>
      <c r="HCF46" s="44"/>
      <c r="HCG46" s="44"/>
      <c r="HCH46" s="44"/>
      <c r="HCI46" s="44"/>
      <c r="HCJ46" s="44"/>
      <c r="HCK46" s="44"/>
      <c r="HCL46" s="44"/>
      <c r="HCM46" s="44"/>
      <c r="HCN46" s="44"/>
      <c r="HCO46" s="44"/>
      <c r="HCP46" s="44"/>
      <c r="HCQ46" s="44"/>
      <c r="HCR46" s="44"/>
      <c r="HCS46" s="44"/>
      <c r="HCT46" s="44"/>
      <c r="HCU46" s="44"/>
      <c r="HCV46" s="44"/>
      <c r="HCW46" s="44"/>
      <c r="HCX46" s="44"/>
      <c r="HCY46" s="44"/>
      <c r="HCZ46" s="44"/>
      <c r="HDA46" s="44"/>
      <c r="HDB46" s="44"/>
      <c r="HDC46" s="44"/>
      <c r="HDD46" s="44"/>
      <c r="HDE46" s="44"/>
      <c r="HDF46" s="44"/>
      <c r="HDG46" s="44"/>
      <c r="HDH46" s="44"/>
      <c r="HDI46" s="44"/>
      <c r="HDJ46" s="44"/>
      <c r="HDK46" s="44"/>
      <c r="HDL46" s="44"/>
      <c r="HDM46" s="44"/>
      <c r="HDN46" s="44"/>
      <c r="HDO46" s="44"/>
      <c r="HDP46" s="44"/>
      <c r="HDQ46" s="44"/>
      <c r="HDR46" s="44"/>
      <c r="HDS46" s="44"/>
      <c r="HDT46" s="44"/>
      <c r="HDU46" s="44"/>
      <c r="HDV46" s="44"/>
      <c r="HDW46" s="44"/>
      <c r="HDX46" s="44"/>
      <c r="HDY46" s="44"/>
      <c r="HDZ46" s="44"/>
      <c r="HEA46" s="44"/>
      <c r="HEB46" s="44"/>
      <c r="HEC46" s="44"/>
      <c r="HED46" s="44"/>
      <c r="HEE46" s="44"/>
      <c r="HEF46" s="44"/>
      <c r="HEG46" s="44"/>
      <c r="HEH46" s="44"/>
      <c r="HEI46" s="44"/>
      <c r="HEJ46" s="44"/>
      <c r="HEK46" s="44"/>
      <c r="HEL46" s="44"/>
      <c r="HEM46" s="44"/>
      <c r="HEN46" s="44"/>
      <c r="HEO46" s="44"/>
      <c r="HEP46" s="44"/>
      <c r="HEQ46" s="44"/>
      <c r="HER46" s="44"/>
      <c r="HES46" s="44"/>
      <c r="HET46" s="44"/>
      <c r="HEU46" s="44"/>
      <c r="HEV46" s="44"/>
      <c r="HEW46" s="44"/>
      <c r="HEX46" s="44"/>
      <c r="HEY46" s="44"/>
      <c r="HEZ46" s="44"/>
      <c r="HFA46" s="44"/>
      <c r="HFB46" s="44"/>
      <c r="HFC46" s="44"/>
      <c r="HFD46" s="44"/>
      <c r="HFE46" s="44"/>
      <c r="HFF46" s="44"/>
      <c r="HFG46" s="44"/>
      <c r="HFH46" s="44"/>
      <c r="HFI46" s="44"/>
      <c r="HFJ46" s="44"/>
      <c r="HFK46" s="44"/>
      <c r="HFL46" s="44"/>
      <c r="HFM46" s="44"/>
      <c r="HFN46" s="44"/>
      <c r="HFO46" s="44"/>
      <c r="HFP46" s="44"/>
      <c r="HFQ46" s="44"/>
      <c r="HFR46" s="44"/>
      <c r="HFS46" s="44"/>
      <c r="HFT46" s="44"/>
      <c r="HFU46" s="44"/>
      <c r="HFV46" s="44"/>
      <c r="HFW46" s="44"/>
      <c r="HFX46" s="44"/>
      <c r="HFY46" s="44"/>
      <c r="HFZ46" s="44"/>
      <c r="HGA46" s="44"/>
      <c r="HGB46" s="44"/>
      <c r="HGC46" s="44"/>
      <c r="HGD46" s="44"/>
      <c r="HGE46" s="44"/>
      <c r="HGF46" s="44"/>
      <c r="HGG46" s="44"/>
      <c r="HGH46" s="44"/>
      <c r="HGI46" s="44"/>
      <c r="HGJ46" s="44"/>
      <c r="HGK46" s="44"/>
      <c r="HGL46" s="44"/>
      <c r="HGM46" s="44"/>
      <c r="HGN46" s="44"/>
      <c r="HGO46" s="44"/>
      <c r="HGP46" s="44"/>
      <c r="HGQ46" s="44"/>
      <c r="HGR46" s="44"/>
      <c r="HGS46" s="44"/>
      <c r="HGT46" s="44"/>
      <c r="HGU46" s="44"/>
      <c r="HGV46" s="44"/>
      <c r="HGW46" s="44"/>
      <c r="HGX46" s="44"/>
      <c r="HGY46" s="44"/>
      <c r="HGZ46" s="44"/>
      <c r="HHA46" s="44"/>
      <c r="HHB46" s="44"/>
      <c r="HHC46" s="44"/>
      <c r="HHD46" s="44"/>
      <c r="HHE46" s="44"/>
      <c r="HHF46" s="44"/>
      <c r="HHG46" s="44"/>
      <c r="HHH46" s="44"/>
      <c r="HHI46" s="44"/>
      <c r="HHJ46" s="44"/>
      <c r="HHK46" s="44"/>
      <c r="HHL46" s="44"/>
      <c r="HHM46" s="44"/>
      <c r="HHN46" s="44"/>
      <c r="HHO46" s="44"/>
      <c r="HHP46" s="44"/>
      <c r="HHQ46" s="44"/>
      <c r="HHR46" s="44"/>
      <c r="HHS46" s="44"/>
      <c r="HHT46" s="44"/>
      <c r="HHU46" s="44"/>
      <c r="HHV46" s="44"/>
      <c r="HHW46" s="44"/>
      <c r="HHX46" s="44"/>
      <c r="HHY46" s="44"/>
      <c r="HHZ46" s="44"/>
      <c r="HIA46" s="44"/>
      <c r="HIB46" s="44"/>
      <c r="HIC46" s="44"/>
      <c r="HID46" s="44"/>
      <c r="HIE46" s="44"/>
      <c r="HIF46" s="44"/>
      <c r="HIG46" s="44"/>
      <c r="HIH46" s="44"/>
      <c r="HII46" s="44"/>
      <c r="HIJ46" s="44"/>
      <c r="HIK46" s="44"/>
      <c r="HIL46" s="44"/>
      <c r="HIM46" s="44"/>
      <c r="HIN46" s="44"/>
      <c r="HIO46" s="44"/>
      <c r="HIP46" s="44"/>
      <c r="HIQ46" s="44"/>
      <c r="HIR46" s="44"/>
      <c r="HIS46" s="44"/>
      <c r="HIT46" s="44"/>
      <c r="HIU46" s="44"/>
      <c r="HIV46" s="44"/>
      <c r="HIW46" s="44"/>
      <c r="HIX46" s="44"/>
      <c r="HIY46" s="44"/>
      <c r="HIZ46" s="44"/>
      <c r="HJA46" s="44"/>
      <c r="HJB46" s="44"/>
      <c r="HJC46" s="44"/>
      <c r="HJD46" s="44"/>
      <c r="HJE46" s="44"/>
      <c r="HJF46" s="44"/>
      <c r="HJG46" s="44"/>
      <c r="HJH46" s="44"/>
      <c r="HJI46" s="44"/>
      <c r="HJJ46" s="44"/>
      <c r="HJK46" s="44"/>
      <c r="HJL46" s="44"/>
      <c r="HJM46" s="44"/>
      <c r="HJN46" s="44"/>
      <c r="HJO46" s="44"/>
      <c r="HJP46" s="44"/>
      <c r="HJQ46" s="44"/>
      <c r="HJR46" s="44"/>
      <c r="HJS46" s="44"/>
      <c r="HJT46" s="44"/>
      <c r="HJU46" s="44"/>
      <c r="HJV46" s="44"/>
      <c r="HJW46" s="44"/>
      <c r="HJX46" s="44"/>
      <c r="HJY46" s="44"/>
      <c r="HJZ46" s="44"/>
      <c r="HKA46" s="44"/>
      <c r="HKB46" s="44"/>
      <c r="HKC46" s="44"/>
      <c r="HKD46" s="44"/>
      <c r="HKE46" s="44"/>
      <c r="HKF46" s="44"/>
      <c r="HKG46" s="44"/>
      <c r="HKH46" s="44"/>
      <c r="HKI46" s="44"/>
      <c r="HKJ46" s="44"/>
      <c r="HKK46" s="44"/>
      <c r="HKL46" s="44"/>
      <c r="HKM46" s="44"/>
      <c r="HKN46" s="44"/>
      <c r="HKO46" s="44"/>
      <c r="HKP46" s="44"/>
      <c r="HKQ46" s="44"/>
      <c r="HKR46" s="44"/>
      <c r="HKS46" s="44"/>
      <c r="HKT46" s="44"/>
      <c r="HKU46" s="44"/>
      <c r="HKV46" s="44"/>
      <c r="HKW46" s="44"/>
      <c r="HKX46" s="44"/>
      <c r="HKY46" s="44"/>
      <c r="HKZ46" s="44"/>
      <c r="HLA46" s="44"/>
      <c r="HLB46" s="44"/>
      <c r="HLC46" s="44"/>
      <c r="HLD46" s="44"/>
      <c r="HLE46" s="44"/>
      <c r="HLF46" s="44"/>
      <c r="HLG46" s="44"/>
      <c r="HLH46" s="44"/>
      <c r="HLI46" s="44"/>
      <c r="HLJ46" s="44"/>
      <c r="HLK46" s="44"/>
      <c r="HLL46" s="44"/>
      <c r="HLM46" s="44"/>
      <c r="HLN46" s="44"/>
      <c r="HLO46" s="44"/>
      <c r="HLP46" s="44"/>
      <c r="HLQ46" s="44"/>
      <c r="HLR46" s="44"/>
      <c r="HLS46" s="44"/>
      <c r="HLT46" s="44"/>
      <c r="HLU46" s="44"/>
      <c r="HLV46" s="44"/>
      <c r="HLW46" s="44"/>
      <c r="HLX46" s="44"/>
      <c r="HLY46" s="44"/>
      <c r="HLZ46" s="44"/>
      <c r="HMA46" s="44"/>
      <c r="HMB46" s="44"/>
      <c r="HMC46" s="44"/>
      <c r="HMD46" s="44"/>
      <c r="HME46" s="44"/>
      <c r="HMF46" s="44"/>
      <c r="HMG46" s="44"/>
      <c r="HMH46" s="44"/>
      <c r="HMI46" s="44"/>
      <c r="HMJ46" s="44"/>
      <c r="HMK46" s="44"/>
      <c r="HML46" s="44"/>
      <c r="HMM46" s="44"/>
      <c r="HMN46" s="44"/>
      <c r="HMO46" s="44"/>
      <c r="HMP46" s="44"/>
      <c r="HMQ46" s="44"/>
      <c r="HMR46" s="44"/>
      <c r="HMS46" s="44"/>
      <c r="HMT46" s="44"/>
      <c r="HMU46" s="44"/>
      <c r="HMV46" s="44"/>
      <c r="HMW46" s="44"/>
      <c r="HMX46" s="44"/>
      <c r="HMY46" s="44"/>
      <c r="HMZ46" s="44"/>
      <c r="HNA46" s="44"/>
      <c r="HNB46" s="44"/>
      <c r="HNC46" s="44"/>
      <c r="HND46" s="44"/>
      <c r="HNE46" s="44"/>
      <c r="HNF46" s="44"/>
      <c r="HNG46" s="44"/>
      <c r="HNH46" s="44"/>
      <c r="HNI46" s="44"/>
      <c r="HNJ46" s="44"/>
      <c r="HNK46" s="44"/>
      <c r="HNL46" s="44"/>
      <c r="HNM46" s="44"/>
      <c r="HNN46" s="44"/>
      <c r="HNO46" s="44"/>
      <c r="HNP46" s="44"/>
      <c r="HNQ46" s="44"/>
      <c r="HNR46" s="44"/>
      <c r="HNS46" s="44"/>
      <c r="HNT46" s="44"/>
      <c r="HNU46" s="44"/>
      <c r="HNV46" s="44"/>
      <c r="HNW46" s="44"/>
      <c r="HNX46" s="44"/>
      <c r="HNY46" s="44"/>
      <c r="HNZ46" s="44"/>
      <c r="HOA46" s="44"/>
      <c r="HOB46" s="44"/>
      <c r="HOC46" s="44"/>
      <c r="HOD46" s="44"/>
      <c r="HOE46" s="44"/>
      <c r="HOF46" s="44"/>
      <c r="HOG46" s="44"/>
      <c r="HOH46" s="44"/>
      <c r="HOI46" s="44"/>
      <c r="HOJ46" s="44"/>
      <c r="HOK46" s="44"/>
      <c r="HOL46" s="44"/>
      <c r="HOM46" s="44"/>
      <c r="HON46" s="44"/>
      <c r="HOO46" s="44"/>
      <c r="HOP46" s="44"/>
      <c r="HOQ46" s="44"/>
      <c r="HOR46" s="44"/>
      <c r="HOS46" s="44"/>
      <c r="HOT46" s="44"/>
      <c r="HOU46" s="44"/>
      <c r="HOV46" s="44"/>
      <c r="HOW46" s="44"/>
      <c r="HOX46" s="44"/>
      <c r="HOY46" s="44"/>
      <c r="HOZ46" s="44"/>
      <c r="HPA46" s="44"/>
      <c r="HPB46" s="44"/>
      <c r="HPC46" s="44"/>
      <c r="HPD46" s="44"/>
      <c r="HPE46" s="44"/>
      <c r="HPF46" s="44"/>
      <c r="HPG46" s="44"/>
      <c r="HPH46" s="44"/>
      <c r="HPI46" s="44"/>
      <c r="HPJ46" s="44"/>
      <c r="HPK46" s="44"/>
      <c r="HPL46" s="44"/>
      <c r="HPM46" s="44"/>
      <c r="HPN46" s="44"/>
      <c r="HPO46" s="44"/>
      <c r="HPP46" s="44"/>
      <c r="HPQ46" s="44"/>
      <c r="HPR46" s="44"/>
      <c r="HPS46" s="44"/>
      <c r="HPT46" s="44"/>
      <c r="HPU46" s="44"/>
      <c r="HPV46" s="44"/>
      <c r="HPW46" s="44"/>
      <c r="HPX46" s="44"/>
      <c r="HPY46" s="44"/>
      <c r="HPZ46" s="44"/>
      <c r="HQA46" s="44"/>
      <c r="HQB46" s="44"/>
      <c r="HQC46" s="44"/>
      <c r="HQD46" s="44"/>
      <c r="HQE46" s="44"/>
      <c r="HQF46" s="44"/>
      <c r="HQG46" s="44"/>
      <c r="HQH46" s="44"/>
      <c r="HQI46" s="44"/>
      <c r="HQJ46" s="44"/>
      <c r="HQK46" s="44"/>
      <c r="HQL46" s="44"/>
      <c r="HQM46" s="44"/>
      <c r="HQN46" s="44"/>
      <c r="HQO46" s="44"/>
      <c r="HQP46" s="44"/>
      <c r="HQQ46" s="44"/>
      <c r="HQR46" s="44"/>
      <c r="HQS46" s="44"/>
      <c r="HQT46" s="44"/>
      <c r="HQU46" s="44"/>
      <c r="HQV46" s="44"/>
      <c r="HQW46" s="44"/>
      <c r="HQX46" s="44"/>
      <c r="HQY46" s="44"/>
      <c r="HQZ46" s="44"/>
      <c r="HRA46" s="44"/>
      <c r="HRB46" s="44"/>
      <c r="HRC46" s="44"/>
      <c r="HRD46" s="44"/>
      <c r="HRE46" s="44"/>
      <c r="HRF46" s="44"/>
      <c r="HRG46" s="44"/>
      <c r="HRH46" s="44"/>
      <c r="HRI46" s="44"/>
      <c r="HRJ46" s="44"/>
      <c r="HRK46" s="44"/>
      <c r="HRL46" s="44"/>
      <c r="HRM46" s="44"/>
      <c r="HRN46" s="44"/>
      <c r="HRO46" s="44"/>
      <c r="HRP46" s="44"/>
      <c r="HRQ46" s="44"/>
      <c r="HRR46" s="44"/>
      <c r="HRS46" s="44"/>
      <c r="HRT46" s="44"/>
      <c r="HRU46" s="44"/>
      <c r="HRV46" s="44"/>
      <c r="HRW46" s="44"/>
      <c r="HRX46" s="44"/>
      <c r="HRY46" s="44"/>
      <c r="HRZ46" s="44"/>
      <c r="HSA46" s="44"/>
      <c r="HSB46" s="44"/>
      <c r="HSC46" s="44"/>
      <c r="HSD46" s="44"/>
      <c r="HSE46" s="44"/>
      <c r="HSF46" s="44"/>
      <c r="HSG46" s="44"/>
      <c r="HSH46" s="44"/>
      <c r="HSI46" s="44"/>
      <c r="HSJ46" s="44"/>
      <c r="HSK46" s="44"/>
      <c r="HSL46" s="44"/>
      <c r="HSM46" s="44"/>
      <c r="HSN46" s="44"/>
      <c r="HSO46" s="44"/>
      <c r="HSP46" s="44"/>
      <c r="HSQ46" s="44"/>
      <c r="HSR46" s="44"/>
      <c r="HSS46" s="44"/>
      <c r="HST46" s="44"/>
      <c r="HSU46" s="44"/>
      <c r="HSV46" s="44"/>
      <c r="HSW46" s="44"/>
      <c r="HSX46" s="44"/>
      <c r="HSY46" s="44"/>
      <c r="HSZ46" s="44"/>
      <c r="HTA46" s="44"/>
      <c r="HTB46" s="44"/>
      <c r="HTC46" s="44"/>
      <c r="HTD46" s="44"/>
      <c r="HTE46" s="44"/>
      <c r="HTF46" s="44"/>
      <c r="HTG46" s="44"/>
      <c r="HTH46" s="44"/>
      <c r="HTI46" s="44"/>
      <c r="HTJ46" s="44"/>
      <c r="HTK46" s="44"/>
      <c r="HTL46" s="44"/>
      <c r="HTM46" s="44"/>
      <c r="HTN46" s="44"/>
      <c r="HTO46" s="44"/>
      <c r="HTP46" s="44"/>
      <c r="HTQ46" s="44"/>
      <c r="HTR46" s="44"/>
      <c r="HTS46" s="44"/>
      <c r="HTT46" s="44"/>
      <c r="HTU46" s="44"/>
      <c r="HTV46" s="44"/>
      <c r="HTW46" s="44"/>
      <c r="HTX46" s="44"/>
      <c r="HTY46" s="44"/>
      <c r="HTZ46" s="44"/>
      <c r="HUA46" s="44"/>
      <c r="HUB46" s="44"/>
      <c r="HUC46" s="44"/>
      <c r="HUD46" s="44"/>
      <c r="HUE46" s="44"/>
      <c r="HUF46" s="44"/>
      <c r="HUG46" s="44"/>
      <c r="HUH46" s="44"/>
      <c r="HUI46" s="44"/>
      <c r="HUJ46" s="44"/>
      <c r="HUK46" s="44"/>
      <c r="HUL46" s="44"/>
      <c r="HUM46" s="44"/>
      <c r="HUN46" s="44"/>
      <c r="HUO46" s="44"/>
      <c r="HUP46" s="44"/>
      <c r="HUQ46" s="44"/>
      <c r="HUR46" s="44"/>
      <c r="HUS46" s="44"/>
      <c r="HUT46" s="44"/>
      <c r="HUU46" s="44"/>
      <c r="HUV46" s="44"/>
      <c r="HUW46" s="44"/>
      <c r="HUX46" s="44"/>
      <c r="HUY46" s="44"/>
      <c r="HUZ46" s="44"/>
      <c r="HVA46" s="44"/>
      <c r="HVB46" s="44"/>
      <c r="HVC46" s="44"/>
      <c r="HVD46" s="44"/>
      <c r="HVE46" s="44"/>
      <c r="HVF46" s="44"/>
      <c r="HVG46" s="44"/>
      <c r="HVH46" s="44"/>
      <c r="HVI46" s="44"/>
      <c r="HVJ46" s="44"/>
      <c r="HVK46" s="44"/>
      <c r="HVL46" s="44"/>
      <c r="HVM46" s="44"/>
      <c r="HVN46" s="44"/>
      <c r="HVO46" s="44"/>
      <c r="HVP46" s="44"/>
      <c r="HVQ46" s="44"/>
      <c r="HVR46" s="44"/>
      <c r="HVS46" s="44"/>
      <c r="HVT46" s="44"/>
      <c r="HVU46" s="44"/>
      <c r="HVV46" s="44"/>
      <c r="HVW46" s="44"/>
      <c r="HVX46" s="44"/>
      <c r="HVY46" s="44"/>
      <c r="HVZ46" s="44"/>
      <c r="HWA46" s="44"/>
      <c r="HWB46" s="44"/>
      <c r="HWC46" s="44"/>
      <c r="HWD46" s="44"/>
      <c r="HWE46" s="44"/>
      <c r="HWF46" s="44"/>
      <c r="HWG46" s="44"/>
      <c r="HWH46" s="44"/>
      <c r="HWI46" s="44"/>
      <c r="HWJ46" s="44"/>
      <c r="HWK46" s="44"/>
      <c r="HWL46" s="44"/>
      <c r="HWM46" s="44"/>
      <c r="HWN46" s="44"/>
      <c r="HWO46" s="44"/>
      <c r="HWP46" s="44"/>
      <c r="HWQ46" s="44"/>
      <c r="HWR46" s="44"/>
      <c r="HWS46" s="44"/>
      <c r="HWT46" s="44"/>
      <c r="HWU46" s="44"/>
      <c r="HWV46" s="44"/>
      <c r="HWW46" s="44"/>
      <c r="HWX46" s="44"/>
      <c r="HWY46" s="44"/>
      <c r="HWZ46" s="44"/>
      <c r="HXA46" s="44"/>
      <c r="HXB46" s="44"/>
      <c r="HXC46" s="44"/>
      <c r="HXD46" s="44"/>
      <c r="HXE46" s="44"/>
      <c r="HXF46" s="44"/>
      <c r="HXG46" s="44"/>
      <c r="HXH46" s="44"/>
      <c r="HXI46" s="44"/>
      <c r="HXJ46" s="44"/>
      <c r="HXK46" s="44"/>
      <c r="HXL46" s="44"/>
      <c r="HXM46" s="44"/>
      <c r="HXN46" s="44"/>
      <c r="HXO46" s="44"/>
      <c r="HXP46" s="44"/>
      <c r="HXQ46" s="44"/>
      <c r="HXR46" s="44"/>
      <c r="HXS46" s="44"/>
      <c r="HXT46" s="44"/>
      <c r="HXU46" s="44"/>
      <c r="HXV46" s="44"/>
      <c r="HXW46" s="44"/>
      <c r="HXX46" s="44"/>
      <c r="HXY46" s="44"/>
      <c r="HXZ46" s="44"/>
      <c r="HYA46" s="44"/>
      <c r="HYB46" s="44"/>
      <c r="HYC46" s="44"/>
      <c r="HYD46" s="44"/>
      <c r="HYE46" s="44"/>
      <c r="HYF46" s="44"/>
      <c r="HYG46" s="44"/>
      <c r="HYH46" s="44"/>
      <c r="HYI46" s="44"/>
      <c r="HYJ46" s="44"/>
      <c r="HYK46" s="44"/>
      <c r="HYL46" s="44"/>
      <c r="HYM46" s="44"/>
      <c r="HYN46" s="44"/>
      <c r="HYO46" s="44"/>
      <c r="HYP46" s="44"/>
      <c r="HYQ46" s="44"/>
      <c r="HYR46" s="44"/>
      <c r="HYS46" s="44"/>
      <c r="HYT46" s="44"/>
      <c r="HYU46" s="44"/>
      <c r="HYV46" s="44"/>
      <c r="HYW46" s="44"/>
      <c r="HYX46" s="44"/>
      <c r="HYY46" s="44"/>
      <c r="HYZ46" s="44"/>
      <c r="HZA46" s="44"/>
      <c r="HZB46" s="44"/>
      <c r="HZC46" s="44"/>
      <c r="HZD46" s="44"/>
      <c r="HZE46" s="44"/>
      <c r="HZF46" s="44"/>
      <c r="HZG46" s="44"/>
      <c r="HZH46" s="44"/>
      <c r="HZI46" s="44"/>
      <c r="HZJ46" s="44"/>
      <c r="HZK46" s="44"/>
      <c r="HZL46" s="44"/>
      <c r="HZM46" s="44"/>
      <c r="HZN46" s="44"/>
      <c r="HZO46" s="44"/>
      <c r="HZP46" s="44"/>
      <c r="HZQ46" s="44"/>
      <c r="HZR46" s="44"/>
      <c r="HZS46" s="44"/>
      <c r="HZT46" s="44"/>
      <c r="HZU46" s="44"/>
      <c r="HZV46" s="44"/>
      <c r="HZW46" s="44"/>
      <c r="HZX46" s="44"/>
      <c r="HZY46" s="44"/>
      <c r="HZZ46" s="44"/>
      <c r="IAA46" s="44"/>
      <c r="IAB46" s="44"/>
      <c r="IAC46" s="44"/>
      <c r="IAD46" s="44"/>
      <c r="IAE46" s="44"/>
      <c r="IAF46" s="44"/>
      <c r="IAG46" s="44"/>
      <c r="IAH46" s="44"/>
      <c r="IAI46" s="44"/>
      <c r="IAJ46" s="44"/>
      <c r="IAK46" s="44"/>
      <c r="IAL46" s="44"/>
      <c r="IAM46" s="44"/>
      <c r="IAN46" s="44"/>
      <c r="IAO46" s="44"/>
      <c r="IAP46" s="44"/>
      <c r="IAQ46" s="44"/>
      <c r="IAR46" s="44"/>
      <c r="IAS46" s="44"/>
      <c r="IAT46" s="44"/>
      <c r="IAU46" s="44"/>
      <c r="IAV46" s="44"/>
      <c r="IAW46" s="44"/>
      <c r="IAX46" s="44"/>
      <c r="IAY46" s="44"/>
      <c r="IAZ46" s="44"/>
      <c r="IBA46" s="44"/>
      <c r="IBB46" s="44"/>
      <c r="IBC46" s="44"/>
      <c r="IBD46" s="44"/>
      <c r="IBE46" s="44"/>
      <c r="IBF46" s="44"/>
      <c r="IBG46" s="44"/>
      <c r="IBH46" s="44"/>
      <c r="IBI46" s="44"/>
      <c r="IBJ46" s="44"/>
      <c r="IBK46" s="44"/>
      <c r="IBL46" s="44"/>
      <c r="IBM46" s="44"/>
      <c r="IBN46" s="44"/>
      <c r="IBO46" s="44"/>
      <c r="IBP46" s="44"/>
      <c r="IBQ46" s="44"/>
      <c r="IBR46" s="44"/>
      <c r="IBS46" s="44"/>
      <c r="IBT46" s="44"/>
      <c r="IBU46" s="44"/>
      <c r="IBV46" s="44"/>
      <c r="IBW46" s="44"/>
      <c r="IBX46" s="44"/>
      <c r="IBY46" s="44"/>
      <c r="IBZ46" s="44"/>
      <c r="ICA46" s="44"/>
      <c r="ICB46" s="44"/>
      <c r="ICC46" s="44"/>
      <c r="ICD46" s="44"/>
      <c r="ICE46" s="44"/>
      <c r="ICF46" s="44"/>
      <c r="ICG46" s="44"/>
      <c r="ICH46" s="44"/>
      <c r="ICI46" s="44"/>
      <c r="ICJ46" s="44"/>
      <c r="ICK46" s="44"/>
      <c r="ICL46" s="44"/>
      <c r="ICM46" s="44"/>
      <c r="ICN46" s="44"/>
      <c r="ICO46" s="44"/>
      <c r="ICP46" s="44"/>
      <c r="ICQ46" s="44"/>
      <c r="ICR46" s="44"/>
      <c r="ICS46" s="44"/>
      <c r="ICT46" s="44"/>
      <c r="ICU46" s="44"/>
      <c r="ICV46" s="44"/>
      <c r="ICW46" s="44"/>
      <c r="ICX46" s="44"/>
      <c r="ICY46" s="44"/>
      <c r="ICZ46" s="44"/>
      <c r="IDA46" s="44"/>
      <c r="IDB46" s="44"/>
      <c r="IDC46" s="44"/>
      <c r="IDD46" s="44"/>
      <c r="IDE46" s="44"/>
      <c r="IDF46" s="44"/>
      <c r="IDG46" s="44"/>
      <c r="IDH46" s="44"/>
      <c r="IDI46" s="44"/>
      <c r="IDJ46" s="44"/>
      <c r="IDK46" s="44"/>
      <c r="IDL46" s="44"/>
      <c r="IDM46" s="44"/>
      <c r="IDN46" s="44"/>
      <c r="IDO46" s="44"/>
      <c r="IDP46" s="44"/>
      <c r="IDQ46" s="44"/>
      <c r="IDR46" s="44"/>
      <c r="IDS46" s="44"/>
      <c r="IDT46" s="44"/>
      <c r="IDU46" s="44"/>
      <c r="IDV46" s="44"/>
      <c r="IDW46" s="44"/>
      <c r="IDX46" s="44"/>
      <c r="IDY46" s="44"/>
      <c r="IDZ46" s="44"/>
      <c r="IEA46" s="44"/>
      <c r="IEB46" s="44"/>
      <c r="IEC46" s="44"/>
      <c r="IED46" s="44"/>
      <c r="IEE46" s="44"/>
      <c r="IEF46" s="44"/>
      <c r="IEG46" s="44"/>
      <c r="IEH46" s="44"/>
      <c r="IEI46" s="44"/>
      <c r="IEJ46" s="44"/>
      <c r="IEK46" s="44"/>
      <c r="IEL46" s="44"/>
      <c r="IEM46" s="44"/>
      <c r="IEN46" s="44"/>
      <c r="IEO46" s="44"/>
      <c r="IEP46" s="44"/>
      <c r="IEQ46" s="44"/>
      <c r="IER46" s="44"/>
      <c r="IES46" s="44"/>
      <c r="IET46" s="44"/>
      <c r="IEU46" s="44"/>
      <c r="IEV46" s="44"/>
      <c r="IEW46" s="44"/>
      <c r="IEX46" s="44"/>
      <c r="IEY46" s="44"/>
      <c r="IEZ46" s="44"/>
      <c r="IFA46" s="44"/>
      <c r="IFB46" s="44"/>
      <c r="IFC46" s="44"/>
      <c r="IFD46" s="44"/>
      <c r="IFE46" s="44"/>
      <c r="IFF46" s="44"/>
      <c r="IFG46" s="44"/>
      <c r="IFH46" s="44"/>
      <c r="IFI46" s="44"/>
      <c r="IFJ46" s="44"/>
      <c r="IFK46" s="44"/>
      <c r="IFL46" s="44"/>
      <c r="IFM46" s="44"/>
      <c r="IFN46" s="44"/>
      <c r="IFO46" s="44"/>
      <c r="IFP46" s="44"/>
      <c r="IFQ46" s="44"/>
      <c r="IFR46" s="44"/>
      <c r="IFS46" s="44"/>
      <c r="IFT46" s="44"/>
      <c r="IFU46" s="44"/>
      <c r="IFV46" s="44"/>
      <c r="IFW46" s="44"/>
      <c r="IFX46" s="44"/>
      <c r="IFY46" s="44"/>
      <c r="IFZ46" s="44"/>
      <c r="IGA46" s="44"/>
      <c r="IGB46" s="44"/>
      <c r="IGC46" s="44"/>
      <c r="IGD46" s="44"/>
      <c r="IGE46" s="44"/>
      <c r="IGF46" s="44"/>
      <c r="IGG46" s="44"/>
      <c r="IGH46" s="44"/>
      <c r="IGI46" s="44"/>
      <c r="IGJ46" s="44"/>
      <c r="IGK46" s="44"/>
      <c r="IGL46" s="44"/>
      <c r="IGM46" s="44"/>
      <c r="IGN46" s="44"/>
      <c r="IGO46" s="44"/>
      <c r="IGP46" s="44"/>
      <c r="IGQ46" s="44"/>
      <c r="IGR46" s="44"/>
      <c r="IGS46" s="44"/>
      <c r="IGT46" s="44"/>
      <c r="IGU46" s="44"/>
      <c r="IGV46" s="44"/>
      <c r="IGW46" s="44"/>
      <c r="IGX46" s="44"/>
      <c r="IGY46" s="44"/>
      <c r="IGZ46" s="44"/>
      <c r="IHA46" s="44"/>
      <c r="IHB46" s="44"/>
      <c r="IHC46" s="44"/>
      <c r="IHD46" s="44"/>
      <c r="IHE46" s="44"/>
      <c r="IHF46" s="44"/>
      <c r="IHG46" s="44"/>
      <c r="IHH46" s="44"/>
      <c r="IHI46" s="44"/>
      <c r="IHJ46" s="44"/>
      <c r="IHK46" s="44"/>
      <c r="IHL46" s="44"/>
      <c r="IHM46" s="44"/>
      <c r="IHN46" s="44"/>
      <c r="IHO46" s="44"/>
      <c r="IHP46" s="44"/>
      <c r="IHQ46" s="44"/>
      <c r="IHR46" s="44"/>
      <c r="IHS46" s="44"/>
      <c r="IHT46" s="44"/>
      <c r="IHU46" s="44"/>
      <c r="IHV46" s="44"/>
      <c r="IHW46" s="44"/>
      <c r="IHX46" s="44"/>
      <c r="IHY46" s="44"/>
      <c r="IHZ46" s="44"/>
      <c r="IIA46" s="44"/>
      <c r="IIB46" s="44"/>
      <c r="IIC46" s="44"/>
      <c r="IID46" s="44"/>
      <c r="IIE46" s="44"/>
      <c r="IIF46" s="44"/>
      <c r="IIG46" s="44"/>
      <c r="IIH46" s="44"/>
      <c r="III46" s="44"/>
      <c r="IIJ46" s="44"/>
      <c r="IIK46" s="44"/>
      <c r="IIL46" s="44"/>
      <c r="IIM46" s="44"/>
      <c r="IIN46" s="44"/>
      <c r="IIO46" s="44"/>
      <c r="IIP46" s="44"/>
      <c r="IIQ46" s="44"/>
      <c r="IIR46" s="44"/>
      <c r="IIS46" s="44"/>
      <c r="IIT46" s="44"/>
      <c r="IIU46" s="44"/>
      <c r="IIV46" s="44"/>
      <c r="IIW46" s="44"/>
      <c r="IIX46" s="44"/>
      <c r="IIY46" s="44"/>
      <c r="IIZ46" s="44"/>
      <c r="IJA46" s="44"/>
      <c r="IJB46" s="44"/>
      <c r="IJC46" s="44"/>
      <c r="IJD46" s="44"/>
      <c r="IJE46" s="44"/>
      <c r="IJF46" s="44"/>
      <c r="IJG46" s="44"/>
      <c r="IJH46" s="44"/>
      <c r="IJI46" s="44"/>
      <c r="IJJ46" s="44"/>
      <c r="IJK46" s="44"/>
      <c r="IJL46" s="44"/>
      <c r="IJM46" s="44"/>
      <c r="IJN46" s="44"/>
      <c r="IJO46" s="44"/>
      <c r="IJP46" s="44"/>
      <c r="IJQ46" s="44"/>
      <c r="IJR46" s="44"/>
      <c r="IJS46" s="44"/>
      <c r="IJT46" s="44"/>
      <c r="IJU46" s="44"/>
      <c r="IJV46" s="44"/>
      <c r="IJW46" s="44"/>
      <c r="IJX46" s="44"/>
      <c r="IJY46" s="44"/>
      <c r="IJZ46" s="44"/>
      <c r="IKA46" s="44"/>
      <c r="IKB46" s="44"/>
      <c r="IKC46" s="44"/>
      <c r="IKD46" s="44"/>
      <c r="IKE46" s="44"/>
      <c r="IKF46" s="44"/>
      <c r="IKG46" s="44"/>
      <c r="IKH46" s="44"/>
      <c r="IKI46" s="44"/>
      <c r="IKJ46" s="44"/>
      <c r="IKK46" s="44"/>
      <c r="IKL46" s="44"/>
      <c r="IKM46" s="44"/>
      <c r="IKN46" s="44"/>
      <c r="IKO46" s="44"/>
      <c r="IKP46" s="44"/>
      <c r="IKQ46" s="44"/>
      <c r="IKR46" s="44"/>
      <c r="IKS46" s="44"/>
      <c r="IKT46" s="44"/>
      <c r="IKU46" s="44"/>
      <c r="IKV46" s="44"/>
      <c r="IKW46" s="44"/>
      <c r="IKX46" s="44"/>
      <c r="IKY46" s="44"/>
      <c r="IKZ46" s="44"/>
      <c r="ILA46" s="44"/>
      <c r="ILB46" s="44"/>
      <c r="ILC46" s="44"/>
      <c r="ILD46" s="44"/>
      <c r="ILE46" s="44"/>
      <c r="ILF46" s="44"/>
      <c r="ILG46" s="44"/>
      <c r="ILH46" s="44"/>
      <c r="ILI46" s="44"/>
      <c r="ILJ46" s="44"/>
      <c r="ILK46" s="44"/>
      <c r="ILL46" s="44"/>
      <c r="ILM46" s="44"/>
      <c r="ILN46" s="44"/>
      <c r="ILO46" s="44"/>
      <c r="ILP46" s="44"/>
      <c r="ILQ46" s="44"/>
      <c r="ILR46" s="44"/>
      <c r="ILS46" s="44"/>
      <c r="ILT46" s="44"/>
      <c r="ILU46" s="44"/>
      <c r="ILV46" s="44"/>
      <c r="ILW46" s="44"/>
      <c r="ILX46" s="44"/>
      <c r="ILY46" s="44"/>
      <c r="ILZ46" s="44"/>
      <c r="IMA46" s="44"/>
      <c r="IMB46" s="44"/>
      <c r="IMC46" s="44"/>
      <c r="IMD46" s="44"/>
      <c r="IME46" s="44"/>
      <c r="IMF46" s="44"/>
      <c r="IMG46" s="44"/>
      <c r="IMH46" s="44"/>
      <c r="IMI46" s="44"/>
      <c r="IMJ46" s="44"/>
      <c r="IMK46" s="44"/>
      <c r="IML46" s="44"/>
      <c r="IMM46" s="44"/>
      <c r="IMN46" s="44"/>
      <c r="IMO46" s="44"/>
      <c r="IMP46" s="44"/>
      <c r="IMQ46" s="44"/>
      <c r="IMR46" s="44"/>
      <c r="IMS46" s="44"/>
      <c r="IMT46" s="44"/>
      <c r="IMU46" s="44"/>
      <c r="IMV46" s="44"/>
      <c r="IMW46" s="44"/>
      <c r="IMX46" s="44"/>
      <c r="IMY46" s="44"/>
      <c r="IMZ46" s="44"/>
      <c r="INA46" s="44"/>
      <c r="INB46" s="44"/>
      <c r="INC46" s="44"/>
      <c r="IND46" s="44"/>
      <c r="INE46" s="44"/>
      <c r="INF46" s="44"/>
      <c r="ING46" s="44"/>
      <c r="INH46" s="44"/>
      <c r="INI46" s="44"/>
      <c r="INJ46" s="44"/>
      <c r="INK46" s="44"/>
      <c r="INL46" s="44"/>
      <c r="INM46" s="44"/>
      <c r="INN46" s="44"/>
      <c r="INO46" s="44"/>
      <c r="INP46" s="44"/>
      <c r="INQ46" s="44"/>
      <c r="INR46" s="44"/>
      <c r="INS46" s="44"/>
      <c r="INT46" s="44"/>
      <c r="INU46" s="44"/>
      <c r="INV46" s="44"/>
      <c r="INW46" s="44"/>
      <c r="INX46" s="44"/>
      <c r="INY46" s="44"/>
      <c r="INZ46" s="44"/>
      <c r="IOA46" s="44"/>
      <c r="IOB46" s="44"/>
      <c r="IOC46" s="44"/>
      <c r="IOD46" s="44"/>
      <c r="IOE46" s="44"/>
      <c r="IOF46" s="44"/>
      <c r="IOG46" s="44"/>
      <c r="IOH46" s="44"/>
      <c r="IOI46" s="44"/>
      <c r="IOJ46" s="44"/>
      <c r="IOK46" s="44"/>
      <c r="IOL46" s="44"/>
      <c r="IOM46" s="44"/>
      <c r="ION46" s="44"/>
      <c r="IOO46" s="44"/>
      <c r="IOP46" s="44"/>
      <c r="IOQ46" s="44"/>
      <c r="IOR46" s="44"/>
      <c r="IOS46" s="44"/>
      <c r="IOT46" s="44"/>
      <c r="IOU46" s="44"/>
      <c r="IOV46" s="44"/>
      <c r="IOW46" s="44"/>
      <c r="IOX46" s="44"/>
      <c r="IOY46" s="44"/>
      <c r="IOZ46" s="44"/>
      <c r="IPA46" s="44"/>
      <c r="IPB46" s="44"/>
      <c r="IPC46" s="44"/>
      <c r="IPD46" s="44"/>
      <c r="IPE46" s="44"/>
      <c r="IPF46" s="44"/>
      <c r="IPG46" s="44"/>
      <c r="IPH46" s="44"/>
      <c r="IPI46" s="44"/>
      <c r="IPJ46" s="44"/>
      <c r="IPK46" s="44"/>
      <c r="IPL46" s="44"/>
      <c r="IPM46" s="44"/>
      <c r="IPN46" s="44"/>
      <c r="IPO46" s="44"/>
      <c r="IPP46" s="44"/>
      <c r="IPQ46" s="44"/>
      <c r="IPR46" s="44"/>
      <c r="IPS46" s="44"/>
      <c r="IPT46" s="44"/>
      <c r="IPU46" s="44"/>
      <c r="IPV46" s="44"/>
      <c r="IPW46" s="44"/>
      <c r="IPX46" s="44"/>
      <c r="IPY46" s="44"/>
      <c r="IPZ46" s="44"/>
      <c r="IQA46" s="44"/>
      <c r="IQB46" s="44"/>
      <c r="IQC46" s="44"/>
      <c r="IQD46" s="44"/>
      <c r="IQE46" s="44"/>
      <c r="IQF46" s="44"/>
      <c r="IQG46" s="44"/>
      <c r="IQH46" s="44"/>
      <c r="IQI46" s="44"/>
      <c r="IQJ46" s="44"/>
      <c r="IQK46" s="44"/>
      <c r="IQL46" s="44"/>
      <c r="IQM46" s="44"/>
      <c r="IQN46" s="44"/>
      <c r="IQO46" s="44"/>
      <c r="IQP46" s="44"/>
      <c r="IQQ46" s="44"/>
      <c r="IQR46" s="44"/>
      <c r="IQS46" s="44"/>
      <c r="IQT46" s="44"/>
      <c r="IQU46" s="44"/>
      <c r="IQV46" s="44"/>
      <c r="IQW46" s="44"/>
      <c r="IQX46" s="44"/>
      <c r="IQY46" s="44"/>
      <c r="IQZ46" s="44"/>
      <c r="IRA46" s="44"/>
      <c r="IRB46" s="44"/>
      <c r="IRC46" s="44"/>
      <c r="IRD46" s="44"/>
      <c r="IRE46" s="44"/>
      <c r="IRF46" s="44"/>
      <c r="IRG46" s="44"/>
      <c r="IRH46" s="44"/>
      <c r="IRI46" s="44"/>
      <c r="IRJ46" s="44"/>
      <c r="IRK46" s="44"/>
      <c r="IRL46" s="44"/>
      <c r="IRM46" s="44"/>
      <c r="IRN46" s="44"/>
      <c r="IRO46" s="44"/>
      <c r="IRP46" s="44"/>
      <c r="IRQ46" s="44"/>
      <c r="IRR46" s="44"/>
      <c r="IRS46" s="44"/>
      <c r="IRT46" s="44"/>
      <c r="IRU46" s="44"/>
      <c r="IRV46" s="44"/>
      <c r="IRW46" s="44"/>
      <c r="IRX46" s="44"/>
      <c r="IRY46" s="44"/>
      <c r="IRZ46" s="44"/>
      <c r="ISA46" s="44"/>
      <c r="ISB46" s="44"/>
      <c r="ISC46" s="44"/>
      <c r="ISD46" s="44"/>
      <c r="ISE46" s="44"/>
      <c r="ISF46" s="44"/>
      <c r="ISG46" s="44"/>
      <c r="ISH46" s="44"/>
      <c r="ISI46" s="44"/>
      <c r="ISJ46" s="44"/>
      <c r="ISK46" s="44"/>
      <c r="ISL46" s="44"/>
      <c r="ISM46" s="44"/>
      <c r="ISN46" s="44"/>
      <c r="ISO46" s="44"/>
      <c r="ISP46" s="44"/>
      <c r="ISQ46" s="44"/>
      <c r="ISR46" s="44"/>
      <c r="ISS46" s="44"/>
      <c r="IST46" s="44"/>
      <c r="ISU46" s="44"/>
      <c r="ISV46" s="44"/>
      <c r="ISW46" s="44"/>
      <c r="ISX46" s="44"/>
      <c r="ISY46" s="44"/>
      <c r="ISZ46" s="44"/>
      <c r="ITA46" s="44"/>
      <c r="ITB46" s="44"/>
      <c r="ITC46" s="44"/>
      <c r="ITD46" s="44"/>
      <c r="ITE46" s="44"/>
      <c r="ITF46" s="44"/>
      <c r="ITG46" s="44"/>
      <c r="ITH46" s="44"/>
      <c r="ITI46" s="44"/>
      <c r="ITJ46" s="44"/>
      <c r="ITK46" s="44"/>
      <c r="ITL46" s="44"/>
      <c r="ITM46" s="44"/>
      <c r="ITN46" s="44"/>
      <c r="ITO46" s="44"/>
      <c r="ITP46" s="44"/>
      <c r="ITQ46" s="44"/>
      <c r="ITR46" s="44"/>
      <c r="ITS46" s="44"/>
      <c r="ITT46" s="44"/>
      <c r="ITU46" s="44"/>
      <c r="ITV46" s="44"/>
      <c r="ITW46" s="44"/>
      <c r="ITX46" s="44"/>
      <c r="ITY46" s="44"/>
      <c r="ITZ46" s="44"/>
      <c r="IUA46" s="44"/>
      <c r="IUB46" s="44"/>
      <c r="IUC46" s="44"/>
      <c r="IUD46" s="44"/>
      <c r="IUE46" s="44"/>
      <c r="IUF46" s="44"/>
      <c r="IUG46" s="44"/>
      <c r="IUH46" s="44"/>
      <c r="IUI46" s="44"/>
      <c r="IUJ46" s="44"/>
      <c r="IUK46" s="44"/>
      <c r="IUL46" s="44"/>
      <c r="IUM46" s="44"/>
      <c r="IUN46" s="44"/>
      <c r="IUO46" s="44"/>
      <c r="IUP46" s="44"/>
      <c r="IUQ46" s="44"/>
      <c r="IUR46" s="44"/>
      <c r="IUS46" s="44"/>
      <c r="IUT46" s="44"/>
      <c r="IUU46" s="44"/>
      <c r="IUV46" s="44"/>
      <c r="IUW46" s="44"/>
      <c r="IUX46" s="44"/>
      <c r="IUY46" s="44"/>
      <c r="IUZ46" s="44"/>
      <c r="IVA46" s="44"/>
      <c r="IVB46" s="44"/>
      <c r="IVC46" s="44"/>
      <c r="IVD46" s="44"/>
      <c r="IVE46" s="44"/>
      <c r="IVF46" s="44"/>
      <c r="IVG46" s="44"/>
      <c r="IVH46" s="44"/>
      <c r="IVI46" s="44"/>
      <c r="IVJ46" s="44"/>
      <c r="IVK46" s="44"/>
      <c r="IVL46" s="44"/>
      <c r="IVM46" s="44"/>
      <c r="IVN46" s="44"/>
      <c r="IVO46" s="44"/>
      <c r="IVP46" s="44"/>
      <c r="IVQ46" s="44"/>
      <c r="IVR46" s="44"/>
      <c r="IVS46" s="44"/>
      <c r="IVT46" s="44"/>
      <c r="IVU46" s="44"/>
      <c r="IVV46" s="44"/>
      <c r="IVW46" s="44"/>
      <c r="IVX46" s="44"/>
      <c r="IVY46" s="44"/>
      <c r="IVZ46" s="44"/>
      <c r="IWA46" s="44"/>
      <c r="IWB46" s="44"/>
      <c r="IWC46" s="44"/>
      <c r="IWD46" s="44"/>
      <c r="IWE46" s="44"/>
      <c r="IWF46" s="44"/>
      <c r="IWG46" s="44"/>
      <c r="IWH46" s="44"/>
      <c r="IWI46" s="44"/>
      <c r="IWJ46" s="44"/>
      <c r="IWK46" s="44"/>
      <c r="IWL46" s="44"/>
      <c r="IWM46" s="44"/>
      <c r="IWN46" s="44"/>
      <c r="IWO46" s="44"/>
      <c r="IWP46" s="44"/>
      <c r="IWQ46" s="44"/>
      <c r="IWR46" s="44"/>
      <c r="IWS46" s="44"/>
      <c r="IWT46" s="44"/>
      <c r="IWU46" s="44"/>
      <c r="IWV46" s="44"/>
      <c r="IWW46" s="44"/>
      <c r="IWX46" s="44"/>
      <c r="IWY46" s="44"/>
      <c r="IWZ46" s="44"/>
      <c r="IXA46" s="44"/>
      <c r="IXB46" s="44"/>
      <c r="IXC46" s="44"/>
      <c r="IXD46" s="44"/>
      <c r="IXE46" s="44"/>
      <c r="IXF46" s="44"/>
      <c r="IXG46" s="44"/>
      <c r="IXH46" s="44"/>
      <c r="IXI46" s="44"/>
      <c r="IXJ46" s="44"/>
      <c r="IXK46" s="44"/>
      <c r="IXL46" s="44"/>
      <c r="IXM46" s="44"/>
      <c r="IXN46" s="44"/>
      <c r="IXO46" s="44"/>
      <c r="IXP46" s="44"/>
      <c r="IXQ46" s="44"/>
      <c r="IXR46" s="44"/>
      <c r="IXS46" s="44"/>
      <c r="IXT46" s="44"/>
      <c r="IXU46" s="44"/>
      <c r="IXV46" s="44"/>
      <c r="IXW46" s="44"/>
      <c r="IXX46" s="44"/>
      <c r="IXY46" s="44"/>
      <c r="IXZ46" s="44"/>
      <c r="IYA46" s="44"/>
      <c r="IYB46" s="44"/>
      <c r="IYC46" s="44"/>
      <c r="IYD46" s="44"/>
      <c r="IYE46" s="44"/>
      <c r="IYF46" s="44"/>
      <c r="IYG46" s="44"/>
      <c r="IYH46" s="44"/>
      <c r="IYI46" s="44"/>
      <c r="IYJ46" s="44"/>
      <c r="IYK46" s="44"/>
      <c r="IYL46" s="44"/>
      <c r="IYM46" s="44"/>
      <c r="IYN46" s="44"/>
      <c r="IYO46" s="44"/>
      <c r="IYP46" s="44"/>
      <c r="IYQ46" s="44"/>
      <c r="IYR46" s="44"/>
      <c r="IYS46" s="44"/>
      <c r="IYT46" s="44"/>
      <c r="IYU46" s="44"/>
      <c r="IYV46" s="44"/>
      <c r="IYW46" s="44"/>
      <c r="IYX46" s="44"/>
      <c r="IYY46" s="44"/>
      <c r="IYZ46" s="44"/>
      <c r="IZA46" s="44"/>
      <c r="IZB46" s="44"/>
      <c r="IZC46" s="44"/>
      <c r="IZD46" s="44"/>
      <c r="IZE46" s="44"/>
      <c r="IZF46" s="44"/>
      <c r="IZG46" s="44"/>
      <c r="IZH46" s="44"/>
      <c r="IZI46" s="44"/>
      <c r="IZJ46" s="44"/>
      <c r="IZK46" s="44"/>
      <c r="IZL46" s="44"/>
      <c r="IZM46" s="44"/>
      <c r="IZN46" s="44"/>
      <c r="IZO46" s="44"/>
      <c r="IZP46" s="44"/>
      <c r="IZQ46" s="44"/>
      <c r="IZR46" s="44"/>
      <c r="IZS46" s="44"/>
      <c r="IZT46" s="44"/>
      <c r="IZU46" s="44"/>
      <c r="IZV46" s="44"/>
      <c r="IZW46" s="44"/>
      <c r="IZX46" s="44"/>
      <c r="IZY46" s="44"/>
      <c r="IZZ46" s="44"/>
      <c r="JAA46" s="44"/>
      <c r="JAB46" s="44"/>
      <c r="JAC46" s="44"/>
      <c r="JAD46" s="44"/>
      <c r="JAE46" s="44"/>
      <c r="JAF46" s="44"/>
      <c r="JAG46" s="44"/>
      <c r="JAH46" s="44"/>
      <c r="JAI46" s="44"/>
      <c r="JAJ46" s="44"/>
      <c r="JAK46" s="44"/>
      <c r="JAL46" s="44"/>
      <c r="JAM46" s="44"/>
      <c r="JAN46" s="44"/>
      <c r="JAO46" s="44"/>
      <c r="JAP46" s="44"/>
      <c r="JAQ46" s="44"/>
      <c r="JAR46" s="44"/>
      <c r="JAS46" s="44"/>
      <c r="JAT46" s="44"/>
      <c r="JAU46" s="44"/>
      <c r="JAV46" s="44"/>
      <c r="JAW46" s="44"/>
      <c r="JAX46" s="44"/>
      <c r="JAY46" s="44"/>
      <c r="JAZ46" s="44"/>
      <c r="JBA46" s="44"/>
      <c r="JBB46" s="44"/>
      <c r="JBC46" s="44"/>
      <c r="JBD46" s="44"/>
      <c r="JBE46" s="44"/>
      <c r="JBF46" s="44"/>
      <c r="JBG46" s="44"/>
      <c r="JBH46" s="44"/>
      <c r="JBI46" s="44"/>
      <c r="JBJ46" s="44"/>
      <c r="JBK46" s="44"/>
      <c r="JBL46" s="44"/>
      <c r="JBM46" s="44"/>
      <c r="JBN46" s="44"/>
      <c r="JBO46" s="44"/>
      <c r="JBP46" s="44"/>
      <c r="JBQ46" s="44"/>
      <c r="JBR46" s="44"/>
      <c r="JBS46" s="44"/>
      <c r="JBT46" s="44"/>
      <c r="JBU46" s="44"/>
      <c r="JBV46" s="44"/>
      <c r="JBW46" s="44"/>
      <c r="JBX46" s="44"/>
      <c r="JBY46" s="44"/>
      <c r="JBZ46" s="44"/>
      <c r="JCA46" s="44"/>
      <c r="JCB46" s="44"/>
      <c r="JCC46" s="44"/>
      <c r="JCD46" s="44"/>
      <c r="JCE46" s="44"/>
      <c r="JCF46" s="44"/>
      <c r="JCG46" s="44"/>
      <c r="JCH46" s="44"/>
      <c r="JCI46" s="44"/>
      <c r="JCJ46" s="44"/>
      <c r="JCK46" s="44"/>
      <c r="JCL46" s="44"/>
      <c r="JCM46" s="44"/>
      <c r="JCN46" s="44"/>
      <c r="JCO46" s="44"/>
      <c r="JCP46" s="44"/>
      <c r="JCQ46" s="44"/>
      <c r="JCR46" s="44"/>
      <c r="JCS46" s="44"/>
      <c r="JCT46" s="44"/>
      <c r="JCU46" s="44"/>
      <c r="JCV46" s="44"/>
      <c r="JCW46" s="44"/>
      <c r="JCX46" s="44"/>
      <c r="JCY46" s="44"/>
      <c r="JCZ46" s="44"/>
      <c r="JDA46" s="44"/>
      <c r="JDB46" s="44"/>
      <c r="JDC46" s="44"/>
      <c r="JDD46" s="44"/>
      <c r="JDE46" s="44"/>
      <c r="JDF46" s="44"/>
      <c r="JDG46" s="44"/>
      <c r="JDH46" s="44"/>
      <c r="JDI46" s="44"/>
      <c r="JDJ46" s="44"/>
      <c r="JDK46" s="44"/>
      <c r="JDL46" s="44"/>
      <c r="JDM46" s="44"/>
      <c r="JDN46" s="44"/>
      <c r="JDO46" s="44"/>
      <c r="JDP46" s="44"/>
      <c r="JDQ46" s="44"/>
      <c r="JDR46" s="44"/>
      <c r="JDS46" s="44"/>
      <c r="JDT46" s="44"/>
      <c r="JDU46" s="44"/>
      <c r="JDV46" s="44"/>
      <c r="JDW46" s="44"/>
      <c r="JDX46" s="44"/>
      <c r="JDY46" s="44"/>
      <c r="JDZ46" s="44"/>
      <c r="JEA46" s="44"/>
      <c r="JEB46" s="44"/>
      <c r="JEC46" s="44"/>
      <c r="JED46" s="44"/>
      <c r="JEE46" s="44"/>
      <c r="JEF46" s="44"/>
      <c r="JEG46" s="44"/>
      <c r="JEH46" s="44"/>
      <c r="JEI46" s="44"/>
      <c r="JEJ46" s="44"/>
      <c r="JEK46" s="44"/>
      <c r="JEL46" s="44"/>
      <c r="JEM46" s="44"/>
      <c r="JEN46" s="44"/>
      <c r="JEO46" s="44"/>
      <c r="JEP46" s="44"/>
      <c r="JEQ46" s="44"/>
      <c r="JER46" s="44"/>
      <c r="JES46" s="44"/>
      <c r="JET46" s="44"/>
      <c r="JEU46" s="44"/>
      <c r="JEV46" s="44"/>
      <c r="JEW46" s="44"/>
      <c r="JEX46" s="44"/>
      <c r="JEY46" s="44"/>
      <c r="JEZ46" s="44"/>
      <c r="JFA46" s="44"/>
      <c r="JFB46" s="44"/>
      <c r="JFC46" s="44"/>
      <c r="JFD46" s="44"/>
      <c r="JFE46" s="44"/>
      <c r="JFF46" s="44"/>
      <c r="JFG46" s="44"/>
      <c r="JFH46" s="44"/>
      <c r="JFI46" s="44"/>
      <c r="JFJ46" s="44"/>
      <c r="JFK46" s="44"/>
      <c r="JFL46" s="44"/>
      <c r="JFM46" s="44"/>
      <c r="JFN46" s="44"/>
      <c r="JFO46" s="44"/>
      <c r="JFP46" s="44"/>
      <c r="JFQ46" s="44"/>
      <c r="JFR46" s="44"/>
      <c r="JFS46" s="44"/>
      <c r="JFT46" s="44"/>
      <c r="JFU46" s="44"/>
      <c r="JFV46" s="44"/>
      <c r="JFW46" s="44"/>
      <c r="JFX46" s="44"/>
      <c r="JFY46" s="44"/>
      <c r="JFZ46" s="44"/>
      <c r="JGA46" s="44"/>
      <c r="JGB46" s="44"/>
      <c r="JGC46" s="44"/>
      <c r="JGD46" s="44"/>
      <c r="JGE46" s="44"/>
      <c r="JGF46" s="44"/>
      <c r="JGG46" s="44"/>
      <c r="JGH46" s="44"/>
      <c r="JGI46" s="44"/>
      <c r="JGJ46" s="44"/>
      <c r="JGK46" s="44"/>
      <c r="JGL46" s="44"/>
      <c r="JGM46" s="44"/>
      <c r="JGN46" s="44"/>
      <c r="JGO46" s="44"/>
      <c r="JGP46" s="44"/>
      <c r="JGQ46" s="44"/>
      <c r="JGR46" s="44"/>
      <c r="JGS46" s="44"/>
      <c r="JGT46" s="44"/>
      <c r="JGU46" s="44"/>
      <c r="JGV46" s="44"/>
      <c r="JGW46" s="44"/>
      <c r="JGX46" s="44"/>
      <c r="JGY46" s="44"/>
      <c r="JGZ46" s="44"/>
      <c r="JHA46" s="44"/>
      <c r="JHB46" s="44"/>
      <c r="JHC46" s="44"/>
      <c r="JHD46" s="44"/>
      <c r="JHE46" s="44"/>
      <c r="JHF46" s="44"/>
      <c r="JHG46" s="44"/>
      <c r="JHH46" s="44"/>
      <c r="JHI46" s="44"/>
      <c r="JHJ46" s="44"/>
      <c r="JHK46" s="44"/>
      <c r="JHL46" s="44"/>
      <c r="JHM46" s="44"/>
      <c r="JHN46" s="44"/>
      <c r="JHO46" s="44"/>
      <c r="JHP46" s="44"/>
      <c r="JHQ46" s="44"/>
      <c r="JHR46" s="44"/>
      <c r="JHS46" s="44"/>
      <c r="JHT46" s="44"/>
      <c r="JHU46" s="44"/>
      <c r="JHV46" s="44"/>
      <c r="JHW46" s="44"/>
      <c r="JHX46" s="44"/>
      <c r="JHY46" s="44"/>
      <c r="JHZ46" s="44"/>
      <c r="JIA46" s="44"/>
      <c r="JIB46" s="44"/>
      <c r="JIC46" s="44"/>
      <c r="JID46" s="44"/>
      <c r="JIE46" s="44"/>
      <c r="JIF46" s="44"/>
      <c r="JIG46" s="44"/>
      <c r="JIH46" s="44"/>
      <c r="JII46" s="44"/>
      <c r="JIJ46" s="44"/>
      <c r="JIK46" s="44"/>
      <c r="JIL46" s="44"/>
      <c r="JIM46" s="44"/>
      <c r="JIN46" s="44"/>
      <c r="JIO46" s="44"/>
      <c r="JIP46" s="44"/>
      <c r="JIQ46" s="44"/>
      <c r="JIR46" s="44"/>
      <c r="JIS46" s="44"/>
      <c r="JIT46" s="44"/>
      <c r="JIU46" s="44"/>
      <c r="JIV46" s="44"/>
      <c r="JIW46" s="44"/>
      <c r="JIX46" s="44"/>
      <c r="JIY46" s="44"/>
      <c r="JIZ46" s="44"/>
      <c r="JJA46" s="44"/>
      <c r="JJB46" s="44"/>
      <c r="JJC46" s="44"/>
      <c r="JJD46" s="44"/>
      <c r="JJE46" s="44"/>
      <c r="JJF46" s="44"/>
      <c r="JJG46" s="44"/>
      <c r="JJH46" s="44"/>
      <c r="JJI46" s="44"/>
      <c r="JJJ46" s="44"/>
      <c r="JJK46" s="44"/>
      <c r="JJL46" s="44"/>
      <c r="JJM46" s="44"/>
      <c r="JJN46" s="44"/>
      <c r="JJO46" s="44"/>
      <c r="JJP46" s="44"/>
      <c r="JJQ46" s="44"/>
      <c r="JJR46" s="44"/>
      <c r="JJS46" s="44"/>
      <c r="JJT46" s="44"/>
      <c r="JJU46" s="44"/>
      <c r="JJV46" s="44"/>
      <c r="JJW46" s="44"/>
      <c r="JJX46" s="44"/>
      <c r="JJY46" s="44"/>
      <c r="JJZ46" s="44"/>
      <c r="JKA46" s="44"/>
      <c r="JKB46" s="44"/>
      <c r="JKC46" s="44"/>
      <c r="JKD46" s="44"/>
      <c r="JKE46" s="44"/>
      <c r="JKF46" s="44"/>
      <c r="JKG46" s="44"/>
      <c r="JKH46" s="44"/>
      <c r="JKI46" s="44"/>
      <c r="JKJ46" s="44"/>
      <c r="JKK46" s="44"/>
      <c r="JKL46" s="44"/>
      <c r="JKM46" s="44"/>
      <c r="JKN46" s="44"/>
      <c r="JKO46" s="44"/>
      <c r="JKP46" s="44"/>
      <c r="JKQ46" s="44"/>
      <c r="JKR46" s="44"/>
      <c r="JKS46" s="44"/>
      <c r="JKT46" s="44"/>
      <c r="JKU46" s="44"/>
      <c r="JKV46" s="44"/>
      <c r="JKW46" s="44"/>
      <c r="JKX46" s="44"/>
      <c r="JKY46" s="44"/>
      <c r="JKZ46" s="44"/>
      <c r="JLA46" s="44"/>
      <c r="JLB46" s="44"/>
      <c r="JLC46" s="44"/>
      <c r="JLD46" s="44"/>
      <c r="JLE46" s="44"/>
      <c r="JLF46" s="44"/>
      <c r="JLG46" s="44"/>
      <c r="JLH46" s="44"/>
      <c r="JLI46" s="44"/>
      <c r="JLJ46" s="44"/>
      <c r="JLK46" s="44"/>
      <c r="JLL46" s="44"/>
      <c r="JLM46" s="44"/>
      <c r="JLN46" s="44"/>
      <c r="JLO46" s="44"/>
      <c r="JLP46" s="44"/>
      <c r="JLQ46" s="44"/>
      <c r="JLR46" s="44"/>
      <c r="JLS46" s="44"/>
      <c r="JLT46" s="44"/>
      <c r="JLU46" s="44"/>
      <c r="JLV46" s="44"/>
      <c r="JLW46" s="44"/>
      <c r="JLX46" s="44"/>
      <c r="JLY46" s="44"/>
      <c r="JLZ46" s="44"/>
      <c r="JMA46" s="44"/>
      <c r="JMB46" s="44"/>
      <c r="JMC46" s="44"/>
      <c r="JMD46" s="44"/>
      <c r="JME46" s="44"/>
      <c r="JMF46" s="44"/>
      <c r="JMG46" s="44"/>
      <c r="JMH46" s="44"/>
      <c r="JMI46" s="44"/>
      <c r="JMJ46" s="44"/>
      <c r="JMK46" s="44"/>
      <c r="JML46" s="44"/>
      <c r="JMM46" s="44"/>
      <c r="JMN46" s="44"/>
      <c r="JMO46" s="44"/>
      <c r="JMP46" s="44"/>
      <c r="JMQ46" s="44"/>
      <c r="JMR46" s="44"/>
      <c r="JMS46" s="44"/>
      <c r="JMT46" s="44"/>
      <c r="JMU46" s="44"/>
      <c r="JMV46" s="44"/>
      <c r="JMW46" s="44"/>
      <c r="JMX46" s="44"/>
      <c r="JMY46" s="44"/>
      <c r="JMZ46" s="44"/>
      <c r="JNA46" s="44"/>
      <c r="JNB46" s="44"/>
      <c r="JNC46" s="44"/>
      <c r="JND46" s="44"/>
      <c r="JNE46" s="44"/>
      <c r="JNF46" s="44"/>
      <c r="JNG46" s="44"/>
      <c r="JNH46" s="44"/>
      <c r="JNI46" s="44"/>
      <c r="JNJ46" s="44"/>
      <c r="JNK46" s="44"/>
      <c r="JNL46" s="44"/>
      <c r="JNM46" s="44"/>
      <c r="JNN46" s="44"/>
      <c r="JNO46" s="44"/>
      <c r="JNP46" s="44"/>
      <c r="JNQ46" s="44"/>
      <c r="JNR46" s="44"/>
      <c r="JNS46" s="44"/>
      <c r="JNT46" s="44"/>
      <c r="JNU46" s="44"/>
      <c r="JNV46" s="44"/>
      <c r="JNW46" s="44"/>
      <c r="JNX46" s="44"/>
      <c r="JNY46" s="44"/>
      <c r="JNZ46" s="44"/>
      <c r="JOA46" s="44"/>
      <c r="JOB46" s="44"/>
      <c r="JOC46" s="44"/>
      <c r="JOD46" s="44"/>
      <c r="JOE46" s="44"/>
      <c r="JOF46" s="44"/>
      <c r="JOG46" s="44"/>
      <c r="JOH46" s="44"/>
      <c r="JOI46" s="44"/>
      <c r="JOJ46" s="44"/>
      <c r="JOK46" s="44"/>
      <c r="JOL46" s="44"/>
      <c r="JOM46" s="44"/>
      <c r="JON46" s="44"/>
      <c r="JOO46" s="44"/>
      <c r="JOP46" s="44"/>
      <c r="JOQ46" s="44"/>
      <c r="JOR46" s="44"/>
      <c r="JOS46" s="44"/>
      <c r="JOT46" s="44"/>
      <c r="JOU46" s="44"/>
      <c r="JOV46" s="44"/>
      <c r="JOW46" s="44"/>
      <c r="JOX46" s="44"/>
      <c r="JOY46" s="44"/>
      <c r="JOZ46" s="44"/>
      <c r="JPA46" s="44"/>
      <c r="JPB46" s="44"/>
      <c r="JPC46" s="44"/>
      <c r="JPD46" s="44"/>
      <c r="JPE46" s="44"/>
      <c r="JPF46" s="44"/>
      <c r="JPG46" s="44"/>
      <c r="JPH46" s="44"/>
      <c r="JPI46" s="44"/>
      <c r="JPJ46" s="44"/>
      <c r="JPK46" s="44"/>
      <c r="JPL46" s="44"/>
      <c r="JPM46" s="44"/>
      <c r="JPN46" s="44"/>
      <c r="JPO46" s="44"/>
      <c r="JPP46" s="44"/>
      <c r="JPQ46" s="44"/>
      <c r="JPR46" s="44"/>
      <c r="JPS46" s="44"/>
      <c r="JPT46" s="44"/>
      <c r="JPU46" s="44"/>
      <c r="JPV46" s="44"/>
      <c r="JPW46" s="44"/>
      <c r="JPX46" s="44"/>
      <c r="JPY46" s="44"/>
      <c r="JPZ46" s="44"/>
      <c r="JQA46" s="44"/>
      <c r="JQB46" s="44"/>
      <c r="JQC46" s="44"/>
      <c r="JQD46" s="44"/>
      <c r="JQE46" s="44"/>
      <c r="JQF46" s="44"/>
      <c r="JQG46" s="44"/>
      <c r="JQH46" s="44"/>
      <c r="JQI46" s="44"/>
      <c r="JQJ46" s="44"/>
      <c r="JQK46" s="44"/>
      <c r="JQL46" s="44"/>
      <c r="JQM46" s="44"/>
      <c r="JQN46" s="44"/>
      <c r="JQO46" s="44"/>
      <c r="JQP46" s="44"/>
      <c r="JQQ46" s="44"/>
      <c r="JQR46" s="44"/>
      <c r="JQS46" s="44"/>
      <c r="JQT46" s="44"/>
      <c r="JQU46" s="44"/>
      <c r="JQV46" s="44"/>
      <c r="JQW46" s="44"/>
      <c r="JQX46" s="44"/>
      <c r="JQY46" s="44"/>
      <c r="JQZ46" s="44"/>
      <c r="JRA46" s="44"/>
      <c r="JRB46" s="44"/>
      <c r="JRC46" s="44"/>
      <c r="JRD46" s="44"/>
      <c r="JRE46" s="44"/>
      <c r="JRF46" s="44"/>
      <c r="JRG46" s="44"/>
      <c r="JRH46" s="44"/>
      <c r="JRI46" s="44"/>
      <c r="JRJ46" s="44"/>
      <c r="JRK46" s="44"/>
      <c r="JRL46" s="44"/>
      <c r="JRM46" s="44"/>
      <c r="JRN46" s="44"/>
      <c r="JRO46" s="44"/>
      <c r="JRP46" s="44"/>
      <c r="JRQ46" s="44"/>
      <c r="JRR46" s="44"/>
      <c r="JRS46" s="44"/>
      <c r="JRT46" s="44"/>
      <c r="JRU46" s="44"/>
      <c r="JRV46" s="44"/>
      <c r="JRW46" s="44"/>
      <c r="JRX46" s="44"/>
      <c r="JRY46" s="44"/>
      <c r="JRZ46" s="44"/>
      <c r="JSA46" s="44"/>
      <c r="JSB46" s="44"/>
      <c r="JSC46" s="44"/>
      <c r="JSD46" s="44"/>
      <c r="JSE46" s="44"/>
      <c r="JSF46" s="44"/>
      <c r="JSG46" s="44"/>
      <c r="JSH46" s="44"/>
      <c r="JSI46" s="44"/>
      <c r="JSJ46" s="44"/>
      <c r="JSK46" s="44"/>
      <c r="JSL46" s="44"/>
      <c r="JSM46" s="44"/>
      <c r="JSN46" s="44"/>
      <c r="JSO46" s="44"/>
      <c r="JSP46" s="44"/>
      <c r="JSQ46" s="44"/>
      <c r="JSR46" s="44"/>
      <c r="JSS46" s="44"/>
      <c r="JST46" s="44"/>
      <c r="JSU46" s="44"/>
      <c r="JSV46" s="44"/>
      <c r="JSW46" s="44"/>
      <c r="JSX46" s="44"/>
      <c r="JSY46" s="44"/>
      <c r="JSZ46" s="44"/>
      <c r="JTA46" s="44"/>
      <c r="JTB46" s="44"/>
      <c r="JTC46" s="44"/>
      <c r="JTD46" s="44"/>
      <c r="JTE46" s="44"/>
      <c r="JTF46" s="44"/>
      <c r="JTG46" s="44"/>
      <c r="JTH46" s="44"/>
      <c r="JTI46" s="44"/>
      <c r="JTJ46" s="44"/>
      <c r="JTK46" s="44"/>
      <c r="JTL46" s="44"/>
      <c r="JTM46" s="44"/>
      <c r="JTN46" s="44"/>
      <c r="JTO46" s="44"/>
      <c r="JTP46" s="44"/>
      <c r="JTQ46" s="44"/>
      <c r="JTR46" s="44"/>
      <c r="JTS46" s="44"/>
      <c r="JTT46" s="44"/>
      <c r="JTU46" s="44"/>
      <c r="JTV46" s="44"/>
      <c r="JTW46" s="44"/>
      <c r="JTX46" s="44"/>
      <c r="JTY46" s="44"/>
      <c r="JTZ46" s="44"/>
      <c r="JUA46" s="44"/>
      <c r="JUB46" s="44"/>
      <c r="JUC46" s="44"/>
      <c r="JUD46" s="44"/>
      <c r="JUE46" s="44"/>
      <c r="JUF46" s="44"/>
      <c r="JUG46" s="44"/>
      <c r="JUH46" s="44"/>
      <c r="JUI46" s="44"/>
      <c r="JUJ46" s="44"/>
      <c r="JUK46" s="44"/>
      <c r="JUL46" s="44"/>
      <c r="JUM46" s="44"/>
      <c r="JUN46" s="44"/>
      <c r="JUO46" s="44"/>
      <c r="JUP46" s="44"/>
      <c r="JUQ46" s="44"/>
      <c r="JUR46" s="44"/>
      <c r="JUS46" s="44"/>
      <c r="JUT46" s="44"/>
      <c r="JUU46" s="44"/>
      <c r="JUV46" s="44"/>
      <c r="JUW46" s="44"/>
      <c r="JUX46" s="44"/>
      <c r="JUY46" s="44"/>
      <c r="JUZ46" s="44"/>
      <c r="JVA46" s="44"/>
      <c r="JVB46" s="44"/>
      <c r="JVC46" s="44"/>
      <c r="JVD46" s="44"/>
      <c r="JVE46" s="44"/>
      <c r="JVF46" s="44"/>
      <c r="JVG46" s="44"/>
      <c r="JVH46" s="44"/>
      <c r="JVI46" s="44"/>
      <c r="JVJ46" s="44"/>
      <c r="JVK46" s="44"/>
      <c r="JVL46" s="44"/>
      <c r="JVM46" s="44"/>
      <c r="JVN46" s="44"/>
      <c r="JVO46" s="44"/>
      <c r="JVP46" s="44"/>
      <c r="JVQ46" s="44"/>
      <c r="JVR46" s="44"/>
      <c r="JVS46" s="44"/>
      <c r="JVT46" s="44"/>
      <c r="JVU46" s="44"/>
      <c r="JVV46" s="44"/>
      <c r="JVW46" s="44"/>
      <c r="JVX46" s="44"/>
      <c r="JVY46" s="44"/>
      <c r="JVZ46" s="44"/>
      <c r="JWA46" s="44"/>
      <c r="JWB46" s="44"/>
      <c r="JWC46" s="44"/>
      <c r="JWD46" s="44"/>
      <c r="JWE46" s="44"/>
      <c r="JWF46" s="44"/>
      <c r="JWG46" s="44"/>
      <c r="JWH46" s="44"/>
      <c r="JWI46" s="44"/>
      <c r="JWJ46" s="44"/>
      <c r="JWK46" s="44"/>
      <c r="JWL46" s="44"/>
      <c r="JWM46" s="44"/>
      <c r="JWN46" s="44"/>
      <c r="JWO46" s="44"/>
      <c r="JWP46" s="44"/>
      <c r="JWQ46" s="44"/>
      <c r="JWR46" s="44"/>
      <c r="JWS46" s="44"/>
      <c r="JWT46" s="44"/>
      <c r="JWU46" s="44"/>
      <c r="JWV46" s="44"/>
      <c r="JWW46" s="44"/>
      <c r="JWX46" s="44"/>
      <c r="JWY46" s="44"/>
      <c r="JWZ46" s="44"/>
      <c r="JXA46" s="44"/>
      <c r="JXB46" s="44"/>
      <c r="JXC46" s="44"/>
      <c r="JXD46" s="44"/>
      <c r="JXE46" s="44"/>
      <c r="JXF46" s="44"/>
      <c r="JXG46" s="44"/>
      <c r="JXH46" s="44"/>
      <c r="JXI46" s="44"/>
      <c r="JXJ46" s="44"/>
      <c r="JXK46" s="44"/>
      <c r="JXL46" s="44"/>
      <c r="JXM46" s="44"/>
      <c r="JXN46" s="44"/>
      <c r="JXO46" s="44"/>
      <c r="JXP46" s="44"/>
      <c r="JXQ46" s="44"/>
      <c r="JXR46" s="44"/>
      <c r="JXS46" s="44"/>
      <c r="JXT46" s="44"/>
      <c r="JXU46" s="44"/>
      <c r="JXV46" s="44"/>
      <c r="JXW46" s="44"/>
      <c r="JXX46" s="44"/>
      <c r="JXY46" s="44"/>
      <c r="JXZ46" s="44"/>
      <c r="JYA46" s="44"/>
      <c r="JYB46" s="44"/>
      <c r="JYC46" s="44"/>
      <c r="JYD46" s="44"/>
      <c r="JYE46" s="44"/>
      <c r="JYF46" s="44"/>
      <c r="JYG46" s="44"/>
      <c r="JYH46" s="44"/>
      <c r="JYI46" s="44"/>
      <c r="JYJ46" s="44"/>
      <c r="JYK46" s="44"/>
      <c r="JYL46" s="44"/>
      <c r="JYM46" s="44"/>
      <c r="JYN46" s="44"/>
      <c r="JYO46" s="44"/>
      <c r="JYP46" s="44"/>
      <c r="JYQ46" s="44"/>
      <c r="JYR46" s="44"/>
      <c r="JYS46" s="44"/>
      <c r="JYT46" s="44"/>
      <c r="JYU46" s="44"/>
      <c r="JYV46" s="44"/>
      <c r="JYW46" s="44"/>
      <c r="JYX46" s="44"/>
      <c r="JYY46" s="44"/>
      <c r="JYZ46" s="44"/>
      <c r="JZA46" s="44"/>
      <c r="JZB46" s="44"/>
      <c r="JZC46" s="44"/>
      <c r="JZD46" s="44"/>
      <c r="JZE46" s="44"/>
      <c r="JZF46" s="44"/>
      <c r="JZG46" s="44"/>
      <c r="JZH46" s="44"/>
      <c r="JZI46" s="44"/>
      <c r="JZJ46" s="44"/>
      <c r="JZK46" s="44"/>
      <c r="JZL46" s="44"/>
      <c r="JZM46" s="44"/>
      <c r="JZN46" s="44"/>
      <c r="JZO46" s="44"/>
      <c r="JZP46" s="44"/>
      <c r="JZQ46" s="44"/>
      <c r="JZR46" s="44"/>
      <c r="JZS46" s="44"/>
      <c r="JZT46" s="44"/>
      <c r="JZU46" s="44"/>
      <c r="JZV46" s="44"/>
      <c r="JZW46" s="44"/>
      <c r="JZX46" s="44"/>
      <c r="JZY46" s="44"/>
      <c r="JZZ46" s="44"/>
      <c r="KAA46" s="44"/>
      <c r="KAB46" s="44"/>
      <c r="KAC46" s="44"/>
      <c r="KAD46" s="44"/>
      <c r="KAE46" s="44"/>
      <c r="KAF46" s="44"/>
      <c r="KAG46" s="44"/>
      <c r="KAH46" s="44"/>
      <c r="KAI46" s="44"/>
      <c r="KAJ46" s="44"/>
      <c r="KAK46" s="44"/>
      <c r="KAL46" s="44"/>
      <c r="KAM46" s="44"/>
      <c r="KAN46" s="44"/>
      <c r="KAO46" s="44"/>
      <c r="KAP46" s="44"/>
      <c r="KAQ46" s="44"/>
      <c r="KAR46" s="44"/>
      <c r="KAS46" s="44"/>
      <c r="KAT46" s="44"/>
      <c r="KAU46" s="44"/>
      <c r="KAV46" s="44"/>
      <c r="KAW46" s="44"/>
      <c r="KAX46" s="44"/>
      <c r="KAY46" s="44"/>
      <c r="KAZ46" s="44"/>
      <c r="KBA46" s="44"/>
      <c r="KBB46" s="44"/>
      <c r="KBC46" s="44"/>
      <c r="KBD46" s="44"/>
      <c r="KBE46" s="44"/>
      <c r="KBF46" s="44"/>
      <c r="KBG46" s="44"/>
      <c r="KBH46" s="44"/>
      <c r="KBI46" s="44"/>
      <c r="KBJ46" s="44"/>
      <c r="KBK46" s="44"/>
      <c r="KBL46" s="44"/>
      <c r="KBM46" s="44"/>
      <c r="KBN46" s="44"/>
      <c r="KBO46" s="44"/>
      <c r="KBP46" s="44"/>
      <c r="KBQ46" s="44"/>
      <c r="KBR46" s="44"/>
      <c r="KBS46" s="44"/>
      <c r="KBT46" s="44"/>
      <c r="KBU46" s="44"/>
      <c r="KBV46" s="44"/>
      <c r="KBW46" s="44"/>
      <c r="KBX46" s="44"/>
      <c r="KBY46" s="44"/>
      <c r="KBZ46" s="44"/>
      <c r="KCA46" s="44"/>
      <c r="KCB46" s="44"/>
      <c r="KCC46" s="44"/>
      <c r="KCD46" s="44"/>
      <c r="KCE46" s="44"/>
      <c r="KCF46" s="44"/>
      <c r="KCG46" s="44"/>
      <c r="KCH46" s="44"/>
      <c r="KCI46" s="44"/>
      <c r="KCJ46" s="44"/>
      <c r="KCK46" s="44"/>
      <c r="KCL46" s="44"/>
      <c r="KCM46" s="44"/>
      <c r="KCN46" s="44"/>
      <c r="KCO46" s="44"/>
      <c r="KCP46" s="44"/>
      <c r="KCQ46" s="44"/>
      <c r="KCR46" s="44"/>
      <c r="KCS46" s="44"/>
      <c r="KCT46" s="44"/>
      <c r="KCU46" s="44"/>
      <c r="KCV46" s="44"/>
      <c r="KCW46" s="44"/>
      <c r="KCX46" s="44"/>
      <c r="KCY46" s="44"/>
      <c r="KCZ46" s="44"/>
      <c r="KDA46" s="44"/>
      <c r="KDB46" s="44"/>
      <c r="KDC46" s="44"/>
      <c r="KDD46" s="44"/>
      <c r="KDE46" s="44"/>
      <c r="KDF46" s="44"/>
      <c r="KDG46" s="44"/>
      <c r="KDH46" s="44"/>
      <c r="KDI46" s="44"/>
      <c r="KDJ46" s="44"/>
      <c r="KDK46" s="44"/>
      <c r="KDL46" s="44"/>
      <c r="KDM46" s="44"/>
      <c r="KDN46" s="44"/>
      <c r="KDO46" s="44"/>
      <c r="KDP46" s="44"/>
      <c r="KDQ46" s="44"/>
      <c r="KDR46" s="44"/>
      <c r="KDS46" s="44"/>
      <c r="KDT46" s="44"/>
      <c r="KDU46" s="44"/>
      <c r="KDV46" s="44"/>
      <c r="KDW46" s="44"/>
      <c r="KDX46" s="44"/>
      <c r="KDY46" s="44"/>
      <c r="KDZ46" s="44"/>
      <c r="KEA46" s="44"/>
      <c r="KEB46" s="44"/>
      <c r="KEC46" s="44"/>
      <c r="KED46" s="44"/>
      <c r="KEE46" s="44"/>
      <c r="KEF46" s="44"/>
      <c r="KEG46" s="44"/>
      <c r="KEH46" s="44"/>
      <c r="KEI46" s="44"/>
      <c r="KEJ46" s="44"/>
      <c r="KEK46" s="44"/>
      <c r="KEL46" s="44"/>
      <c r="KEM46" s="44"/>
      <c r="KEN46" s="44"/>
      <c r="KEO46" s="44"/>
      <c r="KEP46" s="44"/>
      <c r="KEQ46" s="44"/>
      <c r="KER46" s="44"/>
      <c r="KES46" s="44"/>
      <c r="KET46" s="44"/>
      <c r="KEU46" s="44"/>
      <c r="KEV46" s="44"/>
      <c r="KEW46" s="44"/>
      <c r="KEX46" s="44"/>
      <c r="KEY46" s="44"/>
      <c r="KEZ46" s="44"/>
      <c r="KFA46" s="44"/>
      <c r="KFB46" s="44"/>
      <c r="KFC46" s="44"/>
      <c r="KFD46" s="44"/>
      <c r="KFE46" s="44"/>
      <c r="KFF46" s="44"/>
      <c r="KFG46" s="44"/>
      <c r="KFH46" s="44"/>
      <c r="KFI46" s="44"/>
      <c r="KFJ46" s="44"/>
      <c r="KFK46" s="44"/>
      <c r="KFL46" s="44"/>
      <c r="KFM46" s="44"/>
      <c r="KFN46" s="44"/>
      <c r="KFO46" s="44"/>
      <c r="KFP46" s="44"/>
      <c r="KFQ46" s="44"/>
      <c r="KFR46" s="44"/>
      <c r="KFS46" s="44"/>
      <c r="KFT46" s="44"/>
      <c r="KFU46" s="44"/>
      <c r="KFV46" s="44"/>
      <c r="KFW46" s="44"/>
      <c r="KFX46" s="44"/>
      <c r="KFY46" s="44"/>
      <c r="KFZ46" s="44"/>
      <c r="KGA46" s="44"/>
      <c r="KGB46" s="44"/>
      <c r="KGC46" s="44"/>
      <c r="KGD46" s="44"/>
      <c r="KGE46" s="44"/>
      <c r="KGF46" s="44"/>
      <c r="KGG46" s="44"/>
      <c r="KGH46" s="44"/>
      <c r="KGI46" s="44"/>
      <c r="KGJ46" s="44"/>
      <c r="KGK46" s="44"/>
      <c r="KGL46" s="44"/>
      <c r="KGM46" s="44"/>
      <c r="KGN46" s="44"/>
      <c r="KGO46" s="44"/>
      <c r="KGP46" s="44"/>
      <c r="KGQ46" s="44"/>
      <c r="KGR46" s="44"/>
      <c r="KGS46" s="44"/>
      <c r="KGT46" s="44"/>
      <c r="KGU46" s="44"/>
      <c r="KGV46" s="44"/>
      <c r="KGW46" s="44"/>
      <c r="KGX46" s="44"/>
      <c r="KGY46" s="44"/>
      <c r="KGZ46" s="44"/>
      <c r="KHA46" s="44"/>
      <c r="KHB46" s="44"/>
      <c r="KHC46" s="44"/>
      <c r="KHD46" s="44"/>
      <c r="KHE46" s="44"/>
      <c r="KHF46" s="44"/>
      <c r="KHG46" s="44"/>
      <c r="KHH46" s="44"/>
      <c r="KHI46" s="44"/>
      <c r="KHJ46" s="44"/>
      <c r="KHK46" s="44"/>
      <c r="KHL46" s="44"/>
      <c r="KHM46" s="44"/>
      <c r="KHN46" s="44"/>
      <c r="KHO46" s="44"/>
      <c r="KHP46" s="44"/>
      <c r="KHQ46" s="44"/>
      <c r="KHR46" s="44"/>
      <c r="KHS46" s="44"/>
      <c r="KHT46" s="44"/>
      <c r="KHU46" s="44"/>
      <c r="KHV46" s="44"/>
      <c r="KHW46" s="44"/>
      <c r="KHX46" s="44"/>
      <c r="KHY46" s="44"/>
      <c r="KHZ46" s="44"/>
      <c r="KIA46" s="44"/>
      <c r="KIB46" s="44"/>
      <c r="KIC46" s="44"/>
      <c r="KID46" s="44"/>
      <c r="KIE46" s="44"/>
      <c r="KIF46" s="44"/>
      <c r="KIG46" s="44"/>
      <c r="KIH46" s="44"/>
      <c r="KII46" s="44"/>
      <c r="KIJ46" s="44"/>
      <c r="KIK46" s="44"/>
      <c r="KIL46" s="44"/>
      <c r="KIM46" s="44"/>
      <c r="KIN46" s="44"/>
      <c r="KIO46" s="44"/>
      <c r="KIP46" s="44"/>
      <c r="KIQ46" s="44"/>
      <c r="KIR46" s="44"/>
      <c r="KIS46" s="44"/>
      <c r="KIT46" s="44"/>
      <c r="KIU46" s="44"/>
      <c r="KIV46" s="44"/>
      <c r="KIW46" s="44"/>
      <c r="KIX46" s="44"/>
      <c r="KIY46" s="44"/>
      <c r="KIZ46" s="44"/>
      <c r="KJA46" s="44"/>
      <c r="KJB46" s="44"/>
      <c r="KJC46" s="44"/>
      <c r="KJD46" s="44"/>
      <c r="KJE46" s="44"/>
      <c r="KJF46" s="44"/>
      <c r="KJG46" s="44"/>
      <c r="KJH46" s="44"/>
      <c r="KJI46" s="44"/>
      <c r="KJJ46" s="44"/>
      <c r="KJK46" s="44"/>
      <c r="KJL46" s="44"/>
      <c r="KJM46" s="44"/>
      <c r="KJN46" s="44"/>
      <c r="KJO46" s="44"/>
      <c r="KJP46" s="44"/>
      <c r="KJQ46" s="44"/>
      <c r="KJR46" s="44"/>
      <c r="KJS46" s="44"/>
      <c r="KJT46" s="44"/>
      <c r="KJU46" s="44"/>
      <c r="KJV46" s="44"/>
      <c r="KJW46" s="44"/>
      <c r="KJX46" s="44"/>
      <c r="KJY46" s="44"/>
      <c r="KJZ46" s="44"/>
      <c r="KKA46" s="44"/>
      <c r="KKB46" s="44"/>
      <c r="KKC46" s="44"/>
      <c r="KKD46" s="44"/>
      <c r="KKE46" s="44"/>
      <c r="KKF46" s="44"/>
      <c r="KKG46" s="44"/>
      <c r="KKH46" s="44"/>
      <c r="KKI46" s="44"/>
      <c r="KKJ46" s="44"/>
      <c r="KKK46" s="44"/>
      <c r="KKL46" s="44"/>
      <c r="KKM46" s="44"/>
      <c r="KKN46" s="44"/>
      <c r="KKO46" s="44"/>
      <c r="KKP46" s="44"/>
      <c r="KKQ46" s="44"/>
      <c r="KKR46" s="44"/>
      <c r="KKS46" s="44"/>
      <c r="KKT46" s="44"/>
      <c r="KKU46" s="44"/>
      <c r="KKV46" s="44"/>
      <c r="KKW46" s="44"/>
      <c r="KKX46" s="44"/>
      <c r="KKY46" s="44"/>
      <c r="KKZ46" s="44"/>
      <c r="KLA46" s="44"/>
      <c r="KLB46" s="44"/>
      <c r="KLC46" s="44"/>
      <c r="KLD46" s="44"/>
      <c r="KLE46" s="44"/>
      <c r="KLF46" s="44"/>
      <c r="KLG46" s="44"/>
      <c r="KLH46" s="44"/>
      <c r="KLI46" s="44"/>
      <c r="KLJ46" s="44"/>
      <c r="KLK46" s="44"/>
      <c r="KLL46" s="44"/>
      <c r="KLM46" s="44"/>
      <c r="KLN46" s="44"/>
      <c r="KLO46" s="44"/>
      <c r="KLP46" s="44"/>
      <c r="KLQ46" s="44"/>
      <c r="KLR46" s="44"/>
      <c r="KLS46" s="44"/>
      <c r="KLT46" s="44"/>
      <c r="KLU46" s="44"/>
      <c r="KLV46" s="44"/>
      <c r="KLW46" s="44"/>
      <c r="KLX46" s="44"/>
      <c r="KLY46" s="44"/>
      <c r="KLZ46" s="44"/>
      <c r="KMA46" s="44"/>
      <c r="KMB46" s="44"/>
      <c r="KMC46" s="44"/>
      <c r="KMD46" s="44"/>
      <c r="KME46" s="44"/>
      <c r="KMF46" s="44"/>
      <c r="KMG46" s="44"/>
      <c r="KMH46" s="44"/>
      <c r="KMI46" s="44"/>
      <c r="KMJ46" s="44"/>
      <c r="KMK46" s="44"/>
      <c r="KML46" s="44"/>
      <c r="KMM46" s="44"/>
      <c r="KMN46" s="44"/>
      <c r="KMO46" s="44"/>
      <c r="KMP46" s="44"/>
      <c r="KMQ46" s="44"/>
      <c r="KMR46" s="44"/>
      <c r="KMS46" s="44"/>
      <c r="KMT46" s="44"/>
      <c r="KMU46" s="44"/>
      <c r="KMV46" s="44"/>
      <c r="KMW46" s="44"/>
      <c r="KMX46" s="44"/>
      <c r="KMY46" s="44"/>
      <c r="KMZ46" s="44"/>
      <c r="KNA46" s="44"/>
      <c r="KNB46" s="44"/>
      <c r="KNC46" s="44"/>
      <c r="KND46" s="44"/>
      <c r="KNE46" s="44"/>
      <c r="KNF46" s="44"/>
      <c r="KNG46" s="44"/>
      <c r="KNH46" s="44"/>
      <c r="KNI46" s="44"/>
      <c r="KNJ46" s="44"/>
      <c r="KNK46" s="44"/>
      <c r="KNL46" s="44"/>
      <c r="KNM46" s="44"/>
      <c r="KNN46" s="44"/>
      <c r="KNO46" s="44"/>
      <c r="KNP46" s="44"/>
      <c r="KNQ46" s="44"/>
      <c r="KNR46" s="44"/>
      <c r="KNS46" s="44"/>
      <c r="KNT46" s="44"/>
      <c r="KNU46" s="44"/>
      <c r="KNV46" s="44"/>
      <c r="KNW46" s="44"/>
      <c r="KNX46" s="44"/>
      <c r="KNY46" s="44"/>
      <c r="KNZ46" s="44"/>
      <c r="KOA46" s="44"/>
      <c r="KOB46" s="44"/>
      <c r="KOC46" s="44"/>
      <c r="KOD46" s="44"/>
      <c r="KOE46" s="44"/>
      <c r="KOF46" s="44"/>
      <c r="KOG46" s="44"/>
      <c r="KOH46" s="44"/>
      <c r="KOI46" s="44"/>
      <c r="KOJ46" s="44"/>
      <c r="KOK46" s="44"/>
      <c r="KOL46" s="44"/>
      <c r="KOM46" s="44"/>
      <c r="KON46" s="44"/>
      <c r="KOO46" s="44"/>
      <c r="KOP46" s="44"/>
      <c r="KOQ46" s="44"/>
      <c r="KOR46" s="44"/>
      <c r="KOS46" s="44"/>
      <c r="KOT46" s="44"/>
      <c r="KOU46" s="44"/>
      <c r="KOV46" s="44"/>
      <c r="KOW46" s="44"/>
      <c r="KOX46" s="44"/>
      <c r="KOY46" s="44"/>
      <c r="KOZ46" s="44"/>
      <c r="KPA46" s="44"/>
      <c r="KPB46" s="44"/>
      <c r="KPC46" s="44"/>
      <c r="KPD46" s="44"/>
      <c r="KPE46" s="44"/>
      <c r="KPF46" s="44"/>
      <c r="KPG46" s="44"/>
      <c r="KPH46" s="44"/>
      <c r="KPI46" s="44"/>
      <c r="KPJ46" s="44"/>
      <c r="KPK46" s="44"/>
      <c r="KPL46" s="44"/>
      <c r="KPM46" s="44"/>
      <c r="KPN46" s="44"/>
      <c r="KPO46" s="44"/>
      <c r="KPP46" s="44"/>
      <c r="KPQ46" s="44"/>
      <c r="KPR46" s="44"/>
      <c r="KPS46" s="44"/>
      <c r="KPT46" s="44"/>
      <c r="KPU46" s="44"/>
      <c r="KPV46" s="44"/>
      <c r="KPW46" s="44"/>
      <c r="KPX46" s="44"/>
      <c r="KPY46" s="44"/>
      <c r="KPZ46" s="44"/>
      <c r="KQA46" s="44"/>
      <c r="KQB46" s="44"/>
      <c r="KQC46" s="44"/>
      <c r="KQD46" s="44"/>
      <c r="KQE46" s="44"/>
      <c r="KQF46" s="44"/>
      <c r="KQG46" s="44"/>
      <c r="KQH46" s="44"/>
      <c r="KQI46" s="44"/>
      <c r="KQJ46" s="44"/>
      <c r="KQK46" s="44"/>
      <c r="KQL46" s="44"/>
      <c r="KQM46" s="44"/>
      <c r="KQN46" s="44"/>
      <c r="KQO46" s="44"/>
      <c r="KQP46" s="44"/>
      <c r="KQQ46" s="44"/>
      <c r="KQR46" s="44"/>
      <c r="KQS46" s="44"/>
      <c r="KQT46" s="44"/>
      <c r="KQU46" s="44"/>
      <c r="KQV46" s="44"/>
      <c r="KQW46" s="44"/>
      <c r="KQX46" s="44"/>
      <c r="KQY46" s="44"/>
      <c r="KQZ46" s="44"/>
      <c r="KRA46" s="44"/>
      <c r="KRB46" s="44"/>
      <c r="KRC46" s="44"/>
      <c r="KRD46" s="44"/>
      <c r="KRE46" s="44"/>
      <c r="KRF46" s="44"/>
      <c r="KRG46" s="44"/>
      <c r="KRH46" s="44"/>
      <c r="KRI46" s="44"/>
      <c r="KRJ46" s="44"/>
      <c r="KRK46" s="44"/>
      <c r="KRL46" s="44"/>
      <c r="KRM46" s="44"/>
      <c r="KRN46" s="44"/>
      <c r="KRO46" s="44"/>
      <c r="KRP46" s="44"/>
      <c r="KRQ46" s="44"/>
      <c r="KRR46" s="44"/>
      <c r="KRS46" s="44"/>
      <c r="KRT46" s="44"/>
      <c r="KRU46" s="44"/>
      <c r="KRV46" s="44"/>
      <c r="KRW46" s="44"/>
      <c r="KRX46" s="44"/>
      <c r="KRY46" s="44"/>
      <c r="KRZ46" s="44"/>
      <c r="KSA46" s="44"/>
      <c r="KSB46" s="44"/>
      <c r="KSC46" s="44"/>
      <c r="KSD46" s="44"/>
      <c r="KSE46" s="44"/>
      <c r="KSF46" s="44"/>
      <c r="KSG46" s="44"/>
      <c r="KSH46" s="44"/>
      <c r="KSI46" s="44"/>
      <c r="KSJ46" s="44"/>
      <c r="KSK46" s="44"/>
      <c r="KSL46" s="44"/>
      <c r="KSM46" s="44"/>
      <c r="KSN46" s="44"/>
      <c r="KSO46" s="44"/>
      <c r="KSP46" s="44"/>
      <c r="KSQ46" s="44"/>
      <c r="KSR46" s="44"/>
      <c r="KSS46" s="44"/>
      <c r="KST46" s="44"/>
      <c r="KSU46" s="44"/>
      <c r="KSV46" s="44"/>
      <c r="KSW46" s="44"/>
      <c r="KSX46" s="44"/>
      <c r="KSY46" s="44"/>
      <c r="KSZ46" s="44"/>
      <c r="KTA46" s="44"/>
      <c r="KTB46" s="44"/>
      <c r="KTC46" s="44"/>
      <c r="KTD46" s="44"/>
      <c r="KTE46" s="44"/>
      <c r="KTF46" s="44"/>
      <c r="KTG46" s="44"/>
      <c r="KTH46" s="44"/>
      <c r="KTI46" s="44"/>
      <c r="KTJ46" s="44"/>
      <c r="KTK46" s="44"/>
      <c r="KTL46" s="44"/>
      <c r="KTM46" s="44"/>
      <c r="KTN46" s="44"/>
      <c r="KTO46" s="44"/>
      <c r="KTP46" s="44"/>
      <c r="KTQ46" s="44"/>
      <c r="KTR46" s="44"/>
      <c r="KTS46" s="44"/>
      <c r="KTT46" s="44"/>
      <c r="KTU46" s="44"/>
      <c r="KTV46" s="44"/>
      <c r="KTW46" s="44"/>
      <c r="KTX46" s="44"/>
      <c r="KTY46" s="44"/>
      <c r="KTZ46" s="44"/>
      <c r="KUA46" s="44"/>
      <c r="KUB46" s="44"/>
      <c r="KUC46" s="44"/>
      <c r="KUD46" s="44"/>
      <c r="KUE46" s="44"/>
      <c r="KUF46" s="44"/>
      <c r="KUG46" s="44"/>
      <c r="KUH46" s="44"/>
      <c r="KUI46" s="44"/>
      <c r="KUJ46" s="44"/>
      <c r="KUK46" s="44"/>
      <c r="KUL46" s="44"/>
      <c r="KUM46" s="44"/>
      <c r="KUN46" s="44"/>
      <c r="KUO46" s="44"/>
      <c r="KUP46" s="44"/>
      <c r="KUQ46" s="44"/>
      <c r="KUR46" s="44"/>
      <c r="KUS46" s="44"/>
      <c r="KUT46" s="44"/>
      <c r="KUU46" s="44"/>
      <c r="KUV46" s="44"/>
      <c r="KUW46" s="44"/>
      <c r="KUX46" s="44"/>
      <c r="KUY46" s="44"/>
      <c r="KUZ46" s="44"/>
      <c r="KVA46" s="44"/>
      <c r="KVB46" s="44"/>
      <c r="KVC46" s="44"/>
      <c r="KVD46" s="44"/>
      <c r="KVE46" s="44"/>
      <c r="KVF46" s="44"/>
      <c r="KVG46" s="44"/>
      <c r="KVH46" s="44"/>
      <c r="KVI46" s="44"/>
      <c r="KVJ46" s="44"/>
      <c r="KVK46" s="44"/>
      <c r="KVL46" s="44"/>
      <c r="KVM46" s="44"/>
      <c r="KVN46" s="44"/>
      <c r="KVO46" s="44"/>
      <c r="KVP46" s="44"/>
      <c r="KVQ46" s="44"/>
      <c r="KVR46" s="44"/>
      <c r="KVS46" s="44"/>
      <c r="KVT46" s="44"/>
      <c r="KVU46" s="44"/>
      <c r="KVV46" s="44"/>
      <c r="KVW46" s="44"/>
      <c r="KVX46" s="44"/>
      <c r="KVY46" s="44"/>
      <c r="KVZ46" s="44"/>
      <c r="KWA46" s="44"/>
      <c r="KWB46" s="44"/>
      <c r="KWC46" s="44"/>
      <c r="KWD46" s="44"/>
      <c r="KWE46" s="44"/>
      <c r="KWF46" s="44"/>
      <c r="KWG46" s="44"/>
      <c r="KWH46" s="44"/>
      <c r="KWI46" s="44"/>
      <c r="KWJ46" s="44"/>
      <c r="KWK46" s="44"/>
      <c r="KWL46" s="44"/>
      <c r="KWM46" s="44"/>
      <c r="KWN46" s="44"/>
      <c r="KWO46" s="44"/>
      <c r="KWP46" s="44"/>
      <c r="KWQ46" s="44"/>
      <c r="KWR46" s="44"/>
      <c r="KWS46" s="44"/>
      <c r="KWT46" s="44"/>
      <c r="KWU46" s="44"/>
      <c r="KWV46" s="44"/>
      <c r="KWW46" s="44"/>
      <c r="KWX46" s="44"/>
      <c r="KWY46" s="44"/>
      <c r="KWZ46" s="44"/>
      <c r="KXA46" s="44"/>
      <c r="KXB46" s="44"/>
      <c r="KXC46" s="44"/>
      <c r="KXD46" s="44"/>
      <c r="KXE46" s="44"/>
      <c r="KXF46" s="44"/>
      <c r="KXG46" s="44"/>
      <c r="KXH46" s="44"/>
      <c r="KXI46" s="44"/>
      <c r="KXJ46" s="44"/>
      <c r="KXK46" s="44"/>
      <c r="KXL46" s="44"/>
      <c r="KXM46" s="44"/>
      <c r="KXN46" s="44"/>
      <c r="KXO46" s="44"/>
      <c r="KXP46" s="44"/>
      <c r="KXQ46" s="44"/>
      <c r="KXR46" s="44"/>
      <c r="KXS46" s="44"/>
      <c r="KXT46" s="44"/>
      <c r="KXU46" s="44"/>
      <c r="KXV46" s="44"/>
      <c r="KXW46" s="44"/>
      <c r="KXX46" s="44"/>
      <c r="KXY46" s="44"/>
      <c r="KXZ46" s="44"/>
      <c r="KYA46" s="44"/>
      <c r="KYB46" s="44"/>
      <c r="KYC46" s="44"/>
      <c r="KYD46" s="44"/>
      <c r="KYE46" s="44"/>
      <c r="KYF46" s="44"/>
      <c r="KYG46" s="44"/>
      <c r="KYH46" s="44"/>
      <c r="KYI46" s="44"/>
      <c r="KYJ46" s="44"/>
      <c r="KYK46" s="44"/>
      <c r="KYL46" s="44"/>
      <c r="KYM46" s="44"/>
      <c r="KYN46" s="44"/>
      <c r="KYO46" s="44"/>
      <c r="KYP46" s="44"/>
      <c r="KYQ46" s="44"/>
      <c r="KYR46" s="44"/>
      <c r="KYS46" s="44"/>
      <c r="KYT46" s="44"/>
      <c r="KYU46" s="44"/>
      <c r="KYV46" s="44"/>
      <c r="KYW46" s="44"/>
      <c r="KYX46" s="44"/>
      <c r="KYY46" s="44"/>
      <c r="KYZ46" s="44"/>
      <c r="KZA46" s="44"/>
      <c r="KZB46" s="44"/>
      <c r="KZC46" s="44"/>
      <c r="KZD46" s="44"/>
      <c r="KZE46" s="44"/>
      <c r="KZF46" s="44"/>
      <c r="KZG46" s="44"/>
      <c r="KZH46" s="44"/>
      <c r="KZI46" s="44"/>
      <c r="KZJ46" s="44"/>
      <c r="KZK46" s="44"/>
      <c r="KZL46" s="44"/>
      <c r="KZM46" s="44"/>
      <c r="KZN46" s="44"/>
      <c r="KZO46" s="44"/>
      <c r="KZP46" s="44"/>
      <c r="KZQ46" s="44"/>
      <c r="KZR46" s="44"/>
      <c r="KZS46" s="44"/>
      <c r="KZT46" s="44"/>
      <c r="KZU46" s="44"/>
      <c r="KZV46" s="44"/>
      <c r="KZW46" s="44"/>
      <c r="KZX46" s="44"/>
      <c r="KZY46" s="44"/>
      <c r="KZZ46" s="44"/>
      <c r="LAA46" s="44"/>
      <c r="LAB46" s="44"/>
      <c r="LAC46" s="44"/>
      <c r="LAD46" s="44"/>
      <c r="LAE46" s="44"/>
      <c r="LAF46" s="44"/>
      <c r="LAG46" s="44"/>
      <c r="LAH46" s="44"/>
      <c r="LAI46" s="44"/>
      <c r="LAJ46" s="44"/>
      <c r="LAK46" s="44"/>
      <c r="LAL46" s="44"/>
      <c r="LAM46" s="44"/>
      <c r="LAN46" s="44"/>
      <c r="LAO46" s="44"/>
      <c r="LAP46" s="44"/>
      <c r="LAQ46" s="44"/>
      <c r="LAR46" s="44"/>
      <c r="LAS46" s="44"/>
      <c r="LAT46" s="44"/>
      <c r="LAU46" s="44"/>
      <c r="LAV46" s="44"/>
      <c r="LAW46" s="44"/>
      <c r="LAX46" s="44"/>
      <c r="LAY46" s="44"/>
      <c r="LAZ46" s="44"/>
      <c r="LBA46" s="44"/>
      <c r="LBB46" s="44"/>
      <c r="LBC46" s="44"/>
      <c r="LBD46" s="44"/>
      <c r="LBE46" s="44"/>
      <c r="LBF46" s="44"/>
      <c r="LBG46" s="44"/>
      <c r="LBH46" s="44"/>
      <c r="LBI46" s="44"/>
      <c r="LBJ46" s="44"/>
      <c r="LBK46" s="44"/>
      <c r="LBL46" s="44"/>
      <c r="LBM46" s="44"/>
      <c r="LBN46" s="44"/>
      <c r="LBO46" s="44"/>
      <c r="LBP46" s="44"/>
      <c r="LBQ46" s="44"/>
      <c r="LBR46" s="44"/>
      <c r="LBS46" s="44"/>
      <c r="LBT46" s="44"/>
      <c r="LBU46" s="44"/>
      <c r="LBV46" s="44"/>
      <c r="LBW46" s="44"/>
      <c r="LBX46" s="44"/>
      <c r="LBY46" s="44"/>
      <c r="LBZ46" s="44"/>
      <c r="LCA46" s="44"/>
      <c r="LCB46" s="44"/>
      <c r="LCC46" s="44"/>
      <c r="LCD46" s="44"/>
      <c r="LCE46" s="44"/>
      <c r="LCF46" s="44"/>
      <c r="LCG46" s="44"/>
      <c r="LCH46" s="44"/>
      <c r="LCI46" s="44"/>
      <c r="LCJ46" s="44"/>
      <c r="LCK46" s="44"/>
      <c r="LCL46" s="44"/>
      <c r="LCM46" s="44"/>
      <c r="LCN46" s="44"/>
      <c r="LCO46" s="44"/>
      <c r="LCP46" s="44"/>
      <c r="LCQ46" s="44"/>
      <c r="LCR46" s="44"/>
      <c r="LCS46" s="44"/>
      <c r="LCT46" s="44"/>
      <c r="LCU46" s="44"/>
      <c r="LCV46" s="44"/>
      <c r="LCW46" s="44"/>
      <c r="LCX46" s="44"/>
      <c r="LCY46" s="44"/>
      <c r="LCZ46" s="44"/>
      <c r="LDA46" s="44"/>
      <c r="LDB46" s="44"/>
      <c r="LDC46" s="44"/>
      <c r="LDD46" s="44"/>
      <c r="LDE46" s="44"/>
      <c r="LDF46" s="44"/>
      <c r="LDG46" s="44"/>
      <c r="LDH46" s="44"/>
      <c r="LDI46" s="44"/>
      <c r="LDJ46" s="44"/>
      <c r="LDK46" s="44"/>
      <c r="LDL46" s="44"/>
      <c r="LDM46" s="44"/>
      <c r="LDN46" s="44"/>
      <c r="LDO46" s="44"/>
      <c r="LDP46" s="44"/>
      <c r="LDQ46" s="44"/>
      <c r="LDR46" s="44"/>
      <c r="LDS46" s="44"/>
      <c r="LDT46" s="44"/>
      <c r="LDU46" s="44"/>
      <c r="LDV46" s="44"/>
      <c r="LDW46" s="44"/>
      <c r="LDX46" s="44"/>
      <c r="LDY46" s="44"/>
      <c r="LDZ46" s="44"/>
      <c r="LEA46" s="44"/>
      <c r="LEB46" s="44"/>
      <c r="LEC46" s="44"/>
      <c r="LED46" s="44"/>
      <c r="LEE46" s="44"/>
      <c r="LEF46" s="44"/>
      <c r="LEG46" s="44"/>
      <c r="LEH46" s="44"/>
      <c r="LEI46" s="44"/>
      <c r="LEJ46" s="44"/>
      <c r="LEK46" s="44"/>
      <c r="LEL46" s="44"/>
      <c r="LEM46" s="44"/>
      <c r="LEN46" s="44"/>
      <c r="LEO46" s="44"/>
      <c r="LEP46" s="44"/>
      <c r="LEQ46" s="44"/>
      <c r="LER46" s="44"/>
      <c r="LES46" s="44"/>
      <c r="LET46" s="44"/>
      <c r="LEU46" s="44"/>
      <c r="LEV46" s="44"/>
      <c r="LEW46" s="44"/>
      <c r="LEX46" s="44"/>
      <c r="LEY46" s="44"/>
      <c r="LEZ46" s="44"/>
      <c r="LFA46" s="44"/>
      <c r="LFB46" s="44"/>
      <c r="LFC46" s="44"/>
      <c r="LFD46" s="44"/>
      <c r="LFE46" s="44"/>
      <c r="LFF46" s="44"/>
      <c r="LFG46" s="44"/>
      <c r="LFH46" s="44"/>
      <c r="LFI46" s="44"/>
      <c r="LFJ46" s="44"/>
      <c r="LFK46" s="44"/>
      <c r="LFL46" s="44"/>
      <c r="LFM46" s="44"/>
      <c r="LFN46" s="44"/>
      <c r="LFO46" s="44"/>
      <c r="LFP46" s="44"/>
      <c r="LFQ46" s="44"/>
      <c r="LFR46" s="44"/>
      <c r="LFS46" s="44"/>
      <c r="LFT46" s="44"/>
      <c r="LFU46" s="44"/>
      <c r="LFV46" s="44"/>
      <c r="LFW46" s="44"/>
      <c r="LFX46" s="44"/>
      <c r="LFY46" s="44"/>
      <c r="LFZ46" s="44"/>
      <c r="LGA46" s="44"/>
      <c r="LGB46" s="44"/>
      <c r="LGC46" s="44"/>
      <c r="LGD46" s="44"/>
      <c r="LGE46" s="44"/>
      <c r="LGF46" s="44"/>
      <c r="LGG46" s="44"/>
      <c r="LGH46" s="44"/>
      <c r="LGI46" s="44"/>
      <c r="LGJ46" s="44"/>
      <c r="LGK46" s="44"/>
      <c r="LGL46" s="44"/>
      <c r="LGM46" s="44"/>
      <c r="LGN46" s="44"/>
      <c r="LGO46" s="44"/>
      <c r="LGP46" s="44"/>
      <c r="LGQ46" s="44"/>
      <c r="LGR46" s="44"/>
      <c r="LGS46" s="44"/>
      <c r="LGT46" s="44"/>
      <c r="LGU46" s="44"/>
      <c r="LGV46" s="44"/>
      <c r="LGW46" s="44"/>
      <c r="LGX46" s="44"/>
      <c r="LGY46" s="44"/>
      <c r="LGZ46" s="44"/>
      <c r="LHA46" s="44"/>
      <c r="LHB46" s="44"/>
      <c r="LHC46" s="44"/>
      <c r="LHD46" s="44"/>
      <c r="LHE46" s="44"/>
      <c r="LHF46" s="44"/>
      <c r="LHG46" s="44"/>
      <c r="LHH46" s="44"/>
      <c r="LHI46" s="44"/>
      <c r="LHJ46" s="44"/>
      <c r="LHK46" s="44"/>
      <c r="LHL46" s="44"/>
      <c r="LHM46" s="44"/>
      <c r="LHN46" s="44"/>
      <c r="LHO46" s="44"/>
      <c r="LHP46" s="44"/>
      <c r="LHQ46" s="44"/>
      <c r="LHR46" s="44"/>
      <c r="LHS46" s="44"/>
      <c r="LHT46" s="44"/>
      <c r="LHU46" s="44"/>
      <c r="LHV46" s="44"/>
      <c r="LHW46" s="44"/>
      <c r="LHX46" s="44"/>
      <c r="LHY46" s="44"/>
      <c r="LHZ46" s="44"/>
      <c r="LIA46" s="44"/>
      <c r="LIB46" s="44"/>
      <c r="LIC46" s="44"/>
      <c r="LID46" s="44"/>
      <c r="LIE46" s="44"/>
      <c r="LIF46" s="44"/>
      <c r="LIG46" s="44"/>
      <c r="LIH46" s="44"/>
      <c r="LII46" s="44"/>
      <c r="LIJ46" s="44"/>
      <c r="LIK46" s="44"/>
      <c r="LIL46" s="44"/>
      <c r="LIM46" s="44"/>
      <c r="LIN46" s="44"/>
      <c r="LIO46" s="44"/>
      <c r="LIP46" s="44"/>
      <c r="LIQ46" s="44"/>
      <c r="LIR46" s="44"/>
      <c r="LIS46" s="44"/>
      <c r="LIT46" s="44"/>
      <c r="LIU46" s="44"/>
      <c r="LIV46" s="44"/>
      <c r="LIW46" s="44"/>
      <c r="LIX46" s="44"/>
      <c r="LIY46" s="44"/>
      <c r="LIZ46" s="44"/>
      <c r="LJA46" s="44"/>
      <c r="LJB46" s="44"/>
      <c r="LJC46" s="44"/>
      <c r="LJD46" s="44"/>
      <c r="LJE46" s="44"/>
      <c r="LJF46" s="44"/>
      <c r="LJG46" s="44"/>
      <c r="LJH46" s="44"/>
      <c r="LJI46" s="44"/>
      <c r="LJJ46" s="44"/>
      <c r="LJK46" s="44"/>
      <c r="LJL46" s="44"/>
      <c r="LJM46" s="44"/>
      <c r="LJN46" s="44"/>
      <c r="LJO46" s="44"/>
      <c r="LJP46" s="44"/>
      <c r="LJQ46" s="44"/>
      <c r="LJR46" s="44"/>
      <c r="LJS46" s="44"/>
      <c r="LJT46" s="44"/>
      <c r="LJU46" s="44"/>
      <c r="LJV46" s="44"/>
      <c r="LJW46" s="44"/>
      <c r="LJX46" s="44"/>
      <c r="LJY46" s="44"/>
      <c r="LJZ46" s="44"/>
      <c r="LKA46" s="44"/>
      <c r="LKB46" s="44"/>
      <c r="LKC46" s="44"/>
      <c r="LKD46" s="44"/>
      <c r="LKE46" s="44"/>
      <c r="LKF46" s="44"/>
      <c r="LKG46" s="44"/>
      <c r="LKH46" s="44"/>
      <c r="LKI46" s="44"/>
      <c r="LKJ46" s="44"/>
      <c r="LKK46" s="44"/>
      <c r="LKL46" s="44"/>
      <c r="LKM46" s="44"/>
      <c r="LKN46" s="44"/>
      <c r="LKO46" s="44"/>
      <c r="LKP46" s="44"/>
      <c r="LKQ46" s="44"/>
      <c r="LKR46" s="44"/>
      <c r="LKS46" s="44"/>
      <c r="LKT46" s="44"/>
      <c r="LKU46" s="44"/>
      <c r="LKV46" s="44"/>
      <c r="LKW46" s="44"/>
      <c r="LKX46" s="44"/>
      <c r="LKY46" s="44"/>
      <c r="LKZ46" s="44"/>
      <c r="LLA46" s="44"/>
      <c r="LLB46" s="44"/>
      <c r="LLC46" s="44"/>
      <c r="LLD46" s="44"/>
      <c r="LLE46" s="44"/>
      <c r="LLF46" s="44"/>
      <c r="LLG46" s="44"/>
      <c r="LLH46" s="44"/>
      <c r="LLI46" s="44"/>
      <c r="LLJ46" s="44"/>
      <c r="LLK46" s="44"/>
      <c r="LLL46" s="44"/>
      <c r="LLM46" s="44"/>
      <c r="LLN46" s="44"/>
      <c r="LLO46" s="44"/>
      <c r="LLP46" s="44"/>
      <c r="LLQ46" s="44"/>
      <c r="LLR46" s="44"/>
      <c r="LLS46" s="44"/>
      <c r="LLT46" s="44"/>
      <c r="LLU46" s="44"/>
      <c r="LLV46" s="44"/>
      <c r="LLW46" s="44"/>
      <c r="LLX46" s="44"/>
      <c r="LLY46" s="44"/>
      <c r="LLZ46" s="44"/>
      <c r="LMA46" s="44"/>
      <c r="LMB46" s="44"/>
      <c r="LMC46" s="44"/>
      <c r="LMD46" s="44"/>
      <c r="LME46" s="44"/>
      <c r="LMF46" s="44"/>
      <c r="LMG46" s="44"/>
      <c r="LMH46" s="44"/>
      <c r="LMI46" s="44"/>
      <c r="LMJ46" s="44"/>
      <c r="LMK46" s="44"/>
      <c r="LML46" s="44"/>
      <c r="LMM46" s="44"/>
      <c r="LMN46" s="44"/>
      <c r="LMO46" s="44"/>
      <c r="LMP46" s="44"/>
      <c r="LMQ46" s="44"/>
      <c r="LMR46" s="44"/>
      <c r="LMS46" s="44"/>
      <c r="LMT46" s="44"/>
      <c r="LMU46" s="44"/>
      <c r="LMV46" s="44"/>
      <c r="LMW46" s="44"/>
      <c r="LMX46" s="44"/>
      <c r="LMY46" s="44"/>
      <c r="LMZ46" s="44"/>
      <c r="LNA46" s="44"/>
      <c r="LNB46" s="44"/>
      <c r="LNC46" s="44"/>
      <c r="LND46" s="44"/>
      <c r="LNE46" s="44"/>
      <c r="LNF46" s="44"/>
      <c r="LNG46" s="44"/>
      <c r="LNH46" s="44"/>
      <c r="LNI46" s="44"/>
      <c r="LNJ46" s="44"/>
      <c r="LNK46" s="44"/>
      <c r="LNL46" s="44"/>
      <c r="LNM46" s="44"/>
      <c r="LNN46" s="44"/>
      <c r="LNO46" s="44"/>
      <c r="LNP46" s="44"/>
      <c r="LNQ46" s="44"/>
      <c r="LNR46" s="44"/>
      <c r="LNS46" s="44"/>
      <c r="LNT46" s="44"/>
      <c r="LNU46" s="44"/>
      <c r="LNV46" s="44"/>
      <c r="LNW46" s="44"/>
      <c r="LNX46" s="44"/>
      <c r="LNY46" s="44"/>
      <c r="LNZ46" s="44"/>
      <c r="LOA46" s="44"/>
      <c r="LOB46" s="44"/>
      <c r="LOC46" s="44"/>
      <c r="LOD46" s="44"/>
      <c r="LOE46" s="44"/>
      <c r="LOF46" s="44"/>
      <c r="LOG46" s="44"/>
      <c r="LOH46" s="44"/>
      <c r="LOI46" s="44"/>
      <c r="LOJ46" s="44"/>
      <c r="LOK46" s="44"/>
      <c r="LOL46" s="44"/>
      <c r="LOM46" s="44"/>
      <c r="LON46" s="44"/>
      <c r="LOO46" s="44"/>
      <c r="LOP46" s="44"/>
      <c r="LOQ46" s="44"/>
      <c r="LOR46" s="44"/>
      <c r="LOS46" s="44"/>
      <c r="LOT46" s="44"/>
      <c r="LOU46" s="44"/>
      <c r="LOV46" s="44"/>
      <c r="LOW46" s="44"/>
      <c r="LOX46" s="44"/>
      <c r="LOY46" s="44"/>
      <c r="LOZ46" s="44"/>
      <c r="LPA46" s="44"/>
      <c r="LPB46" s="44"/>
      <c r="LPC46" s="44"/>
      <c r="LPD46" s="44"/>
      <c r="LPE46" s="44"/>
      <c r="LPF46" s="44"/>
      <c r="LPG46" s="44"/>
      <c r="LPH46" s="44"/>
      <c r="LPI46" s="44"/>
      <c r="LPJ46" s="44"/>
      <c r="LPK46" s="44"/>
      <c r="LPL46" s="44"/>
      <c r="LPM46" s="44"/>
      <c r="LPN46" s="44"/>
      <c r="LPO46" s="44"/>
      <c r="LPP46" s="44"/>
      <c r="LPQ46" s="44"/>
      <c r="LPR46" s="44"/>
      <c r="LPS46" s="44"/>
      <c r="LPT46" s="44"/>
      <c r="LPU46" s="44"/>
      <c r="LPV46" s="44"/>
      <c r="LPW46" s="44"/>
      <c r="LPX46" s="44"/>
      <c r="LPY46" s="44"/>
      <c r="LPZ46" s="44"/>
      <c r="LQA46" s="44"/>
      <c r="LQB46" s="44"/>
      <c r="LQC46" s="44"/>
      <c r="LQD46" s="44"/>
      <c r="LQE46" s="44"/>
      <c r="LQF46" s="44"/>
      <c r="LQG46" s="44"/>
      <c r="LQH46" s="44"/>
      <c r="LQI46" s="44"/>
      <c r="LQJ46" s="44"/>
      <c r="LQK46" s="44"/>
      <c r="LQL46" s="44"/>
      <c r="LQM46" s="44"/>
      <c r="LQN46" s="44"/>
      <c r="LQO46" s="44"/>
      <c r="LQP46" s="44"/>
      <c r="LQQ46" s="44"/>
      <c r="LQR46" s="44"/>
      <c r="LQS46" s="44"/>
      <c r="LQT46" s="44"/>
      <c r="LQU46" s="44"/>
      <c r="LQV46" s="44"/>
      <c r="LQW46" s="44"/>
      <c r="LQX46" s="44"/>
      <c r="LQY46" s="44"/>
      <c r="LQZ46" s="44"/>
      <c r="LRA46" s="44"/>
      <c r="LRB46" s="44"/>
      <c r="LRC46" s="44"/>
      <c r="LRD46" s="44"/>
      <c r="LRE46" s="44"/>
      <c r="LRF46" s="44"/>
      <c r="LRG46" s="44"/>
      <c r="LRH46" s="44"/>
      <c r="LRI46" s="44"/>
      <c r="LRJ46" s="44"/>
      <c r="LRK46" s="44"/>
      <c r="LRL46" s="44"/>
      <c r="LRM46" s="44"/>
      <c r="LRN46" s="44"/>
      <c r="LRO46" s="44"/>
      <c r="LRP46" s="44"/>
      <c r="LRQ46" s="44"/>
      <c r="LRR46" s="44"/>
      <c r="LRS46" s="44"/>
      <c r="LRT46" s="44"/>
      <c r="LRU46" s="44"/>
      <c r="LRV46" s="44"/>
      <c r="LRW46" s="44"/>
      <c r="LRX46" s="44"/>
      <c r="LRY46" s="44"/>
      <c r="LRZ46" s="44"/>
      <c r="LSA46" s="44"/>
      <c r="LSB46" s="44"/>
      <c r="LSC46" s="44"/>
      <c r="LSD46" s="44"/>
      <c r="LSE46" s="44"/>
      <c r="LSF46" s="44"/>
      <c r="LSG46" s="44"/>
      <c r="LSH46" s="44"/>
      <c r="LSI46" s="44"/>
      <c r="LSJ46" s="44"/>
      <c r="LSK46" s="44"/>
      <c r="LSL46" s="44"/>
      <c r="LSM46" s="44"/>
      <c r="LSN46" s="44"/>
      <c r="LSO46" s="44"/>
      <c r="LSP46" s="44"/>
      <c r="LSQ46" s="44"/>
      <c r="LSR46" s="44"/>
      <c r="LSS46" s="44"/>
      <c r="LST46" s="44"/>
      <c r="LSU46" s="44"/>
      <c r="LSV46" s="44"/>
      <c r="LSW46" s="44"/>
      <c r="LSX46" s="44"/>
      <c r="LSY46" s="44"/>
      <c r="LSZ46" s="44"/>
      <c r="LTA46" s="44"/>
      <c r="LTB46" s="44"/>
      <c r="LTC46" s="44"/>
      <c r="LTD46" s="44"/>
      <c r="LTE46" s="44"/>
      <c r="LTF46" s="44"/>
      <c r="LTG46" s="44"/>
      <c r="LTH46" s="44"/>
      <c r="LTI46" s="44"/>
      <c r="LTJ46" s="44"/>
      <c r="LTK46" s="44"/>
      <c r="LTL46" s="44"/>
      <c r="LTM46" s="44"/>
      <c r="LTN46" s="44"/>
      <c r="LTO46" s="44"/>
      <c r="LTP46" s="44"/>
      <c r="LTQ46" s="44"/>
      <c r="LTR46" s="44"/>
      <c r="LTS46" s="44"/>
      <c r="LTT46" s="44"/>
      <c r="LTU46" s="44"/>
      <c r="LTV46" s="44"/>
      <c r="LTW46" s="44"/>
      <c r="LTX46" s="44"/>
      <c r="LTY46" s="44"/>
      <c r="LTZ46" s="44"/>
      <c r="LUA46" s="44"/>
      <c r="LUB46" s="44"/>
      <c r="LUC46" s="44"/>
      <c r="LUD46" s="44"/>
      <c r="LUE46" s="44"/>
      <c r="LUF46" s="44"/>
      <c r="LUG46" s="44"/>
      <c r="LUH46" s="44"/>
      <c r="LUI46" s="44"/>
      <c r="LUJ46" s="44"/>
      <c r="LUK46" s="44"/>
      <c r="LUL46" s="44"/>
      <c r="LUM46" s="44"/>
      <c r="LUN46" s="44"/>
      <c r="LUO46" s="44"/>
      <c r="LUP46" s="44"/>
      <c r="LUQ46" s="44"/>
      <c r="LUR46" s="44"/>
      <c r="LUS46" s="44"/>
      <c r="LUT46" s="44"/>
      <c r="LUU46" s="44"/>
      <c r="LUV46" s="44"/>
      <c r="LUW46" s="44"/>
      <c r="LUX46" s="44"/>
      <c r="LUY46" s="44"/>
      <c r="LUZ46" s="44"/>
      <c r="LVA46" s="44"/>
      <c r="LVB46" s="44"/>
      <c r="LVC46" s="44"/>
      <c r="LVD46" s="44"/>
      <c r="LVE46" s="44"/>
      <c r="LVF46" s="44"/>
      <c r="LVG46" s="44"/>
      <c r="LVH46" s="44"/>
      <c r="LVI46" s="44"/>
      <c r="LVJ46" s="44"/>
      <c r="LVK46" s="44"/>
      <c r="LVL46" s="44"/>
      <c r="LVM46" s="44"/>
      <c r="LVN46" s="44"/>
      <c r="LVO46" s="44"/>
      <c r="LVP46" s="44"/>
      <c r="LVQ46" s="44"/>
      <c r="LVR46" s="44"/>
      <c r="LVS46" s="44"/>
      <c r="LVT46" s="44"/>
      <c r="LVU46" s="44"/>
      <c r="LVV46" s="44"/>
      <c r="LVW46" s="44"/>
      <c r="LVX46" s="44"/>
      <c r="LVY46" s="44"/>
      <c r="LVZ46" s="44"/>
      <c r="LWA46" s="44"/>
      <c r="LWB46" s="44"/>
      <c r="LWC46" s="44"/>
      <c r="LWD46" s="44"/>
      <c r="LWE46" s="44"/>
      <c r="LWF46" s="44"/>
      <c r="LWG46" s="44"/>
      <c r="LWH46" s="44"/>
      <c r="LWI46" s="44"/>
      <c r="LWJ46" s="44"/>
      <c r="LWK46" s="44"/>
      <c r="LWL46" s="44"/>
      <c r="LWM46" s="44"/>
      <c r="LWN46" s="44"/>
      <c r="LWO46" s="44"/>
      <c r="LWP46" s="44"/>
      <c r="LWQ46" s="44"/>
      <c r="LWR46" s="44"/>
      <c r="LWS46" s="44"/>
      <c r="LWT46" s="44"/>
      <c r="LWU46" s="44"/>
      <c r="LWV46" s="44"/>
      <c r="LWW46" s="44"/>
      <c r="LWX46" s="44"/>
      <c r="LWY46" s="44"/>
      <c r="LWZ46" s="44"/>
      <c r="LXA46" s="44"/>
      <c r="LXB46" s="44"/>
      <c r="LXC46" s="44"/>
      <c r="LXD46" s="44"/>
      <c r="LXE46" s="44"/>
      <c r="LXF46" s="44"/>
      <c r="LXG46" s="44"/>
      <c r="LXH46" s="44"/>
      <c r="LXI46" s="44"/>
      <c r="LXJ46" s="44"/>
      <c r="LXK46" s="44"/>
      <c r="LXL46" s="44"/>
      <c r="LXM46" s="44"/>
      <c r="LXN46" s="44"/>
      <c r="LXO46" s="44"/>
      <c r="LXP46" s="44"/>
      <c r="LXQ46" s="44"/>
      <c r="LXR46" s="44"/>
      <c r="LXS46" s="44"/>
      <c r="LXT46" s="44"/>
      <c r="LXU46" s="44"/>
      <c r="LXV46" s="44"/>
      <c r="LXW46" s="44"/>
      <c r="LXX46" s="44"/>
      <c r="LXY46" s="44"/>
      <c r="LXZ46" s="44"/>
      <c r="LYA46" s="44"/>
      <c r="LYB46" s="44"/>
      <c r="LYC46" s="44"/>
      <c r="LYD46" s="44"/>
      <c r="LYE46" s="44"/>
      <c r="LYF46" s="44"/>
      <c r="LYG46" s="44"/>
      <c r="LYH46" s="44"/>
      <c r="LYI46" s="44"/>
      <c r="LYJ46" s="44"/>
      <c r="LYK46" s="44"/>
      <c r="LYL46" s="44"/>
      <c r="LYM46" s="44"/>
      <c r="LYN46" s="44"/>
      <c r="LYO46" s="44"/>
      <c r="LYP46" s="44"/>
      <c r="LYQ46" s="44"/>
      <c r="LYR46" s="44"/>
      <c r="LYS46" s="44"/>
      <c r="LYT46" s="44"/>
      <c r="LYU46" s="44"/>
      <c r="LYV46" s="44"/>
      <c r="LYW46" s="44"/>
      <c r="LYX46" s="44"/>
      <c r="LYY46" s="44"/>
      <c r="LYZ46" s="44"/>
      <c r="LZA46" s="44"/>
      <c r="LZB46" s="44"/>
      <c r="LZC46" s="44"/>
      <c r="LZD46" s="44"/>
      <c r="LZE46" s="44"/>
      <c r="LZF46" s="44"/>
      <c r="LZG46" s="44"/>
      <c r="LZH46" s="44"/>
      <c r="LZI46" s="44"/>
      <c r="LZJ46" s="44"/>
      <c r="LZK46" s="44"/>
      <c r="LZL46" s="44"/>
      <c r="LZM46" s="44"/>
      <c r="LZN46" s="44"/>
      <c r="LZO46" s="44"/>
      <c r="LZP46" s="44"/>
      <c r="LZQ46" s="44"/>
      <c r="LZR46" s="44"/>
      <c r="LZS46" s="44"/>
      <c r="LZT46" s="44"/>
      <c r="LZU46" s="44"/>
      <c r="LZV46" s="44"/>
      <c r="LZW46" s="44"/>
      <c r="LZX46" s="44"/>
      <c r="LZY46" s="44"/>
      <c r="LZZ46" s="44"/>
      <c r="MAA46" s="44"/>
      <c r="MAB46" s="44"/>
      <c r="MAC46" s="44"/>
      <c r="MAD46" s="44"/>
      <c r="MAE46" s="44"/>
      <c r="MAF46" s="44"/>
      <c r="MAG46" s="44"/>
      <c r="MAH46" s="44"/>
      <c r="MAI46" s="44"/>
      <c r="MAJ46" s="44"/>
      <c r="MAK46" s="44"/>
      <c r="MAL46" s="44"/>
      <c r="MAM46" s="44"/>
      <c r="MAN46" s="44"/>
      <c r="MAO46" s="44"/>
      <c r="MAP46" s="44"/>
      <c r="MAQ46" s="44"/>
      <c r="MAR46" s="44"/>
      <c r="MAS46" s="44"/>
      <c r="MAT46" s="44"/>
      <c r="MAU46" s="44"/>
      <c r="MAV46" s="44"/>
      <c r="MAW46" s="44"/>
      <c r="MAX46" s="44"/>
      <c r="MAY46" s="44"/>
      <c r="MAZ46" s="44"/>
      <c r="MBA46" s="44"/>
      <c r="MBB46" s="44"/>
      <c r="MBC46" s="44"/>
      <c r="MBD46" s="44"/>
      <c r="MBE46" s="44"/>
      <c r="MBF46" s="44"/>
      <c r="MBG46" s="44"/>
      <c r="MBH46" s="44"/>
      <c r="MBI46" s="44"/>
      <c r="MBJ46" s="44"/>
      <c r="MBK46" s="44"/>
      <c r="MBL46" s="44"/>
      <c r="MBM46" s="44"/>
      <c r="MBN46" s="44"/>
      <c r="MBO46" s="44"/>
      <c r="MBP46" s="44"/>
      <c r="MBQ46" s="44"/>
      <c r="MBR46" s="44"/>
      <c r="MBS46" s="44"/>
      <c r="MBT46" s="44"/>
      <c r="MBU46" s="44"/>
      <c r="MBV46" s="44"/>
      <c r="MBW46" s="44"/>
      <c r="MBX46" s="44"/>
      <c r="MBY46" s="44"/>
      <c r="MBZ46" s="44"/>
      <c r="MCA46" s="44"/>
      <c r="MCB46" s="44"/>
      <c r="MCC46" s="44"/>
      <c r="MCD46" s="44"/>
      <c r="MCE46" s="44"/>
      <c r="MCF46" s="44"/>
      <c r="MCG46" s="44"/>
      <c r="MCH46" s="44"/>
      <c r="MCI46" s="44"/>
      <c r="MCJ46" s="44"/>
      <c r="MCK46" s="44"/>
      <c r="MCL46" s="44"/>
      <c r="MCM46" s="44"/>
      <c r="MCN46" s="44"/>
      <c r="MCO46" s="44"/>
      <c r="MCP46" s="44"/>
      <c r="MCQ46" s="44"/>
      <c r="MCR46" s="44"/>
      <c r="MCS46" s="44"/>
      <c r="MCT46" s="44"/>
      <c r="MCU46" s="44"/>
      <c r="MCV46" s="44"/>
      <c r="MCW46" s="44"/>
      <c r="MCX46" s="44"/>
      <c r="MCY46" s="44"/>
      <c r="MCZ46" s="44"/>
      <c r="MDA46" s="44"/>
      <c r="MDB46" s="44"/>
      <c r="MDC46" s="44"/>
      <c r="MDD46" s="44"/>
      <c r="MDE46" s="44"/>
      <c r="MDF46" s="44"/>
      <c r="MDG46" s="44"/>
      <c r="MDH46" s="44"/>
      <c r="MDI46" s="44"/>
      <c r="MDJ46" s="44"/>
      <c r="MDK46" s="44"/>
      <c r="MDL46" s="44"/>
      <c r="MDM46" s="44"/>
      <c r="MDN46" s="44"/>
      <c r="MDO46" s="44"/>
      <c r="MDP46" s="44"/>
      <c r="MDQ46" s="44"/>
      <c r="MDR46" s="44"/>
      <c r="MDS46" s="44"/>
      <c r="MDT46" s="44"/>
      <c r="MDU46" s="44"/>
      <c r="MDV46" s="44"/>
      <c r="MDW46" s="44"/>
      <c r="MDX46" s="44"/>
      <c r="MDY46" s="44"/>
      <c r="MDZ46" s="44"/>
      <c r="MEA46" s="44"/>
      <c r="MEB46" s="44"/>
      <c r="MEC46" s="44"/>
      <c r="MED46" s="44"/>
      <c r="MEE46" s="44"/>
      <c r="MEF46" s="44"/>
      <c r="MEG46" s="44"/>
      <c r="MEH46" s="44"/>
      <c r="MEI46" s="44"/>
      <c r="MEJ46" s="44"/>
      <c r="MEK46" s="44"/>
      <c r="MEL46" s="44"/>
      <c r="MEM46" s="44"/>
      <c r="MEN46" s="44"/>
      <c r="MEO46" s="44"/>
      <c r="MEP46" s="44"/>
      <c r="MEQ46" s="44"/>
      <c r="MER46" s="44"/>
      <c r="MES46" s="44"/>
      <c r="MET46" s="44"/>
      <c r="MEU46" s="44"/>
      <c r="MEV46" s="44"/>
      <c r="MEW46" s="44"/>
      <c r="MEX46" s="44"/>
      <c r="MEY46" s="44"/>
      <c r="MEZ46" s="44"/>
      <c r="MFA46" s="44"/>
      <c r="MFB46" s="44"/>
      <c r="MFC46" s="44"/>
      <c r="MFD46" s="44"/>
      <c r="MFE46" s="44"/>
      <c r="MFF46" s="44"/>
      <c r="MFG46" s="44"/>
      <c r="MFH46" s="44"/>
      <c r="MFI46" s="44"/>
      <c r="MFJ46" s="44"/>
      <c r="MFK46" s="44"/>
      <c r="MFL46" s="44"/>
      <c r="MFM46" s="44"/>
      <c r="MFN46" s="44"/>
      <c r="MFO46" s="44"/>
      <c r="MFP46" s="44"/>
      <c r="MFQ46" s="44"/>
      <c r="MFR46" s="44"/>
      <c r="MFS46" s="44"/>
      <c r="MFT46" s="44"/>
      <c r="MFU46" s="44"/>
      <c r="MFV46" s="44"/>
      <c r="MFW46" s="44"/>
      <c r="MFX46" s="44"/>
      <c r="MFY46" s="44"/>
      <c r="MFZ46" s="44"/>
      <c r="MGA46" s="44"/>
      <c r="MGB46" s="44"/>
      <c r="MGC46" s="44"/>
      <c r="MGD46" s="44"/>
      <c r="MGE46" s="44"/>
      <c r="MGF46" s="44"/>
      <c r="MGG46" s="44"/>
      <c r="MGH46" s="44"/>
      <c r="MGI46" s="44"/>
      <c r="MGJ46" s="44"/>
      <c r="MGK46" s="44"/>
      <c r="MGL46" s="44"/>
      <c r="MGM46" s="44"/>
      <c r="MGN46" s="44"/>
      <c r="MGO46" s="44"/>
      <c r="MGP46" s="44"/>
      <c r="MGQ46" s="44"/>
      <c r="MGR46" s="44"/>
      <c r="MGS46" s="44"/>
      <c r="MGT46" s="44"/>
      <c r="MGU46" s="44"/>
      <c r="MGV46" s="44"/>
      <c r="MGW46" s="44"/>
      <c r="MGX46" s="44"/>
      <c r="MGY46" s="44"/>
      <c r="MGZ46" s="44"/>
      <c r="MHA46" s="44"/>
      <c r="MHB46" s="44"/>
      <c r="MHC46" s="44"/>
      <c r="MHD46" s="44"/>
      <c r="MHE46" s="44"/>
      <c r="MHF46" s="44"/>
      <c r="MHG46" s="44"/>
      <c r="MHH46" s="44"/>
      <c r="MHI46" s="44"/>
      <c r="MHJ46" s="44"/>
      <c r="MHK46" s="44"/>
      <c r="MHL46" s="44"/>
      <c r="MHM46" s="44"/>
      <c r="MHN46" s="44"/>
      <c r="MHO46" s="44"/>
      <c r="MHP46" s="44"/>
      <c r="MHQ46" s="44"/>
      <c r="MHR46" s="44"/>
      <c r="MHS46" s="44"/>
      <c r="MHT46" s="44"/>
      <c r="MHU46" s="44"/>
      <c r="MHV46" s="44"/>
      <c r="MHW46" s="44"/>
      <c r="MHX46" s="44"/>
      <c r="MHY46" s="44"/>
      <c r="MHZ46" s="44"/>
      <c r="MIA46" s="44"/>
      <c r="MIB46" s="44"/>
      <c r="MIC46" s="44"/>
      <c r="MID46" s="44"/>
      <c r="MIE46" s="44"/>
      <c r="MIF46" s="44"/>
      <c r="MIG46" s="44"/>
      <c r="MIH46" s="44"/>
      <c r="MII46" s="44"/>
      <c r="MIJ46" s="44"/>
      <c r="MIK46" s="44"/>
      <c r="MIL46" s="44"/>
      <c r="MIM46" s="44"/>
      <c r="MIN46" s="44"/>
      <c r="MIO46" s="44"/>
      <c r="MIP46" s="44"/>
      <c r="MIQ46" s="44"/>
      <c r="MIR46" s="44"/>
      <c r="MIS46" s="44"/>
      <c r="MIT46" s="44"/>
      <c r="MIU46" s="44"/>
      <c r="MIV46" s="44"/>
      <c r="MIW46" s="44"/>
      <c r="MIX46" s="44"/>
      <c r="MIY46" s="44"/>
      <c r="MIZ46" s="44"/>
      <c r="MJA46" s="44"/>
      <c r="MJB46" s="44"/>
      <c r="MJC46" s="44"/>
      <c r="MJD46" s="44"/>
      <c r="MJE46" s="44"/>
      <c r="MJF46" s="44"/>
      <c r="MJG46" s="44"/>
      <c r="MJH46" s="44"/>
      <c r="MJI46" s="44"/>
      <c r="MJJ46" s="44"/>
      <c r="MJK46" s="44"/>
      <c r="MJL46" s="44"/>
      <c r="MJM46" s="44"/>
      <c r="MJN46" s="44"/>
      <c r="MJO46" s="44"/>
      <c r="MJP46" s="44"/>
      <c r="MJQ46" s="44"/>
      <c r="MJR46" s="44"/>
      <c r="MJS46" s="44"/>
      <c r="MJT46" s="44"/>
      <c r="MJU46" s="44"/>
      <c r="MJV46" s="44"/>
      <c r="MJW46" s="44"/>
      <c r="MJX46" s="44"/>
      <c r="MJY46" s="44"/>
      <c r="MJZ46" s="44"/>
      <c r="MKA46" s="44"/>
      <c r="MKB46" s="44"/>
      <c r="MKC46" s="44"/>
      <c r="MKD46" s="44"/>
      <c r="MKE46" s="44"/>
      <c r="MKF46" s="44"/>
      <c r="MKG46" s="44"/>
      <c r="MKH46" s="44"/>
      <c r="MKI46" s="44"/>
      <c r="MKJ46" s="44"/>
      <c r="MKK46" s="44"/>
      <c r="MKL46" s="44"/>
      <c r="MKM46" s="44"/>
      <c r="MKN46" s="44"/>
      <c r="MKO46" s="44"/>
      <c r="MKP46" s="44"/>
      <c r="MKQ46" s="44"/>
      <c r="MKR46" s="44"/>
      <c r="MKS46" s="44"/>
      <c r="MKT46" s="44"/>
      <c r="MKU46" s="44"/>
      <c r="MKV46" s="44"/>
      <c r="MKW46" s="44"/>
      <c r="MKX46" s="44"/>
      <c r="MKY46" s="44"/>
      <c r="MKZ46" s="44"/>
      <c r="MLA46" s="44"/>
      <c r="MLB46" s="44"/>
      <c r="MLC46" s="44"/>
      <c r="MLD46" s="44"/>
      <c r="MLE46" s="44"/>
      <c r="MLF46" s="44"/>
      <c r="MLG46" s="44"/>
      <c r="MLH46" s="44"/>
      <c r="MLI46" s="44"/>
      <c r="MLJ46" s="44"/>
      <c r="MLK46" s="44"/>
      <c r="MLL46" s="44"/>
      <c r="MLM46" s="44"/>
      <c r="MLN46" s="44"/>
      <c r="MLO46" s="44"/>
      <c r="MLP46" s="44"/>
      <c r="MLQ46" s="44"/>
      <c r="MLR46" s="44"/>
      <c r="MLS46" s="44"/>
      <c r="MLT46" s="44"/>
      <c r="MLU46" s="44"/>
      <c r="MLV46" s="44"/>
      <c r="MLW46" s="44"/>
      <c r="MLX46" s="44"/>
      <c r="MLY46" s="44"/>
      <c r="MLZ46" s="44"/>
      <c r="MMA46" s="44"/>
      <c r="MMB46" s="44"/>
      <c r="MMC46" s="44"/>
      <c r="MMD46" s="44"/>
      <c r="MME46" s="44"/>
      <c r="MMF46" s="44"/>
      <c r="MMG46" s="44"/>
      <c r="MMH46" s="44"/>
      <c r="MMI46" s="44"/>
      <c r="MMJ46" s="44"/>
      <c r="MMK46" s="44"/>
      <c r="MML46" s="44"/>
      <c r="MMM46" s="44"/>
      <c r="MMN46" s="44"/>
      <c r="MMO46" s="44"/>
      <c r="MMP46" s="44"/>
      <c r="MMQ46" s="44"/>
      <c r="MMR46" s="44"/>
      <c r="MMS46" s="44"/>
      <c r="MMT46" s="44"/>
      <c r="MMU46" s="44"/>
      <c r="MMV46" s="44"/>
      <c r="MMW46" s="44"/>
      <c r="MMX46" s="44"/>
      <c r="MMY46" s="44"/>
      <c r="MMZ46" s="44"/>
      <c r="MNA46" s="44"/>
      <c r="MNB46" s="44"/>
      <c r="MNC46" s="44"/>
      <c r="MND46" s="44"/>
      <c r="MNE46" s="44"/>
      <c r="MNF46" s="44"/>
      <c r="MNG46" s="44"/>
      <c r="MNH46" s="44"/>
      <c r="MNI46" s="44"/>
      <c r="MNJ46" s="44"/>
      <c r="MNK46" s="44"/>
      <c r="MNL46" s="44"/>
      <c r="MNM46" s="44"/>
      <c r="MNN46" s="44"/>
      <c r="MNO46" s="44"/>
      <c r="MNP46" s="44"/>
      <c r="MNQ46" s="44"/>
      <c r="MNR46" s="44"/>
      <c r="MNS46" s="44"/>
      <c r="MNT46" s="44"/>
      <c r="MNU46" s="44"/>
      <c r="MNV46" s="44"/>
      <c r="MNW46" s="44"/>
      <c r="MNX46" s="44"/>
      <c r="MNY46" s="44"/>
      <c r="MNZ46" s="44"/>
      <c r="MOA46" s="44"/>
      <c r="MOB46" s="44"/>
      <c r="MOC46" s="44"/>
      <c r="MOD46" s="44"/>
      <c r="MOE46" s="44"/>
      <c r="MOF46" s="44"/>
      <c r="MOG46" s="44"/>
      <c r="MOH46" s="44"/>
      <c r="MOI46" s="44"/>
      <c r="MOJ46" s="44"/>
      <c r="MOK46" s="44"/>
      <c r="MOL46" s="44"/>
      <c r="MOM46" s="44"/>
      <c r="MON46" s="44"/>
      <c r="MOO46" s="44"/>
      <c r="MOP46" s="44"/>
      <c r="MOQ46" s="44"/>
      <c r="MOR46" s="44"/>
      <c r="MOS46" s="44"/>
      <c r="MOT46" s="44"/>
      <c r="MOU46" s="44"/>
      <c r="MOV46" s="44"/>
      <c r="MOW46" s="44"/>
      <c r="MOX46" s="44"/>
      <c r="MOY46" s="44"/>
      <c r="MOZ46" s="44"/>
      <c r="MPA46" s="44"/>
      <c r="MPB46" s="44"/>
      <c r="MPC46" s="44"/>
      <c r="MPD46" s="44"/>
      <c r="MPE46" s="44"/>
      <c r="MPF46" s="44"/>
      <c r="MPG46" s="44"/>
      <c r="MPH46" s="44"/>
      <c r="MPI46" s="44"/>
      <c r="MPJ46" s="44"/>
      <c r="MPK46" s="44"/>
      <c r="MPL46" s="44"/>
      <c r="MPM46" s="44"/>
      <c r="MPN46" s="44"/>
      <c r="MPO46" s="44"/>
      <c r="MPP46" s="44"/>
      <c r="MPQ46" s="44"/>
      <c r="MPR46" s="44"/>
      <c r="MPS46" s="44"/>
      <c r="MPT46" s="44"/>
      <c r="MPU46" s="44"/>
      <c r="MPV46" s="44"/>
      <c r="MPW46" s="44"/>
      <c r="MPX46" s="44"/>
      <c r="MPY46" s="44"/>
      <c r="MPZ46" s="44"/>
      <c r="MQA46" s="44"/>
      <c r="MQB46" s="44"/>
      <c r="MQC46" s="44"/>
      <c r="MQD46" s="44"/>
      <c r="MQE46" s="44"/>
      <c r="MQF46" s="44"/>
      <c r="MQG46" s="44"/>
      <c r="MQH46" s="44"/>
      <c r="MQI46" s="44"/>
      <c r="MQJ46" s="44"/>
      <c r="MQK46" s="44"/>
      <c r="MQL46" s="44"/>
      <c r="MQM46" s="44"/>
      <c r="MQN46" s="44"/>
      <c r="MQO46" s="44"/>
      <c r="MQP46" s="44"/>
      <c r="MQQ46" s="44"/>
      <c r="MQR46" s="44"/>
      <c r="MQS46" s="44"/>
      <c r="MQT46" s="44"/>
      <c r="MQU46" s="44"/>
      <c r="MQV46" s="44"/>
      <c r="MQW46" s="44"/>
      <c r="MQX46" s="44"/>
      <c r="MQY46" s="44"/>
      <c r="MQZ46" s="44"/>
      <c r="MRA46" s="44"/>
      <c r="MRB46" s="44"/>
      <c r="MRC46" s="44"/>
      <c r="MRD46" s="44"/>
      <c r="MRE46" s="44"/>
      <c r="MRF46" s="44"/>
      <c r="MRG46" s="44"/>
      <c r="MRH46" s="44"/>
      <c r="MRI46" s="44"/>
      <c r="MRJ46" s="44"/>
      <c r="MRK46" s="44"/>
      <c r="MRL46" s="44"/>
      <c r="MRM46" s="44"/>
      <c r="MRN46" s="44"/>
      <c r="MRO46" s="44"/>
      <c r="MRP46" s="44"/>
      <c r="MRQ46" s="44"/>
      <c r="MRR46" s="44"/>
      <c r="MRS46" s="44"/>
      <c r="MRT46" s="44"/>
      <c r="MRU46" s="44"/>
      <c r="MRV46" s="44"/>
      <c r="MRW46" s="44"/>
      <c r="MRX46" s="44"/>
      <c r="MRY46" s="44"/>
      <c r="MRZ46" s="44"/>
      <c r="MSA46" s="44"/>
      <c r="MSB46" s="44"/>
      <c r="MSC46" s="44"/>
      <c r="MSD46" s="44"/>
      <c r="MSE46" s="44"/>
      <c r="MSF46" s="44"/>
      <c r="MSG46" s="44"/>
      <c r="MSH46" s="44"/>
      <c r="MSI46" s="44"/>
      <c r="MSJ46" s="44"/>
      <c r="MSK46" s="44"/>
      <c r="MSL46" s="44"/>
      <c r="MSM46" s="44"/>
      <c r="MSN46" s="44"/>
      <c r="MSO46" s="44"/>
      <c r="MSP46" s="44"/>
      <c r="MSQ46" s="44"/>
      <c r="MSR46" s="44"/>
      <c r="MSS46" s="44"/>
      <c r="MST46" s="44"/>
      <c r="MSU46" s="44"/>
      <c r="MSV46" s="44"/>
      <c r="MSW46" s="44"/>
      <c r="MSX46" s="44"/>
      <c r="MSY46" s="44"/>
      <c r="MSZ46" s="44"/>
      <c r="MTA46" s="44"/>
      <c r="MTB46" s="44"/>
      <c r="MTC46" s="44"/>
      <c r="MTD46" s="44"/>
      <c r="MTE46" s="44"/>
      <c r="MTF46" s="44"/>
      <c r="MTG46" s="44"/>
      <c r="MTH46" s="44"/>
      <c r="MTI46" s="44"/>
      <c r="MTJ46" s="44"/>
      <c r="MTK46" s="44"/>
      <c r="MTL46" s="44"/>
      <c r="MTM46" s="44"/>
      <c r="MTN46" s="44"/>
      <c r="MTO46" s="44"/>
      <c r="MTP46" s="44"/>
      <c r="MTQ46" s="44"/>
      <c r="MTR46" s="44"/>
      <c r="MTS46" s="44"/>
      <c r="MTT46" s="44"/>
      <c r="MTU46" s="44"/>
      <c r="MTV46" s="44"/>
      <c r="MTW46" s="44"/>
      <c r="MTX46" s="44"/>
      <c r="MTY46" s="44"/>
      <c r="MTZ46" s="44"/>
      <c r="MUA46" s="44"/>
      <c r="MUB46" s="44"/>
      <c r="MUC46" s="44"/>
      <c r="MUD46" s="44"/>
      <c r="MUE46" s="44"/>
      <c r="MUF46" s="44"/>
      <c r="MUG46" s="44"/>
      <c r="MUH46" s="44"/>
      <c r="MUI46" s="44"/>
      <c r="MUJ46" s="44"/>
      <c r="MUK46" s="44"/>
      <c r="MUL46" s="44"/>
      <c r="MUM46" s="44"/>
      <c r="MUN46" s="44"/>
      <c r="MUO46" s="44"/>
      <c r="MUP46" s="44"/>
      <c r="MUQ46" s="44"/>
      <c r="MUR46" s="44"/>
      <c r="MUS46" s="44"/>
      <c r="MUT46" s="44"/>
      <c r="MUU46" s="44"/>
      <c r="MUV46" s="44"/>
      <c r="MUW46" s="44"/>
      <c r="MUX46" s="44"/>
      <c r="MUY46" s="44"/>
      <c r="MUZ46" s="44"/>
      <c r="MVA46" s="44"/>
      <c r="MVB46" s="44"/>
      <c r="MVC46" s="44"/>
      <c r="MVD46" s="44"/>
      <c r="MVE46" s="44"/>
      <c r="MVF46" s="44"/>
      <c r="MVG46" s="44"/>
      <c r="MVH46" s="44"/>
      <c r="MVI46" s="44"/>
      <c r="MVJ46" s="44"/>
      <c r="MVK46" s="44"/>
      <c r="MVL46" s="44"/>
      <c r="MVM46" s="44"/>
      <c r="MVN46" s="44"/>
      <c r="MVO46" s="44"/>
      <c r="MVP46" s="44"/>
      <c r="MVQ46" s="44"/>
      <c r="MVR46" s="44"/>
      <c r="MVS46" s="44"/>
      <c r="MVT46" s="44"/>
      <c r="MVU46" s="44"/>
      <c r="MVV46" s="44"/>
      <c r="MVW46" s="44"/>
      <c r="MVX46" s="44"/>
      <c r="MVY46" s="44"/>
      <c r="MVZ46" s="44"/>
      <c r="MWA46" s="44"/>
      <c r="MWB46" s="44"/>
      <c r="MWC46" s="44"/>
      <c r="MWD46" s="44"/>
      <c r="MWE46" s="44"/>
      <c r="MWF46" s="44"/>
      <c r="MWG46" s="44"/>
      <c r="MWH46" s="44"/>
      <c r="MWI46" s="44"/>
      <c r="MWJ46" s="44"/>
      <c r="MWK46" s="44"/>
      <c r="MWL46" s="44"/>
      <c r="MWM46" s="44"/>
      <c r="MWN46" s="44"/>
      <c r="MWO46" s="44"/>
      <c r="MWP46" s="44"/>
      <c r="MWQ46" s="44"/>
      <c r="MWR46" s="44"/>
      <c r="MWS46" s="44"/>
      <c r="MWT46" s="44"/>
      <c r="MWU46" s="44"/>
      <c r="MWV46" s="44"/>
      <c r="MWW46" s="44"/>
      <c r="MWX46" s="44"/>
      <c r="MWY46" s="44"/>
      <c r="MWZ46" s="44"/>
      <c r="MXA46" s="44"/>
      <c r="MXB46" s="44"/>
      <c r="MXC46" s="44"/>
      <c r="MXD46" s="44"/>
      <c r="MXE46" s="44"/>
      <c r="MXF46" s="44"/>
      <c r="MXG46" s="44"/>
      <c r="MXH46" s="44"/>
      <c r="MXI46" s="44"/>
      <c r="MXJ46" s="44"/>
      <c r="MXK46" s="44"/>
      <c r="MXL46" s="44"/>
      <c r="MXM46" s="44"/>
      <c r="MXN46" s="44"/>
      <c r="MXO46" s="44"/>
      <c r="MXP46" s="44"/>
      <c r="MXQ46" s="44"/>
      <c r="MXR46" s="44"/>
      <c r="MXS46" s="44"/>
      <c r="MXT46" s="44"/>
      <c r="MXU46" s="44"/>
      <c r="MXV46" s="44"/>
      <c r="MXW46" s="44"/>
      <c r="MXX46" s="44"/>
      <c r="MXY46" s="44"/>
      <c r="MXZ46" s="44"/>
      <c r="MYA46" s="44"/>
      <c r="MYB46" s="44"/>
      <c r="MYC46" s="44"/>
      <c r="MYD46" s="44"/>
      <c r="MYE46" s="44"/>
      <c r="MYF46" s="44"/>
      <c r="MYG46" s="44"/>
      <c r="MYH46" s="44"/>
      <c r="MYI46" s="44"/>
      <c r="MYJ46" s="44"/>
      <c r="MYK46" s="44"/>
      <c r="MYL46" s="44"/>
      <c r="MYM46" s="44"/>
      <c r="MYN46" s="44"/>
      <c r="MYO46" s="44"/>
      <c r="MYP46" s="44"/>
      <c r="MYQ46" s="44"/>
      <c r="MYR46" s="44"/>
      <c r="MYS46" s="44"/>
      <c r="MYT46" s="44"/>
      <c r="MYU46" s="44"/>
      <c r="MYV46" s="44"/>
      <c r="MYW46" s="44"/>
      <c r="MYX46" s="44"/>
      <c r="MYY46" s="44"/>
      <c r="MYZ46" s="44"/>
      <c r="MZA46" s="44"/>
      <c r="MZB46" s="44"/>
      <c r="MZC46" s="44"/>
      <c r="MZD46" s="44"/>
      <c r="MZE46" s="44"/>
      <c r="MZF46" s="44"/>
      <c r="MZG46" s="44"/>
      <c r="MZH46" s="44"/>
      <c r="MZI46" s="44"/>
      <c r="MZJ46" s="44"/>
      <c r="MZK46" s="44"/>
      <c r="MZL46" s="44"/>
      <c r="MZM46" s="44"/>
      <c r="MZN46" s="44"/>
      <c r="MZO46" s="44"/>
      <c r="MZP46" s="44"/>
      <c r="MZQ46" s="44"/>
      <c r="MZR46" s="44"/>
      <c r="MZS46" s="44"/>
      <c r="MZT46" s="44"/>
      <c r="MZU46" s="44"/>
      <c r="MZV46" s="44"/>
      <c r="MZW46" s="44"/>
      <c r="MZX46" s="44"/>
      <c r="MZY46" s="44"/>
      <c r="MZZ46" s="44"/>
      <c r="NAA46" s="44"/>
      <c r="NAB46" s="44"/>
      <c r="NAC46" s="44"/>
      <c r="NAD46" s="44"/>
      <c r="NAE46" s="44"/>
      <c r="NAF46" s="44"/>
      <c r="NAG46" s="44"/>
      <c r="NAH46" s="44"/>
      <c r="NAI46" s="44"/>
      <c r="NAJ46" s="44"/>
      <c r="NAK46" s="44"/>
      <c r="NAL46" s="44"/>
      <c r="NAM46" s="44"/>
      <c r="NAN46" s="44"/>
      <c r="NAO46" s="44"/>
      <c r="NAP46" s="44"/>
      <c r="NAQ46" s="44"/>
      <c r="NAR46" s="44"/>
      <c r="NAS46" s="44"/>
      <c r="NAT46" s="44"/>
      <c r="NAU46" s="44"/>
      <c r="NAV46" s="44"/>
      <c r="NAW46" s="44"/>
      <c r="NAX46" s="44"/>
      <c r="NAY46" s="44"/>
      <c r="NAZ46" s="44"/>
      <c r="NBA46" s="44"/>
      <c r="NBB46" s="44"/>
      <c r="NBC46" s="44"/>
      <c r="NBD46" s="44"/>
      <c r="NBE46" s="44"/>
      <c r="NBF46" s="44"/>
      <c r="NBG46" s="44"/>
      <c r="NBH46" s="44"/>
      <c r="NBI46" s="44"/>
      <c r="NBJ46" s="44"/>
      <c r="NBK46" s="44"/>
      <c r="NBL46" s="44"/>
      <c r="NBM46" s="44"/>
      <c r="NBN46" s="44"/>
      <c r="NBO46" s="44"/>
      <c r="NBP46" s="44"/>
      <c r="NBQ46" s="44"/>
      <c r="NBR46" s="44"/>
      <c r="NBS46" s="44"/>
      <c r="NBT46" s="44"/>
      <c r="NBU46" s="44"/>
      <c r="NBV46" s="44"/>
      <c r="NBW46" s="44"/>
      <c r="NBX46" s="44"/>
      <c r="NBY46" s="44"/>
      <c r="NBZ46" s="44"/>
      <c r="NCA46" s="44"/>
      <c r="NCB46" s="44"/>
      <c r="NCC46" s="44"/>
      <c r="NCD46" s="44"/>
      <c r="NCE46" s="44"/>
      <c r="NCF46" s="44"/>
      <c r="NCG46" s="44"/>
      <c r="NCH46" s="44"/>
      <c r="NCI46" s="44"/>
      <c r="NCJ46" s="44"/>
      <c r="NCK46" s="44"/>
      <c r="NCL46" s="44"/>
      <c r="NCM46" s="44"/>
      <c r="NCN46" s="44"/>
      <c r="NCO46" s="44"/>
      <c r="NCP46" s="44"/>
      <c r="NCQ46" s="44"/>
      <c r="NCR46" s="44"/>
      <c r="NCS46" s="44"/>
      <c r="NCT46" s="44"/>
      <c r="NCU46" s="44"/>
      <c r="NCV46" s="44"/>
      <c r="NCW46" s="44"/>
      <c r="NCX46" s="44"/>
      <c r="NCY46" s="44"/>
      <c r="NCZ46" s="44"/>
      <c r="NDA46" s="44"/>
      <c r="NDB46" s="44"/>
      <c r="NDC46" s="44"/>
      <c r="NDD46" s="44"/>
      <c r="NDE46" s="44"/>
      <c r="NDF46" s="44"/>
      <c r="NDG46" s="44"/>
      <c r="NDH46" s="44"/>
      <c r="NDI46" s="44"/>
      <c r="NDJ46" s="44"/>
      <c r="NDK46" s="44"/>
      <c r="NDL46" s="44"/>
      <c r="NDM46" s="44"/>
      <c r="NDN46" s="44"/>
      <c r="NDO46" s="44"/>
      <c r="NDP46" s="44"/>
      <c r="NDQ46" s="44"/>
      <c r="NDR46" s="44"/>
      <c r="NDS46" s="44"/>
      <c r="NDT46" s="44"/>
      <c r="NDU46" s="44"/>
      <c r="NDV46" s="44"/>
      <c r="NDW46" s="44"/>
      <c r="NDX46" s="44"/>
      <c r="NDY46" s="44"/>
      <c r="NDZ46" s="44"/>
      <c r="NEA46" s="44"/>
      <c r="NEB46" s="44"/>
      <c r="NEC46" s="44"/>
      <c r="NED46" s="44"/>
      <c r="NEE46" s="44"/>
      <c r="NEF46" s="44"/>
      <c r="NEG46" s="44"/>
      <c r="NEH46" s="44"/>
      <c r="NEI46" s="44"/>
      <c r="NEJ46" s="44"/>
      <c r="NEK46" s="44"/>
      <c r="NEL46" s="44"/>
      <c r="NEM46" s="44"/>
      <c r="NEN46" s="44"/>
      <c r="NEO46" s="44"/>
      <c r="NEP46" s="44"/>
      <c r="NEQ46" s="44"/>
      <c r="NER46" s="44"/>
      <c r="NES46" s="44"/>
      <c r="NET46" s="44"/>
      <c r="NEU46" s="44"/>
      <c r="NEV46" s="44"/>
      <c r="NEW46" s="44"/>
      <c r="NEX46" s="44"/>
      <c r="NEY46" s="44"/>
      <c r="NEZ46" s="44"/>
      <c r="NFA46" s="44"/>
      <c r="NFB46" s="44"/>
      <c r="NFC46" s="44"/>
      <c r="NFD46" s="44"/>
      <c r="NFE46" s="44"/>
      <c r="NFF46" s="44"/>
      <c r="NFG46" s="44"/>
      <c r="NFH46" s="44"/>
      <c r="NFI46" s="44"/>
      <c r="NFJ46" s="44"/>
      <c r="NFK46" s="44"/>
      <c r="NFL46" s="44"/>
      <c r="NFM46" s="44"/>
      <c r="NFN46" s="44"/>
      <c r="NFO46" s="44"/>
      <c r="NFP46" s="44"/>
      <c r="NFQ46" s="44"/>
      <c r="NFR46" s="44"/>
      <c r="NFS46" s="44"/>
      <c r="NFT46" s="44"/>
      <c r="NFU46" s="44"/>
      <c r="NFV46" s="44"/>
      <c r="NFW46" s="44"/>
      <c r="NFX46" s="44"/>
      <c r="NFY46" s="44"/>
      <c r="NFZ46" s="44"/>
      <c r="NGA46" s="44"/>
      <c r="NGB46" s="44"/>
      <c r="NGC46" s="44"/>
      <c r="NGD46" s="44"/>
      <c r="NGE46" s="44"/>
      <c r="NGF46" s="44"/>
      <c r="NGG46" s="44"/>
      <c r="NGH46" s="44"/>
      <c r="NGI46" s="44"/>
      <c r="NGJ46" s="44"/>
      <c r="NGK46" s="44"/>
      <c r="NGL46" s="44"/>
      <c r="NGM46" s="44"/>
      <c r="NGN46" s="44"/>
      <c r="NGO46" s="44"/>
      <c r="NGP46" s="44"/>
      <c r="NGQ46" s="44"/>
      <c r="NGR46" s="44"/>
      <c r="NGS46" s="44"/>
      <c r="NGT46" s="44"/>
      <c r="NGU46" s="44"/>
      <c r="NGV46" s="44"/>
      <c r="NGW46" s="44"/>
      <c r="NGX46" s="44"/>
      <c r="NGY46" s="44"/>
      <c r="NGZ46" s="44"/>
      <c r="NHA46" s="44"/>
      <c r="NHB46" s="44"/>
      <c r="NHC46" s="44"/>
      <c r="NHD46" s="44"/>
      <c r="NHE46" s="44"/>
      <c r="NHF46" s="44"/>
      <c r="NHG46" s="44"/>
      <c r="NHH46" s="44"/>
      <c r="NHI46" s="44"/>
      <c r="NHJ46" s="44"/>
      <c r="NHK46" s="44"/>
      <c r="NHL46" s="44"/>
      <c r="NHM46" s="44"/>
      <c r="NHN46" s="44"/>
      <c r="NHO46" s="44"/>
      <c r="NHP46" s="44"/>
      <c r="NHQ46" s="44"/>
      <c r="NHR46" s="44"/>
      <c r="NHS46" s="44"/>
      <c r="NHT46" s="44"/>
      <c r="NHU46" s="44"/>
      <c r="NHV46" s="44"/>
      <c r="NHW46" s="44"/>
      <c r="NHX46" s="44"/>
      <c r="NHY46" s="44"/>
      <c r="NHZ46" s="44"/>
      <c r="NIA46" s="44"/>
      <c r="NIB46" s="44"/>
      <c r="NIC46" s="44"/>
      <c r="NID46" s="44"/>
      <c r="NIE46" s="44"/>
      <c r="NIF46" s="44"/>
      <c r="NIG46" s="44"/>
      <c r="NIH46" s="44"/>
      <c r="NII46" s="44"/>
      <c r="NIJ46" s="44"/>
      <c r="NIK46" s="44"/>
      <c r="NIL46" s="44"/>
      <c r="NIM46" s="44"/>
      <c r="NIN46" s="44"/>
      <c r="NIO46" s="44"/>
      <c r="NIP46" s="44"/>
      <c r="NIQ46" s="44"/>
      <c r="NIR46" s="44"/>
      <c r="NIS46" s="44"/>
      <c r="NIT46" s="44"/>
      <c r="NIU46" s="44"/>
      <c r="NIV46" s="44"/>
      <c r="NIW46" s="44"/>
      <c r="NIX46" s="44"/>
      <c r="NIY46" s="44"/>
      <c r="NIZ46" s="44"/>
      <c r="NJA46" s="44"/>
      <c r="NJB46" s="44"/>
      <c r="NJC46" s="44"/>
      <c r="NJD46" s="44"/>
      <c r="NJE46" s="44"/>
      <c r="NJF46" s="44"/>
      <c r="NJG46" s="44"/>
      <c r="NJH46" s="44"/>
      <c r="NJI46" s="44"/>
      <c r="NJJ46" s="44"/>
      <c r="NJK46" s="44"/>
      <c r="NJL46" s="44"/>
      <c r="NJM46" s="44"/>
      <c r="NJN46" s="44"/>
      <c r="NJO46" s="44"/>
      <c r="NJP46" s="44"/>
      <c r="NJQ46" s="44"/>
      <c r="NJR46" s="44"/>
      <c r="NJS46" s="44"/>
      <c r="NJT46" s="44"/>
      <c r="NJU46" s="44"/>
      <c r="NJV46" s="44"/>
      <c r="NJW46" s="44"/>
      <c r="NJX46" s="44"/>
      <c r="NJY46" s="44"/>
      <c r="NJZ46" s="44"/>
      <c r="NKA46" s="44"/>
      <c r="NKB46" s="44"/>
      <c r="NKC46" s="44"/>
      <c r="NKD46" s="44"/>
      <c r="NKE46" s="44"/>
      <c r="NKF46" s="44"/>
      <c r="NKG46" s="44"/>
      <c r="NKH46" s="44"/>
      <c r="NKI46" s="44"/>
      <c r="NKJ46" s="44"/>
      <c r="NKK46" s="44"/>
      <c r="NKL46" s="44"/>
      <c r="NKM46" s="44"/>
      <c r="NKN46" s="44"/>
      <c r="NKO46" s="44"/>
      <c r="NKP46" s="44"/>
      <c r="NKQ46" s="44"/>
      <c r="NKR46" s="44"/>
      <c r="NKS46" s="44"/>
      <c r="NKT46" s="44"/>
      <c r="NKU46" s="44"/>
      <c r="NKV46" s="44"/>
      <c r="NKW46" s="44"/>
      <c r="NKX46" s="44"/>
      <c r="NKY46" s="44"/>
      <c r="NKZ46" s="44"/>
      <c r="NLA46" s="44"/>
      <c r="NLB46" s="44"/>
      <c r="NLC46" s="44"/>
      <c r="NLD46" s="44"/>
      <c r="NLE46" s="44"/>
      <c r="NLF46" s="44"/>
      <c r="NLG46" s="44"/>
      <c r="NLH46" s="44"/>
      <c r="NLI46" s="44"/>
      <c r="NLJ46" s="44"/>
      <c r="NLK46" s="44"/>
      <c r="NLL46" s="44"/>
      <c r="NLM46" s="44"/>
      <c r="NLN46" s="44"/>
      <c r="NLO46" s="44"/>
      <c r="NLP46" s="44"/>
      <c r="NLQ46" s="44"/>
      <c r="NLR46" s="44"/>
      <c r="NLS46" s="44"/>
      <c r="NLT46" s="44"/>
      <c r="NLU46" s="44"/>
      <c r="NLV46" s="44"/>
      <c r="NLW46" s="44"/>
      <c r="NLX46" s="44"/>
      <c r="NLY46" s="44"/>
      <c r="NLZ46" s="44"/>
      <c r="NMA46" s="44"/>
      <c r="NMB46" s="44"/>
      <c r="NMC46" s="44"/>
      <c r="NMD46" s="44"/>
      <c r="NME46" s="44"/>
      <c r="NMF46" s="44"/>
      <c r="NMG46" s="44"/>
      <c r="NMH46" s="44"/>
      <c r="NMI46" s="44"/>
      <c r="NMJ46" s="44"/>
      <c r="NMK46" s="44"/>
      <c r="NML46" s="44"/>
      <c r="NMM46" s="44"/>
      <c r="NMN46" s="44"/>
      <c r="NMO46" s="44"/>
      <c r="NMP46" s="44"/>
      <c r="NMQ46" s="44"/>
      <c r="NMR46" s="44"/>
      <c r="NMS46" s="44"/>
      <c r="NMT46" s="44"/>
      <c r="NMU46" s="44"/>
      <c r="NMV46" s="44"/>
      <c r="NMW46" s="44"/>
      <c r="NMX46" s="44"/>
      <c r="NMY46" s="44"/>
      <c r="NMZ46" s="44"/>
      <c r="NNA46" s="44"/>
      <c r="NNB46" s="44"/>
      <c r="NNC46" s="44"/>
      <c r="NND46" s="44"/>
      <c r="NNE46" s="44"/>
      <c r="NNF46" s="44"/>
      <c r="NNG46" s="44"/>
      <c r="NNH46" s="44"/>
      <c r="NNI46" s="44"/>
      <c r="NNJ46" s="44"/>
      <c r="NNK46" s="44"/>
      <c r="NNL46" s="44"/>
      <c r="NNM46" s="44"/>
      <c r="NNN46" s="44"/>
      <c r="NNO46" s="44"/>
      <c r="NNP46" s="44"/>
      <c r="NNQ46" s="44"/>
      <c r="NNR46" s="44"/>
      <c r="NNS46" s="44"/>
      <c r="NNT46" s="44"/>
      <c r="NNU46" s="44"/>
      <c r="NNV46" s="44"/>
      <c r="NNW46" s="44"/>
      <c r="NNX46" s="44"/>
      <c r="NNY46" s="44"/>
      <c r="NNZ46" s="44"/>
      <c r="NOA46" s="44"/>
      <c r="NOB46" s="44"/>
      <c r="NOC46" s="44"/>
      <c r="NOD46" s="44"/>
      <c r="NOE46" s="44"/>
      <c r="NOF46" s="44"/>
      <c r="NOG46" s="44"/>
      <c r="NOH46" s="44"/>
      <c r="NOI46" s="44"/>
      <c r="NOJ46" s="44"/>
      <c r="NOK46" s="44"/>
      <c r="NOL46" s="44"/>
      <c r="NOM46" s="44"/>
      <c r="NON46" s="44"/>
      <c r="NOO46" s="44"/>
      <c r="NOP46" s="44"/>
      <c r="NOQ46" s="44"/>
      <c r="NOR46" s="44"/>
      <c r="NOS46" s="44"/>
      <c r="NOT46" s="44"/>
      <c r="NOU46" s="44"/>
      <c r="NOV46" s="44"/>
      <c r="NOW46" s="44"/>
      <c r="NOX46" s="44"/>
      <c r="NOY46" s="44"/>
      <c r="NOZ46" s="44"/>
      <c r="NPA46" s="44"/>
      <c r="NPB46" s="44"/>
      <c r="NPC46" s="44"/>
      <c r="NPD46" s="44"/>
      <c r="NPE46" s="44"/>
      <c r="NPF46" s="44"/>
      <c r="NPG46" s="44"/>
      <c r="NPH46" s="44"/>
      <c r="NPI46" s="44"/>
      <c r="NPJ46" s="44"/>
      <c r="NPK46" s="44"/>
      <c r="NPL46" s="44"/>
      <c r="NPM46" s="44"/>
      <c r="NPN46" s="44"/>
      <c r="NPO46" s="44"/>
      <c r="NPP46" s="44"/>
      <c r="NPQ46" s="44"/>
      <c r="NPR46" s="44"/>
      <c r="NPS46" s="44"/>
      <c r="NPT46" s="44"/>
      <c r="NPU46" s="44"/>
      <c r="NPV46" s="44"/>
      <c r="NPW46" s="44"/>
      <c r="NPX46" s="44"/>
      <c r="NPY46" s="44"/>
      <c r="NPZ46" s="44"/>
      <c r="NQA46" s="44"/>
      <c r="NQB46" s="44"/>
      <c r="NQC46" s="44"/>
      <c r="NQD46" s="44"/>
      <c r="NQE46" s="44"/>
      <c r="NQF46" s="44"/>
      <c r="NQG46" s="44"/>
      <c r="NQH46" s="44"/>
      <c r="NQI46" s="44"/>
      <c r="NQJ46" s="44"/>
      <c r="NQK46" s="44"/>
      <c r="NQL46" s="44"/>
      <c r="NQM46" s="44"/>
      <c r="NQN46" s="44"/>
      <c r="NQO46" s="44"/>
      <c r="NQP46" s="44"/>
      <c r="NQQ46" s="44"/>
      <c r="NQR46" s="44"/>
      <c r="NQS46" s="44"/>
      <c r="NQT46" s="44"/>
      <c r="NQU46" s="44"/>
      <c r="NQV46" s="44"/>
      <c r="NQW46" s="44"/>
      <c r="NQX46" s="44"/>
      <c r="NQY46" s="44"/>
      <c r="NQZ46" s="44"/>
      <c r="NRA46" s="44"/>
      <c r="NRB46" s="44"/>
      <c r="NRC46" s="44"/>
      <c r="NRD46" s="44"/>
      <c r="NRE46" s="44"/>
      <c r="NRF46" s="44"/>
      <c r="NRG46" s="44"/>
      <c r="NRH46" s="44"/>
      <c r="NRI46" s="44"/>
      <c r="NRJ46" s="44"/>
      <c r="NRK46" s="44"/>
      <c r="NRL46" s="44"/>
      <c r="NRM46" s="44"/>
      <c r="NRN46" s="44"/>
      <c r="NRO46" s="44"/>
      <c r="NRP46" s="44"/>
      <c r="NRQ46" s="44"/>
      <c r="NRR46" s="44"/>
      <c r="NRS46" s="44"/>
      <c r="NRT46" s="44"/>
      <c r="NRU46" s="44"/>
      <c r="NRV46" s="44"/>
      <c r="NRW46" s="44"/>
      <c r="NRX46" s="44"/>
      <c r="NRY46" s="44"/>
      <c r="NRZ46" s="44"/>
      <c r="NSA46" s="44"/>
      <c r="NSB46" s="44"/>
      <c r="NSC46" s="44"/>
      <c r="NSD46" s="44"/>
      <c r="NSE46" s="44"/>
      <c r="NSF46" s="44"/>
      <c r="NSG46" s="44"/>
      <c r="NSH46" s="44"/>
      <c r="NSI46" s="44"/>
      <c r="NSJ46" s="44"/>
      <c r="NSK46" s="44"/>
      <c r="NSL46" s="44"/>
      <c r="NSM46" s="44"/>
      <c r="NSN46" s="44"/>
      <c r="NSO46" s="44"/>
      <c r="NSP46" s="44"/>
      <c r="NSQ46" s="44"/>
      <c r="NSR46" s="44"/>
      <c r="NSS46" s="44"/>
      <c r="NST46" s="44"/>
      <c r="NSU46" s="44"/>
      <c r="NSV46" s="44"/>
      <c r="NSW46" s="44"/>
      <c r="NSX46" s="44"/>
      <c r="NSY46" s="44"/>
      <c r="NSZ46" s="44"/>
      <c r="NTA46" s="44"/>
      <c r="NTB46" s="44"/>
      <c r="NTC46" s="44"/>
      <c r="NTD46" s="44"/>
      <c r="NTE46" s="44"/>
      <c r="NTF46" s="44"/>
      <c r="NTG46" s="44"/>
      <c r="NTH46" s="44"/>
      <c r="NTI46" s="44"/>
      <c r="NTJ46" s="44"/>
      <c r="NTK46" s="44"/>
      <c r="NTL46" s="44"/>
      <c r="NTM46" s="44"/>
      <c r="NTN46" s="44"/>
      <c r="NTO46" s="44"/>
      <c r="NTP46" s="44"/>
      <c r="NTQ46" s="44"/>
      <c r="NTR46" s="44"/>
      <c r="NTS46" s="44"/>
      <c r="NTT46" s="44"/>
      <c r="NTU46" s="44"/>
      <c r="NTV46" s="44"/>
      <c r="NTW46" s="44"/>
      <c r="NTX46" s="44"/>
      <c r="NTY46" s="44"/>
      <c r="NTZ46" s="44"/>
      <c r="NUA46" s="44"/>
      <c r="NUB46" s="44"/>
      <c r="NUC46" s="44"/>
      <c r="NUD46" s="44"/>
      <c r="NUE46" s="44"/>
      <c r="NUF46" s="44"/>
      <c r="NUG46" s="44"/>
      <c r="NUH46" s="44"/>
      <c r="NUI46" s="44"/>
      <c r="NUJ46" s="44"/>
      <c r="NUK46" s="44"/>
      <c r="NUL46" s="44"/>
      <c r="NUM46" s="44"/>
      <c r="NUN46" s="44"/>
      <c r="NUO46" s="44"/>
      <c r="NUP46" s="44"/>
      <c r="NUQ46" s="44"/>
      <c r="NUR46" s="44"/>
      <c r="NUS46" s="44"/>
      <c r="NUT46" s="44"/>
      <c r="NUU46" s="44"/>
      <c r="NUV46" s="44"/>
      <c r="NUW46" s="44"/>
      <c r="NUX46" s="44"/>
      <c r="NUY46" s="44"/>
      <c r="NUZ46" s="44"/>
      <c r="NVA46" s="44"/>
      <c r="NVB46" s="44"/>
      <c r="NVC46" s="44"/>
      <c r="NVD46" s="44"/>
      <c r="NVE46" s="44"/>
      <c r="NVF46" s="44"/>
      <c r="NVG46" s="44"/>
      <c r="NVH46" s="44"/>
      <c r="NVI46" s="44"/>
      <c r="NVJ46" s="44"/>
      <c r="NVK46" s="44"/>
      <c r="NVL46" s="44"/>
      <c r="NVM46" s="44"/>
      <c r="NVN46" s="44"/>
      <c r="NVO46" s="44"/>
      <c r="NVP46" s="44"/>
      <c r="NVQ46" s="44"/>
      <c r="NVR46" s="44"/>
      <c r="NVS46" s="44"/>
      <c r="NVT46" s="44"/>
      <c r="NVU46" s="44"/>
      <c r="NVV46" s="44"/>
      <c r="NVW46" s="44"/>
      <c r="NVX46" s="44"/>
      <c r="NVY46" s="44"/>
      <c r="NVZ46" s="44"/>
      <c r="NWA46" s="44"/>
      <c r="NWB46" s="44"/>
      <c r="NWC46" s="44"/>
      <c r="NWD46" s="44"/>
      <c r="NWE46" s="44"/>
      <c r="NWF46" s="44"/>
      <c r="NWG46" s="44"/>
      <c r="NWH46" s="44"/>
      <c r="NWI46" s="44"/>
      <c r="NWJ46" s="44"/>
      <c r="NWK46" s="44"/>
      <c r="NWL46" s="44"/>
      <c r="NWM46" s="44"/>
      <c r="NWN46" s="44"/>
      <c r="NWO46" s="44"/>
      <c r="NWP46" s="44"/>
      <c r="NWQ46" s="44"/>
      <c r="NWR46" s="44"/>
      <c r="NWS46" s="44"/>
      <c r="NWT46" s="44"/>
      <c r="NWU46" s="44"/>
      <c r="NWV46" s="44"/>
      <c r="NWW46" s="44"/>
      <c r="NWX46" s="44"/>
      <c r="NWY46" s="44"/>
      <c r="NWZ46" s="44"/>
      <c r="NXA46" s="44"/>
      <c r="NXB46" s="44"/>
      <c r="NXC46" s="44"/>
      <c r="NXD46" s="44"/>
      <c r="NXE46" s="44"/>
      <c r="NXF46" s="44"/>
      <c r="NXG46" s="44"/>
      <c r="NXH46" s="44"/>
      <c r="NXI46" s="44"/>
      <c r="NXJ46" s="44"/>
      <c r="NXK46" s="44"/>
      <c r="NXL46" s="44"/>
      <c r="NXM46" s="44"/>
      <c r="NXN46" s="44"/>
      <c r="NXO46" s="44"/>
      <c r="NXP46" s="44"/>
      <c r="NXQ46" s="44"/>
      <c r="NXR46" s="44"/>
      <c r="NXS46" s="44"/>
      <c r="NXT46" s="44"/>
      <c r="NXU46" s="44"/>
      <c r="NXV46" s="44"/>
      <c r="NXW46" s="44"/>
      <c r="NXX46" s="44"/>
      <c r="NXY46" s="44"/>
      <c r="NXZ46" s="44"/>
      <c r="NYA46" s="44"/>
      <c r="NYB46" s="44"/>
      <c r="NYC46" s="44"/>
      <c r="NYD46" s="44"/>
      <c r="NYE46" s="44"/>
      <c r="NYF46" s="44"/>
      <c r="NYG46" s="44"/>
      <c r="NYH46" s="44"/>
      <c r="NYI46" s="44"/>
      <c r="NYJ46" s="44"/>
      <c r="NYK46" s="44"/>
      <c r="NYL46" s="44"/>
      <c r="NYM46" s="44"/>
      <c r="NYN46" s="44"/>
      <c r="NYO46" s="44"/>
      <c r="NYP46" s="44"/>
      <c r="NYQ46" s="44"/>
      <c r="NYR46" s="44"/>
      <c r="NYS46" s="44"/>
      <c r="NYT46" s="44"/>
      <c r="NYU46" s="44"/>
      <c r="NYV46" s="44"/>
      <c r="NYW46" s="44"/>
      <c r="NYX46" s="44"/>
      <c r="NYY46" s="44"/>
      <c r="NYZ46" s="44"/>
      <c r="NZA46" s="44"/>
      <c r="NZB46" s="44"/>
      <c r="NZC46" s="44"/>
      <c r="NZD46" s="44"/>
      <c r="NZE46" s="44"/>
      <c r="NZF46" s="44"/>
      <c r="NZG46" s="44"/>
      <c r="NZH46" s="44"/>
      <c r="NZI46" s="44"/>
      <c r="NZJ46" s="44"/>
      <c r="NZK46" s="44"/>
      <c r="NZL46" s="44"/>
      <c r="NZM46" s="44"/>
      <c r="NZN46" s="44"/>
      <c r="NZO46" s="44"/>
      <c r="NZP46" s="44"/>
      <c r="NZQ46" s="44"/>
      <c r="NZR46" s="44"/>
      <c r="NZS46" s="44"/>
      <c r="NZT46" s="44"/>
      <c r="NZU46" s="44"/>
      <c r="NZV46" s="44"/>
      <c r="NZW46" s="44"/>
      <c r="NZX46" s="44"/>
      <c r="NZY46" s="44"/>
      <c r="NZZ46" s="44"/>
      <c r="OAA46" s="44"/>
      <c r="OAB46" s="44"/>
      <c r="OAC46" s="44"/>
      <c r="OAD46" s="44"/>
      <c r="OAE46" s="44"/>
      <c r="OAF46" s="44"/>
      <c r="OAG46" s="44"/>
      <c r="OAH46" s="44"/>
      <c r="OAI46" s="44"/>
      <c r="OAJ46" s="44"/>
      <c r="OAK46" s="44"/>
      <c r="OAL46" s="44"/>
      <c r="OAM46" s="44"/>
      <c r="OAN46" s="44"/>
      <c r="OAO46" s="44"/>
      <c r="OAP46" s="44"/>
      <c r="OAQ46" s="44"/>
      <c r="OAR46" s="44"/>
      <c r="OAS46" s="44"/>
      <c r="OAT46" s="44"/>
      <c r="OAU46" s="44"/>
      <c r="OAV46" s="44"/>
      <c r="OAW46" s="44"/>
      <c r="OAX46" s="44"/>
      <c r="OAY46" s="44"/>
      <c r="OAZ46" s="44"/>
      <c r="OBA46" s="44"/>
      <c r="OBB46" s="44"/>
      <c r="OBC46" s="44"/>
      <c r="OBD46" s="44"/>
      <c r="OBE46" s="44"/>
      <c r="OBF46" s="44"/>
      <c r="OBG46" s="44"/>
      <c r="OBH46" s="44"/>
      <c r="OBI46" s="44"/>
      <c r="OBJ46" s="44"/>
      <c r="OBK46" s="44"/>
      <c r="OBL46" s="44"/>
      <c r="OBM46" s="44"/>
      <c r="OBN46" s="44"/>
      <c r="OBO46" s="44"/>
      <c r="OBP46" s="44"/>
      <c r="OBQ46" s="44"/>
      <c r="OBR46" s="44"/>
      <c r="OBS46" s="44"/>
      <c r="OBT46" s="44"/>
      <c r="OBU46" s="44"/>
      <c r="OBV46" s="44"/>
      <c r="OBW46" s="44"/>
      <c r="OBX46" s="44"/>
      <c r="OBY46" s="44"/>
      <c r="OBZ46" s="44"/>
      <c r="OCA46" s="44"/>
      <c r="OCB46" s="44"/>
      <c r="OCC46" s="44"/>
      <c r="OCD46" s="44"/>
      <c r="OCE46" s="44"/>
      <c r="OCF46" s="44"/>
      <c r="OCG46" s="44"/>
      <c r="OCH46" s="44"/>
      <c r="OCI46" s="44"/>
      <c r="OCJ46" s="44"/>
      <c r="OCK46" s="44"/>
      <c r="OCL46" s="44"/>
      <c r="OCM46" s="44"/>
      <c r="OCN46" s="44"/>
      <c r="OCO46" s="44"/>
      <c r="OCP46" s="44"/>
      <c r="OCQ46" s="44"/>
      <c r="OCR46" s="44"/>
      <c r="OCS46" s="44"/>
      <c r="OCT46" s="44"/>
      <c r="OCU46" s="44"/>
      <c r="OCV46" s="44"/>
      <c r="OCW46" s="44"/>
      <c r="OCX46" s="44"/>
      <c r="OCY46" s="44"/>
      <c r="OCZ46" s="44"/>
      <c r="ODA46" s="44"/>
      <c r="ODB46" s="44"/>
      <c r="ODC46" s="44"/>
      <c r="ODD46" s="44"/>
      <c r="ODE46" s="44"/>
      <c r="ODF46" s="44"/>
      <c r="ODG46" s="44"/>
      <c r="ODH46" s="44"/>
      <c r="ODI46" s="44"/>
      <c r="ODJ46" s="44"/>
      <c r="ODK46" s="44"/>
      <c r="ODL46" s="44"/>
      <c r="ODM46" s="44"/>
      <c r="ODN46" s="44"/>
      <c r="ODO46" s="44"/>
      <c r="ODP46" s="44"/>
      <c r="ODQ46" s="44"/>
      <c r="ODR46" s="44"/>
      <c r="ODS46" s="44"/>
      <c r="ODT46" s="44"/>
      <c r="ODU46" s="44"/>
      <c r="ODV46" s="44"/>
      <c r="ODW46" s="44"/>
      <c r="ODX46" s="44"/>
      <c r="ODY46" s="44"/>
      <c r="ODZ46" s="44"/>
      <c r="OEA46" s="44"/>
      <c r="OEB46" s="44"/>
      <c r="OEC46" s="44"/>
      <c r="OED46" s="44"/>
      <c r="OEE46" s="44"/>
      <c r="OEF46" s="44"/>
      <c r="OEG46" s="44"/>
      <c r="OEH46" s="44"/>
      <c r="OEI46" s="44"/>
      <c r="OEJ46" s="44"/>
      <c r="OEK46" s="44"/>
      <c r="OEL46" s="44"/>
      <c r="OEM46" s="44"/>
      <c r="OEN46" s="44"/>
      <c r="OEO46" s="44"/>
      <c r="OEP46" s="44"/>
      <c r="OEQ46" s="44"/>
      <c r="OER46" s="44"/>
      <c r="OES46" s="44"/>
      <c r="OET46" s="44"/>
      <c r="OEU46" s="44"/>
      <c r="OEV46" s="44"/>
      <c r="OEW46" s="44"/>
      <c r="OEX46" s="44"/>
      <c r="OEY46" s="44"/>
      <c r="OEZ46" s="44"/>
      <c r="OFA46" s="44"/>
      <c r="OFB46" s="44"/>
      <c r="OFC46" s="44"/>
      <c r="OFD46" s="44"/>
      <c r="OFE46" s="44"/>
      <c r="OFF46" s="44"/>
      <c r="OFG46" s="44"/>
      <c r="OFH46" s="44"/>
      <c r="OFI46" s="44"/>
      <c r="OFJ46" s="44"/>
      <c r="OFK46" s="44"/>
      <c r="OFL46" s="44"/>
      <c r="OFM46" s="44"/>
      <c r="OFN46" s="44"/>
      <c r="OFO46" s="44"/>
      <c r="OFP46" s="44"/>
      <c r="OFQ46" s="44"/>
      <c r="OFR46" s="44"/>
      <c r="OFS46" s="44"/>
      <c r="OFT46" s="44"/>
      <c r="OFU46" s="44"/>
      <c r="OFV46" s="44"/>
      <c r="OFW46" s="44"/>
      <c r="OFX46" s="44"/>
      <c r="OFY46" s="44"/>
      <c r="OFZ46" s="44"/>
      <c r="OGA46" s="44"/>
      <c r="OGB46" s="44"/>
      <c r="OGC46" s="44"/>
      <c r="OGD46" s="44"/>
      <c r="OGE46" s="44"/>
      <c r="OGF46" s="44"/>
      <c r="OGG46" s="44"/>
      <c r="OGH46" s="44"/>
      <c r="OGI46" s="44"/>
      <c r="OGJ46" s="44"/>
      <c r="OGK46" s="44"/>
      <c r="OGL46" s="44"/>
      <c r="OGM46" s="44"/>
      <c r="OGN46" s="44"/>
      <c r="OGO46" s="44"/>
      <c r="OGP46" s="44"/>
      <c r="OGQ46" s="44"/>
      <c r="OGR46" s="44"/>
      <c r="OGS46" s="44"/>
      <c r="OGT46" s="44"/>
      <c r="OGU46" s="44"/>
      <c r="OGV46" s="44"/>
      <c r="OGW46" s="44"/>
      <c r="OGX46" s="44"/>
      <c r="OGY46" s="44"/>
      <c r="OGZ46" s="44"/>
      <c r="OHA46" s="44"/>
      <c r="OHB46" s="44"/>
      <c r="OHC46" s="44"/>
      <c r="OHD46" s="44"/>
      <c r="OHE46" s="44"/>
      <c r="OHF46" s="44"/>
      <c r="OHG46" s="44"/>
      <c r="OHH46" s="44"/>
      <c r="OHI46" s="44"/>
      <c r="OHJ46" s="44"/>
      <c r="OHK46" s="44"/>
      <c r="OHL46" s="44"/>
      <c r="OHM46" s="44"/>
      <c r="OHN46" s="44"/>
      <c r="OHO46" s="44"/>
      <c r="OHP46" s="44"/>
      <c r="OHQ46" s="44"/>
      <c r="OHR46" s="44"/>
      <c r="OHS46" s="44"/>
      <c r="OHT46" s="44"/>
      <c r="OHU46" s="44"/>
      <c r="OHV46" s="44"/>
      <c r="OHW46" s="44"/>
      <c r="OHX46" s="44"/>
      <c r="OHY46" s="44"/>
      <c r="OHZ46" s="44"/>
      <c r="OIA46" s="44"/>
      <c r="OIB46" s="44"/>
      <c r="OIC46" s="44"/>
      <c r="OID46" s="44"/>
      <c r="OIE46" s="44"/>
      <c r="OIF46" s="44"/>
      <c r="OIG46" s="44"/>
      <c r="OIH46" s="44"/>
      <c r="OII46" s="44"/>
      <c r="OIJ46" s="44"/>
      <c r="OIK46" s="44"/>
      <c r="OIL46" s="44"/>
      <c r="OIM46" s="44"/>
      <c r="OIN46" s="44"/>
      <c r="OIO46" s="44"/>
      <c r="OIP46" s="44"/>
      <c r="OIQ46" s="44"/>
      <c r="OIR46" s="44"/>
      <c r="OIS46" s="44"/>
      <c r="OIT46" s="44"/>
      <c r="OIU46" s="44"/>
      <c r="OIV46" s="44"/>
      <c r="OIW46" s="44"/>
      <c r="OIX46" s="44"/>
      <c r="OIY46" s="44"/>
      <c r="OIZ46" s="44"/>
      <c r="OJA46" s="44"/>
      <c r="OJB46" s="44"/>
      <c r="OJC46" s="44"/>
      <c r="OJD46" s="44"/>
      <c r="OJE46" s="44"/>
      <c r="OJF46" s="44"/>
      <c r="OJG46" s="44"/>
      <c r="OJH46" s="44"/>
      <c r="OJI46" s="44"/>
      <c r="OJJ46" s="44"/>
      <c r="OJK46" s="44"/>
      <c r="OJL46" s="44"/>
      <c r="OJM46" s="44"/>
      <c r="OJN46" s="44"/>
      <c r="OJO46" s="44"/>
      <c r="OJP46" s="44"/>
      <c r="OJQ46" s="44"/>
      <c r="OJR46" s="44"/>
      <c r="OJS46" s="44"/>
      <c r="OJT46" s="44"/>
      <c r="OJU46" s="44"/>
      <c r="OJV46" s="44"/>
      <c r="OJW46" s="44"/>
      <c r="OJX46" s="44"/>
      <c r="OJY46" s="44"/>
      <c r="OJZ46" s="44"/>
      <c r="OKA46" s="44"/>
      <c r="OKB46" s="44"/>
      <c r="OKC46" s="44"/>
      <c r="OKD46" s="44"/>
      <c r="OKE46" s="44"/>
      <c r="OKF46" s="44"/>
      <c r="OKG46" s="44"/>
      <c r="OKH46" s="44"/>
      <c r="OKI46" s="44"/>
      <c r="OKJ46" s="44"/>
      <c r="OKK46" s="44"/>
      <c r="OKL46" s="44"/>
      <c r="OKM46" s="44"/>
      <c r="OKN46" s="44"/>
      <c r="OKO46" s="44"/>
      <c r="OKP46" s="44"/>
      <c r="OKQ46" s="44"/>
      <c r="OKR46" s="44"/>
      <c r="OKS46" s="44"/>
      <c r="OKT46" s="44"/>
      <c r="OKU46" s="44"/>
      <c r="OKV46" s="44"/>
      <c r="OKW46" s="44"/>
      <c r="OKX46" s="44"/>
      <c r="OKY46" s="44"/>
      <c r="OKZ46" s="44"/>
      <c r="OLA46" s="44"/>
      <c r="OLB46" s="44"/>
      <c r="OLC46" s="44"/>
      <c r="OLD46" s="44"/>
      <c r="OLE46" s="44"/>
      <c r="OLF46" s="44"/>
      <c r="OLG46" s="44"/>
      <c r="OLH46" s="44"/>
      <c r="OLI46" s="44"/>
      <c r="OLJ46" s="44"/>
      <c r="OLK46" s="44"/>
      <c r="OLL46" s="44"/>
      <c r="OLM46" s="44"/>
      <c r="OLN46" s="44"/>
      <c r="OLO46" s="44"/>
      <c r="OLP46" s="44"/>
      <c r="OLQ46" s="44"/>
      <c r="OLR46" s="44"/>
      <c r="OLS46" s="44"/>
      <c r="OLT46" s="44"/>
      <c r="OLU46" s="44"/>
      <c r="OLV46" s="44"/>
      <c r="OLW46" s="44"/>
      <c r="OLX46" s="44"/>
      <c r="OLY46" s="44"/>
      <c r="OLZ46" s="44"/>
      <c r="OMA46" s="44"/>
      <c r="OMB46" s="44"/>
      <c r="OMC46" s="44"/>
      <c r="OMD46" s="44"/>
      <c r="OME46" s="44"/>
      <c r="OMF46" s="44"/>
      <c r="OMG46" s="44"/>
      <c r="OMH46" s="44"/>
      <c r="OMI46" s="44"/>
      <c r="OMJ46" s="44"/>
      <c r="OMK46" s="44"/>
      <c r="OML46" s="44"/>
      <c r="OMM46" s="44"/>
      <c r="OMN46" s="44"/>
      <c r="OMO46" s="44"/>
      <c r="OMP46" s="44"/>
      <c r="OMQ46" s="44"/>
      <c r="OMR46" s="44"/>
      <c r="OMS46" s="44"/>
      <c r="OMT46" s="44"/>
      <c r="OMU46" s="44"/>
      <c r="OMV46" s="44"/>
      <c r="OMW46" s="44"/>
      <c r="OMX46" s="44"/>
      <c r="OMY46" s="44"/>
      <c r="OMZ46" s="44"/>
      <c r="ONA46" s="44"/>
      <c r="ONB46" s="44"/>
      <c r="ONC46" s="44"/>
      <c r="OND46" s="44"/>
      <c r="ONE46" s="44"/>
      <c r="ONF46" s="44"/>
      <c r="ONG46" s="44"/>
      <c r="ONH46" s="44"/>
      <c r="ONI46" s="44"/>
      <c r="ONJ46" s="44"/>
      <c r="ONK46" s="44"/>
      <c r="ONL46" s="44"/>
      <c r="ONM46" s="44"/>
      <c r="ONN46" s="44"/>
      <c r="ONO46" s="44"/>
      <c r="ONP46" s="44"/>
      <c r="ONQ46" s="44"/>
      <c r="ONR46" s="44"/>
      <c r="ONS46" s="44"/>
      <c r="ONT46" s="44"/>
      <c r="ONU46" s="44"/>
      <c r="ONV46" s="44"/>
      <c r="ONW46" s="44"/>
      <c r="ONX46" s="44"/>
      <c r="ONY46" s="44"/>
      <c r="ONZ46" s="44"/>
      <c r="OOA46" s="44"/>
      <c r="OOB46" s="44"/>
      <c r="OOC46" s="44"/>
      <c r="OOD46" s="44"/>
      <c r="OOE46" s="44"/>
      <c r="OOF46" s="44"/>
      <c r="OOG46" s="44"/>
      <c r="OOH46" s="44"/>
      <c r="OOI46" s="44"/>
      <c r="OOJ46" s="44"/>
      <c r="OOK46" s="44"/>
      <c r="OOL46" s="44"/>
      <c r="OOM46" s="44"/>
      <c r="OON46" s="44"/>
      <c r="OOO46" s="44"/>
      <c r="OOP46" s="44"/>
      <c r="OOQ46" s="44"/>
      <c r="OOR46" s="44"/>
      <c r="OOS46" s="44"/>
      <c r="OOT46" s="44"/>
      <c r="OOU46" s="44"/>
      <c r="OOV46" s="44"/>
      <c r="OOW46" s="44"/>
      <c r="OOX46" s="44"/>
      <c r="OOY46" s="44"/>
      <c r="OOZ46" s="44"/>
      <c r="OPA46" s="44"/>
      <c r="OPB46" s="44"/>
      <c r="OPC46" s="44"/>
      <c r="OPD46" s="44"/>
      <c r="OPE46" s="44"/>
      <c r="OPF46" s="44"/>
      <c r="OPG46" s="44"/>
      <c r="OPH46" s="44"/>
      <c r="OPI46" s="44"/>
      <c r="OPJ46" s="44"/>
      <c r="OPK46" s="44"/>
      <c r="OPL46" s="44"/>
      <c r="OPM46" s="44"/>
      <c r="OPN46" s="44"/>
      <c r="OPO46" s="44"/>
      <c r="OPP46" s="44"/>
      <c r="OPQ46" s="44"/>
      <c r="OPR46" s="44"/>
      <c r="OPS46" s="44"/>
      <c r="OPT46" s="44"/>
      <c r="OPU46" s="44"/>
      <c r="OPV46" s="44"/>
      <c r="OPW46" s="44"/>
      <c r="OPX46" s="44"/>
      <c r="OPY46" s="44"/>
      <c r="OPZ46" s="44"/>
      <c r="OQA46" s="44"/>
      <c r="OQB46" s="44"/>
      <c r="OQC46" s="44"/>
      <c r="OQD46" s="44"/>
      <c r="OQE46" s="44"/>
      <c r="OQF46" s="44"/>
      <c r="OQG46" s="44"/>
      <c r="OQH46" s="44"/>
      <c r="OQI46" s="44"/>
      <c r="OQJ46" s="44"/>
      <c r="OQK46" s="44"/>
      <c r="OQL46" s="44"/>
      <c r="OQM46" s="44"/>
      <c r="OQN46" s="44"/>
      <c r="OQO46" s="44"/>
      <c r="OQP46" s="44"/>
      <c r="OQQ46" s="44"/>
      <c r="OQR46" s="44"/>
      <c r="OQS46" s="44"/>
      <c r="OQT46" s="44"/>
      <c r="OQU46" s="44"/>
      <c r="OQV46" s="44"/>
      <c r="OQW46" s="44"/>
      <c r="OQX46" s="44"/>
      <c r="OQY46" s="44"/>
      <c r="OQZ46" s="44"/>
      <c r="ORA46" s="44"/>
      <c r="ORB46" s="44"/>
      <c r="ORC46" s="44"/>
      <c r="ORD46" s="44"/>
      <c r="ORE46" s="44"/>
      <c r="ORF46" s="44"/>
      <c r="ORG46" s="44"/>
      <c r="ORH46" s="44"/>
      <c r="ORI46" s="44"/>
      <c r="ORJ46" s="44"/>
      <c r="ORK46" s="44"/>
      <c r="ORL46" s="44"/>
      <c r="ORM46" s="44"/>
      <c r="ORN46" s="44"/>
      <c r="ORO46" s="44"/>
      <c r="ORP46" s="44"/>
      <c r="ORQ46" s="44"/>
      <c r="ORR46" s="44"/>
      <c r="ORS46" s="44"/>
      <c r="ORT46" s="44"/>
      <c r="ORU46" s="44"/>
      <c r="ORV46" s="44"/>
      <c r="ORW46" s="44"/>
      <c r="ORX46" s="44"/>
      <c r="ORY46" s="44"/>
      <c r="ORZ46" s="44"/>
      <c r="OSA46" s="44"/>
      <c r="OSB46" s="44"/>
      <c r="OSC46" s="44"/>
      <c r="OSD46" s="44"/>
      <c r="OSE46" s="44"/>
      <c r="OSF46" s="44"/>
      <c r="OSG46" s="44"/>
      <c r="OSH46" s="44"/>
      <c r="OSI46" s="44"/>
      <c r="OSJ46" s="44"/>
      <c r="OSK46" s="44"/>
      <c r="OSL46" s="44"/>
      <c r="OSM46" s="44"/>
      <c r="OSN46" s="44"/>
      <c r="OSO46" s="44"/>
      <c r="OSP46" s="44"/>
      <c r="OSQ46" s="44"/>
      <c r="OSR46" s="44"/>
      <c r="OSS46" s="44"/>
      <c r="OST46" s="44"/>
      <c r="OSU46" s="44"/>
      <c r="OSV46" s="44"/>
      <c r="OSW46" s="44"/>
      <c r="OSX46" s="44"/>
      <c r="OSY46" s="44"/>
      <c r="OSZ46" s="44"/>
      <c r="OTA46" s="44"/>
      <c r="OTB46" s="44"/>
      <c r="OTC46" s="44"/>
      <c r="OTD46" s="44"/>
      <c r="OTE46" s="44"/>
      <c r="OTF46" s="44"/>
      <c r="OTG46" s="44"/>
      <c r="OTH46" s="44"/>
      <c r="OTI46" s="44"/>
      <c r="OTJ46" s="44"/>
      <c r="OTK46" s="44"/>
      <c r="OTL46" s="44"/>
      <c r="OTM46" s="44"/>
      <c r="OTN46" s="44"/>
      <c r="OTO46" s="44"/>
      <c r="OTP46" s="44"/>
      <c r="OTQ46" s="44"/>
      <c r="OTR46" s="44"/>
      <c r="OTS46" s="44"/>
      <c r="OTT46" s="44"/>
      <c r="OTU46" s="44"/>
      <c r="OTV46" s="44"/>
      <c r="OTW46" s="44"/>
      <c r="OTX46" s="44"/>
      <c r="OTY46" s="44"/>
      <c r="OTZ46" s="44"/>
      <c r="OUA46" s="44"/>
      <c r="OUB46" s="44"/>
      <c r="OUC46" s="44"/>
      <c r="OUD46" s="44"/>
      <c r="OUE46" s="44"/>
      <c r="OUF46" s="44"/>
      <c r="OUG46" s="44"/>
      <c r="OUH46" s="44"/>
      <c r="OUI46" s="44"/>
      <c r="OUJ46" s="44"/>
      <c r="OUK46" s="44"/>
      <c r="OUL46" s="44"/>
      <c r="OUM46" s="44"/>
      <c r="OUN46" s="44"/>
      <c r="OUO46" s="44"/>
      <c r="OUP46" s="44"/>
      <c r="OUQ46" s="44"/>
      <c r="OUR46" s="44"/>
      <c r="OUS46" s="44"/>
      <c r="OUT46" s="44"/>
      <c r="OUU46" s="44"/>
      <c r="OUV46" s="44"/>
      <c r="OUW46" s="44"/>
      <c r="OUX46" s="44"/>
      <c r="OUY46" s="44"/>
      <c r="OUZ46" s="44"/>
      <c r="OVA46" s="44"/>
      <c r="OVB46" s="44"/>
      <c r="OVC46" s="44"/>
      <c r="OVD46" s="44"/>
      <c r="OVE46" s="44"/>
      <c r="OVF46" s="44"/>
      <c r="OVG46" s="44"/>
      <c r="OVH46" s="44"/>
      <c r="OVI46" s="44"/>
      <c r="OVJ46" s="44"/>
      <c r="OVK46" s="44"/>
      <c r="OVL46" s="44"/>
      <c r="OVM46" s="44"/>
      <c r="OVN46" s="44"/>
      <c r="OVO46" s="44"/>
      <c r="OVP46" s="44"/>
      <c r="OVQ46" s="44"/>
      <c r="OVR46" s="44"/>
      <c r="OVS46" s="44"/>
      <c r="OVT46" s="44"/>
      <c r="OVU46" s="44"/>
      <c r="OVV46" s="44"/>
      <c r="OVW46" s="44"/>
      <c r="OVX46" s="44"/>
      <c r="OVY46" s="44"/>
      <c r="OVZ46" s="44"/>
      <c r="OWA46" s="44"/>
      <c r="OWB46" s="44"/>
      <c r="OWC46" s="44"/>
      <c r="OWD46" s="44"/>
      <c r="OWE46" s="44"/>
      <c r="OWF46" s="44"/>
      <c r="OWG46" s="44"/>
      <c r="OWH46" s="44"/>
      <c r="OWI46" s="44"/>
      <c r="OWJ46" s="44"/>
      <c r="OWK46" s="44"/>
      <c r="OWL46" s="44"/>
      <c r="OWM46" s="44"/>
      <c r="OWN46" s="44"/>
      <c r="OWO46" s="44"/>
      <c r="OWP46" s="44"/>
      <c r="OWQ46" s="44"/>
      <c r="OWR46" s="44"/>
      <c r="OWS46" s="44"/>
      <c r="OWT46" s="44"/>
      <c r="OWU46" s="44"/>
      <c r="OWV46" s="44"/>
      <c r="OWW46" s="44"/>
      <c r="OWX46" s="44"/>
      <c r="OWY46" s="44"/>
      <c r="OWZ46" s="44"/>
      <c r="OXA46" s="44"/>
      <c r="OXB46" s="44"/>
      <c r="OXC46" s="44"/>
      <c r="OXD46" s="44"/>
      <c r="OXE46" s="44"/>
      <c r="OXF46" s="44"/>
      <c r="OXG46" s="44"/>
      <c r="OXH46" s="44"/>
      <c r="OXI46" s="44"/>
      <c r="OXJ46" s="44"/>
      <c r="OXK46" s="44"/>
      <c r="OXL46" s="44"/>
      <c r="OXM46" s="44"/>
      <c r="OXN46" s="44"/>
      <c r="OXO46" s="44"/>
      <c r="OXP46" s="44"/>
      <c r="OXQ46" s="44"/>
      <c r="OXR46" s="44"/>
      <c r="OXS46" s="44"/>
      <c r="OXT46" s="44"/>
      <c r="OXU46" s="44"/>
      <c r="OXV46" s="44"/>
      <c r="OXW46" s="44"/>
      <c r="OXX46" s="44"/>
      <c r="OXY46" s="44"/>
      <c r="OXZ46" s="44"/>
      <c r="OYA46" s="44"/>
      <c r="OYB46" s="44"/>
      <c r="OYC46" s="44"/>
      <c r="OYD46" s="44"/>
      <c r="OYE46" s="44"/>
      <c r="OYF46" s="44"/>
      <c r="OYG46" s="44"/>
      <c r="OYH46" s="44"/>
      <c r="OYI46" s="44"/>
      <c r="OYJ46" s="44"/>
      <c r="OYK46" s="44"/>
      <c r="OYL46" s="44"/>
      <c r="OYM46" s="44"/>
      <c r="OYN46" s="44"/>
      <c r="OYO46" s="44"/>
      <c r="OYP46" s="44"/>
      <c r="OYQ46" s="44"/>
      <c r="OYR46" s="44"/>
      <c r="OYS46" s="44"/>
      <c r="OYT46" s="44"/>
      <c r="OYU46" s="44"/>
      <c r="OYV46" s="44"/>
      <c r="OYW46" s="44"/>
      <c r="OYX46" s="44"/>
      <c r="OYY46" s="44"/>
      <c r="OYZ46" s="44"/>
      <c r="OZA46" s="44"/>
      <c r="OZB46" s="44"/>
      <c r="OZC46" s="44"/>
      <c r="OZD46" s="44"/>
      <c r="OZE46" s="44"/>
      <c r="OZF46" s="44"/>
      <c r="OZG46" s="44"/>
      <c r="OZH46" s="44"/>
      <c r="OZI46" s="44"/>
      <c r="OZJ46" s="44"/>
      <c r="OZK46" s="44"/>
      <c r="OZL46" s="44"/>
      <c r="OZM46" s="44"/>
      <c r="OZN46" s="44"/>
      <c r="OZO46" s="44"/>
      <c r="OZP46" s="44"/>
      <c r="OZQ46" s="44"/>
      <c r="OZR46" s="44"/>
      <c r="OZS46" s="44"/>
      <c r="OZT46" s="44"/>
      <c r="OZU46" s="44"/>
      <c r="OZV46" s="44"/>
      <c r="OZW46" s="44"/>
      <c r="OZX46" s="44"/>
      <c r="OZY46" s="44"/>
      <c r="OZZ46" s="44"/>
      <c r="PAA46" s="44"/>
      <c r="PAB46" s="44"/>
      <c r="PAC46" s="44"/>
      <c r="PAD46" s="44"/>
      <c r="PAE46" s="44"/>
      <c r="PAF46" s="44"/>
      <c r="PAG46" s="44"/>
      <c r="PAH46" s="44"/>
      <c r="PAI46" s="44"/>
      <c r="PAJ46" s="44"/>
      <c r="PAK46" s="44"/>
      <c r="PAL46" s="44"/>
      <c r="PAM46" s="44"/>
      <c r="PAN46" s="44"/>
      <c r="PAO46" s="44"/>
      <c r="PAP46" s="44"/>
      <c r="PAQ46" s="44"/>
      <c r="PAR46" s="44"/>
      <c r="PAS46" s="44"/>
      <c r="PAT46" s="44"/>
      <c r="PAU46" s="44"/>
      <c r="PAV46" s="44"/>
      <c r="PAW46" s="44"/>
      <c r="PAX46" s="44"/>
      <c r="PAY46" s="44"/>
      <c r="PAZ46" s="44"/>
      <c r="PBA46" s="44"/>
      <c r="PBB46" s="44"/>
      <c r="PBC46" s="44"/>
      <c r="PBD46" s="44"/>
      <c r="PBE46" s="44"/>
      <c r="PBF46" s="44"/>
      <c r="PBG46" s="44"/>
      <c r="PBH46" s="44"/>
      <c r="PBI46" s="44"/>
      <c r="PBJ46" s="44"/>
      <c r="PBK46" s="44"/>
      <c r="PBL46" s="44"/>
      <c r="PBM46" s="44"/>
      <c r="PBN46" s="44"/>
      <c r="PBO46" s="44"/>
      <c r="PBP46" s="44"/>
      <c r="PBQ46" s="44"/>
      <c r="PBR46" s="44"/>
      <c r="PBS46" s="44"/>
      <c r="PBT46" s="44"/>
      <c r="PBU46" s="44"/>
      <c r="PBV46" s="44"/>
      <c r="PBW46" s="44"/>
      <c r="PBX46" s="44"/>
      <c r="PBY46" s="44"/>
      <c r="PBZ46" s="44"/>
      <c r="PCA46" s="44"/>
      <c r="PCB46" s="44"/>
      <c r="PCC46" s="44"/>
      <c r="PCD46" s="44"/>
      <c r="PCE46" s="44"/>
      <c r="PCF46" s="44"/>
      <c r="PCG46" s="44"/>
      <c r="PCH46" s="44"/>
      <c r="PCI46" s="44"/>
      <c r="PCJ46" s="44"/>
      <c r="PCK46" s="44"/>
      <c r="PCL46" s="44"/>
      <c r="PCM46" s="44"/>
      <c r="PCN46" s="44"/>
      <c r="PCO46" s="44"/>
      <c r="PCP46" s="44"/>
      <c r="PCQ46" s="44"/>
      <c r="PCR46" s="44"/>
      <c r="PCS46" s="44"/>
      <c r="PCT46" s="44"/>
      <c r="PCU46" s="44"/>
      <c r="PCV46" s="44"/>
      <c r="PCW46" s="44"/>
      <c r="PCX46" s="44"/>
      <c r="PCY46" s="44"/>
      <c r="PCZ46" s="44"/>
      <c r="PDA46" s="44"/>
      <c r="PDB46" s="44"/>
      <c r="PDC46" s="44"/>
      <c r="PDD46" s="44"/>
      <c r="PDE46" s="44"/>
      <c r="PDF46" s="44"/>
      <c r="PDG46" s="44"/>
      <c r="PDH46" s="44"/>
      <c r="PDI46" s="44"/>
      <c r="PDJ46" s="44"/>
      <c r="PDK46" s="44"/>
      <c r="PDL46" s="44"/>
      <c r="PDM46" s="44"/>
      <c r="PDN46" s="44"/>
      <c r="PDO46" s="44"/>
      <c r="PDP46" s="44"/>
      <c r="PDQ46" s="44"/>
      <c r="PDR46" s="44"/>
      <c r="PDS46" s="44"/>
      <c r="PDT46" s="44"/>
      <c r="PDU46" s="44"/>
      <c r="PDV46" s="44"/>
      <c r="PDW46" s="44"/>
      <c r="PDX46" s="44"/>
      <c r="PDY46" s="44"/>
      <c r="PDZ46" s="44"/>
      <c r="PEA46" s="44"/>
      <c r="PEB46" s="44"/>
      <c r="PEC46" s="44"/>
      <c r="PED46" s="44"/>
      <c r="PEE46" s="44"/>
      <c r="PEF46" s="44"/>
      <c r="PEG46" s="44"/>
      <c r="PEH46" s="44"/>
      <c r="PEI46" s="44"/>
      <c r="PEJ46" s="44"/>
      <c r="PEK46" s="44"/>
      <c r="PEL46" s="44"/>
      <c r="PEM46" s="44"/>
      <c r="PEN46" s="44"/>
      <c r="PEO46" s="44"/>
      <c r="PEP46" s="44"/>
      <c r="PEQ46" s="44"/>
      <c r="PER46" s="44"/>
      <c r="PES46" s="44"/>
      <c r="PET46" s="44"/>
      <c r="PEU46" s="44"/>
      <c r="PEV46" s="44"/>
      <c r="PEW46" s="44"/>
      <c r="PEX46" s="44"/>
      <c r="PEY46" s="44"/>
      <c r="PEZ46" s="44"/>
      <c r="PFA46" s="44"/>
      <c r="PFB46" s="44"/>
      <c r="PFC46" s="44"/>
      <c r="PFD46" s="44"/>
      <c r="PFE46" s="44"/>
      <c r="PFF46" s="44"/>
      <c r="PFG46" s="44"/>
      <c r="PFH46" s="44"/>
      <c r="PFI46" s="44"/>
      <c r="PFJ46" s="44"/>
      <c r="PFK46" s="44"/>
      <c r="PFL46" s="44"/>
      <c r="PFM46" s="44"/>
      <c r="PFN46" s="44"/>
      <c r="PFO46" s="44"/>
      <c r="PFP46" s="44"/>
      <c r="PFQ46" s="44"/>
      <c r="PFR46" s="44"/>
      <c r="PFS46" s="44"/>
      <c r="PFT46" s="44"/>
      <c r="PFU46" s="44"/>
      <c r="PFV46" s="44"/>
      <c r="PFW46" s="44"/>
      <c r="PFX46" s="44"/>
      <c r="PFY46" s="44"/>
      <c r="PFZ46" s="44"/>
      <c r="PGA46" s="44"/>
      <c r="PGB46" s="44"/>
      <c r="PGC46" s="44"/>
      <c r="PGD46" s="44"/>
      <c r="PGE46" s="44"/>
      <c r="PGF46" s="44"/>
      <c r="PGG46" s="44"/>
      <c r="PGH46" s="44"/>
      <c r="PGI46" s="44"/>
      <c r="PGJ46" s="44"/>
      <c r="PGK46" s="44"/>
      <c r="PGL46" s="44"/>
      <c r="PGM46" s="44"/>
      <c r="PGN46" s="44"/>
      <c r="PGO46" s="44"/>
      <c r="PGP46" s="44"/>
      <c r="PGQ46" s="44"/>
      <c r="PGR46" s="44"/>
      <c r="PGS46" s="44"/>
      <c r="PGT46" s="44"/>
      <c r="PGU46" s="44"/>
      <c r="PGV46" s="44"/>
      <c r="PGW46" s="44"/>
      <c r="PGX46" s="44"/>
      <c r="PGY46" s="44"/>
      <c r="PGZ46" s="44"/>
      <c r="PHA46" s="44"/>
      <c r="PHB46" s="44"/>
      <c r="PHC46" s="44"/>
      <c r="PHD46" s="44"/>
      <c r="PHE46" s="44"/>
      <c r="PHF46" s="44"/>
      <c r="PHG46" s="44"/>
      <c r="PHH46" s="44"/>
      <c r="PHI46" s="44"/>
      <c r="PHJ46" s="44"/>
      <c r="PHK46" s="44"/>
      <c r="PHL46" s="44"/>
      <c r="PHM46" s="44"/>
      <c r="PHN46" s="44"/>
      <c r="PHO46" s="44"/>
      <c r="PHP46" s="44"/>
      <c r="PHQ46" s="44"/>
      <c r="PHR46" s="44"/>
      <c r="PHS46" s="44"/>
      <c r="PHT46" s="44"/>
      <c r="PHU46" s="44"/>
      <c r="PHV46" s="44"/>
      <c r="PHW46" s="44"/>
      <c r="PHX46" s="44"/>
      <c r="PHY46" s="44"/>
      <c r="PHZ46" s="44"/>
      <c r="PIA46" s="44"/>
      <c r="PIB46" s="44"/>
      <c r="PIC46" s="44"/>
      <c r="PID46" s="44"/>
      <c r="PIE46" s="44"/>
      <c r="PIF46" s="44"/>
      <c r="PIG46" s="44"/>
      <c r="PIH46" s="44"/>
      <c r="PII46" s="44"/>
      <c r="PIJ46" s="44"/>
      <c r="PIK46" s="44"/>
      <c r="PIL46" s="44"/>
      <c r="PIM46" s="44"/>
      <c r="PIN46" s="44"/>
      <c r="PIO46" s="44"/>
      <c r="PIP46" s="44"/>
      <c r="PIQ46" s="44"/>
      <c r="PIR46" s="44"/>
      <c r="PIS46" s="44"/>
      <c r="PIT46" s="44"/>
      <c r="PIU46" s="44"/>
      <c r="PIV46" s="44"/>
      <c r="PIW46" s="44"/>
      <c r="PIX46" s="44"/>
      <c r="PIY46" s="44"/>
      <c r="PIZ46" s="44"/>
      <c r="PJA46" s="44"/>
      <c r="PJB46" s="44"/>
      <c r="PJC46" s="44"/>
      <c r="PJD46" s="44"/>
      <c r="PJE46" s="44"/>
      <c r="PJF46" s="44"/>
      <c r="PJG46" s="44"/>
      <c r="PJH46" s="44"/>
      <c r="PJI46" s="44"/>
      <c r="PJJ46" s="44"/>
      <c r="PJK46" s="44"/>
      <c r="PJL46" s="44"/>
      <c r="PJM46" s="44"/>
      <c r="PJN46" s="44"/>
      <c r="PJO46" s="44"/>
      <c r="PJP46" s="44"/>
      <c r="PJQ46" s="44"/>
      <c r="PJR46" s="44"/>
      <c r="PJS46" s="44"/>
      <c r="PJT46" s="44"/>
      <c r="PJU46" s="44"/>
      <c r="PJV46" s="44"/>
      <c r="PJW46" s="44"/>
      <c r="PJX46" s="44"/>
      <c r="PJY46" s="44"/>
      <c r="PJZ46" s="44"/>
      <c r="PKA46" s="44"/>
      <c r="PKB46" s="44"/>
      <c r="PKC46" s="44"/>
      <c r="PKD46" s="44"/>
      <c r="PKE46" s="44"/>
      <c r="PKF46" s="44"/>
      <c r="PKG46" s="44"/>
      <c r="PKH46" s="44"/>
      <c r="PKI46" s="44"/>
      <c r="PKJ46" s="44"/>
      <c r="PKK46" s="44"/>
      <c r="PKL46" s="44"/>
      <c r="PKM46" s="44"/>
      <c r="PKN46" s="44"/>
      <c r="PKO46" s="44"/>
      <c r="PKP46" s="44"/>
      <c r="PKQ46" s="44"/>
      <c r="PKR46" s="44"/>
      <c r="PKS46" s="44"/>
      <c r="PKT46" s="44"/>
      <c r="PKU46" s="44"/>
      <c r="PKV46" s="44"/>
      <c r="PKW46" s="44"/>
      <c r="PKX46" s="44"/>
      <c r="PKY46" s="44"/>
      <c r="PKZ46" s="44"/>
      <c r="PLA46" s="44"/>
      <c r="PLB46" s="44"/>
      <c r="PLC46" s="44"/>
      <c r="PLD46" s="44"/>
      <c r="PLE46" s="44"/>
      <c r="PLF46" s="44"/>
      <c r="PLG46" s="44"/>
      <c r="PLH46" s="44"/>
      <c r="PLI46" s="44"/>
      <c r="PLJ46" s="44"/>
      <c r="PLK46" s="44"/>
      <c r="PLL46" s="44"/>
      <c r="PLM46" s="44"/>
      <c r="PLN46" s="44"/>
      <c r="PLO46" s="44"/>
      <c r="PLP46" s="44"/>
      <c r="PLQ46" s="44"/>
      <c r="PLR46" s="44"/>
      <c r="PLS46" s="44"/>
      <c r="PLT46" s="44"/>
      <c r="PLU46" s="44"/>
      <c r="PLV46" s="44"/>
      <c r="PLW46" s="44"/>
      <c r="PLX46" s="44"/>
      <c r="PLY46" s="44"/>
      <c r="PLZ46" s="44"/>
      <c r="PMA46" s="44"/>
      <c r="PMB46" s="44"/>
      <c r="PMC46" s="44"/>
      <c r="PMD46" s="44"/>
      <c r="PME46" s="44"/>
      <c r="PMF46" s="44"/>
      <c r="PMG46" s="44"/>
      <c r="PMH46" s="44"/>
      <c r="PMI46" s="44"/>
      <c r="PMJ46" s="44"/>
      <c r="PMK46" s="44"/>
      <c r="PML46" s="44"/>
      <c r="PMM46" s="44"/>
      <c r="PMN46" s="44"/>
      <c r="PMO46" s="44"/>
      <c r="PMP46" s="44"/>
      <c r="PMQ46" s="44"/>
      <c r="PMR46" s="44"/>
      <c r="PMS46" s="44"/>
      <c r="PMT46" s="44"/>
      <c r="PMU46" s="44"/>
      <c r="PMV46" s="44"/>
      <c r="PMW46" s="44"/>
      <c r="PMX46" s="44"/>
      <c r="PMY46" s="44"/>
      <c r="PMZ46" s="44"/>
      <c r="PNA46" s="44"/>
      <c r="PNB46" s="44"/>
      <c r="PNC46" s="44"/>
      <c r="PND46" s="44"/>
      <c r="PNE46" s="44"/>
      <c r="PNF46" s="44"/>
      <c r="PNG46" s="44"/>
      <c r="PNH46" s="44"/>
      <c r="PNI46" s="44"/>
      <c r="PNJ46" s="44"/>
      <c r="PNK46" s="44"/>
      <c r="PNL46" s="44"/>
      <c r="PNM46" s="44"/>
      <c r="PNN46" s="44"/>
      <c r="PNO46" s="44"/>
      <c r="PNP46" s="44"/>
      <c r="PNQ46" s="44"/>
      <c r="PNR46" s="44"/>
      <c r="PNS46" s="44"/>
      <c r="PNT46" s="44"/>
      <c r="PNU46" s="44"/>
      <c r="PNV46" s="44"/>
      <c r="PNW46" s="44"/>
      <c r="PNX46" s="44"/>
      <c r="PNY46" s="44"/>
      <c r="PNZ46" s="44"/>
      <c r="POA46" s="44"/>
      <c r="POB46" s="44"/>
      <c r="POC46" s="44"/>
      <c r="POD46" s="44"/>
      <c r="POE46" s="44"/>
      <c r="POF46" s="44"/>
      <c r="POG46" s="44"/>
      <c r="POH46" s="44"/>
      <c r="POI46" s="44"/>
      <c r="POJ46" s="44"/>
      <c r="POK46" s="44"/>
      <c r="POL46" s="44"/>
      <c r="POM46" s="44"/>
      <c r="PON46" s="44"/>
      <c r="POO46" s="44"/>
      <c r="POP46" s="44"/>
      <c r="POQ46" s="44"/>
      <c r="POR46" s="44"/>
      <c r="POS46" s="44"/>
      <c r="POT46" s="44"/>
      <c r="POU46" s="44"/>
      <c r="POV46" s="44"/>
      <c r="POW46" s="44"/>
      <c r="POX46" s="44"/>
      <c r="POY46" s="44"/>
      <c r="POZ46" s="44"/>
      <c r="PPA46" s="44"/>
      <c r="PPB46" s="44"/>
      <c r="PPC46" s="44"/>
      <c r="PPD46" s="44"/>
      <c r="PPE46" s="44"/>
      <c r="PPF46" s="44"/>
      <c r="PPG46" s="44"/>
      <c r="PPH46" s="44"/>
      <c r="PPI46" s="44"/>
      <c r="PPJ46" s="44"/>
      <c r="PPK46" s="44"/>
      <c r="PPL46" s="44"/>
      <c r="PPM46" s="44"/>
      <c r="PPN46" s="44"/>
      <c r="PPO46" s="44"/>
      <c r="PPP46" s="44"/>
      <c r="PPQ46" s="44"/>
      <c r="PPR46" s="44"/>
      <c r="PPS46" s="44"/>
      <c r="PPT46" s="44"/>
      <c r="PPU46" s="44"/>
      <c r="PPV46" s="44"/>
      <c r="PPW46" s="44"/>
      <c r="PPX46" s="44"/>
      <c r="PPY46" s="44"/>
      <c r="PPZ46" s="44"/>
      <c r="PQA46" s="44"/>
      <c r="PQB46" s="44"/>
      <c r="PQC46" s="44"/>
      <c r="PQD46" s="44"/>
      <c r="PQE46" s="44"/>
      <c r="PQF46" s="44"/>
      <c r="PQG46" s="44"/>
      <c r="PQH46" s="44"/>
      <c r="PQI46" s="44"/>
      <c r="PQJ46" s="44"/>
      <c r="PQK46" s="44"/>
      <c r="PQL46" s="44"/>
      <c r="PQM46" s="44"/>
      <c r="PQN46" s="44"/>
      <c r="PQO46" s="44"/>
      <c r="PQP46" s="44"/>
      <c r="PQQ46" s="44"/>
      <c r="PQR46" s="44"/>
      <c r="PQS46" s="44"/>
      <c r="PQT46" s="44"/>
      <c r="PQU46" s="44"/>
      <c r="PQV46" s="44"/>
      <c r="PQW46" s="44"/>
      <c r="PQX46" s="44"/>
      <c r="PQY46" s="44"/>
      <c r="PQZ46" s="44"/>
      <c r="PRA46" s="44"/>
      <c r="PRB46" s="44"/>
      <c r="PRC46" s="44"/>
      <c r="PRD46" s="44"/>
      <c r="PRE46" s="44"/>
      <c r="PRF46" s="44"/>
      <c r="PRG46" s="44"/>
      <c r="PRH46" s="44"/>
      <c r="PRI46" s="44"/>
      <c r="PRJ46" s="44"/>
      <c r="PRK46" s="44"/>
      <c r="PRL46" s="44"/>
      <c r="PRM46" s="44"/>
      <c r="PRN46" s="44"/>
      <c r="PRO46" s="44"/>
      <c r="PRP46" s="44"/>
      <c r="PRQ46" s="44"/>
      <c r="PRR46" s="44"/>
      <c r="PRS46" s="44"/>
      <c r="PRT46" s="44"/>
      <c r="PRU46" s="44"/>
      <c r="PRV46" s="44"/>
      <c r="PRW46" s="44"/>
      <c r="PRX46" s="44"/>
      <c r="PRY46" s="44"/>
      <c r="PRZ46" s="44"/>
      <c r="PSA46" s="44"/>
      <c r="PSB46" s="44"/>
      <c r="PSC46" s="44"/>
      <c r="PSD46" s="44"/>
      <c r="PSE46" s="44"/>
      <c r="PSF46" s="44"/>
      <c r="PSG46" s="44"/>
      <c r="PSH46" s="44"/>
      <c r="PSI46" s="44"/>
      <c r="PSJ46" s="44"/>
      <c r="PSK46" s="44"/>
      <c r="PSL46" s="44"/>
      <c r="PSM46" s="44"/>
      <c r="PSN46" s="44"/>
      <c r="PSO46" s="44"/>
      <c r="PSP46" s="44"/>
      <c r="PSQ46" s="44"/>
      <c r="PSR46" s="44"/>
      <c r="PSS46" s="44"/>
      <c r="PST46" s="44"/>
      <c r="PSU46" s="44"/>
      <c r="PSV46" s="44"/>
      <c r="PSW46" s="44"/>
      <c r="PSX46" s="44"/>
      <c r="PSY46" s="44"/>
      <c r="PSZ46" s="44"/>
      <c r="PTA46" s="44"/>
      <c r="PTB46" s="44"/>
      <c r="PTC46" s="44"/>
      <c r="PTD46" s="44"/>
      <c r="PTE46" s="44"/>
      <c r="PTF46" s="44"/>
      <c r="PTG46" s="44"/>
      <c r="PTH46" s="44"/>
      <c r="PTI46" s="44"/>
      <c r="PTJ46" s="44"/>
      <c r="PTK46" s="44"/>
      <c r="PTL46" s="44"/>
      <c r="PTM46" s="44"/>
      <c r="PTN46" s="44"/>
      <c r="PTO46" s="44"/>
      <c r="PTP46" s="44"/>
      <c r="PTQ46" s="44"/>
      <c r="PTR46" s="44"/>
      <c r="PTS46" s="44"/>
      <c r="PTT46" s="44"/>
      <c r="PTU46" s="44"/>
      <c r="PTV46" s="44"/>
      <c r="PTW46" s="44"/>
      <c r="PTX46" s="44"/>
      <c r="PTY46" s="44"/>
      <c r="PTZ46" s="44"/>
      <c r="PUA46" s="44"/>
      <c r="PUB46" s="44"/>
      <c r="PUC46" s="44"/>
      <c r="PUD46" s="44"/>
      <c r="PUE46" s="44"/>
      <c r="PUF46" s="44"/>
      <c r="PUG46" s="44"/>
      <c r="PUH46" s="44"/>
      <c r="PUI46" s="44"/>
      <c r="PUJ46" s="44"/>
      <c r="PUK46" s="44"/>
      <c r="PUL46" s="44"/>
      <c r="PUM46" s="44"/>
      <c r="PUN46" s="44"/>
      <c r="PUO46" s="44"/>
      <c r="PUP46" s="44"/>
      <c r="PUQ46" s="44"/>
      <c r="PUR46" s="44"/>
      <c r="PUS46" s="44"/>
      <c r="PUT46" s="44"/>
      <c r="PUU46" s="44"/>
      <c r="PUV46" s="44"/>
      <c r="PUW46" s="44"/>
      <c r="PUX46" s="44"/>
      <c r="PUY46" s="44"/>
      <c r="PUZ46" s="44"/>
      <c r="PVA46" s="44"/>
      <c r="PVB46" s="44"/>
      <c r="PVC46" s="44"/>
      <c r="PVD46" s="44"/>
      <c r="PVE46" s="44"/>
      <c r="PVF46" s="44"/>
      <c r="PVG46" s="44"/>
      <c r="PVH46" s="44"/>
      <c r="PVI46" s="44"/>
      <c r="PVJ46" s="44"/>
      <c r="PVK46" s="44"/>
      <c r="PVL46" s="44"/>
      <c r="PVM46" s="44"/>
      <c r="PVN46" s="44"/>
      <c r="PVO46" s="44"/>
      <c r="PVP46" s="44"/>
      <c r="PVQ46" s="44"/>
      <c r="PVR46" s="44"/>
      <c r="PVS46" s="44"/>
      <c r="PVT46" s="44"/>
      <c r="PVU46" s="44"/>
      <c r="PVV46" s="44"/>
      <c r="PVW46" s="44"/>
      <c r="PVX46" s="44"/>
      <c r="PVY46" s="44"/>
      <c r="PVZ46" s="44"/>
      <c r="PWA46" s="44"/>
      <c r="PWB46" s="44"/>
      <c r="PWC46" s="44"/>
      <c r="PWD46" s="44"/>
      <c r="PWE46" s="44"/>
      <c r="PWF46" s="44"/>
      <c r="PWG46" s="44"/>
      <c r="PWH46" s="44"/>
      <c r="PWI46" s="44"/>
      <c r="PWJ46" s="44"/>
      <c r="PWK46" s="44"/>
      <c r="PWL46" s="44"/>
      <c r="PWM46" s="44"/>
      <c r="PWN46" s="44"/>
      <c r="PWO46" s="44"/>
      <c r="PWP46" s="44"/>
      <c r="PWQ46" s="44"/>
      <c r="PWR46" s="44"/>
      <c r="PWS46" s="44"/>
      <c r="PWT46" s="44"/>
      <c r="PWU46" s="44"/>
      <c r="PWV46" s="44"/>
      <c r="PWW46" s="44"/>
      <c r="PWX46" s="44"/>
      <c r="PWY46" s="44"/>
      <c r="PWZ46" s="44"/>
      <c r="PXA46" s="44"/>
      <c r="PXB46" s="44"/>
      <c r="PXC46" s="44"/>
      <c r="PXD46" s="44"/>
      <c r="PXE46" s="44"/>
      <c r="PXF46" s="44"/>
      <c r="PXG46" s="44"/>
      <c r="PXH46" s="44"/>
      <c r="PXI46" s="44"/>
      <c r="PXJ46" s="44"/>
      <c r="PXK46" s="44"/>
      <c r="PXL46" s="44"/>
      <c r="PXM46" s="44"/>
      <c r="PXN46" s="44"/>
      <c r="PXO46" s="44"/>
      <c r="PXP46" s="44"/>
      <c r="PXQ46" s="44"/>
      <c r="PXR46" s="44"/>
      <c r="PXS46" s="44"/>
      <c r="PXT46" s="44"/>
      <c r="PXU46" s="44"/>
      <c r="PXV46" s="44"/>
      <c r="PXW46" s="44"/>
      <c r="PXX46" s="44"/>
      <c r="PXY46" s="44"/>
      <c r="PXZ46" s="44"/>
      <c r="PYA46" s="44"/>
      <c r="PYB46" s="44"/>
      <c r="PYC46" s="44"/>
      <c r="PYD46" s="44"/>
      <c r="PYE46" s="44"/>
      <c r="PYF46" s="44"/>
      <c r="PYG46" s="44"/>
      <c r="PYH46" s="44"/>
      <c r="PYI46" s="44"/>
      <c r="PYJ46" s="44"/>
      <c r="PYK46" s="44"/>
      <c r="PYL46" s="44"/>
      <c r="PYM46" s="44"/>
      <c r="PYN46" s="44"/>
      <c r="PYO46" s="44"/>
      <c r="PYP46" s="44"/>
      <c r="PYQ46" s="44"/>
      <c r="PYR46" s="44"/>
      <c r="PYS46" s="44"/>
      <c r="PYT46" s="44"/>
      <c r="PYU46" s="44"/>
      <c r="PYV46" s="44"/>
      <c r="PYW46" s="44"/>
      <c r="PYX46" s="44"/>
      <c r="PYY46" s="44"/>
      <c r="PYZ46" s="44"/>
      <c r="PZA46" s="44"/>
      <c r="PZB46" s="44"/>
      <c r="PZC46" s="44"/>
      <c r="PZD46" s="44"/>
      <c r="PZE46" s="44"/>
      <c r="PZF46" s="44"/>
      <c r="PZG46" s="44"/>
      <c r="PZH46" s="44"/>
      <c r="PZI46" s="44"/>
      <c r="PZJ46" s="44"/>
      <c r="PZK46" s="44"/>
      <c r="PZL46" s="44"/>
      <c r="PZM46" s="44"/>
      <c r="PZN46" s="44"/>
      <c r="PZO46" s="44"/>
      <c r="PZP46" s="44"/>
      <c r="PZQ46" s="44"/>
      <c r="PZR46" s="44"/>
      <c r="PZS46" s="44"/>
      <c r="PZT46" s="44"/>
      <c r="PZU46" s="44"/>
      <c r="PZV46" s="44"/>
      <c r="PZW46" s="44"/>
      <c r="PZX46" s="44"/>
      <c r="PZY46" s="44"/>
      <c r="PZZ46" s="44"/>
      <c r="QAA46" s="44"/>
      <c r="QAB46" s="44"/>
      <c r="QAC46" s="44"/>
      <c r="QAD46" s="44"/>
      <c r="QAE46" s="44"/>
      <c r="QAF46" s="44"/>
      <c r="QAG46" s="44"/>
      <c r="QAH46" s="44"/>
      <c r="QAI46" s="44"/>
      <c r="QAJ46" s="44"/>
      <c r="QAK46" s="44"/>
      <c r="QAL46" s="44"/>
      <c r="QAM46" s="44"/>
      <c r="QAN46" s="44"/>
      <c r="QAO46" s="44"/>
      <c r="QAP46" s="44"/>
      <c r="QAQ46" s="44"/>
      <c r="QAR46" s="44"/>
      <c r="QAS46" s="44"/>
      <c r="QAT46" s="44"/>
      <c r="QAU46" s="44"/>
      <c r="QAV46" s="44"/>
      <c r="QAW46" s="44"/>
      <c r="QAX46" s="44"/>
      <c r="QAY46" s="44"/>
      <c r="QAZ46" s="44"/>
      <c r="QBA46" s="44"/>
      <c r="QBB46" s="44"/>
      <c r="QBC46" s="44"/>
      <c r="QBD46" s="44"/>
      <c r="QBE46" s="44"/>
      <c r="QBF46" s="44"/>
      <c r="QBG46" s="44"/>
      <c r="QBH46" s="44"/>
      <c r="QBI46" s="44"/>
      <c r="QBJ46" s="44"/>
      <c r="QBK46" s="44"/>
      <c r="QBL46" s="44"/>
      <c r="QBM46" s="44"/>
      <c r="QBN46" s="44"/>
      <c r="QBO46" s="44"/>
      <c r="QBP46" s="44"/>
      <c r="QBQ46" s="44"/>
      <c r="QBR46" s="44"/>
      <c r="QBS46" s="44"/>
      <c r="QBT46" s="44"/>
      <c r="QBU46" s="44"/>
      <c r="QBV46" s="44"/>
      <c r="QBW46" s="44"/>
      <c r="QBX46" s="44"/>
      <c r="QBY46" s="44"/>
      <c r="QBZ46" s="44"/>
      <c r="QCA46" s="44"/>
      <c r="QCB46" s="44"/>
      <c r="QCC46" s="44"/>
      <c r="QCD46" s="44"/>
      <c r="QCE46" s="44"/>
      <c r="QCF46" s="44"/>
      <c r="QCG46" s="44"/>
      <c r="QCH46" s="44"/>
      <c r="QCI46" s="44"/>
      <c r="QCJ46" s="44"/>
      <c r="QCK46" s="44"/>
      <c r="QCL46" s="44"/>
      <c r="QCM46" s="44"/>
      <c r="QCN46" s="44"/>
      <c r="QCO46" s="44"/>
      <c r="QCP46" s="44"/>
      <c r="QCQ46" s="44"/>
      <c r="QCR46" s="44"/>
      <c r="QCS46" s="44"/>
      <c r="QCT46" s="44"/>
      <c r="QCU46" s="44"/>
      <c r="QCV46" s="44"/>
      <c r="QCW46" s="44"/>
      <c r="QCX46" s="44"/>
      <c r="QCY46" s="44"/>
      <c r="QCZ46" s="44"/>
      <c r="QDA46" s="44"/>
      <c r="QDB46" s="44"/>
      <c r="QDC46" s="44"/>
      <c r="QDD46" s="44"/>
      <c r="QDE46" s="44"/>
      <c r="QDF46" s="44"/>
      <c r="QDG46" s="44"/>
      <c r="QDH46" s="44"/>
      <c r="QDI46" s="44"/>
      <c r="QDJ46" s="44"/>
      <c r="QDK46" s="44"/>
      <c r="QDL46" s="44"/>
      <c r="QDM46" s="44"/>
      <c r="QDN46" s="44"/>
      <c r="QDO46" s="44"/>
      <c r="QDP46" s="44"/>
      <c r="QDQ46" s="44"/>
      <c r="QDR46" s="44"/>
      <c r="QDS46" s="44"/>
      <c r="QDT46" s="44"/>
      <c r="QDU46" s="44"/>
      <c r="QDV46" s="44"/>
      <c r="QDW46" s="44"/>
      <c r="QDX46" s="44"/>
      <c r="QDY46" s="44"/>
      <c r="QDZ46" s="44"/>
      <c r="QEA46" s="44"/>
      <c r="QEB46" s="44"/>
      <c r="QEC46" s="44"/>
      <c r="QED46" s="44"/>
      <c r="QEE46" s="44"/>
      <c r="QEF46" s="44"/>
      <c r="QEG46" s="44"/>
      <c r="QEH46" s="44"/>
      <c r="QEI46" s="44"/>
      <c r="QEJ46" s="44"/>
      <c r="QEK46" s="44"/>
      <c r="QEL46" s="44"/>
      <c r="QEM46" s="44"/>
      <c r="QEN46" s="44"/>
      <c r="QEO46" s="44"/>
      <c r="QEP46" s="44"/>
      <c r="QEQ46" s="44"/>
      <c r="QER46" s="44"/>
      <c r="QES46" s="44"/>
      <c r="QET46" s="44"/>
      <c r="QEU46" s="44"/>
      <c r="QEV46" s="44"/>
      <c r="QEW46" s="44"/>
      <c r="QEX46" s="44"/>
      <c r="QEY46" s="44"/>
      <c r="QEZ46" s="44"/>
      <c r="QFA46" s="44"/>
      <c r="QFB46" s="44"/>
      <c r="QFC46" s="44"/>
      <c r="QFD46" s="44"/>
      <c r="QFE46" s="44"/>
      <c r="QFF46" s="44"/>
      <c r="QFG46" s="44"/>
      <c r="QFH46" s="44"/>
      <c r="QFI46" s="44"/>
      <c r="QFJ46" s="44"/>
      <c r="QFK46" s="44"/>
      <c r="QFL46" s="44"/>
      <c r="QFM46" s="44"/>
      <c r="QFN46" s="44"/>
      <c r="QFO46" s="44"/>
      <c r="QFP46" s="44"/>
      <c r="QFQ46" s="44"/>
      <c r="QFR46" s="44"/>
      <c r="QFS46" s="44"/>
      <c r="QFT46" s="44"/>
      <c r="QFU46" s="44"/>
      <c r="QFV46" s="44"/>
      <c r="QFW46" s="44"/>
      <c r="QFX46" s="44"/>
      <c r="QFY46" s="44"/>
      <c r="QFZ46" s="44"/>
      <c r="QGA46" s="44"/>
      <c r="QGB46" s="44"/>
      <c r="QGC46" s="44"/>
      <c r="QGD46" s="44"/>
      <c r="QGE46" s="44"/>
      <c r="QGF46" s="44"/>
      <c r="QGG46" s="44"/>
      <c r="QGH46" s="44"/>
      <c r="QGI46" s="44"/>
      <c r="QGJ46" s="44"/>
      <c r="QGK46" s="44"/>
      <c r="QGL46" s="44"/>
      <c r="QGM46" s="44"/>
      <c r="QGN46" s="44"/>
      <c r="QGO46" s="44"/>
      <c r="QGP46" s="44"/>
      <c r="QGQ46" s="44"/>
      <c r="QGR46" s="44"/>
      <c r="QGS46" s="44"/>
      <c r="QGT46" s="44"/>
      <c r="QGU46" s="44"/>
      <c r="QGV46" s="44"/>
      <c r="QGW46" s="44"/>
      <c r="QGX46" s="44"/>
      <c r="QGY46" s="44"/>
      <c r="QGZ46" s="44"/>
      <c r="QHA46" s="44"/>
      <c r="QHB46" s="44"/>
      <c r="QHC46" s="44"/>
      <c r="QHD46" s="44"/>
      <c r="QHE46" s="44"/>
      <c r="QHF46" s="44"/>
      <c r="QHG46" s="44"/>
      <c r="QHH46" s="44"/>
      <c r="QHI46" s="44"/>
      <c r="QHJ46" s="44"/>
      <c r="QHK46" s="44"/>
      <c r="QHL46" s="44"/>
      <c r="QHM46" s="44"/>
      <c r="QHN46" s="44"/>
      <c r="QHO46" s="44"/>
      <c r="QHP46" s="44"/>
      <c r="QHQ46" s="44"/>
      <c r="QHR46" s="44"/>
      <c r="QHS46" s="44"/>
      <c r="QHT46" s="44"/>
      <c r="QHU46" s="44"/>
      <c r="QHV46" s="44"/>
      <c r="QHW46" s="44"/>
      <c r="QHX46" s="44"/>
      <c r="QHY46" s="44"/>
      <c r="QHZ46" s="44"/>
      <c r="QIA46" s="44"/>
      <c r="QIB46" s="44"/>
      <c r="QIC46" s="44"/>
      <c r="QID46" s="44"/>
      <c r="QIE46" s="44"/>
      <c r="QIF46" s="44"/>
      <c r="QIG46" s="44"/>
      <c r="QIH46" s="44"/>
      <c r="QII46" s="44"/>
      <c r="QIJ46" s="44"/>
      <c r="QIK46" s="44"/>
      <c r="QIL46" s="44"/>
      <c r="QIM46" s="44"/>
      <c r="QIN46" s="44"/>
      <c r="QIO46" s="44"/>
      <c r="QIP46" s="44"/>
      <c r="QIQ46" s="44"/>
      <c r="QIR46" s="44"/>
      <c r="QIS46" s="44"/>
      <c r="QIT46" s="44"/>
      <c r="QIU46" s="44"/>
      <c r="QIV46" s="44"/>
      <c r="QIW46" s="44"/>
      <c r="QIX46" s="44"/>
      <c r="QIY46" s="44"/>
      <c r="QIZ46" s="44"/>
      <c r="QJA46" s="44"/>
      <c r="QJB46" s="44"/>
      <c r="QJC46" s="44"/>
      <c r="QJD46" s="44"/>
      <c r="QJE46" s="44"/>
      <c r="QJF46" s="44"/>
      <c r="QJG46" s="44"/>
      <c r="QJH46" s="44"/>
      <c r="QJI46" s="44"/>
      <c r="QJJ46" s="44"/>
      <c r="QJK46" s="44"/>
      <c r="QJL46" s="44"/>
      <c r="QJM46" s="44"/>
      <c r="QJN46" s="44"/>
      <c r="QJO46" s="44"/>
      <c r="QJP46" s="44"/>
      <c r="QJQ46" s="44"/>
      <c r="QJR46" s="44"/>
      <c r="QJS46" s="44"/>
      <c r="QJT46" s="44"/>
      <c r="QJU46" s="44"/>
      <c r="QJV46" s="44"/>
      <c r="QJW46" s="44"/>
      <c r="QJX46" s="44"/>
      <c r="QJY46" s="44"/>
      <c r="QJZ46" s="44"/>
      <c r="QKA46" s="44"/>
      <c r="QKB46" s="44"/>
      <c r="QKC46" s="44"/>
      <c r="QKD46" s="44"/>
      <c r="QKE46" s="44"/>
      <c r="QKF46" s="44"/>
      <c r="QKG46" s="44"/>
      <c r="QKH46" s="44"/>
      <c r="QKI46" s="44"/>
      <c r="QKJ46" s="44"/>
      <c r="QKK46" s="44"/>
      <c r="QKL46" s="44"/>
      <c r="QKM46" s="44"/>
      <c r="QKN46" s="44"/>
      <c r="QKO46" s="44"/>
      <c r="QKP46" s="44"/>
      <c r="QKQ46" s="44"/>
      <c r="QKR46" s="44"/>
      <c r="QKS46" s="44"/>
      <c r="QKT46" s="44"/>
      <c r="QKU46" s="44"/>
      <c r="QKV46" s="44"/>
      <c r="QKW46" s="44"/>
      <c r="QKX46" s="44"/>
      <c r="QKY46" s="44"/>
      <c r="QKZ46" s="44"/>
      <c r="QLA46" s="44"/>
      <c r="QLB46" s="44"/>
      <c r="QLC46" s="44"/>
      <c r="QLD46" s="44"/>
      <c r="QLE46" s="44"/>
      <c r="QLF46" s="44"/>
      <c r="QLG46" s="44"/>
      <c r="QLH46" s="44"/>
      <c r="QLI46" s="44"/>
      <c r="QLJ46" s="44"/>
      <c r="QLK46" s="44"/>
      <c r="QLL46" s="44"/>
      <c r="QLM46" s="44"/>
      <c r="QLN46" s="44"/>
      <c r="QLO46" s="44"/>
      <c r="QLP46" s="44"/>
      <c r="QLQ46" s="44"/>
      <c r="QLR46" s="44"/>
      <c r="QLS46" s="44"/>
      <c r="QLT46" s="44"/>
      <c r="QLU46" s="44"/>
      <c r="QLV46" s="44"/>
      <c r="QLW46" s="44"/>
      <c r="QLX46" s="44"/>
      <c r="QLY46" s="44"/>
      <c r="QLZ46" s="44"/>
      <c r="QMA46" s="44"/>
      <c r="QMB46" s="44"/>
      <c r="QMC46" s="44"/>
      <c r="QMD46" s="44"/>
      <c r="QME46" s="44"/>
      <c r="QMF46" s="44"/>
      <c r="QMG46" s="44"/>
      <c r="QMH46" s="44"/>
      <c r="QMI46" s="44"/>
      <c r="QMJ46" s="44"/>
      <c r="QMK46" s="44"/>
      <c r="QML46" s="44"/>
      <c r="QMM46" s="44"/>
      <c r="QMN46" s="44"/>
      <c r="QMO46" s="44"/>
      <c r="QMP46" s="44"/>
      <c r="QMQ46" s="44"/>
      <c r="QMR46" s="44"/>
      <c r="QMS46" s="44"/>
      <c r="QMT46" s="44"/>
      <c r="QMU46" s="44"/>
      <c r="QMV46" s="44"/>
      <c r="QMW46" s="44"/>
      <c r="QMX46" s="44"/>
      <c r="QMY46" s="44"/>
      <c r="QMZ46" s="44"/>
      <c r="QNA46" s="44"/>
      <c r="QNB46" s="44"/>
      <c r="QNC46" s="44"/>
      <c r="QND46" s="44"/>
      <c r="QNE46" s="44"/>
      <c r="QNF46" s="44"/>
      <c r="QNG46" s="44"/>
      <c r="QNH46" s="44"/>
      <c r="QNI46" s="44"/>
      <c r="QNJ46" s="44"/>
      <c r="QNK46" s="44"/>
      <c r="QNL46" s="44"/>
      <c r="QNM46" s="44"/>
      <c r="QNN46" s="44"/>
      <c r="QNO46" s="44"/>
      <c r="QNP46" s="44"/>
      <c r="QNQ46" s="44"/>
      <c r="QNR46" s="44"/>
      <c r="QNS46" s="44"/>
      <c r="QNT46" s="44"/>
      <c r="QNU46" s="44"/>
      <c r="QNV46" s="44"/>
      <c r="QNW46" s="44"/>
      <c r="QNX46" s="44"/>
      <c r="QNY46" s="44"/>
      <c r="QNZ46" s="44"/>
      <c r="QOA46" s="44"/>
      <c r="QOB46" s="44"/>
      <c r="QOC46" s="44"/>
      <c r="QOD46" s="44"/>
      <c r="QOE46" s="44"/>
      <c r="QOF46" s="44"/>
      <c r="QOG46" s="44"/>
      <c r="QOH46" s="44"/>
      <c r="QOI46" s="44"/>
      <c r="QOJ46" s="44"/>
      <c r="QOK46" s="44"/>
      <c r="QOL46" s="44"/>
      <c r="QOM46" s="44"/>
      <c r="QON46" s="44"/>
      <c r="QOO46" s="44"/>
      <c r="QOP46" s="44"/>
      <c r="QOQ46" s="44"/>
      <c r="QOR46" s="44"/>
      <c r="QOS46" s="44"/>
      <c r="QOT46" s="44"/>
      <c r="QOU46" s="44"/>
      <c r="QOV46" s="44"/>
      <c r="QOW46" s="44"/>
      <c r="QOX46" s="44"/>
      <c r="QOY46" s="44"/>
      <c r="QOZ46" s="44"/>
      <c r="QPA46" s="44"/>
      <c r="QPB46" s="44"/>
      <c r="QPC46" s="44"/>
      <c r="QPD46" s="44"/>
      <c r="QPE46" s="44"/>
      <c r="QPF46" s="44"/>
      <c r="QPG46" s="44"/>
      <c r="QPH46" s="44"/>
      <c r="QPI46" s="44"/>
      <c r="QPJ46" s="44"/>
      <c r="QPK46" s="44"/>
      <c r="QPL46" s="44"/>
      <c r="QPM46" s="44"/>
      <c r="QPN46" s="44"/>
      <c r="QPO46" s="44"/>
      <c r="QPP46" s="44"/>
      <c r="QPQ46" s="44"/>
      <c r="QPR46" s="44"/>
      <c r="QPS46" s="44"/>
      <c r="QPT46" s="44"/>
      <c r="QPU46" s="44"/>
      <c r="QPV46" s="44"/>
      <c r="QPW46" s="44"/>
      <c r="QPX46" s="44"/>
      <c r="QPY46" s="44"/>
      <c r="QPZ46" s="44"/>
      <c r="QQA46" s="44"/>
      <c r="QQB46" s="44"/>
      <c r="QQC46" s="44"/>
      <c r="QQD46" s="44"/>
      <c r="QQE46" s="44"/>
      <c r="QQF46" s="44"/>
      <c r="QQG46" s="44"/>
      <c r="QQH46" s="44"/>
      <c r="QQI46" s="44"/>
      <c r="QQJ46" s="44"/>
      <c r="QQK46" s="44"/>
      <c r="QQL46" s="44"/>
      <c r="QQM46" s="44"/>
      <c r="QQN46" s="44"/>
      <c r="QQO46" s="44"/>
      <c r="QQP46" s="44"/>
      <c r="QQQ46" s="44"/>
      <c r="QQR46" s="44"/>
      <c r="QQS46" s="44"/>
      <c r="QQT46" s="44"/>
      <c r="QQU46" s="44"/>
      <c r="QQV46" s="44"/>
      <c r="QQW46" s="44"/>
      <c r="QQX46" s="44"/>
      <c r="QQY46" s="44"/>
      <c r="QQZ46" s="44"/>
      <c r="QRA46" s="44"/>
      <c r="QRB46" s="44"/>
      <c r="QRC46" s="44"/>
      <c r="QRD46" s="44"/>
      <c r="QRE46" s="44"/>
      <c r="QRF46" s="44"/>
      <c r="QRG46" s="44"/>
      <c r="QRH46" s="44"/>
      <c r="QRI46" s="44"/>
      <c r="QRJ46" s="44"/>
      <c r="QRK46" s="44"/>
      <c r="QRL46" s="44"/>
      <c r="QRM46" s="44"/>
      <c r="QRN46" s="44"/>
      <c r="QRO46" s="44"/>
      <c r="QRP46" s="44"/>
      <c r="QRQ46" s="44"/>
      <c r="QRR46" s="44"/>
      <c r="QRS46" s="44"/>
      <c r="QRT46" s="44"/>
      <c r="QRU46" s="44"/>
      <c r="QRV46" s="44"/>
      <c r="QRW46" s="44"/>
      <c r="QRX46" s="44"/>
      <c r="QRY46" s="44"/>
      <c r="QRZ46" s="44"/>
      <c r="QSA46" s="44"/>
      <c r="QSB46" s="44"/>
      <c r="QSC46" s="44"/>
      <c r="QSD46" s="44"/>
      <c r="QSE46" s="44"/>
      <c r="QSF46" s="44"/>
      <c r="QSG46" s="44"/>
      <c r="QSH46" s="44"/>
      <c r="QSI46" s="44"/>
      <c r="QSJ46" s="44"/>
      <c r="QSK46" s="44"/>
      <c r="QSL46" s="44"/>
      <c r="QSM46" s="44"/>
      <c r="QSN46" s="44"/>
      <c r="QSO46" s="44"/>
      <c r="QSP46" s="44"/>
      <c r="QSQ46" s="44"/>
      <c r="QSR46" s="44"/>
      <c r="QSS46" s="44"/>
      <c r="QST46" s="44"/>
      <c r="QSU46" s="44"/>
      <c r="QSV46" s="44"/>
      <c r="QSW46" s="44"/>
      <c r="QSX46" s="44"/>
      <c r="QSY46" s="44"/>
      <c r="QSZ46" s="44"/>
      <c r="QTA46" s="44"/>
      <c r="QTB46" s="44"/>
      <c r="QTC46" s="44"/>
      <c r="QTD46" s="44"/>
      <c r="QTE46" s="44"/>
      <c r="QTF46" s="44"/>
      <c r="QTG46" s="44"/>
      <c r="QTH46" s="44"/>
      <c r="QTI46" s="44"/>
      <c r="QTJ46" s="44"/>
      <c r="QTK46" s="44"/>
      <c r="QTL46" s="44"/>
      <c r="QTM46" s="44"/>
      <c r="QTN46" s="44"/>
      <c r="QTO46" s="44"/>
      <c r="QTP46" s="44"/>
      <c r="QTQ46" s="44"/>
      <c r="QTR46" s="44"/>
      <c r="QTS46" s="44"/>
      <c r="QTT46" s="44"/>
      <c r="QTU46" s="44"/>
      <c r="QTV46" s="44"/>
      <c r="QTW46" s="44"/>
      <c r="QTX46" s="44"/>
      <c r="QTY46" s="44"/>
      <c r="QTZ46" s="44"/>
      <c r="QUA46" s="44"/>
      <c r="QUB46" s="44"/>
      <c r="QUC46" s="44"/>
      <c r="QUD46" s="44"/>
      <c r="QUE46" s="44"/>
      <c r="QUF46" s="44"/>
      <c r="QUG46" s="44"/>
      <c r="QUH46" s="44"/>
      <c r="QUI46" s="44"/>
      <c r="QUJ46" s="44"/>
      <c r="QUK46" s="44"/>
      <c r="QUL46" s="44"/>
      <c r="QUM46" s="44"/>
      <c r="QUN46" s="44"/>
      <c r="QUO46" s="44"/>
      <c r="QUP46" s="44"/>
      <c r="QUQ46" s="44"/>
      <c r="QUR46" s="44"/>
      <c r="QUS46" s="44"/>
      <c r="QUT46" s="44"/>
      <c r="QUU46" s="44"/>
      <c r="QUV46" s="44"/>
      <c r="QUW46" s="44"/>
      <c r="QUX46" s="44"/>
      <c r="QUY46" s="44"/>
      <c r="QUZ46" s="44"/>
      <c r="QVA46" s="44"/>
      <c r="QVB46" s="44"/>
      <c r="QVC46" s="44"/>
      <c r="QVD46" s="44"/>
      <c r="QVE46" s="44"/>
      <c r="QVF46" s="44"/>
      <c r="QVG46" s="44"/>
      <c r="QVH46" s="44"/>
      <c r="QVI46" s="44"/>
      <c r="QVJ46" s="44"/>
      <c r="QVK46" s="44"/>
      <c r="QVL46" s="44"/>
      <c r="QVM46" s="44"/>
      <c r="QVN46" s="44"/>
      <c r="QVO46" s="44"/>
      <c r="QVP46" s="44"/>
      <c r="QVQ46" s="44"/>
      <c r="QVR46" s="44"/>
      <c r="QVS46" s="44"/>
      <c r="QVT46" s="44"/>
      <c r="QVU46" s="44"/>
      <c r="QVV46" s="44"/>
      <c r="QVW46" s="44"/>
      <c r="QVX46" s="44"/>
      <c r="QVY46" s="44"/>
      <c r="QVZ46" s="44"/>
      <c r="QWA46" s="44"/>
      <c r="QWB46" s="44"/>
      <c r="QWC46" s="44"/>
      <c r="QWD46" s="44"/>
      <c r="QWE46" s="44"/>
      <c r="QWF46" s="44"/>
      <c r="QWG46" s="44"/>
      <c r="QWH46" s="44"/>
      <c r="QWI46" s="44"/>
      <c r="QWJ46" s="44"/>
      <c r="QWK46" s="44"/>
      <c r="QWL46" s="44"/>
      <c r="QWM46" s="44"/>
      <c r="QWN46" s="44"/>
      <c r="QWO46" s="44"/>
      <c r="QWP46" s="44"/>
      <c r="QWQ46" s="44"/>
      <c r="QWR46" s="44"/>
      <c r="QWS46" s="44"/>
      <c r="QWT46" s="44"/>
      <c r="QWU46" s="44"/>
      <c r="QWV46" s="44"/>
      <c r="QWW46" s="44"/>
      <c r="QWX46" s="44"/>
      <c r="QWY46" s="44"/>
      <c r="QWZ46" s="44"/>
      <c r="QXA46" s="44"/>
      <c r="QXB46" s="44"/>
      <c r="QXC46" s="44"/>
      <c r="QXD46" s="44"/>
      <c r="QXE46" s="44"/>
      <c r="QXF46" s="44"/>
      <c r="QXG46" s="44"/>
      <c r="QXH46" s="44"/>
      <c r="QXI46" s="44"/>
      <c r="QXJ46" s="44"/>
      <c r="QXK46" s="44"/>
      <c r="QXL46" s="44"/>
      <c r="QXM46" s="44"/>
      <c r="QXN46" s="44"/>
      <c r="QXO46" s="44"/>
      <c r="QXP46" s="44"/>
      <c r="QXQ46" s="44"/>
      <c r="QXR46" s="44"/>
      <c r="QXS46" s="44"/>
      <c r="QXT46" s="44"/>
      <c r="QXU46" s="44"/>
      <c r="QXV46" s="44"/>
      <c r="QXW46" s="44"/>
      <c r="QXX46" s="44"/>
      <c r="QXY46" s="44"/>
      <c r="QXZ46" s="44"/>
      <c r="QYA46" s="44"/>
      <c r="QYB46" s="44"/>
      <c r="QYC46" s="44"/>
      <c r="QYD46" s="44"/>
      <c r="QYE46" s="44"/>
      <c r="QYF46" s="44"/>
      <c r="QYG46" s="44"/>
      <c r="QYH46" s="44"/>
      <c r="QYI46" s="44"/>
      <c r="QYJ46" s="44"/>
      <c r="QYK46" s="44"/>
      <c r="QYL46" s="44"/>
      <c r="QYM46" s="44"/>
      <c r="QYN46" s="44"/>
      <c r="QYO46" s="44"/>
      <c r="QYP46" s="44"/>
      <c r="QYQ46" s="44"/>
      <c r="QYR46" s="44"/>
      <c r="QYS46" s="44"/>
      <c r="QYT46" s="44"/>
      <c r="QYU46" s="44"/>
      <c r="QYV46" s="44"/>
      <c r="QYW46" s="44"/>
      <c r="QYX46" s="44"/>
      <c r="QYY46" s="44"/>
      <c r="QYZ46" s="44"/>
      <c r="QZA46" s="44"/>
      <c r="QZB46" s="44"/>
      <c r="QZC46" s="44"/>
      <c r="QZD46" s="44"/>
      <c r="QZE46" s="44"/>
      <c r="QZF46" s="44"/>
      <c r="QZG46" s="44"/>
      <c r="QZH46" s="44"/>
      <c r="QZI46" s="44"/>
      <c r="QZJ46" s="44"/>
      <c r="QZK46" s="44"/>
      <c r="QZL46" s="44"/>
      <c r="QZM46" s="44"/>
      <c r="QZN46" s="44"/>
      <c r="QZO46" s="44"/>
      <c r="QZP46" s="44"/>
      <c r="QZQ46" s="44"/>
      <c r="QZR46" s="44"/>
      <c r="QZS46" s="44"/>
      <c r="QZT46" s="44"/>
      <c r="QZU46" s="44"/>
      <c r="QZV46" s="44"/>
      <c r="QZW46" s="44"/>
      <c r="QZX46" s="44"/>
      <c r="QZY46" s="44"/>
      <c r="QZZ46" s="44"/>
      <c r="RAA46" s="44"/>
      <c r="RAB46" s="44"/>
      <c r="RAC46" s="44"/>
      <c r="RAD46" s="44"/>
      <c r="RAE46" s="44"/>
      <c r="RAF46" s="44"/>
      <c r="RAG46" s="44"/>
      <c r="RAH46" s="44"/>
      <c r="RAI46" s="44"/>
      <c r="RAJ46" s="44"/>
      <c r="RAK46" s="44"/>
      <c r="RAL46" s="44"/>
      <c r="RAM46" s="44"/>
      <c r="RAN46" s="44"/>
      <c r="RAO46" s="44"/>
      <c r="RAP46" s="44"/>
      <c r="RAQ46" s="44"/>
      <c r="RAR46" s="44"/>
      <c r="RAS46" s="44"/>
      <c r="RAT46" s="44"/>
      <c r="RAU46" s="44"/>
      <c r="RAV46" s="44"/>
      <c r="RAW46" s="44"/>
      <c r="RAX46" s="44"/>
      <c r="RAY46" s="44"/>
      <c r="RAZ46" s="44"/>
      <c r="RBA46" s="44"/>
      <c r="RBB46" s="44"/>
      <c r="RBC46" s="44"/>
      <c r="RBD46" s="44"/>
      <c r="RBE46" s="44"/>
      <c r="RBF46" s="44"/>
      <c r="RBG46" s="44"/>
      <c r="RBH46" s="44"/>
      <c r="RBI46" s="44"/>
      <c r="RBJ46" s="44"/>
      <c r="RBK46" s="44"/>
      <c r="RBL46" s="44"/>
      <c r="RBM46" s="44"/>
      <c r="RBN46" s="44"/>
      <c r="RBO46" s="44"/>
      <c r="RBP46" s="44"/>
      <c r="RBQ46" s="44"/>
      <c r="RBR46" s="44"/>
      <c r="RBS46" s="44"/>
      <c r="RBT46" s="44"/>
      <c r="RBU46" s="44"/>
      <c r="RBV46" s="44"/>
      <c r="RBW46" s="44"/>
      <c r="RBX46" s="44"/>
      <c r="RBY46" s="44"/>
      <c r="RBZ46" s="44"/>
      <c r="RCA46" s="44"/>
      <c r="RCB46" s="44"/>
      <c r="RCC46" s="44"/>
      <c r="RCD46" s="44"/>
      <c r="RCE46" s="44"/>
      <c r="RCF46" s="44"/>
      <c r="RCG46" s="44"/>
      <c r="RCH46" s="44"/>
      <c r="RCI46" s="44"/>
      <c r="RCJ46" s="44"/>
      <c r="RCK46" s="44"/>
      <c r="RCL46" s="44"/>
      <c r="RCM46" s="44"/>
      <c r="RCN46" s="44"/>
      <c r="RCO46" s="44"/>
      <c r="RCP46" s="44"/>
      <c r="RCQ46" s="44"/>
      <c r="RCR46" s="44"/>
      <c r="RCS46" s="44"/>
      <c r="RCT46" s="44"/>
      <c r="RCU46" s="44"/>
      <c r="RCV46" s="44"/>
      <c r="RCW46" s="44"/>
      <c r="RCX46" s="44"/>
      <c r="RCY46" s="44"/>
      <c r="RCZ46" s="44"/>
      <c r="RDA46" s="44"/>
      <c r="RDB46" s="44"/>
      <c r="RDC46" s="44"/>
      <c r="RDD46" s="44"/>
      <c r="RDE46" s="44"/>
      <c r="RDF46" s="44"/>
      <c r="RDG46" s="44"/>
      <c r="RDH46" s="44"/>
      <c r="RDI46" s="44"/>
      <c r="RDJ46" s="44"/>
      <c r="RDK46" s="44"/>
      <c r="RDL46" s="44"/>
      <c r="RDM46" s="44"/>
      <c r="RDN46" s="44"/>
      <c r="RDO46" s="44"/>
      <c r="RDP46" s="44"/>
      <c r="RDQ46" s="44"/>
      <c r="RDR46" s="44"/>
      <c r="RDS46" s="44"/>
      <c r="RDT46" s="44"/>
      <c r="RDU46" s="44"/>
      <c r="RDV46" s="44"/>
      <c r="RDW46" s="44"/>
      <c r="RDX46" s="44"/>
      <c r="RDY46" s="44"/>
      <c r="RDZ46" s="44"/>
      <c r="REA46" s="44"/>
      <c r="REB46" s="44"/>
      <c r="REC46" s="44"/>
      <c r="RED46" s="44"/>
      <c r="REE46" s="44"/>
      <c r="REF46" s="44"/>
      <c r="REG46" s="44"/>
      <c r="REH46" s="44"/>
      <c r="REI46" s="44"/>
      <c r="REJ46" s="44"/>
      <c r="REK46" s="44"/>
      <c r="REL46" s="44"/>
      <c r="REM46" s="44"/>
      <c r="REN46" s="44"/>
      <c r="REO46" s="44"/>
      <c r="REP46" s="44"/>
      <c r="REQ46" s="44"/>
      <c r="RER46" s="44"/>
      <c r="RES46" s="44"/>
      <c r="RET46" s="44"/>
      <c r="REU46" s="44"/>
      <c r="REV46" s="44"/>
      <c r="REW46" s="44"/>
      <c r="REX46" s="44"/>
      <c r="REY46" s="44"/>
      <c r="REZ46" s="44"/>
      <c r="RFA46" s="44"/>
      <c r="RFB46" s="44"/>
      <c r="RFC46" s="44"/>
      <c r="RFD46" s="44"/>
      <c r="RFE46" s="44"/>
      <c r="RFF46" s="44"/>
      <c r="RFG46" s="44"/>
      <c r="RFH46" s="44"/>
      <c r="RFI46" s="44"/>
      <c r="RFJ46" s="44"/>
      <c r="RFK46" s="44"/>
      <c r="RFL46" s="44"/>
      <c r="RFM46" s="44"/>
      <c r="RFN46" s="44"/>
      <c r="RFO46" s="44"/>
      <c r="RFP46" s="44"/>
      <c r="RFQ46" s="44"/>
      <c r="RFR46" s="44"/>
      <c r="RFS46" s="44"/>
      <c r="RFT46" s="44"/>
      <c r="RFU46" s="44"/>
      <c r="RFV46" s="44"/>
      <c r="RFW46" s="44"/>
      <c r="RFX46" s="44"/>
      <c r="RFY46" s="44"/>
      <c r="RFZ46" s="44"/>
      <c r="RGA46" s="44"/>
      <c r="RGB46" s="44"/>
      <c r="RGC46" s="44"/>
      <c r="RGD46" s="44"/>
      <c r="RGE46" s="44"/>
      <c r="RGF46" s="44"/>
      <c r="RGG46" s="44"/>
      <c r="RGH46" s="44"/>
      <c r="RGI46" s="44"/>
      <c r="RGJ46" s="44"/>
      <c r="RGK46" s="44"/>
      <c r="RGL46" s="44"/>
      <c r="RGM46" s="44"/>
      <c r="RGN46" s="44"/>
      <c r="RGO46" s="44"/>
      <c r="RGP46" s="44"/>
      <c r="RGQ46" s="44"/>
      <c r="RGR46" s="44"/>
      <c r="RGS46" s="44"/>
      <c r="RGT46" s="44"/>
      <c r="RGU46" s="44"/>
      <c r="RGV46" s="44"/>
      <c r="RGW46" s="44"/>
      <c r="RGX46" s="44"/>
      <c r="RGY46" s="44"/>
      <c r="RGZ46" s="44"/>
      <c r="RHA46" s="44"/>
      <c r="RHB46" s="44"/>
      <c r="RHC46" s="44"/>
      <c r="RHD46" s="44"/>
      <c r="RHE46" s="44"/>
      <c r="RHF46" s="44"/>
      <c r="RHG46" s="44"/>
      <c r="RHH46" s="44"/>
      <c r="RHI46" s="44"/>
      <c r="RHJ46" s="44"/>
      <c r="RHK46" s="44"/>
      <c r="RHL46" s="44"/>
      <c r="RHM46" s="44"/>
      <c r="RHN46" s="44"/>
      <c r="RHO46" s="44"/>
      <c r="RHP46" s="44"/>
      <c r="RHQ46" s="44"/>
      <c r="RHR46" s="44"/>
      <c r="RHS46" s="44"/>
      <c r="RHT46" s="44"/>
      <c r="RHU46" s="44"/>
      <c r="RHV46" s="44"/>
      <c r="RHW46" s="44"/>
      <c r="RHX46" s="44"/>
      <c r="RHY46" s="44"/>
      <c r="RHZ46" s="44"/>
      <c r="RIA46" s="44"/>
      <c r="RIB46" s="44"/>
      <c r="RIC46" s="44"/>
      <c r="RID46" s="44"/>
      <c r="RIE46" s="44"/>
      <c r="RIF46" s="44"/>
      <c r="RIG46" s="44"/>
      <c r="RIH46" s="44"/>
      <c r="RII46" s="44"/>
      <c r="RIJ46" s="44"/>
      <c r="RIK46" s="44"/>
      <c r="RIL46" s="44"/>
      <c r="RIM46" s="44"/>
      <c r="RIN46" s="44"/>
      <c r="RIO46" s="44"/>
      <c r="RIP46" s="44"/>
      <c r="RIQ46" s="44"/>
      <c r="RIR46" s="44"/>
      <c r="RIS46" s="44"/>
      <c r="RIT46" s="44"/>
      <c r="RIU46" s="44"/>
      <c r="RIV46" s="44"/>
      <c r="RIW46" s="44"/>
      <c r="RIX46" s="44"/>
      <c r="RIY46" s="44"/>
      <c r="RIZ46" s="44"/>
      <c r="RJA46" s="44"/>
      <c r="RJB46" s="44"/>
      <c r="RJC46" s="44"/>
      <c r="RJD46" s="44"/>
      <c r="RJE46" s="44"/>
      <c r="RJF46" s="44"/>
      <c r="RJG46" s="44"/>
      <c r="RJH46" s="44"/>
      <c r="RJI46" s="44"/>
      <c r="RJJ46" s="44"/>
      <c r="RJK46" s="44"/>
      <c r="RJL46" s="44"/>
      <c r="RJM46" s="44"/>
      <c r="RJN46" s="44"/>
      <c r="RJO46" s="44"/>
      <c r="RJP46" s="44"/>
      <c r="RJQ46" s="44"/>
      <c r="RJR46" s="44"/>
      <c r="RJS46" s="44"/>
      <c r="RJT46" s="44"/>
      <c r="RJU46" s="44"/>
      <c r="RJV46" s="44"/>
      <c r="RJW46" s="44"/>
      <c r="RJX46" s="44"/>
      <c r="RJY46" s="44"/>
      <c r="RJZ46" s="44"/>
      <c r="RKA46" s="44"/>
      <c r="RKB46" s="44"/>
      <c r="RKC46" s="44"/>
      <c r="RKD46" s="44"/>
      <c r="RKE46" s="44"/>
      <c r="RKF46" s="44"/>
      <c r="RKG46" s="44"/>
      <c r="RKH46" s="44"/>
      <c r="RKI46" s="44"/>
      <c r="RKJ46" s="44"/>
      <c r="RKK46" s="44"/>
      <c r="RKL46" s="44"/>
      <c r="RKM46" s="44"/>
      <c r="RKN46" s="44"/>
      <c r="RKO46" s="44"/>
      <c r="RKP46" s="44"/>
      <c r="RKQ46" s="44"/>
      <c r="RKR46" s="44"/>
      <c r="RKS46" s="44"/>
      <c r="RKT46" s="44"/>
      <c r="RKU46" s="44"/>
      <c r="RKV46" s="44"/>
      <c r="RKW46" s="44"/>
      <c r="RKX46" s="44"/>
      <c r="RKY46" s="44"/>
      <c r="RKZ46" s="44"/>
      <c r="RLA46" s="44"/>
      <c r="RLB46" s="44"/>
      <c r="RLC46" s="44"/>
      <c r="RLD46" s="44"/>
      <c r="RLE46" s="44"/>
      <c r="RLF46" s="44"/>
      <c r="RLG46" s="44"/>
      <c r="RLH46" s="44"/>
      <c r="RLI46" s="44"/>
      <c r="RLJ46" s="44"/>
      <c r="RLK46" s="44"/>
      <c r="RLL46" s="44"/>
      <c r="RLM46" s="44"/>
      <c r="RLN46" s="44"/>
      <c r="RLO46" s="44"/>
      <c r="RLP46" s="44"/>
      <c r="RLQ46" s="44"/>
      <c r="RLR46" s="44"/>
      <c r="RLS46" s="44"/>
      <c r="RLT46" s="44"/>
      <c r="RLU46" s="44"/>
      <c r="RLV46" s="44"/>
      <c r="RLW46" s="44"/>
      <c r="RLX46" s="44"/>
      <c r="RLY46" s="44"/>
      <c r="RLZ46" s="44"/>
      <c r="RMA46" s="44"/>
      <c r="RMB46" s="44"/>
      <c r="RMC46" s="44"/>
      <c r="RMD46" s="44"/>
      <c r="RME46" s="44"/>
      <c r="RMF46" s="44"/>
      <c r="RMG46" s="44"/>
      <c r="RMH46" s="44"/>
      <c r="RMI46" s="44"/>
      <c r="RMJ46" s="44"/>
      <c r="RMK46" s="44"/>
      <c r="RML46" s="44"/>
      <c r="RMM46" s="44"/>
      <c r="RMN46" s="44"/>
      <c r="RMO46" s="44"/>
      <c r="RMP46" s="44"/>
      <c r="RMQ46" s="44"/>
      <c r="RMR46" s="44"/>
      <c r="RMS46" s="44"/>
      <c r="RMT46" s="44"/>
      <c r="RMU46" s="44"/>
      <c r="RMV46" s="44"/>
      <c r="RMW46" s="44"/>
      <c r="RMX46" s="44"/>
      <c r="RMY46" s="44"/>
      <c r="RMZ46" s="44"/>
      <c r="RNA46" s="44"/>
      <c r="RNB46" s="44"/>
      <c r="RNC46" s="44"/>
      <c r="RND46" s="44"/>
      <c r="RNE46" s="44"/>
      <c r="RNF46" s="44"/>
      <c r="RNG46" s="44"/>
      <c r="RNH46" s="44"/>
      <c r="RNI46" s="44"/>
      <c r="RNJ46" s="44"/>
      <c r="RNK46" s="44"/>
      <c r="RNL46" s="44"/>
      <c r="RNM46" s="44"/>
      <c r="RNN46" s="44"/>
      <c r="RNO46" s="44"/>
      <c r="RNP46" s="44"/>
      <c r="RNQ46" s="44"/>
      <c r="RNR46" s="44"/>
      <c r="RNS46" s="44"/>
      <c r="RNT46" s="44"/>
      <c r="RNU46" s="44"/>
      <c r="RNV46" s="44"/>
      <c r="RNW46" s="44"/>
      <c r="RNX46" s="44"/>
      <c r="RNY46" s="44"/>
      <c r="RNZ46" s="44"/>
      <c r="ROA46" s="44"/>
      <c r="ROB46" s="44"/>
      <c r="ROC46" s="44"/>
      <c r="ROD46" s="44"/>
      <c r="ROE46" s="44"/>
      <c r="ROF46" s="44"/>
      <c r="ROG46" s="44"/>
      <c r="ROH46" s="44"/>
      <c r="ROI46" s="44"/>
      <c r="ROJ46" s="44"/>
      <c r="ROK46" s="44"/>
      <c r="ROL46" s="44"/>
      <c r="ROM46" s="44"/>
      <c r="RON46" s="44"/>
      <c r="ROO46" s="44"/>
      <c r="ROP46" s="44"/>
      <c r="ROQ46" s="44"/>
      <c r="ROR46" s="44"/>
      <c r="ROS46" s="44"/>
      <c r="ROT46" s="44"/>
      <c r="ROU46" s="44"/>
      <c r="ROV46" s="44"/>
      <c r="ROW46" s="44"/>
      <c r="ROX46" s="44"/>
      <c r="ROY46" s="44"/>
      <c r="ROZ46" s="44"/>
      <c r="RPA46" s="44"/>
      <c r="RPB46" s="44"/>
      <c r="RPC46" s="44"/>
      <c r="RPD46" s="44"/>
      <c r="RPE46" s="44"/>
      <c r="RPF46" s="44"/>
      <c r="RPG46" s="44"/>
      <c r="RPH46" s="44"/>
      <c r="RPI46" s="44"/>
      <c r="RPJ46" s="44"/>
      <c r="RPK46" s="44"/>
      <c r="RPL46" s="44"/>
      <c r="RPM46" s="44"/>
      <c r="RPN46" s="44"/>
      <c r="RPO46" s="44"/>
      <c r="RPP46" s="44"/>
      <c r="RPQ46" s="44"/>
      <c r="RPR46" s="44"/>
      <c r="RPS46" s="44"/>
      <c r="RPT46" s="44"/>
      <c r="RPU46" s="44"/>
      <c r="RPV46" s="44"/>
      <c r="RPW46" s="44"/>
      <c r="RPX46" s="44"/>
      <c r="RPY46" s="44"/>
      <c r="RPZ46" s="44"/>
      <c r="RQA46" s="44"/>
      <c r="RQB46" s="44"/>
      <c r="RQC46" s="44"/>
      <c r="RQD46" s="44"/>
      <c r="RQE46" s="44"/>
      <c r="RQF46" s="44"/>
      <c r="RQG46" s="44"/>
      <c r="RQH46" s="44"/>
      <c r="RQI46" s="44"/>
      <c r="RQJ46" s="44"/>
      <c r="RQK46" s="44"/>
      <c r="RQL46" s="44"/>
      <c r="RQM46" s="44"/>
      <c r="RQN46" s="44"/>
      <c r="RQO46" s="44"/>
      <c r="RQP46" s="44"/>
      <c r="RQQ46" s="44"/>
      <c r="RQR46" s="44"/>
      <c r="RQS46" s="44"/>
      <c r="RQT46" s="44"/>
      <c r="RQU46" s="44"/>
      <c r="RQV46" s="44"/>
      <c r="RQW46" s="44"/>
      <c r="RQX46" s="44"/>
      <c r="RQY46" s="44"/>
      <c r="RQZ46" s="44"/>
      <c r="RRA46" s="44"/>
      <c r="RRB46" s="44"/>
      <c r="RRC46" s="44"/>
      <c r="RRD46" s="44"/>
      <c r="RRE46" s="44"/>
      <c r="RRF46" s="44"/>
      <c r="RRG46" s="44"/>
      <c r="RRH46" s="44"/>
      <c r="RRI46" s="44"/>
      <c r="RRJ46" s="44"/>
      <c r="RRK46" s="44"/>
      <c r="RRL46" s="44"/>
      <c r="RRM46" s="44"/>
      <c r="RRN46" s="44"/>
      <c r="RRO46" s="44"/>
      <c r="RRP46" s="44"/>
      <c r="RRQ46" s="44"/>
      <c r="RRR46" s="44"/>
      <c r="RRS46" s="44"/>
      <c r="RRT46" s="44"/>
      <c r="RRU46" s="44"/>
      <c r="RRV46" s="44"/>
      <c r="RRW46" s="44"/>
      <c r="RRX46" s="44"/>
      <c r="RRY46" s="44"/>
      <c r="RRZ46" s="44"/>
      <c r="RSA46" s="44"/>
      <c r="RSB46" s="44"/>
      <c r="RSC46" s="44"/>
      <c r="RSD46" s="44"/>
      <c r="RSE46" s="44"/>
      <c r="RSF46" s="44"/>
      <c r="RSG46" s="44"/>
      <c r="RSH46" s="44"/>
      <c r="RSI46" s="44"/>
      <c r="RSJ46" s="44"/>
      <c r="RSK46" s="44"/>
      <c r="RSL46" s="44"/>
      <c r="RSM46" s="44"/>
      <c r="RSN46" s="44"/>
      <c r="RSO46" s="44"/>
      <c r="RSP46" s="44"/>
      <c r="RSQ46" s="44"/>
      <c r="RSR46" s="44"/>
      <c r="RSS46" s="44"/>
      <c r="RST46" s="44"/>
      <c r="RSU46" s="44"/>
      <c r="RSV46" s="44"/>
      <c r="RSW46" s="44"/>
      <c r="RSX46" s="44"/>
      <c r="RSY46" s="44"/>
      <c r="RSZ46" s="44"/>
      <c r="RTA46" s="44"/>
      <c r="RTB46" s="44"/>
      <c r="RTC46" s="44"/>
      <c r="RTD46" s="44"/>
      <c r="RTE46" s="44"/>
      <c r="RTF46" s="44"/>
      <c r="RTG46" s="44"/>
      <c r="RTH46" s="44"/>
      <c r="RTI46" s="44"/>
      <c r="RTJ46" s="44"/>
      <c r="RTK46" s="44"/>
      <c r="RTL46" s="44"/>
      <c r="RTM46" s="44"/>
      <c r="RTN46" s="44"/>
      <c r="RTO46" s="44"/>
      <c r="RTP46" s="44"/>
      <c r="RTQ46" s="44"/>
      <c r="RTR46" s="44"/>
      <c r="RTS46" s="44"/>
      <c r="RTT46" s="44"/>
      <c r="RTU46" s="44"/>
      <c r="RTV46" s="44"/>
      <c r="RTW46" s="44"/>
      <c r="RTX46" s="44"/>
      <c r="RTY46" s="44"/>
      <c r="RTZ46" s="44"/>
      <c r="RUA46" s="44"/>
      <c r="RUB46" s="44"/>
      <c r="RUC46" s="44"/>
      <c r="RUD46" s="44"/>
      <c r="RUE46" s="44"/>
      <c r="RUF46" s="44"/>
      <c r="RUG46" s="44"/>
      <c r="RUH46" s="44"/>
      <c r="RUI46" s="44"/>
      <c r="RUJ46" s="44"/>
      <c r="RUK46" s="44"/>
      <c r="RUL46" s="44"/>
      <c r="RUM46" s="44"/>
      <c r="RUN46" s="44"/>
      <c r="RUO46" s="44"/>
      <c r="RUP46" s="44"/>
      <c r="RUQ46" s="44"/>
      <c r="RUR46" s="44"/>
      <c r="RUS46" s="44"/>
      <c r="RUT46" s="44"/>
      <c r="RUU46" s="44"/>
      <c r="RUV46" s="44"/>
      <c r="RUW46" s="44"/>
      <c r="RUX46" s="44"/>
      <c r="RUY46" s="44"/>
      <c r="RUZ46" s="44"/>
      <c r="RVA46" s="44"/>
      <c r="RVB46" s="44"/>
      <c r="RVC46" s="44"/>
      <c r="RVD46" s="44"/>
      <c r="RVE46" s="44"/>
      <c r="RVF46" s="44"/>
      <c r="RVG46" s="44"/>
      <c r="RVH46" s="44"/>
      <c r="RVI46" s="44"/>
      <c r="RVJ46" s="44"/>
      <c r="RVK46" s="44"/>
      <c r="RVL46" s="44"/>
      <c r="RVM46" s="44"/>
      <c r="RVN46" s="44"/>
      <c r="RVO46" s="44"/>
      <c r="RVP46" s="44"/>
      <c r="RVQ46" s="44"/>
      <c r="RVR46" s="44"/>
      <c r="RVS46" s="44"/>
      <c r="RVT46" s="44"/>
      <c r="RVU46" s="44"/>
      <c r="RVV46" s="44"/>
      <c r="RVW46" s="44"/>
      <c r="RVX46" s="44"/>
      <c r="RVY46" s="44"/>
      <c r="RVZ46" s="44"/>
      <c r="RWA46" s="44"/>
      <c r="RWB46" s="44"/>
      <c r="RWC46" s="44"/>
      <c r="RWD46" s="44"/>
      <c r="RWE46" s="44"/>
      <c r="RWF46" s="44"/>
      <c r="RWG46" s="44"/>
      <c r="RWH46" s="44"/>
      <c r="RWI46" s="44"/>
      <c r="RWJ46" s="44"/>
      <c r="RWK46" s="44"/>
      <c r="RWL46" s="44"/>
      <c r="RWM46" s="44"/>
      <c r="RWN46" s="44"/>
      <c r="RWO46" s="44"/>
      <c r="RWP46" s="44"/>
      <c r="RWQ46" s="44"/>
      <c r="RWR46" s="44"/>
      <c r="RWS46" s="44"/>
      <c r="RWT46" s="44"/>
      <c r="RWU46" s="44"/>
      <c r="RWV46" s="44"/>
      <c r="RWW46" s="44"/>
      <c r="RWX46" s="44"/>
      <c r="RWY46" s="44"/>
      <c r="RWZ46" s="44"/>
      <c r="RXA46" s="44"/>
      <c r="RXB46" s="44"/>
      <c r="RXC46" s="44"/>
      <c r="RXD46" s="44"/>
      <c r="RXE46" s="44"/>
      <c r="RXF46" s="44"/>
      <c r="RXG46" s="44"/>
      <c r="RXH46" s="44"/>
      <c r="RXI46" s="44"/>
      <c r="RXJ46" s="44"/>
      <c r="RXK46" s="44"/>
      <c r="RXL46" s="44"/>
      <c r="RXM46" s="44"/>
      <c r="RXN46" s="44"/>
      <c r="RXO46" s="44"/>
      <c r="RXP46" s="44"/>
      <c r="RXQ46" s="44"/>
      <c r="RXR46" s="44"/>
      <c r="RXS46" s="44"/>
      <c r="RXT46" s="44"/>
      <c r="RXU46" s="44"/>
      <c r="RXV46" s="44"/>
      <c r="RXW46" s="44"/>
      <c r="RXX46" s="44"/>
      <c r="RXY46" s="44"/>
      <c r="RXZ46" s="44"/>
      <c r="RYA46" s="44"/>
      <c r="RYB46" s="44"/>
      <c r="RYC46" s="44"/>
      <c r="RYD46" s="44"/>
      <c r="RYE46" s="44"/>
      <c r="RYF46" s="44"/>
      <c r="RYG46" s="44"/>
      <c r="RYH46" s="44"/>
      <c r="RYI46" s="44"/>
      <c r="RYJ46" s="44"/>
      <c r="RYK46" s="44"/>
      <c r="RYL46" s="44"/>
      <c r="RYM46" s="44"/>
      <c r="RYN46" s="44"/>
      <c r="RYO46" s="44"/>
      <c r="RYP46" s="44"/>
      <c r="RYQ46" s="44"/>
      <c r="RYR46" s="44"/>
      <c r="RYS46" s="44"/>
      <c r="RYT46" s="44"/>
      <c r="RYU46" s="44"/>
      <c r="RYV46" s="44"/>
      <c r="RYW46" s="44"/>
      <c r="RYX46" s="44"/>
      <c r="RYY46" s="44"/>
      <c r="RYZ46" s="44"/>
      <c r="RZA46" s="44"/>
      <c r="RZB46" s="44"/>
      <c r="RZC46" s="44"/>
      <c r="RZD46" s="44"/>
      <c r="RZE46" s="44"/>
      <c r="RZF46" s="44"/>
      <c r="RZG46" s="44"/>
      <c r="RZH46" s="44"/>
      <c r="RZI46" s="44"/>
      <c r="RZJ46" s="44"/>
      <c r="RZK46" s="44"/>
      <c r="RZL46" s="44"/>
      <c r="RZM46" s="44"/>
      <c r="RZN46" s="44"/>
      <c r="RZO46" s="44"/>
      <c r="RZP46" s="44"/>
      <c r="RZQ46" s="44"/>
      <c r="RZR46" s="44"/>
      <c r="RZS46" s="44"/>
      <c r="RZT46" s="44"/>
      <c r="RZU46" s="44"/>
      <c r="RZV46" s="44"/>
      <c r="RZW46" s="44"/>
      <c r="RZX46" s="44"/>
      <c r="RZY46" s="44"/>
      <c r="RZZ46" s="44"/>
      <c r="SAA46" s="44"/>
      <c r="SAB46" s="44"/>
      <c r="SAC46" s="44"/>
      <c r="SAD46" s="44"/>
      <c r="SAE46" s="44"/>
      <c r="SAF46" s="44"/>
      <c r="SAG46" s="44"/>
      <c r="SAH46" s="44"/>
      <c r="SAI46" s="44"/>
      <c r="SAJ46" s="44"/>
      <c r="SAK46" s="44"/>
      <c r="SAL46" s="44"/>
      <c r="SAM46" s="44"/>
      <c r="SAN46" s="44"/>
      <c r="SAO46" s="44"/>
      <c r="SAP46" s="44"/>
      <c r="SAQ46" s="44"/>
      <c r="SAR46" s="44"/>
      <c r="SAS46" s="44"/>
      <c r="SAT46" s="44"/>
      <c r="SAU46" s="44"/>
      <c r="SAV46" s="44"/>
      <c r="SAW46" s="44"/>
      <c r="SAX46" s="44"/>
      <c r="SAY46" s="44"/>
      <c r="SAZ46" s="44"/>
      <c r="SBA46" s="44"/>
      <c r="SBB46" s="44"/>
      <c r="SBC46" s="44"/>
      <c r="SBD46" s="44"/>
      <c r="SBE46" s="44"/>
      <c r="SBF46" s="44"/>
      <c r="SBG46" s="44"/>
      <c r="SBH46" s="44"/>
      <c r="SBI46" s="44"/>
      <c r="SBJ46" s="44"/>
      <c r="SBK46" s="44"/>
      <c r="SBL46" s="44"/>
      <c r="SBM46" s="44"/>
      <c r="SBN46" s="44"/>
      <c r="SBO46" s="44"/>
      <c r="SBP46" s="44"/>
      <c r="SBQ46" s="44"/>
      <c r="SBR46" s="44"/>
      <c r="SBS46" s="44"/>
      <c r="SBT46" s="44"/>
      <c r="SBU46" s="44"/>
      <c r="SBV46" s="44"/>
      <c r="SBW46" s="44"/>
      <c r="SBX46" s="44"/>
      <c r="SBY46" s="44"/>
      <c r="SBZ46" s="44"/>
      <c r="SCA46" s="44"/>
      <c r="SCB46" s="44"/>
      <c r="SCC46" s="44"/>
      <c r="SCD46" s="44"/>
      <c r="SCE46" s="44"/>
      <c r="SCF46" s="44"/>
      <c r="SCG46" s="44"/>
      <c r="SCH46" s="44"/>
      <c r="SCI46" s="44"/>
      <c r="SCJ46" s="44"/>
      <c r="SCK46" s="44"/>
      <c r="SCL46" s="44"/>
      <c r="SCM46" s="44"/>
      <c r="SCN46" s="44"/>
      <c r="SCO46" s="44"/>
      <c r="SCP46" s="44"/>
      <c r="SCQ46" s="44"/>
      <c r="SCR46" s="44"/>
      <c r="SCS46" s="44"/>
      <c r="SCT46" s="44"/>
      <c r="SCU46" s="44"/>
      <c r="SCV46" s="44"/>
      <c r="SCW46" s="44"/>
      <c r="SCX46" s="44"/>
      <c r="SCY46" s="44"/>
      <c r="SCZ46" s="44"/>
      <c r="SDA46" s="44"/>
      <c r="SDB46" s="44"/>
      <c r="SDC46" s="44"/>
      <c r="SDD46" s="44"/>
      <c r="SDE46" s="44"/>
      <c r="SDF46" s="44"/>
      <c r="SDG46" s="44"/>
      <c r="SDH46" s="44"/>
      <c r="SDI46" s="44"/>
      <c r="SDJ46" s="44"/>
      <c r="SDK46" s="44"/>
      <c r="SDL46" s="44"/>
      <c r="SDM46" s="44"/>
      <c r="SDN46" s="44"/>
      <c r="SDO46" s="44"/>
      <c r="SDP46" s="44"/>
      <c r="SDQ46" s="44"/>
      <c r="SDR46" s="44"/>
      <c r="SDS46" s="44"/>
      <c r="SDT46" s="44"/>
      <c r="SDU46" s="44"/>
      <c r="SDV46" s="44"/>
      <c r="SDW46" s="44"/>
      <c r="SDX46" s="44"/>
      <c r="SDY46" s="44"/>
      <c r="SDZ46" s="44"/>
      <c r="SEA46" s="44"/>
      <c r="SEB46" s="44"/>
      <c r="SEC46" s="44"/>
      <c r="SED46" s="44"/>
      <c r="SEE46" s="44"/>
      <c r="SEF46" s="44"/>
      <c r="SEG46" s="44"/>
      <c r="SEH46" s="44"/>
      <c r="SEI46" s="44"/>
      <c r="SEJ46" s="44"/>
      <c r="SEK46" s="44"/>
      <c r="SEL46" s="44"/>
      <c r="SEM46" s="44"/>
      <c r="SEN46" s="44"/>
      <c r="SEO46" s="44"/>
      <c r="SEP46" s="44"/>
      <c r="SEQ46" s="44"/>
      <c r="SER46" s="44"/>
      <c r="SES46" s="44"/>
      <c r="SET46" s="44"/>
      <c r="SEU46" s="44"/>
      <c r="SEV46" s="44"/>
      <c r="SEW46" s="44"/>
      <c r="SEX46" s="44"/>
      <c r="SEY46" s="44"/>
      <c r="SEZ46" s="44"/>
      <c r="SFA46" s="44"/>
      <c r="SFB46" s="44"/>
      <c r="SFC46" s="44"/>
      <c r="SFD46" s="44"/>
      <c r="SFE46" s="44"/>
      <c r="SFF46" s="44"/>
      <c r="SFG46" s="44"/>
      <c r="SFH46" s="44"/>
      <c r="SFI46" s="44"/>
      <c r="SFJ46" s="44"/>
      <c r="SFK46" s="44"/>
      <c r="SFL46" s="44"/>
      <c r="SFM46" s="44"/>
      <c r="SFN46" s="44"/>
      <c r="SFO46" s="44"/>
      <c r="SFP46" s="44"/>
      <c r="SFQ46" s="44"/>
      <c r="SFR46" s="44"/>
      <c r="SFS46" s="44"/>
      <c r="SFT46" s="44"/>
      <c r="SFU46" s="44"/>
      <c r="SFV46" s="44"/>
      <c r="SFW46" s="44"/>
      <c r="SFX46" s="44"/>
      <c r="SFY46" s="44"/>
      <c r="SFZ46" s="44"/>
      <c r="SGA46" s="44"/>
      <c r="SGB46" s="44"/>
      <c r="SGC46" s="44"/>
      <c r="SGD46" s="44"/>
      <c r="SGE46" s="44"/>
      <c r="SGF46" s="44"/>
      <c r="SGG46" s="44"/>
      <c r="SGH46" s="44"/>
      <c r="SGI46" s="44"/>
      <c r="SGJ46" s="44"/>
      <c r="SGK46" s="44"/>
      <c r="SGL46" s="44"/>
      <c r="SGM46" s="44"/>
      <c r="SGN46" s="44"/>
      <c r="SGO46" s="44"/>
      <c r="SGP46" s="44"/>
      <c r="SGQ46" s="44"/>
      <c r="SGR46" s="44"/>
      <c r="SGS46" s="44"/>
      <c r="SGT46" s="44"/>
      <c r="SGU46" s="44"/>
      <c r="SGV46" s="44"/>
      <c r="SGW46" s="44"/>
      <c r="SGX46" s="44"/>
      <c r="SGY46" s="44"/>
      <c r="SGZ46" s="44"/>
      <c r="SHA46" s="44"/>
      <c r="SHB46" s="44"/>
      <c r="SHC46" s="44"/>
      <c r="SHD46" s="44"/>
      <c r="SHE46" s="44"/>
      <c r="SHF46" s="44"/>
      <c r="SHG46" s="44"/>
      <c r="SHH46" s="44"/>
      <c r="SHI46" s="44"/>
      <c r="SHJ46" s="44"/>
      <c r="SHK46" s="44"/>
      <c r="SHL46" s="44"/>
      <c r="SHM46" s="44"/>
      <c r="SHN46" s="44"/>
      <c r="SHO46" s="44"/>
      <c r="SHP46" s="44"/>
      <c r="SHQ46" s="44"/>
      <c r="SHR46" s="44"/>
      <c r="SHS46" s="44"/>
      <c r="SHT46" s="44"/>
      <c r="SHU46" s="44"/>
      <c r="SHV46" s="44"/>
      <c r="SHW46" s="44"/>
      <c r="SHX46" s="44"/>
      <c r="SHY46" s="44"/>
      <c r="SHZ46" s="44"/>
      <c r="SIA46" s="44"/>
      <c r="SIB46" s="44"/>
      <c r="SIC46" s="44"/>
      <c r="SID46" s="44"/>
      <c r="SIE46" s="44"/>
      <c r="SIF46" s="44"/>
      <c r="SIG46" s="44"/>
      <c r="SIH46" s="44"/>
      <c r="SII46" s="44"/>
      <c r="SIJ46" s="44"/>
      <c r="SIK46" s="44"/>
      <c r="SIL46" s="44"/>
      <c r="SIM46" s="44"/>
      <c r="SIN46" s="44"/>
      <c r="SIO46" s="44"/>
      <c r="SIP46" s="44"/>
      <c r="SIQ46" s="44"/>
      <c r="SIR46" s="44"/>
      <c r="SIS46" s="44"/>
      <c r="SIT46" s="44"/>
      <c r="SIU46" s="44"/>
      <c r="SIV46" s="44"/>
      <c r="SIW46" s="44"/>
      <c r="SIX46" s="44"/>
      <c r="SIY46" s="44"/>
      <c r="SIZ46" s="44"/>
      <c r="SJA46" s="44"/>
      <c r="SJB46" s="44"/>
      <c r="SJC46" s="44"/>
      <c r="SJD46" s="44"/>
      <c r="SJE46" s="44"/>
      <c r="SJF46" s="44"/>
      <c r="SJG46" s="44"/>
      <c r="SJH46" s="44"/>
      <c r="SJI46" s="44"/>
      <c r="SJJ46" s="44"/>
      <c r="SJK46" s="44"/>
      <c r="SJL46" s="44"/>
      <c r="SJM46" s="44"/>
      <c r="SJN46" s="44"/>
      <c r="SJO46" s="44"/>
      <c r="SJP46" s="44"/>
      <c r="SJQ46" s="44"/>
      <c r="SJR46" s="44"/>
      <c r="SJS46" s="44"/>
      <c r="SJT46" s="44"/>
      <c r="SJU46" s="44"/>
      <c r="SJV46" s="44"/>
      <c r="SJW46" s="44"/>
      <c r="SJX46" s="44"/>
      <c r="SJY46" s="44"/>
      <c r="SJZ46" s="44"/>
      <c r="SKA46" s="44"/>
      <c r="SKB46" s="44"/>
      <c r="SKC46" s="44"/>
      <c r="SKD46" s="44"/>
      <c r="SKE46" s="44"/>
      <c r="SKF46" s="44"/>
      <c r="SKG46" s="44"/>
      <c r="SKH46" s="44"/>
      <c r="SKI46" s="44"/>
      <c r="SKJ46" s="44"/>
      <c r="SKK46" s="44"/>
      <c r="SKL46" s="44"/>
      <c r="SKM46" s="44"/>
      <c r="SKN46" s="44"/>
      <c r="SKO46" s="44"/>
      <c r="SKP46" s="44"/>
      <c r="SKQ46" s="44"/>
      <c r="SKR46" s="44"/>
      <c r="SKS46" s="44"/>
      <c r="SKT46" s="44"/>
      <c r="SKU46" s="44"/>
      <c r="SKV46" s="44"/>
      <c r="SKW46" s="44"/>
      <c r="SKX46" s="44"/>
      <c r="SKY46" s="44"/>
      <c r="SKZ46" s="44"/>
      <c r="SLA46" s="44"/>
      <c r="SLB46" s="44"/>
      <c r="SLC46" s="44"/>
      <c r="SLD46" s="44"/>
      <c r="SLE46" s="44"/>
      <c r="SLF46" s="44"/>
      <c r="SLG46" s="44"/>
      <c r="SLH46" s="44"/>
      <c r="SLI46" s="44"/>
      <c r="SLJ46" s="44"/>
      <c r="SLK46" s="44"/>
      <c r="SLL46" s="44"/>
      <c r="SLM46" s="44"/>
      <c r="SLN46" s="44"/>
      <c r="SLO46" s="44"/>
      <c r="SLP46" s="44"/>
      <c r="SLQ46" s="44"/>
      <c r="SLR46" s="44"/>
      <c r="SLS46" s="44"/>
      <c r="SLT46" s="44"/>
      <c r="SLU46" s="44"/>
      <c r="SLV46" s="44"/>
      <c r="SLW46" s="44"/>
      <c r="SLX46" s="44"/>
      <c r="SLY46" s="44"/>
      <c r="SLZ46" s="44"/>
      <c r="SMA46" s="44"/>
      <c r="SMB46" s="44"/>
      <c r="SMC46" s="44"/>
      <c r="SMD46" s="44"/>
      <c r="SME46" s="44"/>
      <c r="SMF46" s="44"/>
      <c r="SMG46" s="44"/>
      <c r="SMH46" s="44"/>
      <c r="SMI46" s="44"/>
      <c r="SMJ46" s="44"/>
      <c r="SMK46" s="44"/>
      <c r="SML46" s="44"/>
      <c r="SMM46" s="44"/>
      <c r="SMN46" s="44"/>
      <c r="SMO46" s="44"/>
      <c r="SMP46" s="44"/>
      <c r="SMQ46" s="44"/>
      <c r="SMR46" s="44"/>
      <c r="SMS46" s="44"/>
      <c r="SMT46" s="44"/>
      <c r="SMU46" s="44"/>
      <c r="SMV46" s="44"/>
      <c r="SMW46" s="44"/>
      <c r="SMX46" s="44"/>
      <c r="SMY46" s="44"/>
      <c r="SMZ46" s="44"/>
      <c r="SNA46" s="44"/>
      <c r="SNB46" s="44"/>
      <c r="SNC46" s="44"/>
      <c r="SND46" s="44"/>
      <c r="SNE46" s="44"/>
      <c r="SNF46" s="44"/>
      <c r="SNG46" s="44"/>
      <c r="SNH46" s="44"/>
      <c r="SNI46" s="44"/>
      <c r="SNJ46" s="44"/>
      <c r="SNK46" s="44"/>
      <c r="SNL46" s="44"/>
      <c r="SNM46" s="44"/>
      <c r="SNN46" s="44"/>
      <c r="SNO46" s="44"/>
      <c r="SNP46" s="44"/>
      <c r="SNQ46" s="44"/>
      <c r="SNR46" s="44"/>
      <c r="SNS46" s="44"/>
      <c r="SNT46" s="44"/>
      <c r="SNU46" s="44"/>
      <c r="SNV46" s="44"/>
      <c r="SNW46" s="44"/>
      <c r="SNX46" s="44"/>
      <c r="SNY46" s="44"/>
      <c r="SNZ46" s="44"/>
      <c r="SOA46" s="44"/>
      <c r="SOB46" s="44"/>
      <c r="SOC46" s="44"/>
      <c r="SOD46" s="44"/>
      <c r="SOE46" s="44"/>
      <c r="SOF46" s="44"/>
      <c r="SOG46" s="44"/>
      <c r="SOH46" s="44"/>
      <c r="SOI46" s="44"/>
      <c r="SOJ46" s="44"/>
      <c r="SOK46" s="44"/>
      <c r="SOL46" s="44"/>
      <c r="SOM46" s="44"/>
      <c r="SON46" s="44"/>
      <c r="SOO46" s="44"/>
      <c r="SOP46" s="44"/>
      <c r="SOQ46" s="44"/>
      <c r="SOR46" s="44"/>
      <c r="SOS46" s="44"/>
      <c r="SOT46" s="44"/>
      <c r="SOU46" s="44"/>
      <c r="SOV46" s="44"/>
      <c r="SOW46" s="44"/>
      <c r="SOX46" s="44"/>
      <c r="SOY46" s="44"/>
      <c r="SOZ46" s="44"/>
      <c r="SPA46" s="44"/>
      <c r="SPB46" s="44"/>
      <c r="SPC46" s="44"/>
      <c r="SPD46" s="44"/>
      <c r="SPE46" s="44"/>
      <c r="SPF46" s="44"/>
      <c r="SPG46" s="44"/>
      <c r="SPH46" s="44"/>
      <c r="SPI46" s="44"/>
      <c r="SPJ46" s="44"/>
      <c r="SPK46" s="44"/>
      <c r="SPL46" s="44"/>
      <c r="SPM46" s="44"/>
      <c r="SPN46" s="44"/>
      <c r="SPO46" s="44"/>
      <c r="SPP46" s="44"/>
      <c r="SPQ46" s="44"/>
      <c r="SPR46" s="44"/>
      <c r="SPS46" s="44"/>
      <c r="SPT46" s="44"/>
      <c r="SPU46" s="44"/>
      <c r="SPV46" s="44"/>
      <c r="SPW46" s="44"/>
      <c r="SPX46" s="44"/>
      <c r="SPY46" s="44"/>
      <c r="SPZ46" s="44"/>
      <c r="SQA46" s="44"/>
      <c r="SQB46" s="44"/>
      <c r="SQC46" s="44"/>
      <c r="SQD46" s="44"/>
      <c r="SQE46" s="44"/>
      <c r="SQF46" s="44"/>
      <c r="SQG46" s="44"/>
      <c r="SQH46" s="44"/>
      <c r="SQI46" s="44"/>
      <c r="SQJ46" s="44"/>
      <c r="SQK46" s="44"/>
      <c r="SQL46" s="44"/>
      <c r="SQM46" s="44"/>
      <c r="SQN46" s="44"/>
      <c r="SQO46" s="44"/>
      <c r="SQP46" s="44"/>
      <c r="SQQ46" s="44"/>
      <c r="SQR46" s="44"/>
      <c r="SQS46" s="44"/>
      <c r="SQT46" s="44"/>
      <c r="SQU46" s="44"/>
      <c r="SQV46" s="44"/>
      <c r="SQW46" s="44"/>
      <c r="SQX46" s="44"/>
      <c r="SQY46" s="44"/>
      <c r="SQZ46" s="44"/>
      <c r="SRA46" s="44"/>
      <c r="SRB46" s="44"/>
      <c r="SRC46" s="44"/>
      <c r="SRD46" s="44"/>
      <c r="SRE46" s="44"/>
      <c r="SRF46" s="44"/>
      <c r="SRG46" s="44"/>
      <c r="SRH46" s="44"/>
      <c r="SRI46" s="44"/>
      <c r="SRJ46" s="44"/>
      <c r="SRK46" s="44"/>
      <c r="SRL46" s="44"/>
      <c r="SRM46" s="44"/>
      <c r="SRN46" s="44"/>
      <c r="SRO46" s="44"/>
      <c r="SRP46" s="44"/>
      <c r="SRQ46" s="44"/>
      <c r="SRR46" s="44"/>
      <c r="SRS46" s="44"/>
      <c r="SRT46" s="44"/>
      <c r="SRU46" s="44"/>
      <c r="SRV46" s="44"/>
      <c r="SRW46" s="44"/>
      <c r="SRX46" s="44"/>
      <c r="SRY46" s="44"/>
      <c r="SRZ46" s="44"/>
      <c r="SSA46" s="44"/>
      <c r="SSB46" s="44"/>
      <c r="SSC46" s="44"/>
      <c r="SSD46" s="44"/>
      <c r="SSE46" s="44"/>
      <c r="SSF46" s="44"/>
      <c r="SSG46" s="44"/>
      <c r="SSH46" s="44"/>
      <c r="SSI46" s="44"/>
      <c r="SSJ46" s="44"/>
      <c r="SSK46" s="44"/>
      <c r="SSL46" s="44"/>
      <c r="SSM46" s="44"/>
      <c r="SSN46" s="44"/>
      <c r="SSO46" s="44"/>
      <c r="SSP46" s="44"/>
      <c r="SSQ46" s="44"/>
      <c r="SSR46" s="44"/>
      <c r="SSS46" s="44"/>
      <c r="SST46" s="44"/>
      <c r="SSU46" s="44"/>
      <c r="SSV46" s="44"/>
      <c r="SSW46" s="44"/>
      <c r="SSX46" s="44"/>
      <c r="SSY46" s="44"/>
      <c r="SSZ46" s="44"/>
      <c r="STA46" s="44"/>
      <c r="STB46" s="44"/>
      <c r="STC46" s="44"/>
      <c r="STD46" s="44"/>
      <c r="STE46" s="44"/>
      <c r="STF46" s="44"/>
      <c r="STG46" s="44"/>
      <c r="STH46" s="44"/>
      <c r="STI46" s="44"/>
      <c r="STJ46" s="44"/>
      <c r="STK46" s="44"/>
      <c r="STL46" s="44"/>
      <c r="STM46" s="44"/>
      <c r="STN46" s="44"/>
      <c r="STO46" s="44"/>
      <c r="STP46" s="44"/>
      <c r="STQ46" s="44"/>
      <c r="STR46" s="44"/>
      <c r="STS46" s="44"/>
      <c r="STT46" s="44"/>
      <c r="STU46" s="44"/>
      <c r="STV46" s="44"/>
      <c r="STW46" s="44"/>
      <c r="STX46" s="44"/>
      <c r="STY46" s="44"/>
      <c r="STZ46" s="44"/>
      <c r="SUA46" s="44"/>
      <c r="SUB46" s="44"/>
      <c r="SUC46" s="44"/>
      <c r="SUD46" s="44"/>
      <c r="SUE46" s="44"/>
      <c r="SUF46" s="44"/>
      <c r="SUG46" s="44"/>
      <c r="SUH46" s="44"/>
      <c r="SUI46" s="44"/>
      <c r="SUJ46" s="44"/>
      <c r="SUK46" s="44"/>
      <c r="SUL46" s="44"/>
      <c r="SUM46" s="44"/>
      <c r="SUN46" s="44"/>
      <c r="SUO46" s="44"/>
      <c r="SUP46" s="44"/>
      <c r="SUQ46" s="44"/>
      <c r="SUR46" s="44"/>
      <c r="SUS46" s="44"/>
      <c r="SUT46" s="44"/>
      <c r="SUU46" s="44"/>
      <c r="SUV46" s="44"/>
      <c r="SUW46" s="44"/>
      <c r="SUX46" s="44"/>
      <c r="SUY46" s="44"/>
      <c r="SUZ46" s="44"/>
      <c r="SVA46" s="44"/>
      <c r="SVB46" s="44"/>
      <c r="SVC46" s="44"/>
      <c r="SVD46" s="44"/>
      <c r="SVE46" s="44"/>
      <c r="SVF46" s="44"/>
      <c r="SVG46" s="44"/>
      <c r="SVH46" s="44"/>
      <c r="SVI46" s="44"/>
      <c r="SVJ46" s="44"/>
      <c r="SVK46" s="44"/>
      <c r="SVL46" s="44"/>
      <c r="SVM46" s="44"/>
      <c r="SVN46" s="44"/>
      <c r="SVO46" s="44"/>
      <c r="SVP46" s="44"/>
      <c r="SVQ46" s="44"/>
      <c r="SVR46" s="44"/>
      <c r="SVS46" s="44"/>
      <c r="SVT46" s="44"/>
      <c r="SVU46" s="44"/>
      <c r="SVV46" s="44"/>
      <c r="SVW46" s="44"/>
      <c r="SVX46" s="44"/>
      <c r="SVY46" s="44"/>
      <c r="SVZ46" s="44"/>
      <c r="SWA46" s="44"/>
      <c r="SWB46" s="44"/>
      <c r="SWC46" s="44"/>
      <c r="SWD46" s="44"/>
      <c r="SWE46" s="44"/>
      <c r="SWF46" s="44"/>
      <c r="SWG46" s="44"/>
      <c r="SWH46" s="44"/>
      <c r="SWI46" s="44"/>
      <c r="SWJ46" s="44"/>
      <c r="SWK46" s="44"/>
      <c r="SWL46" s="44"/>
      <c r="SWM46" s="44"/>
      <c r="SWN46" s="44"/>
      <c r="SWO46" s="44"/>
      <c r="SWP46" s="44"/>
      <c r="SWQ46" s="44"/>
      <c r="SWR46" s="44"/>
      <c r="SWS46" s="44"/>
      <c r="SWT46" s="44"/>
      <c r="SWU46" s="44"/>
      <c r="SWV46" s="44"/>
      <c r="SWW46" s="44"/>
      <c r="SWX46" s="44"/>
      <c r="SWY46" s="44"/>
      <c r="SWZ46" s="44"/>
      <c r="SXA46" s="44"/>
      <c r="SXB46" s="44"/>
      <c r="SXC46" s="44"/>
      <c r="SXD46" s="44"/>
      <c r="SXE46" s="44"/>
      <c r="SXF46" s="44"/>
      <c r="SXG46" s="44"/>
      <c r="SXH46" s="44"/>
      <c r="SXI46" s="44"/>
      <c r="SXJ46" s="44"/>
      <c r="SXK46" s="44"/>
      <c r="SXL46" s="44"/>
      <c r="SXM46" s="44"/>
      <c r="SXN46" s="44"/>
      <c r="SXO46" s="44"/>
      <c r="SXP46" s="44"/>
      <c r="SXQ46" s="44"/>
      <c r="SXR46" s="44"/>
      <c r="SXS46" s="44"/>
      <c r="SXT46" s="44"/>
      <c r="SXU46" s="44"/>
      <c r="SXV46" s="44"/>
      <c r="SXW46" s="44"/>
      <c r="SXX46" s="44"/>
      <c r="SXY46" s="44"/>
      <c r="SXZ46" s="44"/>
      <c r="SYA46" s="44"/>
      <c r="SYB46" s="44"/>
      <c r="SYC46" s="44"/>
      <c r="SYD46" s="44"/>
      <c r="SYE46" s="44"/>
      <c r="SYF46" s="44"/>
      <c r="SYG46" s="44"/>
      <c r="SYH46" s="44"/>
      <c r="SYI46" s="44"/>
      <c r="SYJ46" s="44"/>
      <c r="SYK46" s="44"/>
      <c r="SYL46" s="44"/>
      <c r="SYM46" s="44"/>
      <c r="SYN46" s="44"/>
      <c r="SYO46" s="44"/>
      <c r="SYP46" s="44"/>
      <c r="SYQ46" s="44"/>
      <c r="SYR46" s="44"/>
      <c r="SYS46" s="44"/>
      <c r="SYT46" s="44"/>
      <c r="SYU46" s="44"/>
      <c r="SYV46" s="44"/>
      <c r="SYW46" s="44"/>
      <c r="SYX46" s="44"/>
      <c r="SYY46" s="44"/>
      <c r="SYZ46" s="44"/>
      <c r="SZA46" s="44"/>
      <c r="SZB46" s="44"/>
      <c r="SZC46" s="44"/>
      <c r="SZD46" s="44"/>
      <c r="SZE46" s="44"/>
      <c r="SZF46" s="44"/>
      <c r="SZG46" s="44"/>
      <c r="SZH46" s="44"/>
      <c r="SZI46" s="44"/>
      <c r="SZJ46" s="44"/>
      <c r="SZK46" s="44"/>
      <c r="SZL46" s="44"/>
      <c r="SZM46" s="44"/>
      <c r="SZN46" s="44"/>
      <c r="SZO46" s="44"/>
      <c r="SZP46" s="44"/>
      <c r="SZQ46" s="44"/>
      <c r="SZR46" s="44"/>
      <c r="SZS46" s="44"/>
      <c r="SZT46" s="44"/>
      <c r="SZU46" s="44"/>
      <c r="SZV46" s="44"/>
      <c r="SZW46" s="44"/>
      <c r="SZX46" s="44"/>
      <c r="SZY46" s="44"/>
      <c r="SZZ46" s="44"/>
      <c r="TAA46" s="44"/>
      <c r="TAB46" s="44"/>
      <c r="TAC46" s="44"/>
      <c r="TAD46" s="44"/>
      <c r="TAE46" s="44"/>
      <c r="TAF46" s="44"/>
      <c r="TAG46" s="44"/>
      <c r="TAH46" s="44"/>
      <c r="TAI46" s="44"/>
      <c r="TAJ46" s="44"/>
      <c r="TAK46" s="44"/>
      <c r="TAL46" s="44"/>
      <c r="TAM46" s="44"/>
      <c r="TAN46" s="44"/>
      <c r="TAO46" s="44"/>
      <c r="TAP46" s="44"/>
      <c r="TAQ46" s="44"/>
      <c r="TAR46" s="44"/>
      <c r="TAS46" s="44"/>
      <c r="TAT46" s="44"/>
      <c r="TAU46" s="44"/>
      <c r="TAV46" s="44"/>
      <c r="TAW46" s="44"/>
      <c r="TAX46" s="44"/>
      <c r="TAY46" s="44"/>
      <c r="TAZ46" s="44"/>
      <c r="TBA46" s="44"/>
      <c r="TBB46" s="44"/>
      <c r="TBC46" s="44"/>
      <c r="TBD46" s="44"/>
      <c r="TBE46" s="44"/>
      <c r="TBF46" s="44"/>
      <c r="TBG46" s="44"/>
      <c r="TBH46" s="44"/>
      <c r="TBI46" s="44"/>
      <c r="TBJ46" s="44"/>
      <c r="TBK46" s="44"/>
      <c r="TBL46" s="44"/>
      <c r="TBM46" s="44"/>
      <c r="TBN46" s="44"/>
      <c r="TBO46" s="44"/>
      <c r="TBP46" s="44"/>
      <c r="TBQ46" s="44"/>
      <c r="TBR46" s="44"/>
      <c r="TBS46" s="44"/>
      <c r="TBT46" s="44"/>
      <c r="TBU46" s="44"/>
      <c r="TBV46" s="44"/>
      <c r="TBW46" s="44"/>
      <c r="TBX46" s="44"/>
      <c r="TBY46" s="44"/>
      <c r="TBZ46" s="44"/>
      <c r="TCA46" s="44"/>
      <c r="TCB46" s="44"/>
      <c r="TCC46" s="44"/>
      <c r="TCD46" s="44"/>
      <c r="TCE46" s="44"/>
      <c r="TCF46" s="44"/>
      <c r="TCG46" s="44"/>
      <c r="TCH46" s="44"/>
      <c r="TCI46" s="44"/>
      <c r="TCJ46" s="44"/>
      <c r="TCK46" s="44"/>
      <c r="TCL46" s="44"/>
      <c r="TCM46" s="44"/>
      <c r="TCN46" s="44"/>
      <c r="TCO46" s="44"/>
      <c r="TCP46" s="44"/>
      <c r="TCQ46" s="44"/>
      <c r="TCR46" s="44"/>
      <c r="TCS46" s="44"/>
      <c r="TCT46" s="44"/>
      <c r="TCU46" s="44"/>
      <c r="TCV46" s="44"/>
      <c r="TCW46" s="44"/>
      <c r="TCX46" s="44"/>
      <c r="TCY46" s="44"/>
      <c r="TCZ46" s="44"/>
      <c r="TDA46" s="44"/>
      <c r="TDB46" s="44"/>
      <c r="TDC46" s="44"/>
      <c r="TDD46" s="44"/>
      <c r="TDE46" s="44"/>
      <c r="TDF46" s="44"/>
      <c r="TDG46" s="44"/>
      <c r="TDH46" s="44"/>
      <c r="TDI46" s="44"/>
      <c r="TDJ46" s="44"/>
      <c r="TDK46" s="44"/>
      <c r="TDL46" s="44"/>
      <c r="TDM46" s="44"/>
      <c r="TDN46" s="44"/>
      <c r="TDO46" s="44"/>
      <c r="TDP46" s="44"/>
      <c r="TDQ46" s="44"/>
      <c r="TDR46" s="44"/>
      <c r="TDS46" s="44"/>
      <c r="TDT46" s="44"/>
      <c r="TDU46" s="44"/>
      <c r="TDV46" s="44"/>
      <c r="TDW46" s="44"/>
      <c r="TDX46" s="44"/>
      <c r="TDY46" s="44"/>
      <c r="TDZ46" s="44"/>
      <c r="TEA46" s="44"/>
      <c r="TEB46" s="44"/>
      <c r="TEC46" s="44"/>
      <c r="TED46" s="44"/>
      <c r="TEE46" s="44"/>
      <c r="TEF46" s="44"/>
      <c r="TEG46" s="44"/>
      <c r="TEH46" s="44"/>
      <c r="TEI46" s="44"/>
      <c r="TEJ46" s="44"/>
      <c r="TEK46" s="44"/>
      <c r="TEL46" s="44"/>
      <c r="TEM46" s="44"/>
      <c r="TEN46" s="44"/>
      <c r="TEO46" s="44"/>
      <c r="TEP46" s="44"/>
      <c r="TEQ46" s="44"/>
      <c r="TER46" s="44"/>
      <c r="TES46" s="44"/>
      <c r="TET46" s="44"/>
      <c r="TEU46" s="44"/>
      <c r="TEV46" s="44"/>
      <c r="TEW46" s="44"/>
      <c r="TEX46" s="44"/>
      <c r="TEY46" s="44"/>
      <c r="TEZ46" s="44"/>
      <c r="TFA46" s="44"/>
      <c r="TFB46" s="44"/>
      <c r="TFC46" s="44"/>
      <c r="TFD46" s="44"/>
      <c r="TFE46" s="44"/>
      <c r="TFF46" s="44"/>
      <c r="TFG46" s="44"/>
      <c r="TFH46" s="44"/>
      <c r="TFI46" s="44"/>
      <c r="TFJ46" s="44"/>
      <c r="TFK46" s="44"/>
      <c r="TFL46" s="44"/>
      <c r="TFM46" s="44"/>
      <c r="TFN46" s="44"/>
      <c r="TFO46" s="44"/>
      <c r="TFP46" s="44"/>
      <c r="TFQ46" s="44"/>
      <c r="TFR46" s="44"/>
      <c r="TFS46" s="44"/>
      <c r="TFT46" s="44"/>
      <c r="TFU46" s="44"/>
      <c r="TFV46" s="44"/>
      <c r="TFW46" s="44"/>
      <c r="TFX46" s="44"/>
      <c r="TFY46" s="44"/>
      <c r="TFZ46" s="44"/>
      <c r="TGA46" s="44"/>
      <c r="TGB46" s="44"/>
      <c r="TGC46" s="44"/>
      <c r="TGD46" s="44"/>
      <c r="TGE46" s="44"/>
      <c r="TGF46" s="44"/>
      <c r="TGG46" s="44"/>
      <c r="TGH46" s="44"/>
      <c r="TGI46" s="44"/>
      <c r="TGJ46" s="44"/>
      <c r="TGK46" s="44"/>
      <c r="TGL46" s="44"/>
      <c r="TGM46" s="44"/>
      <c r="TGN46" s="44"/>
      <c r="TGO46" s="44"/>
      <c r="TGP46" s="44"/>
      <c r="TGQ46" s="44"/>
      <c r="TGR46" s="44"/>
      <c r="TGS46" s="44"/>
      <c r="TGT46" s="44"/>
      <c r="TGU46" s="44"/>
      <c r="TGV46" s="44"/>
      <c r="TGW46" s="44"/>
      <c r="TGX46" s="44"/>
      <c r="TGY46" s="44"/>
      <c r="TGZ46" s="44"/>
      <c r="THA46" s="44"/>
      <c r="THB46" s="44"/>
      <c r="THC46" s="44"/>
      <c r="THD46" s="44"/>
      <c r="THE46" s="44"/>
      <c r="THF46" s="44"/>
      <c r="THG46" s="44"/>
      <c r="THH46" s="44"/>
      <c r="THI46" s="44"/>
      <c r="THJ46" s="44"/>
      <c r="THK46" s="44"/>
      <c r="THL46" s="44"/>
      <c r="THM46" s="44"/>
      <c r="THN46" s="44"/>
      <c r="THO46" s="44"/>
      <c r="THP46" s="44"/>
      <c r="THQ46" s="44"/>
      <c r="THR46" s="44"/>
      <c r="THS46" s="44"/>
      <c r="THT46" s="44"/>
      <c r="THU46" s="44"/>
      <c r="THV46" s="44"/>
      <c r="THW46" s="44"/>
      <c r="THX46" s="44"/>
      <c r="THY46" s="44"/>
      <c r="THZ46" s="44"/>
      <c r="TIA46" s="44"/>
      <c r="TIB46" s="44"/>
      <c r="TIC46" s="44"/>
      <c r="TID46" s="44"/>
      <c r="TIE46" s="44"/>
      <c r="TIF46" s="44"/>
      <c r="TIG46" s="44"/>
      <c r="TIH46" s="44"/>
      <c r="TII46" s="44"/>
      <c r="TIJ46" s="44"/>
      <c r="TIK46" s="44"/>
      <c r="TIL46" s="44"/>
      <c r="TIM46" s="44"/>
      <c r="TIN46" s="44"/>
      <c r="TIO46" s="44"/>
      <c r="TIP46" s="44"/>
      <c r="TIQ46" s="44"/>
      <c r="TIR46" s="44"/>
      <c r="TIS46" s="44"/>
      <c r="TIT46" s="44"/>
      <c r="TIU46" s="44"/>
      <c r="TIV46" s="44"/>
      <c r="TIW46" s="44"/>
      <c r="TIX46" s="44"/>
      <c r="TIY46" s="44"/>
      <c r="TIZ46" s="44"/>
      <c r="TJA46" s="44"/>
      <c r="TJB46" s="44"/>
      <c r="TJC46" s="44"/>
      <c r="TJD46" s="44"/>
      <c r="TJE46" s="44"/>
      <c r="TJF46" s="44"/>
      <c r="TJG46" s="44"/>
      <c r="TJH46" s="44"/>
      <c r="TJI46" s="44"/>
      <c r="TJJ46" s="44"/>
      <c r="TJK46" s="44"/>
      <c r="TJL46" s="44"/>
      <c r="TJM46" s="44"/>
      <c r="TJN46" s="44"/>
      <c r="TJO46" s="44"/>
      <c r="TJP46" s="44"/>
      <c r="TJQ46" s="44"/>
      <c r="TJR46" s="44"/>
      <c r="TJS46" s="44"/>
      <c r="TJT46" s="44"/>
      <c r="TJU46" s="44"/>
      <c r="TJV46" s="44"/>
      <c r="TJW46" s="44"/>
      <c r="TJX46" s="44"/>
      <c r="TJY46" s="44"/>
      <c r="TJZ46" s="44"/>
      <c r="TKA46" s="44"/>
      <c r="TKB46" s="44"/>
      <c r="TKC46" s="44"/>
      <c r="TKD46" s="44"/>
      <c r="TKE46" s="44"/>
      <c r="TKF46" s="44"/>
      <c r="TKG46" s="44"/>
      <c r="TKH46" s="44"/>
      <c r="TKI46" s="44"/>
      <c r="TKJ46" s="44"/>
      <c r="TKK46" s="44"/>
      <c r="TKL46" s="44"/>
      <c r="TKM46" s="44"/>
      <c r="TKN46" s="44"/>
      <c r="TKO46" s="44"/>
      <c r="TKP46" s="44"/>
      <c r="TKQ46" s="44"/>
      <c r="TKR46" s="44"/>
      <c r="TKS46" s="44"/>
      <c r="TKT46" s="44"/>
      <c r="TKU46" s="44"/>
      <c r="TKV46" s="44"/>
      <c r="TKW46" s="44"/>
      <c r="TKX46" s="44"/>
      <c r="TKY46" s="44"/>
      <c r="TKZ46" s="44"/>
      <c r="TLA46" s="44"/>
      <c r="TLB46" s="44"/>
      <c r="TLC46" s="44"/>
      <c r="TLD46" s="44"/>
      <c r="TLE46" s="44"/>
      <c r="TLF46" s="44"/>
      <c r="TLG46" s="44"/>
      <c r="TLH46" s="44"/>
      <c r="TLI46" s="44"/>
      <c r="TLJ46" s="44"/>
      <c r="TLK46" s="44"/>
      <c r="TLL46" s="44"/>
      <c r="TLM46" s="44"/>
      <c r="TLN46" s="44"/>
      <c r="TLO46" s="44"/>
      <c r="TLP46" s="44"/>
      <c r="TLQ46" s="44"/>
      <c r="TLR46" s="44"/>
      <c r="TLS46" s="44"/>
      <c r="TLT46" s="44"/>
      <c r="TLU46" s="44"/>
      <c r="TLV46" s="44"/>
      <c r="TLW46" s="44"/>
      <c r="TLX46" s="44"/>
      <c r="TLY46" s="44"/>
      <c r="TLZ46" s="44"/>
      <c r="TMA46" s="44"/>
      <c r="TMB46" s="44"/>
      <c r="TMC46" s="44"/>
      <c r="TMD46" s="44"/>
      <c r="TME46" s="44"/>
      <c r="TMF46" s="44"/>
      <c r="TMG46" s="44"/>
      <c r="TMH46" s="44"/>
      <c r="TMI46" s="44"/>
      <c r="TMJ46" s="44"/>
      <c r="TMK46" s="44"/>
      <c r="TML46" s="44"/>
      <c r="TMM46" s="44"/>
      <c r="TMN46" s="44"/>
      <c r="TMO46" s="44"/>
      <c r="TMP46" s="44"/>
      <c r="TMQ46" s="44"/>
      <c r="TMR46" s="44"/>
      <c r="TMS46" s="44"/>
      <c r="TMT46" s="44"/>
      <c r="TMU46" s="44"/>
      <c r="TMV46" s="44"/>
      <c r="TMW46" s="44"/>
      <c r="TMX46" s="44"/>
      <c r="TMY46" s="44"/>
      <c r="TMZ46" s="44"/>
      <c r="TNA46" s="44"/>
      <c r="TNB46" s="44"/>
      <c r="TNC46" s="44"/>
      <c r="TND46" s="44"/>
      <c r="TNE46" s="44"/>
      <c r="TNF46" s="44"/>
      <c r="TNG46" s="44"/>
      <c r="TNH46" s="44"/>
      <c r="TNI46" s="44"/>
      <c r="TNJ46" s="44"/>
      <c r="TNK46" s="44"/>
      <c r="TNL46" s="44"/>
      <c r="TNM46" s="44"/>
      <c r="TNN46" s="44"/>
      <c r="TNO46" s="44"/>
      <c r="TNP46" s="44"/>
      <c r="TNQ46" s="44"/>
      <c r="TNR46" s="44"/>
      <c r="TNS46" s="44"/>
      <c r="TNT46" s="44"/>
      <c r="TNU46" s="44"/>
      <c r="TNV46" s="44"/>
      <c r="TNW46" s="44"/>
      <c r="TNX46" s="44"/>
      <c r="TNY46" s="44"/>
      <c r="TNZ46" s="44"/>
      <c r="TOA46" s="44"/>
      <c r="TOB46" s="44"/>
      <c r="TOC46" s="44"/>
      <c r="TOD46" s="44"/>
      <c r="TOE46" s="44"/>
      <c r="TOF46" s="44"/>
      <c r="TOG46" s="44"/>
      <c r="TOH46" s="44"/>
      <c r="TOI46" s="44"/>
      <c r="TOJ46" s="44"/>
      <c r="TOK46" s="44"/>
      <c r="TOL46" s="44"/>
      <c r="TOM46" s="44"/>
      <c r="TON46" s="44"/>
      <c r="TOO46" s="44"/>
      <c r="TOP46" s="44"/>
      <c r="TOQ46" s="44"/>
      <c r="TOR46" s="44"/>
      <c r="TOS46" s="44"/>
      <c r="TOT46" s="44"/>
      <c r="TOU46" s="44"/>
      <c r="TOV46" s="44"/>
      <c r="TOW46" s="44"/>
      <c r="TOX46" s="44"/>
      <c r="TOY46" s="44"/>
      <c r="TOZ46" s="44"/>
      <c r="TPA46" s="44"/>
      <c r="TPB46" s="44"/>
      <c r="TPC46" s="44"/>
      <c r="TPD46" s="44"/>
      <c r="TPE46" s="44"/>
      <c r="TPF46" s="44"/>
      <c r="TPG46" s="44"/>
      <c r="TPH46" s="44"/>
      <c r="TPI46" s="44"/>
      <c r="TPJ46" s="44"/>
      <c r="TPK46" s="44"/>
      <c r="TPL46" s="44"/>
      <c r="TPM46" s="44"/>
      <c r="TPN46" s="44"/>
      <c r="TPO46" s="44"/>
      <c r="TPP46" s="44"/>
      <c r="TPQ46" s="44"/>
      <c r="TPR46" s="44"/>
      <c r="TPS46" s="44"/>
      <c r="TPT46" s="44"/>
      <c r="TPU46" s="44"/>
      <c r="TPV46" s="44"/>
      <c r="TPW46" s="44"/>
      <c r="TPX46" s="44"/>
      <c r="TPY46" s="44"/>
      <c r="TPZ46" s="44"/>
      <c r="TQA46" s="44"/>
      <c r="TQB46" s="44"/>
      <c r="TQC46" s="44"/>
      <c r="TQD46" s="44"/>
      <c r="TQE46" s="44"/>
      <c r="TQF46" s="44"/>
      <c r="TQG46" s="44"/>
      <c r="TQH46" s="44"/>
      <c r="TQI46" s="44"/>
      <c r="TQJ46" s="44"/>
      <c r="TQK46" s="44"/>
      <c r="TQL46" s="44"/>
      <c r="TQM46" s="44"/>
      <c r="TQN46" s="44"/>
      <c r="TQO46" s="44"/>
      <c r="TQP46" s="44"/>
      <c r="TQQ46" s="44"/>
      <c r="TQR46" s="44"/>
      <c r="TQS46" s="44"/>
      <c r="TQT46" s="44"/>
      <c r="TQU46" s="44"/>
      <c r="TQV46" s="44"/>
      <c r="TQW46" s="44"/>
      <c r="TQX46" s="44"/>
      <c r="TQY46" s="44"/>
      <c r="TQZ46" s="44"/>
      <c r="TRA46" s="44"/>
      <c r="TRB46" s="44"/>
      <c r="TRC46" s="44"/>
      <c r="TRD46" s="44"/>
      <c r="TRE46" s="44"/>
      <c r="TRF46" s="44"/>
      <c r="TRG46" s="44"/>
      <c r="TRH46" s="44"/>
      <c r="TRI46" s="44"/>
      <c r="TRJ46" s="44"/>
      <c r="TRK46" s="44"/>
      <c r="TRL46" s="44"/>
      <c r="TRM46" s="44"/>
      <c r="TRN46" s="44"/>
      <c r="TRO46" s="44"/>
      <c r="TRP46" s="44"/>
      <c r="TRQ46" s="44"/>
      <c r="TRR46" s="44"/>
      <c r="TRS46" s="44"/>
      <c r="TRT46" s="44"/>
      <c r="TRU46" s="44"/>
      <c r="TRV46" s="44"/>
      <c r="TRW46" s="44"/>
      <c r="TRX46" s="44"/>
      <c r="TRY46" s="44"/>
      <c r="TRZ46" s="44"/>
      <c r="TSA46" s="44"/>
      <c r="TSB46" s="44"/>
      <c r="TSC46" s="44"/>
      <c r="TSD46" s="44"/>
      <c r="TSE46" s="44"/>
      <c r="TSF46" s="44"/>
      <c r="TSG46" s="44"/>
      <c r="TSH46" s="44"/>
      <c r="TSI46" s="44"/>
      <c r="TSJ46" s="44"/>
      <c r="TSK46" s="44"/>
      <c r="TSL46" s="44"/>
      <c r="TSM46" s="44"/>
      <c r="TSN46" s="44"/>
      <c r="TSO46" s="44"/>
      <c r="TSP46" s="44"/>
      <c r="TSQ46" s="44"/>
      <c r="TSR46" s="44"/>
      <c r="TSS46" s="44"/>
      <c r="TST46" s="44"/>
      <c r="TSU46" s="44"/>
      <c r="TSV46" s="44"/>
      <c r="TSW46" s="44"/>
      <c r="TSX46" s="44"/>
      <c r="TSY46" s="44"/>
      <c r="TSZ46" s="44"/>
      <c r="TTA46" s="44"/>
      <c r="TTB46" s="44"/>
      <c r="TTC46" s="44"/>
      <c r="TTD46" s="44"/>
      <c r="TTE46" s="44"/>
      <c r="TTF46" s="44"/>
      <c r="TTG46" s="44"/>
      <c r="TTH46" s="44"/>
      <c r="TTI46" s="44"/>
      <c r="TTJ46" s="44"/>
      <c r="TTK46" s="44"/>
      <c r="TTL46" s="44"/>
      <c r="TTM46" s="44"/>
      <c r="TTN46" s="44"/>
      <c r="TTO46" s="44"/>
      <c r="TTP46" s="44"/>
      <c r="TTQ46" s="44"/>
      <c r="TTR46" s="44"/>
      <c r="TTS46" s="44"/>
      <c r="TTT46" s="44"/>
      <c r="TTU46" s="44"/>
      <c r="TTV46" s="44"/>
      <c r="TTW46" s="44"/>
      <c r="TTX46" s="44"/>
      <c r="TTY46" s="44"/>
      <c r="TTZ46" s="44"/>
      <c r="TUA46" s="44"/>
      <c r="TUB46" s="44"/>
      <c r="TUC46" s="44"/>
      <c r="TUD46" s="44"/>
      <c r="TUE46" s="44"/>
      <c r="TUF46" s="44"/>
      <c r="TUG46" s="44"/>
      <c r="TUH46" s="44"/>
      <c r="TUI46" s="44"/>
      <c r="TUJ46" s="44"/>
      <c r="TUK46" s="44"/>
      <c r="TUL46" s="44"/>
      <c r="TUM46" s="44"/>
      <c r="TUN46" s="44"/>
      <c r="TUO46" s="44"/>
      <c r="TUP46" s="44"/>
      <c r="TUQ46" s="44"/>
      <c r="TUR46" s="44"/>
      <c r="TUS46" s="44"/>
      <c r="TUT46" s="44"/>
      <c r="TUU46" s="44"/>
      <c r="TUV46" s="44"/>
      <c r="TUW46" s="44"/>
      <c r="TUX46" s="44"/>
      <c r="TUY46" s="44"/>
      <c r="TUZ46" s="44"/>
      <c r="TVA46" s="44"/>
      <c r="TVB46" s="44"/>
      <c r="TVC46" s="44"/>
      <c r="TVD46" s="44"/>
      <c r="TVE46" s="44"/>
      <c r="TVF46" s="44"/>
      <c r="TVG46" s="44"/>
      <c r="TVH46" s="44"/>
      <c r="TVI46" s="44"/>
      <c r="TVJ46" s="44"/>
      <c r="TVK46" s="44"/>
      <c r="TVL46" s="44"/>
      <c r="TVM46" s="44"/>
      <c r="TVN46" s="44"/>
      <c r="TVO46" s="44"/>
      <c r="TVP46" s="44"/>
      <c r="TVQ46" s="44"/>
      <c r="TVR46" s="44"/>
      <c r="TVS46" s="44"/>
      <c r="TVT46" s="44"/>
      <c r="TVU46" s="44"/>
      <c r="TVV46" s="44"/>
      <c r="TVW46" s="44"/>
      <c r="TVX46" s="44"/>
      <c r="TVY46" s="44"/>
      <c r="TVZ46" s="44"/>
      <c r="TWA46" s="44"/>
      <c r="TWB46" s="44"/>
      <c r="TWC46" s="44"/>
      <c r="TWD46" s="44"/>
      <c r="TWE46" s="44"/>
      <c r="TWF46" s="44"/>
      <c r="TWG46" s="44"/>
      <c r="TWH46" s="44"/>
      <c r="TWI46" s="44"/>
      <c r="TWJ46" s="44"/>
      <c r="TWK46" s="44"/>
      <c r="TWL46" s="44"/>
      <c r="TWM46" s="44"/>
      <c r="TWN46" s="44"/>
      <c r="TWO46" s="44"/>
      <c r="TWP46" s="44"/>
      <c r="TWQ46" s="44"/>
      <c r="TWR46" s="44"/>
      <c r="TWS46" s="44"/>
      <c r="TWT46" s="44"/>
      <c r="TWU46" s="44"/>
      <c r="TWV46" s="44"/>
      <c r="TWW46" s="44"/>
      <c r="TWX46" s="44"/>
      <c r="TWY46" s="44"/>
      <c r="TWZ46" s="44"/>
      <c r="TXA46" s="44"/>
      <c r="TXB46" s="44"/>
      <c r="TXC46" s="44"/>
      <c r="TXD46" s="44"/>
      <c r="TXE46" s="44"/>
      <c r="TXF46" s="44"/>
      <c r="TXG46" s="44"/>
      <c r="TXH46" s="44"/>
      <c r="TXI46" s="44"/>
      <c r="TXJ46" s="44"/>
      <c r="TXK46" s="44"/>
      <c r="TXL46" s="44"/>
      <c r="TXM46" s="44"/>
      <c r="TXN46" s="44"/>
      <c r="TXO46" s="44"/>
      <c r="TXP46" s="44"/>
      <c r="TXQ46" s="44"/>
      <c r="TXR46" s="44"/>
      <c r="TXS46" s="44"/>
      <c r="TXT46" s="44"/>
      <c r="TXU46" s="44"/>
      <c r="TXV46" s="44"/>
      <c r="TXW46" s="44"/>
      <c r="TXX46" s="44"/>
      <c r="TXY46" s="44"/>
      <c r="TXZ46" s="44"/>
      <c r="TYA46" s="44"/>
      <c r="TYB46" s="44"/>
      <c r="TYC46" s="44"/>
      <c r="TYD46" s="44"/>
      <c r="TYE46" s="44"/>
      <c r="TYF46" s="44"/>
      <c r="TYG46" s="44"/>
      <c r="TYH46" s="44"/>
      <c r="TYI46" s="44"/>
      <c r="TYJ46" s="44"/>
      <c r="TYK46" s="44"/>
      <c r="TYL46" s="44"/>
      <c r="TYM46" s="44"/>
      <c r="TYN46" s="44"/>
      <c r="TYO46" s="44"/>
      <c r="TYP46" s="44"/>
      <c r="TYQ46" s="44"/>
      <c r="TYR46" s="44"/>
      <c r="TYS46" s="44"/>
      <c r="TYT46" s="44"/>
      <c r="TYU46" s="44"/>
      <c r="TYV46" s="44"/>
      <c r="TYW46" s="44"/>
      <c r="TYX46" s="44"/>
      <c r="TYY46" s="44"/>
      <c r="TYZ46" s="44"/>
      <c r="TZA46" s="44"/>
      <c r="TZB46" s="44"/>
      <c r="TZC46" s="44"/>
      <c r="TZD46" s="44"/>
      <c r="TZE46" s="44"/>
      <c r="TZF46" s="44"/>
      <c r="TZG46" s="44"/>
      <c r="TZH46" s="44"/>
      <c r="TZI46" s="44"/>
      <c r="TZJ46" s="44"/>
      <c r="TZK46" s="44"/>
      <c r="TZL46" s="44"/>
      <c r="TZM46" s="44"/>
      <c r="TZN46" s="44"/>
      <c r="TZO46" s="44"/>
      <c r="TZP46" s="44"/>
      <c r="TZQ46" s="44"/>
      <c r="TZR46" s="44"/>
      <c r="TZS46" s="44"/>
      <c r="TZT46" s="44"/>
      <c r="TZU46" s="44"/>
      <c r="TZV46" s="44"/>
      <c r="TZW46" s="44"/>
      <c r="TZX46" s="44"/>
      <c r="TZY46" s="44"/>
      <c r="TZZ46" s="44"/>
      <c r="UAA46" s="44"/>
      <c r="UAB46" s="44"/>
      <c r="UAC46" s="44"/>
      <c r="UAD46" s="44"/>
      <c r="UAE46" s="44"/>
      <c r="UAF46" s="44"/>
      <c r="UAG46" s="44"/>
      <c r="UAH46" s="44"/>
      <c r="UAI46" s="44"/>
      <c r="UAJ46" s="44"/>
      <c r="UAK46" s="44"/>
      <c r="UAL46" s="44"/>
      <c r="UAM46" s="44"/>
      <c r="UAN46" s="44"/>
      <c r="UAO46" s="44"/>
      <c r="UAP46" s="44"/>
      <c r="UAQ46" s="44"/>
      <c r="UAR46" s="44"/>
      <c r="UAS46" s="44"/>
      <c r="UAT46" s="44"/>
      <c r="UAU46" s="44"/>
      <c r="UAV46" s="44"/>
      <c r="UAW46" s="44"/>
      <c r="UAX46" s="44"/>
      <c r="UAY46" s="44"/>
      <c r="UAZ46" s="44"/>
      <c r="UBA46" s="44"/>
      <c r="UBB46" s="44"/>
      <c r="UBC46" s="44"/>
      <c r="UBD46" s="44"/>
      <c r="UBE46" s="44"/>
      <c r="UBF46" s="44"/>
      <c r="UBG46" s="44"/>
      <c r="UBH46" s="44"/>
      <c r="UBI46" s="44"/>
      <c r="UBJ46" s="44"/>
      <c r="UBK46" s="44"/>
      <c r="UBL46" s="44"/>
      <c r="UBM46" s="44"/>
      <c r="UBN46" s="44"/>
      <c r="UBO46" s="44"/>
      <c r="UBP46" s="44"/>
      <c r="UBQ46" s="44"/>
      <c r="UBR46" s="44"/>
      <c r="UBS46" s="44"/>
      <c r="UBT46" s="44"/>
      <c r="UBU46" s="44"/>
      <c r="UBV46" s="44"/>
      <c r="UBW46" s="44"/>
      <c r="UBX46" s="44"/>
      <c r="UBY46" s="44"/>
      <c r="UBZ46" s="44"/>
      <c r="UCA46" s="44"/>
      <c r="UCB46" s="44"/>
      <c r="UCC46" s="44"/>
      <c r="UCD46" s="44"/>
      <c r="UCE46" s="44"/>
      <c r="UCF46" s="44"/>
      <c r="UCG46" s="44"/>
      <c r="UCH46" s="44"/>
      <c r="UCI46" s="44"/>
      <c r="UCJ46" s="44"/>
      <c r="UCK46" s="44"/>
      <c r="UCL46" s="44"/>
      <c r="UCM46" s="44"/>
      <c r="UCN46" s="44"/>
      <c r="UCO46" s="44"/>
      <c r="UCP46" s="44"/>
      <c r="UCQ46" s="44"/>
      <c r="UCR46" s="44"/>
      <c r="UCS46" s="44"/>
      <c r="UCT46" s="44"/>
      <c r="UCU46" s="44"/>
      <c r="UCV46" s="44"/>
      <c r="UCW46" s="44"/>
      <c r="UCX46" s="44"/>
      <c r="UCY46" s="44"/>
      <c r="UCZ46" s="44"/>
      <c r="UDA46" s="44"/>
      <c r="UDB46" s="44"/>
      <c r="UDC46" s="44"/>
      <c r="UDD46" s="44"/>
      <c r="UDE46" s="44"/>
      <c r="UDF46" s="44"/>
      <c r="UDG46" s="44"/>
      <c r="UDH46" s="44"/>
      <c r="UDI46" s="44"/>
      <c r="UDJ46" s="44"/>
      <c r="UDK46" s="44"/>
      <c r="UDL46" s="44"/>
      <c r="UDM46" s="44"/>
      <c r="UDN46" s="44"/>
      <c r="UDO46" s="44"/>
      <c r="UDP46" s="44"/>
      <c r="UDQ46" s="44"/>
      <c r="UDR46" s="44"/>
      <c r="UDS46" s="44"/>
      <c r="UDT46" s="44"/>
      <c r="UDU46" s="44"/>
      <c r="UDV46" s="44"/>
      <c r="UDW46" s="44"/>
      <c r="UDX46" s="44"/>
      <c r="UDY46" s="44"/>
      <c r="UDZ46" s="44"/>
      <c r="UEA46" s="44"/>
      <c r="UEB46" s="44"/>
      <c r="UEC46" s="44"/>
      <c r="UED46" s="44"/>
      <c r="UEE46" s="44"/>
      <c r="UEF46" s="44"/>
      <c r="UEG46" s="44"/>
      <c r="UEH46" s="44"/>
      <c r="UEI46" s="44"/>
      <c r="UEJ46" s="44"/>
      <c r="UEK46" s="44"/>
      <c r="UEL46" s="44"/>
      <c r="UEM46" s="44"/>
      <c r="UEN46" s="44"/>
      <c r="UEO46" s="44"/>
      <c r="UEP46" s="44"/>
      <c r="UEQ46" s="44"/>
      <c r="UER46" s="44"/>
      <c r="UES46" s="44"/>
      <c r="UET46" s="44"/>
      <c r="UEU46" s="44"/>
      <c r="UEV46" s="44"/>
      <c r="UEW46" s="44"/>
      <c r="UEX46" s="44"/>
      <c r="UEY46" s="44"/>
      <c r="UEZ46" s="44"/>
      <c r="UFA46" s="44"/>
      <c r="UFB46" s="44"/>
      <c r="UFC46" s="44"/>
      <c r="UFD46" s="44"/>
      <c r="UFE46" s="44"/>
      <c r="UFF46" s="44"/>
      <c r="UFG46" s="44"/>
      <c r="UFH46" s="44"/>
      <c r="UFI46" s="44"/>
      <c r="UFJ46" s="44"/>
      <c r="UFK46" s="44"/>
      <c r="UFL46" s="44"/>
      <c r="UFM46" s="44"/>
      <c r="UFN46" s="44"/>
      <c r="UFO46" s="44"/>
      <c r="UFP46" s="44"/>
      <c r="UFQ46" s="44"/>
      <c r="UFR46" s="44"/>
      <c r="UFS46" s="44"/>
      <c r="UFT46" s="44"/>
      <c r="UFU46" s="44"/>
      <c r="UFV46" s="44"/>
      <c r="UFW46" s="44"/>
      <c r="UFX46" s="44"/>
      <c r="UFY46" s="44"/>
      <c r="UFZ46" s="44"/>
      <c r="UGA46" s="44"/>
      <c r="UGB46" s="44"/>
      <c r="UGC46" s="44"/>
      <c r="UGD46" s="44"/>
      <c r="UGE46" s="44"/>
      <c r="UGF46" s="44"/>
      <c r="UGG46" s="44"/>
      <c r="UGH46" s="44"/>
      <c r="UGI46" s="44"/>
      <c r="UGJ46" s="44"/>
      <c r="UGK46" s="44"/>
      <c r="UGL46" s="44"/>
      <c r="UGM46" s="44"/>
      <c r="UGN46" s="44"/>
      <c r="UGO46" s="44"/>
      <c r="UGP46" s="44"/>
      <c r="UGQ46" s="44"/>
      <c r="UGR46" s="44"/>
      <c r="UGS46" s="44"/>
      <c r="UGT46" s="44"/>
      <c r="UGU46" s="44"/>
      <c r="UGV46" s="44"/>
      <c r="UGW46" s="44"/>
      <c r="UGX46" s="44"/>
      <c r="UGY46" s="44"/>
      <c r="UGZ46" s="44"/>
      <c r="UHA46" s="44"/>
      <c r="UHB46" s="44"/>
      <c r="UHC46" s="44"/>
      <c r="UHD46" s="44"/>
      <c r="UHE46" s="44"/>
      <c r="UHF46" s="44"/>
      <c r="UHG46" s="44"/>
      <c r="UHH46" s="44"/>
      <c r="UHI46" s="44"/>
      <c r="UHJ46" s="44"/>
      <c r="UHK46" s="44"/>
      <c r="UHL46" s="44"/>
      <c r="UHM46" s="44"/>
      <c r="UHN46" s="44"/>
      <c r="UHO46" s="44"/>
      <c r="UHP46" s="44"/>
      <c r="UHQ46" s="44"/>
      <c r="UHR46" s="44"/>
      <c r="UHS46" s="44"/>
      <c r="UHT46" s="44"/>
      <c r="UHU46" s="44"/>
      <c r="UHV46" s="44"/>
      <c r="UHW46" s="44"/>
      <c r="UHX46" s="44"/>
      <c r="UHY46" s="44"/>
      <c r="UHZ46" s="44"/>
      <c r="UIA46" s="44"/>
      <c r="UIB46" s="44"/>
      <c r="UIC46" s="44"/>
      <c r="UID46" s="44"/>
      <c r="UIE46" s="44"/>
      <c r="UIF46" s="44"/>
      <c r="UIG46" s="44"/>
      <c r="UIH46" s="44"/>
      <c r="UII46" s="44"/>
      <c r="UIJ46" s="44"/>
      <c r="UIK46" s="44"/>
      <c r="UIL46" s="44"/>
      <c r="UIM46" s="44"/>
      <c r="UIN46" s="44"/>
      <c r="UIO46" s="44"/>
      <c r="UIP46" s="44"/>
      <c r="UIQ46" s="44"/>
      <c r="UIR46" s="44"/>
      <c r="UIS46" s="44"/>
      <c r="UIT46" s="44"/>
      <c r="UIU46" s="44"/>
      <c r="UIV46" s="44"/>
      <c r="UIW46" s="44"/>
      <c r="UIX46" s="44"/>
      <c r="UIY46" s="44"/>
      <c r="UIZ46" s="44"/>
      <c r="UJA46" s="44"/>
      <c r="UJB46" s="44"/>
      <c r="UJC46" s="44"/>
      <c r="UJD46" s="44"/>
      <c r="UJE46" s="44"/>
      <c r="UJF46" s="44"/>
      <c r="UJG46" s="44"/>
      <c r="UJH46" s="44"/>
      <c r="UJI46" s="44"/>
      <c r="UJJ46" s="44"/>
      <c r="UJK46" s="44"/>
      <c r="UJL46" s="44"/>
      <c r="UJM46" s="44"/>
      <c r="UJN46" s="44"/>
      <c r="UJO46" s="44"/>
      <c r="UJP46" s="44"/>
      <c r="UJQ46" s="44"/>
      <c r="UJR46" s="44"/>
      <c r="UJS46" s="44"/>
      <c r="UJT46" s="44"/>
      <c r="UJU46" s="44"/>
      <c r="UJV46" s="44"/>
      <c r="UJW46" s="44"/>
      <c r="UJX46" s="44"/>
      <c r="UJY46" s="44"/>
      <c r="UJZ46" s="44"/>
      <c r="UKA46" s="44"/>
      <c r="UKB46" s="44"/>
      <c r="UKC46" s="44"/>
      <c r="UKD46" s="44"/>
      <c r="UKE46" s="44"/>
      <c r="UKF46" s="44"/>
      <c r="UKG46" s="44"/>
      <c r="UKH46" s="44"/>
      <c r="UKI46" s="44"/>
      <c r="UKJ46" s="44"/>
      <c r="UKK46" s="44"/>
      <c r="UKL46" s="44"/>
      <c r="UKM46" s="44"/>
      <c r="UKN46" s="44"/>
      <c r="UKO46" s="44"/>
      <c r="UKP46" s="44"/>
      <c r="UKQ46" s="44"/>
      <c r="UKR46" s="44"/>
      <c r="UKS46" s="44"/>
      <c r="UKT46" s="44"/>
      <c r="UKU46" s="44"/>
      <c r="UKV46" s="44"/>
      <c r="UKW46" s="44"/>
      <c r="UKX46" s="44"/>
      <c r="UKY46" s="44"/>
      <c r="UKZ46" s="44"/>
      <c r="ULA46" s="44"/>
      <c r="ULB46" s="44"/>
      <c r="ULC46" s="44"/>
      <c r="ULD46" s="44"/>
      <c r="ULE46" s="44"/>
      <c r="ULF46" s="44"/>
      <c r="ULG46" s="44"/>
      <c r="ULH46" s="44"/>
      <c r="ULI46" s="44"/>
      <c r="ULJ46" s="44"/>
      <c r="ULK46" s="44"/>
      <c r="ULL46" s="44"/>
      <c r="ULM46" s="44"/>
      <c r="ULN46" s="44"/>
      <c r="ULO46" s="44"/>
      <c r="ULP46" s="44"/>
      <c r="ULQ46" s="44"/>
      <c r="ULR46" s="44"/>
      <c r="ULS46" s="44"/>
      <c r="ULT46" s="44"/>
      <c r="ULU46" s="44"/>
      <c r="ULV46" s="44"/>
      <c r="ULW46" s="44"/>
      <c r="ULX46" s="44"/>
      <c r="ULY46" s="44"/>
      <c r="ULZ46" s="44"/>
      <c r="UMA46" s="44"/>
      <c r="UMB46" s="44"/>
      <c r="UMC46" s="44"/>
      <c r="UMD46" s="44"/>
      <c r="UME46" s="44"/>
      <c r="UMF46" s="44"/>
      <c r="UMG46" s="44"/>
      <c r="UMH46" s="44"/>
      <c r="UMI46" s="44"/>
      <c r="UMJ46" s="44"/>
      <c r="UMK46" s="44"/>
      <c r="UML46" s="44"/>
      <c r="UMM46" s="44"/>
      <c r="UMN46" s="44"/>
      <c r="UMO46" s="44"/>
      <c r="UMP46" s="44"/>
      <c r="UMQ46" s="44"/>
      <c r="UMR46" s="44"/>
      <c r="UMS46" s="44"/>
      <c r="UMT46" s="44"/>
      <c r="UMU46" s="44"/>
      <c r="UMV46" s="44"/>
      <c r="UMW46" s="44"/>
      <c r="UMX46" s="44"/>
      <c r="UMY46" s="44"/>
      <c r="UMZ46" s="44"/>
      <c r="UNA46" s="44"/>
      <c r="UNB46" s="44"/>
      <c r="UNC46" s="44"/>
      <c r="UND46" s="44"/>
      <c r="UNE46" s="44"/>
      <c r="UNF46" s="44"/>
      <c r="UNG46" s="44"/>
      <c r="UNH46" s="44"/>
      <c r="UNI46" s="44"/>
      <c r="UNJ46" s="44"/>
      <c r="UNK46" s="44"/>
      <c r="UNL46" s="44"/>
      <c r="UNM46" s="44"/>
      <c r="UNN46" s="44"/>
      <c r="UNO46" s="44"/>
      <c r="UNP46" s="44"/>
      <c r="UNQ46" s="44"/>
      <c r="UNR46" s="44"/>
      <c r="UNS46" s="44"/>
      <c r="UNT46" s="44"/>
      <c r="UNU46" s="44"/>
      <c r="UNV46" s="44"/>
      <c r="UNW46" s="44"/>
      <c r="UNX46" s="44"/>
      <c r="UNY46" s="44"/>
      <c r="UNZ46" s="44"/>
      <c r="UOA46" s="44"/>
      <c r="UOB46" s="44"/>
      <c r="UOC46" s="44"/>
      <c r="UOD46" s="44"/>
      <c r="UOE46" s="44"/>
      <c r="UOF46" s="44"/>
      <c r="UOG46" s="44"/>
      <c r="UOH46" s="44"/>
      <c r="UOI46" s="44"/>
      <c r="UOJ46" s="44"/>
      <c r="UOK46" s="44"/>
      <c r="UOL46" s="44"/>
      <c r="UOM46" s="44"/>
      <c r="UON46" s="44"/>
      <c r="UOO46" s="44"/>
      <c r="UOP46" s="44"/>
      <c r="UOQ46" s="44"/>
      <c r="UOR46" s="44"/>
      <c r="UOS46" s="44"/>
      <c r="UOT46" s="44"/>
      <c r="UOU46" s="44"/>
      <c r="UOV46" s="44"/>
      <c r="UOW46" s="44"/>
      <c r="UOX46" s="44"/>
      <c r="UOY46" s="44"/>
      <c r="UOZ46" s="44"/>
      <c r="UPA46" s="44"/>
      <c r="UPB46" s="44"/>
      <c r="UPC46" s="44"/>
      <c r="UPD46" s="44"/>
      <c r="UPE46" s="44"/>
      <c r="UPF46" s="44"/>
      <c r="UPG46" s="44"/>
      <c r="UPH46" s="44"/>
      <c r="UPI46" s="44"/>
      <c r="UPJ46" s="44"/>
      <c r="UPK46" s="44"/>
      <c r="UPL46" s="44"/>
      <c r="UPM46" s="44"/>
      <c r="UPN46" s="44"/>
      <c r="UPO46" s="44"/>
      <c r="UPP46" s="44"/>
      <c r="UPQ46" s="44"/>
      <c r="UPR46" s="44"/>
      <c r="UPS46" s="44"/>
      <c r="UPT46" s="44"/>
      <c r="UPU46" s="44"/>
      <c r="UPV46" s="44"/>
      <c r="UPW46" s="44"/>
      <c r="UPX46" s="44"/>
      <c r="UPY46" s="44"/>
      <c r="UPZ46" s="44"/>
      <c r="UQA46" s="44"/>
      <c r="UQB46" s="44"/>
      <c r="UQC46" s="44"/>
      <c r="UQD46" s="44"/>
      <c r="UQE46" s="44"/>
      <c r="UQF46" s="44"/>
      <c r="UQG46" s="44"/>
      <c r="UQH46" s="44"/>
      <c r="UQI46" s="44"/>
      <c r="UQJ46" s="44"/>
      <c r="UQK46" s="44"/>
      <c r="UQL46" s="44"/>
      <c r="UQM46" s="44"/>
      <c r="UQN46" s="44"/>
      <c r="UQO46" s="44"/>
      <c r="UQP46" s="44"/>
      <c r="UQQ46" s="44"/>
      <c r="UQR46" s="44"/>
      <c r="UQS46" s="44"/>
      <c r="UQT46" s="44"/>
      <c r="UQU46" s="44"/>
      <c r="UQV46" s="44"/>
      <c r="UQW46" s="44"/>
      <c r="UQX46" s="44"/>
      <c r="UQY46" s="44"/>
      <c r="UQZ46" s="44"/>
      <c r="URA46" s="44"/>
      <c r="URB46" s="44"/>
      <c r="URC46" s="44"/>
      <c r="URD46" s="44"/>
      <c r="URE46" s="44"/>
      <c r="URF46" s="44"/>
      <c r="URG46" s="44"/>
      <c r="URH46" s="44"/>
      <c r="URI46" s="44"/>
      <c r="URJ46" s="44"/>
      <c r="URK46" s="44"/>
      <c r="URL46" s="44"/>
      <c r="URM46" s="44"/>
      <c r="URN46" s="44"/>
      <c r="URO46" s="44"/>
      <c r="URP46" s="44"/>
      <c r="URQ46" s="44"/>
      <c r="URR46" s="44"/>
      <c r="URS46" s="44"/>
      <c r="URT46" s="44"/>
      <c r="URU46" s="44"/>
      <c r="URV46" s="44"/>
      <c r="URW46" s="44"/>
      <c r="URX46" s="44"/>
      <c r="URY46" s="44"/>
      <c r="URZ46" s="44"/>
      <c r="USA46" s="44"/>
      <c r="USB46" s="44"/>
      <c r="USC46" s="44"/>
      <c r="USD46" s="44"/>
      <c r="USE46" s="44"/>
      <c r="USF46" s="44"/>
      <c r="USG46" s="44"/>
      <c r="USH46" s="44"/>
      <c r="USI46" s="44"/>
      <c r="USJ46" s="44"/>
      <c r="USK46" s="44"/>
      <c r="USL46" s="44"/>
      <c r="USM46" s="44"/>
      <c r="USN46" s="44"/>
      <c r="USO46" s="44"/>
      <c r="USP46" s="44"/>
      <c r="USQ46" s="44"/>
      <c r="USR46" s="44"/>
      <c r="USS46" s="44"/>
      <c r="UST46" s="44"/>
      <c r="USU46" s="44"/>
      <c r="USV46" s="44"/>
      <c r="USW46" s="44"/>
      <c r="USX46" s="44"/>
      <c r="USY46" s="44"/>
      <c r="USZ46" s="44"/>
      <c r="UTA46" s="44"/>
      <c r="UTB46" s="44"/>
      <c r="UTC46" s="44"/>
      <c r="UTD46" s="44"/>
      <c r="UTE46" s="44"/>
      <c r="UTF46" s="44"/>
      <c r="UTG46" s="44"/>
      <c r="UTH46" s="44"/>
      <c r="UTI46" s="44"/>
      <c r="UTJ46" s="44"/>
      <c r="UTK46" s="44"/>
      <c r="UTL46" s="44"/>
      <c r="UTM46" s="44"/>
      <c r="UTN46" s="44"/>
      <c r="UTO46" s="44"/>
      <c r="UTP46" s="44"/>
      <c r="UTQ46" s="44"/>
      <c r="UTR46" s="44"/>
      <c r="UTS46" s="44"/>
      <c r="UTT46" s="44"/>
      <c r="UTU46" s="44"/>
      <c r="UTV46" s="44"/>
      <c r="UTW46" s="44"/>
      <c r="UTX46" s="44"/>
      <c r="UTY46" s="44"/>
      <c r="UTZ46" s="44"/>
      <c r="UUA46" s="44"/>
      <c r="UUB46" s="44"/>
      <c r="UUC46" s="44"/>
      <c r="UUD46" s="44"/>
      <c r="UUE46" s="44"/>
      <c r="UUF46" s="44"/>
      <c r="UUG46" s="44"/>
      <c r="UUH46" s="44"/>
      <c r="UUI46" s="44"/>
      <c r="UUJ46" s="44"/>
      <c r="UUK46" s="44"/>
      <c r="UUL46" s="44"/>
      <c r="UUM46" s="44"/>
      <c r="UUN46" s="44"/>
      <c r="UUO46" s="44"/>
      <c r="UUP46" s="44"/>
      <c r="UUQ46" s="44"/>
      <c r="UUR46" s="44"/>
      <c r="UUS46" s="44"/>
      <c r="UUT46" s="44"/>
      <c r="UUU46" s="44"/>
      <c r="UUV46" s="44"/>
      <c r="UUW46" s="44"/>
      <c r="UUX46" s="44"/>
      <c r="UUY46" s="44"/>
      <c r="UUZ46" s="44"/>
      <c r="UVA46" s="44"/>
      <c r="UVB46" s="44"/>
      <c r="UVC46" s="44"/>
      <c r="UVD46" s="44"/>
      <c r="UVE46" s="44"/>
      <c r="UVF46" s="44"/>
      <c r="UVG46" s="44"/>
      <c r="UVH46" s="44"/>
      <c r="UVI46" s="44"/>
      <c r="UVJ46" s="44"/>
      <c r="UVK46" s="44"/>
      <c r="UVL46" s="44"/>
      <c r="UVM46" s="44"/>
      <c r="UVN46" s="44"/>
      <c r="UVO46" s="44"/>
      <c r="UVP46" s="44"/>
      <c r="UVQ46" s="44"/>
      <c r="UVR46" s="44"/>
      <c r="UVS46" s="44"/>
      <c r="UVT46" s="44"/>
      <c r="UVU46" s="44"/>
      <c r="UVV46" s="44"/>
      <c r="UVW46" s="44"/>
      <c r="UVX46" s="44"/>
      <c r="UVY46" s="44"/>
      <c r="UVZ46" s="44"/>
      <c r="UWA46" s="44"/>
      <c r="UWB46" s="44"/>
      <c r="UWC46" s="44"/>
      <c r="UWD46" s="44"/>
      <c r="UWE46" s="44"/>
      <c r="UWF46" s="44"/>
      <c r="UWG46" s="44"/>
      <c r="UWH46" s="44"/>
      <c r="UWI46" s="44"/>
      <c r="UWJ46" s="44"/>
      <c r="UWK46" s="44"/>
      <c r="UWL46" s="44"/>
      <c r="UWM46" s="44"/>
      <c r="UWN46" s="44"/>
      <c r="UWO46" s="44"/>
      <c r="UWP46" s="44"/>
      <c r="UWQ46" s="44"/>
      <c r="UWR46" s="44"/>
      <c r="UWS46" s="44"/>
      <c r="UWT46" s="44"/>
      <c r="UWU46" s="44"/>
      <c r="UWV46" s="44"/>
      <c r="UWW46" s="44"/>
      <c r="UWX46" s="44"/>
      <c r="UWY46" s="44"/>
      <c r="UWZ46" s="44"/>
      <c r="UXA46" s="44"/>
      <c r="UXB46" s="44"/>
      <c r="UXC46" s="44"/>
      <c r="UXD46" s="44"/>
      <c r="UXE46" s="44"/>
      <c r="UXF46" s="44"/>
      <c r="UXG46" s="44"/>
      <c r="UXH46" s="44"/>
      <c r="UXI46" s="44"/>
      <c r="UXJ46" s="44"/>
      <c r="UXK46" s="44"/>
      <c r="UXL46" s="44"/>
      <c r="UXM46" s="44"/>
      <c r="UXN46" s="44"/>
      <c r="UXO46" s="44"/>
      <c r="UXP46" s="44"/>
      <c r="UXQ46" s="44"/>
      <c r="UXR46" s="44"/>
      <c r="UXS46" s="44"/>
      <c r="UXT46" s="44"/>
      <c r="UXU46" s="44"/>
      <c r="UXV46" s="44"/>
      <c r="UXW46" s="44"/>
      <c r="UXX46" s="44"/>
      <c r="UXY46" s="44"/>
      <c r="UXZ46" s="44"/>
      <c r="UYA46" s="44"/>
      <c r="UYB46" s="44"/>
      <c r="UYC46" s="44"/>
      <c r="UYD46" s="44"/>
      <c r="UYE46" s="44"/>
      <c r="UYF46" s="44"/>
      <c r="UYG46" s="44"/>
      <c r="UYH46" s="44"/>
      <c r="UYI46" s="44"/>
      <c r="UYJ46" s="44"/>
      <c r="UYK46" s="44"/>
      <c r="UYL46" s="44"/>
      <c r="UYM46" s="44"/>
      <c r="UYN46" s="44"/>
      <c r="UYO46" s="44"/>
      <c r="UYP46" s="44"/>
      <c r="UYQ46" s="44"/>
      <c r="UYR46" s="44"/>
      <c r="UYS46" s="44"/>
      <c r="UYT46" s="44"/>
      <c r="UYU46" s="44"/>
      <c r="UYV46" s="44"/>
      <c r="UYW46" s="44"/>
      <c r="UYX46" s="44"/>
      <c r="UYY46" s="44"/>
      <c r="UYZ46" s="44"/>
      <c r="UZA46" s="44"/>
      <c r="UZB46" s="44"/>
      <c r="UZC46" s="44"/>
      <c r="UZD46" s="44"/>
      <c r="UZE46" s="44"/>
      <c r="UZF46" s="44"/>
      <c r="UZG46" s="44"/>
      <c r="UZH46" s="44"/>
      <c r="UZI46" s="44"/>
      <c r="UZJ46" s="44"/>
      <c r="UZK46" s="44"/>
      <c r="UZL46" s="44"/>
      <c r="UZM46" s="44"/>
      <c r="UZN46" s="44"/>
      <c r="UZO46" s="44"/>
      <c r="UZP46" s="44"/>
      <c r="UZQ46" s="44"/>
      <c r="UZR46" s="44"/>
      <c r="UZS46" s="44"/>
      <c r="UZT46" s="44"/>
      <c r="UZU46" s="44"/>
      <c r="UZV46" s="44"/>
      <c r="UZW46" s="44"/>
      <c r="UZX46" s="44"/>
      <c r="UZY46" s="44"/>
      <c r="UZZ46" s="44"/>
      <c r="VAA46" s="44"/>
      <c r="VAB46" s="44"/>
      <c r="VAC46" s="44"/>
      <c r="VAD46" s="44"/>
      <c r="VAE46" s="44"/>
      <c r="VAF46" s="44"/>
      <c r="VAG46" s="44"/>
      <c r="VAH46" s="44"/>
      <c r="VAI46" s="44"/>
      <c r="VAJ46" s="44"/>
      <c r="VAK46" s="44"/>
      <c r="VAL46" s="44"/>
      <c r="VAM46" s="44"/>
      <c r="VAN46" s="44"/>
      <c r="VAO46" s="44"/>
      <c r="VAP46" s="44"/>
      <c r="VAQ46" s="44"/>
      <c r="VAR46" s="44"/>
      <c r="VAS46" s="44"/>
      <c r="VAT46" s="44"/>
      <c r="VAU46" s="44"/>
      <c r="VAV46" s="44"/>
      <c r="VAW46" s="44"/>
      <c r="VAX46" s="44"/>
      <c r="VAY46" s="44"/>
      <c r="VAZ46" s="44"/>
      <c r="VBA46" s="44"/>
      <c r="VBB46" s="44"/>
      <c r="VBC46" s="44"/>
      <c r="VBD46" s="44"/>
      <c r="VBE46" s="44"/>
      <c r="VBF46" s="44"/>
      <c r="VBG46" s="44"/>
      <c r="VBH46" s="44"/>
      <c r="VBI46" s="44"/>
      <c r="VBJ46" s="44"/>
      <c r="VBK46" s="44"/>
      <c r="VBL46" s="44"/>
      <c r="VBM46" s="44"/>
      <c r="VBN46" s="44"/>
      <c r="VBO46" s="44"/>
      <c r="VBP46" s="44"/>
      <c r="VBQ46" s="44"/>
      <c r="VBR46" s="44"/>
      <c r="VBS46" s="44"/>
      <c r="VBT46" s="44"/>
      <c r="VBU46" s="44"/>
      <c r="VBV46" s="44"/>
      <c r="VBW46" s="44"/>
      <c r="VBX46" s="44"/>
      <c r="VBY46" s="44"/>
      <c r="VBZ46" s="44"/>
      <c r="VCA46" s="44"/>
      <c r="VCB46" s="44"/>
      <c r="VCC46" s="44"/>
      <c r="VCD46" s="44"/>
      <c r="VCE46" s="44"/>
      <c r="VCF46" s="44"/>
      <c r="VCG46" s="44"/>
      <c r="VCH46" s="44"/>
      <c r="VCI46" s="44"/>
      <c r="VCJ46" s="44"/>
      <c r="VCK46" s="44"/>
      <c r="VCL46" s="44"/>
      <c r="VCM46" s="44"/>
      <c r="VCN46" s="44"/>
      <c r="VCO46" s="44"/>
      <c r="VCP46" s="44"/>
      <c r="VCQ46" s="44"/>
      <c r="VCR46" s="44"/>
      <c r="VCS46" s="44"/>
      <c r="VCT46" s="44"/>
      <c r="VCU46" s="44"/>
      <c r="VCV46" s="44"/>
      <c r="VCW46" s="44"/>
      <c r="VCX46" s="44"/>
      <c r="VCY46" s="44"/>
      <c r="VCZ46" s="44"/>
      <c r="VDA46" s="44"/>
      <c r="VDB46" s="44"/>
      <c r="VDC46" s="44"/>
      <c r="VDD46" s="44"/>
      <c r="VDE46" s="44"/>
      <c r="VDF46" s="44"/>
      <c r="VDG46" s="44"/>
      <c r="VDH46" s="44"/>
      <c r="VDI46" s="44"/>
      <c r="VDJ46" s="44"/>
      <c r="VDK46" s="44"/>
      <c r="VDL46" s="44"/>
      <c r="VDM46" s="44"/>
      <c r="VDN46" s="44"/>
      <c r="VDO46" s="44"/>
      <c r="VDP46" s="44"/>
      <c r="VDQ46" s="44"/>
      <c r="VDR46" s="44"/>
      <c r="VDS46" s="44"/>
      <c r="VDT46" s="44"/>
      <c r="VDU46" s="44"/>
      <c r="VDV46" s="44"/>
      <c r="VDW46" s="44"/>
      <c r="VDX46" s="44"/>
      <c r="VDY46" s="44"/>
      <c r="VDZ46" s="44"/>
      <c r="VEA46" s="44"/>
      <c r="VEB46" s="44"/>
      <c r="VEC46" s="44"/>
      <c r="VED46" s="44"/>
      <c r="VEE46" s="44"/>
      <c r="VEF46" s="44"/>
      <c r="VEG46" s="44"/>
      <c r="VEH46" s="44"/>
      <c r="VEI46" s="44"/>
      <c r="VEJ46" s="44"/>
      <c r="VEK46" s="44"/>
      <c r="VEL46" s="44"/>
      <c r="VEM46" s="44"/>
      <c r="VEN46" s="44"/>
      <c r="VEO46" s="44"/>
      <c r="VEP46" s="44"/>
      <c r="VEQ46" s="44"/>
      <c r="VER46" s="44"/>
      <c r="VES46" s="44"/>
      <c r="VET46" s="44"/>
      <c r="VEU46" s="44"/>
      <c r="VEV46" s="44"/>
      <c r="VEW46" s="44"/>
      <c r="VEX46" s="44"/>
      <c r="VEY46" s="44"/>
      <c r="VEZ46" s="44"/>
      <c r="VFA46" s="44"/>
      <c r="VFB46" s="44"/>
      <c r="VFC46" s="44"/>
      <c r="VFD46" s="44"/>
      <c r="VFE46" s="44"/>
      <c r="VFF46" s="44"/>
      <c r="VFG46" s="44"/>
      <c r="VFH46" s="44"/>
      <c r="VFI46" s="44"/>
      <c r="VFJ46" s="44"/>
      <c r="VFK46" s="44"/>
      <c r="VFL46" s="44"/>
      <c r="VFM46" s="44"/>
      <c r="VFN46" s="44"/>
      <c r="VFO46" s="44"/>
      <c r="VFP46" s="44"/>
      <c r="VFQ46" s="44"/>
      <c r="VFR46" s="44"/>
      <c r="VFS46" s="44"/>
      <c r="VFT46" s="44"/>
      <c r="VFU46" s="44"/>
      <c r="VFV46" s="44"/>
      <c r="VFW46" s="44"/>
      <c r="VFX46" s="44"/>
      <c r="VFY46" s="44"/>
      <c r="VFZ46" s="44"/>
      <c r="VGA46" s="44"/>
      <c r="VGB46" s="44"/>
      <c r="VGC46" s="44"/>
      <c r="VGD46" s="44"/>
      <c r="VGE46" s="44"/>
      <c r="VGF46" s="44"/>
      <c r="VGG46" s="44"/>
      <c r="VGH46" s="44"/>
      <c r="VGI46" s="44"/>
      <c r="VGJ46" s="44"/>
      <c r="VGK46" s="44"/>
      <c r="VGL46" s="44"/>
      <c r="VGM46" s="44"/>
      <c r="VGN46" s="44"/>
      <c r="VGO46" s="44"/>
      <c r="VGP46" s="44"/>
      <c r="VGQ46" s="44"/>
      <c r="VGR46" s="44"/>
      <c r="VGS46" s="44"/>
      <c r="VGT46" s="44"/>
      <c r="VGU46" s="44"/>
      <c r="VGV46" s="44"/>
      <c r="VGW46" s="44"/>
      <c r="VGX46" s="44"/>
      <c r="VGY46" s="44"/>
      <c r="VGZ46" s="44"/>
      <c r="VHA46" s="44"/>
      <c r="VHB46" s="44"/>
      <c r="VHC46" s="44"/>
      <c r="VHD46" s="44"/>
      <c r="VHE46" s="44"/>
      <c r="VHF46" s="44"/>
      <c r="VHG46" s="44"/>
      <c r="VHH46" s="44"/>
      <c r="VHI46" s="44"/>
      <c r="VHJ46" s="44"/>
      <c r="VHK46" s="44"/>
      <c r="VHL46" s="44"/>
      <c r="VHM46" s="44"/>
      <c r="VHN46" s="44"/>
      <c r="VHO46" s="44"/>
      <c r="VHP46" s="44"/>
      <c r="VHQ46" s="44"/>
      <c r="VHR46" s="44"/>
      <c r="VHS46" s="44"/>
      <c r="VHT46" s="44"/>
      <c r="VHU46" s="44"/>
      <c r="VHV46" s="44"/>
      <c r="VHW46" s="44"/>
      <c r="VHX46" s="44"/>
      <c r="VHY46" s="44"/>
      <c r="VHZ46" s="44"/>
      <c r="VIA46" s="44"/>
      <c r="VIB46" s="44"/>
      <c r="VIC46" s="44"/>
      <c r="VID46" s="44"/>
      <c r="VIE46" s="44"/>
      <c r="VIF46" s="44"/>
      <c r="VIG46" s="44"/>
      <c r="VIH46" s="44"/>
      <c r="VII46" s="44"/>
      <c r="VIJ46" s="44"/>
      <c r="VIK46" s="44"/>
      <c r="VIL46" s="44"/>
      <c r="VIM46" s="44"/>
      <c r="VIN46" s="44"/>
      <c r="VIO46" s="44"/>
      <c r="VIP46" s="44"/>
      <c r="VIQ46" s="44"/>
      <c r="VIR46" s="44"/>
      <c r="VIS46" s="44"/>
      <c r="VIT46" s="44"/>
      <c r="VIU46" s="44"/>
      <c r="VIV46" s="44"/>
      <c r="VIW46" s="44"/>
      <c r="VIX46" s="44"/>
      <c r="VIY46" s="44"/>
      <c r="VIZ46" s="44"/>
      <c r="VJA46" s="44"/>
      <c r="VJB46" s="44"/>
      <c r="VJC46" s="44"/>
      <c r="VJD46" s="44"/>
      <c r="VJE46" s="44"/>
      <c r="VJF46" s="44"/>
      <c r="VJG46" s="44"/>
      <c r="VJH46" s="44"/>
      <c r="VJI46" s="44"/>
      <c r="VJJ46" s="44"/>
      <c r="VJK46" s="44"/>
      <c r="VJL46" s="44"/>
      <c r="VJM46" s="44"/>
      <c r="VJN46" s="44"/>
      <c r="VJO46" s="44"/>
      <c r="VJP46" s="44"/>
      <c r="VJQ46" s="44"/>
      <c r="VJR46" s="44"/>
      <c r="VJS46" s="44"/>
      <c r="VJT46" s="44"/>
      <c r="VJU46" s="44"/>
      <c r="VJV46" s="44"/>
      <c r="VJW46" s="44"/>
      <c r="VJX46" s="44"/>
      <c r="VJY46" s="44"/>
      <c r="VJZ46" s="44"/>
      <c r="VKA46" s="44"/>
      <c r="VKB46" s="44"/>
      <c r="VKC46" s="44"/>
      <c r="VKD46" s="44"/>
      <c r="VKE46" s="44"/>
      <c r="VKF46" s="44"/>
      <c r="VKG46" s="44"/>
      <c r="VKH46" s="44"/>
      <c r="VKI46" s="44"/>
      <c r="VKJ46" s="44"/>
      <c r="VKK46" s="44"/>
      <c r="VKL46" s="44"/>
      <c r="VKM46" s="44"/>
      <c r="VKN46" s="44"/>
      <c r="VKO46" s="44"/>
      <c r="VKP46" s="44"/>
      <c r="VKQ46" s="44"/>
      <c r="VKR46" s="44"/>
      <c r="VKS46" s="44"/>
      <c r="VKT46" s="44"/>
      <c r="VKU46" s="44"/>
      <c r="VKV46" s="44"/>
      <c r="VKW46" s="44"/>
      <c r="VKX46" s="44"/>
      <c r="VKY46" s="44"/>
      <c r="VKZ46" s="44"/>
      <c r="VLA46" s="44"/>
      <c r="VLB46" s="44"/>
      <c r="VLC46" s="44"/>
      <c r="VLD46" s="44"/>
      <c r="VLE46" s="44"/>
      <c r="VLF46" s="44"/>
      <c r="VLG46" s="44"/>
      <c r="VLH46" s="44"/>
      <c r="VLI46" s="44"/>
      <c r="VLJ46" s="44"/>
      <c r="VLK46" s="44"/>
      <c r="VLL46" s="44"/>
      <c r="VLM46" s="44"/>
      <c r="VLN46" s="44"/>
      <c r="VLO46" s="44"/>
      <c r="VLP46" s="44"/>
      <c r="VLQ46" s="44"/>
      <c r="VLR46" s="44"/>
      <c r="VLS46" s="44"/>
      <c r="VLT46" s="44"/>
      <c r="VLU46" s="44"/>
      <c r="VLV46" s="44"/>
      <c r="VLW46" s="44"/>
      <c r="VLX46" s="44"/>
      <c r="VLY46" s="44"/>
      <c r="VLZ46" s="44"/>
      <c r="VMA46" s="44"/>
      <c r="VMB46" s="44"/>
      <c r="VMC46" s="44"/>
      <c r="VMD46" s="44"/>
      <c r="VME46" s="44"/>
      <c r="VMF46" s="44"/>
      <c r="VMG46" s="44"/>
      <c r="VMH46" s="44"/>
      <c r="VMI46" s="44"/>
      <c r="VMJ46" s="44"/>
      <c r="VMK46" s="44"/>
      <c r="VML46" s="44"/>
      <c r="VMM46" s="44"/>
      <c r="VMN46" s="44"/>
      <c r="VMO46" s="44"/>
      <c r="VMP46" s="44"/>
      <c r="VMQ46" s="44"/>
      <c r="VMR46" s="44"/>
      <c r="VMS46" s="44"/>
      <c r="VMT46" s="44"/>
      <c r="VMU46" s="44"/>
      <c r="VMV46" s="44"/>
      <c r="VMW46" s="44"/>
      <c r="VMX46" s="44"/>
      <c r="VMY46" s="44"/>
      <c r="VMZ46" s="44"/>
      <c r="VNA46" s="44"/>
      <c r="VNB46" s="44"/>
      <c r="VNC46" s="44"/>
      <c r="VND46" s="44"/>
      <c r="VNE46" s="44"/>
      <c r="VNF46" s="44"/>
      <c r="VNG46" s="44"/>
      <c r="VNH46" s="44"/>
      <c r="VNI46" s="44"/>
      <c r="VNJ46" s="44"/>
      <c r="VNK46" s="44"/>
      <c r="VNL46" s="44"/>
      <c r="VNM46" s="44"/>
      <c r="VNN46" s="44"/>
      <c r="VNO46" s="44"/>
      <c r="VNP46" s="44"/>
      <c r="VNQ46" s="44"/>
      <c r="VNR46" s="44"/>
      <c r="VNS46" s="44"/>
      <c r="VNT46" s="44"/>
      <c r="VNU46" s="44"/>
      <c r="VNV46" s="44"/>
      <c r="VNW46" s="44"/>
      <c r="VNX46" s="44"/>
      <c r="VNY46" s="44"/>
      <c r="VNZ46" s="44"/>
      <c r="VOA46" s="44"/>
      <c r="VOB46" s="44"/>
      <c r="VOC46" s="44"/>
      <c r="VOD46" s="44"/>
      <c r="VOE46" s="44"/>
      <c r="VOF46" s="44"/>
      <c r="VOG46" s="44"/>
      <c r="VOH46" s="44"/>
      <c r="VOI46" s="44"/>
      <c r="VOJ46" s="44"/>
      <c r="VOK46" s="44"/>
      <c r="VOL46" s="44"/>
      <c r="VOM46" s="44"/>
      <c r="VON46" s="44"/>
      <c r="VOO46" s="44"/>
      <c r="VOP46" s="44"/>
      <c r="VOQ46" s="44"/>
      <c r="VOR46" s="44"/>
      <c r="VOS46" s="44"/>
      <c r="VOT46" s="44"/>
      <c r="VOU46" s="44"/>
      <c r="VOV46" s="44"/>
      <c r="VOW46" s="44"/>
      <c r="VOX46" s="44"/>
      <c r="VOY46" s="44"/>
      <c r="VOZ46" s="44"/>
      <c r="VPA46" s="44"/>
      <c r="VPB46" s="44"/>
      <c r="VPC46" s="44"/>
      <c r="VPD46" s="44"/>
      <c r="VPE46" s="44"/>
      <c r="VPF46" s="44"/>
      <c r="VPG46" s="44"/>
      <c r="VPH46" s="44"/>
      <c r="VPI46" s="44"/>
      <c r="VPJ46" s="44"/>
      <c r="VPK46" s="44"/>
      <c r="VPL46" s="44"/>
      <c r="VPM46" s="44"/>
      <c r="VPN46" s="44"/>
      <c r="VPO46" s="44"/>
      <c r="VPP46" s="44"/>
      <c r="VPQ46" s="44"/>
      <c r="VPR46" s="44"/>
      <c r="VPS46" s="44"/>
      <c r="VPT46" s="44"/>
      <c r="VPU46" s="44"/>
      <c r="VPV46" s="44"/>
      <c r="VPW46" s="44"/>
      <c r="VPX46" s="44"/>
      <c r="VPY46" s="44"/>
      <c r="VPZ46" s="44"/>
      <c r="VQA46" s="44"/>
      <c r="VQB46" s="44"/>
      <c r="VQC46" s="44"/>
      <c r="VQD46" s="44"/>
      <c r="VQE46" s="44"/>
      <c r="VQF46" s="44"/>
      <c r="VQG46" s="44"/>
      <c r="VQH46" s="44"/>
      <c r="VQI46" s="44"/>
      <c r="VQJ46" s="44"/>
      <c r="VQK46" s="44"/>
      <c r="VQL46" s="44"/>
      <c r="VQM46" s="44"/>
      <c r="VQN46" s="44"/>
      <c r="VQO46" s="44"/>
      <c r="VQP46" s="44"/>
      <c r="VQQ46" s="44"/>
      <c r="VQR46" s="44"/>
      <c r="VQS46" s="44"/>
      <c r="VQT46" s="44"/>
      <c r="VQU46" s="44"/>
      <c r="VQV46" s="44"/>
      <c r="VQW46" s="44"/>
      <c r="VQX46" s="44"/>
      <c r="VQY46" s="44"/>
      <c r="VQZ46" s="44"/>
      <c r="VRA46" s="44"/>
      <c r="VRB46" s="44"/>
      <c r="VRC46" s="44"/>
      <c r="VRD46" s="44"/>
      <c r="VRE46" s="44"/>
      <c r="VRF46" s="44"/>
      <c r="VRG46" s="44"/>
      <c r="VRH46" s="44"/>
      <c r="VRI46" s="44"/>
      <c r="VRJ46" s="44"/>
      <c r="VRK46" s="44"/>
      <c r="VRL46" s="44"/>
      <c r="VRM46" s="44"/>
      <c r="VRN46" s="44"/>
      <c r="VRO46" s="44"/>
      <c r="VRP46" s="44"/>
      <c r="VRQ46" s="44"/>
      <c r="VRR46" s="44"/>
      <c r="VRS46" s="44"/>
      <c r="VRT46" s="44"/>
      <c r="VRU46" s="44"/>
      <c r="VRV46" s="44"/>
      <c r="VRW46" s="44"/>
      <c r="VRX46" s="44"/>
      <c r="VRY46" s="44"/>
      <c r="VRZ46" s="44"/>
      <c r="VSA46" s="44"/>
      <c r="VSB46" s="44"/>
      <c r="VSC46" s="44"/>
      <c r="VSD46" s="44"/>
      <c r="VSE46" s="44"/>
      <c r="VSF46" s="44"/>
      <c r="VSG46" s="44"/>
      <c r="VSH46" s="44"/>
      <c r="VSI46" s="44"/>
      <c r="VSJ46" s="44"/>
      <c r="VSK46" s="44"/>
      <c r="VSL46" s="44"/>
      <c r="VSM46" s="44"/>
      <c r="VSN46" s="44"/>
      <c r="VSO46" s="44"/>
      <c r="VSP46" s="44"/>
      <c r="VSQ46" s="44"/>
      <c r="VSR46" s="44"/>
      <c r="VSS46" s="44"/>
      <c r="VST46" s="44"/>
      <c r="VSU46" s="44"/>
      <c r="VSV46" s="44"/>
      <c r="VSW46" s="44"/>
      <c r="VSX46" s="44"/>
      <c r="VSY46" s="44"/>
      <c r="VSZ46" s="44"/>
      <c r="VTA46" s="44"/>
      <c r="VTB46" s="44"/>
      <c r="VTC46" s="44"/>
      <c r="VTD46" s="44"/>
      <c r="VTE46" s="44"/>
      <c r="VTF46" s="44"/>
      <c r="VTG46" s="44"/>
      <c r="VTH46" s="44"/>
      <c r="VTI46" s="44"/>
      <c r="VTJ46" s="44"/>
      <c r="VTK46" s="44"/>
      <c r="VTL46" s="44"/>
      <c r="VTM46" s="44"/>
      <c r="VTN46" s="44"/>
      <c r="VTO46" s="44"/>
      <c r="VTP46" s="44"/>
      <c r="VTQ46" s="44"/>
      <c r="VTR46" s="44"/>
      <c r="VTS46" s="44"/>
      <c r="VTT46" s="44"/>
      <c r="VTU46" s="44"/>
      <c r="VTV46" s="44"/>
      <c r="VTW46" s="44"/>
      <c r="VTX46" s="44"/>
      <c r="VTY46" s="44"/>
      <c r="VTZ46" s="44"/>
      <c r="VUA46" s="44"/>
      <c r="VUB46" s="44"/>
      <c r="VUC46" s="44"/>
      <c r="VUD46" s="44"/>
      <c r="VUE46" s="44"/>
      <c r="VUF46" s="44"/>
      <c r="VUG46" s="44"/>
      <c r="VUH46" s="44"/>
      <c r="VUI46" s="44"/>
      <c r="VUJ46" s="44"/>
      <c r="VUK46" s="44"/>
      <c r="VUL46" s="44"/>
      <c r="VUM46" s="44"/>
      <c r="VUN46" s="44"/>
      <c r="VUO46" s="44"/>
      <c r="VUP46" s="44"/>
      <c r="VUQ46" s="44"/>
      <c r="VUR46" s="44"/>
      <c r="VUS46" s="44"/>
      <c r="VUT46" s="44"/>
      <c r="VUU46" s="44"/>
      <c r="VUV46" s="44"/>
      <c r="VUW46" s="44"/>
      <c r="VUX46" s="44"/>
      <c r="VUY46" s="44"/>
      <c r="VUZ46" s="44"/>
      <c r="VVA46" s="44"/>
      <c r="VVB46" s="44"/>
      <c r="VVC46" s="44"/>
      <c r="VVD46" s="44"/>
      <c r="VVE46" s="44"/>
      <c r="VVF46" s="44"/>
      <c r="VVG46" s="44"/>
      <c r="VVH46" s="44"/>
      <c r="VVI46" s="44"/>
      <c r="VVJ46" s="44"/>
      <c r="VVK46" s="44"/>
      <c r="VVL46" s="44"/>
      <c r="VVM46" s="44"/>
      <c r="VVN46" s="44"/>
      <c r="VVO46" s="44"/>
      <c r="VVP46" s="44"/>
      <c r="VVQ46" s="44"/>
      <c r="VVR46" s="44"/>
      <c r="VVS46" s="44"/>
      <c r="VVT46" s="44"/>
      <c r="VVU46" s="44"/>
      <c r="VVV46" s="44"/>
      <c r="VVW46" s="44"/>
      <c r="VVX46" s="44"/>
      <c r="VVY46" s="44"/>
      <c r="VVZ46" s="44"/>
      <c r="VWA46" s="44"/>
      <c r="VWB46" s="44"/>
      <c r="VWC46" s="44"/>
      <c r="VWD46" s="44"/>
      <c r="VWE46" s="44"/>
      <c r="VWF46" s="44"/>
      <c r="VWG46" s="44"/>
      <c r="VWH46" s="44"/>
      <c r="VWI46" s="44"/>
      <c r="VWJ46" s="44"/>
      <c r="VWK46" s="44"/>
      <c r="VWL46" s="44"/>
      <c r="VWM46" s="44"/>
      <c r="VWN46" s="44"/>
      <c r="VWO46" s="44"/>
      <c r="VWP46" s="44"/>
      <c r="VWQ46" s="44"/>
      <c r="VWR46" s="44"/>
      <c r="VWS46" s="44"/>
      <c r="VWT46" s="44"/>
      <c r="VWU46" s="44"/>
      <c r="VWV46" s="44"/>
      <c r="VWW46" s="44"/>
      <c r="VWX46" s="44"/>
      <c r="VWY46" s="44"/>
      <c r="VWZ46" s="44"/>
      <c r="VXA46" s="44"/>
      <c r="VXB46" s="44"/>
      <c r="VXC46" s="44"/>
      <c r="VXD46" s="44"/>
      <c r="VXE46" s="44"/>
      <c r="VXF46" s="44"/>
      <c r="VXG46" s="44"/>
      <c r="VXH46" s="44"/>
      <c r="VXI46" s="44"/>
      <c r="VXJ46" s="44"/>
      <c r="VXK46" s="44"/>
      <c r="VXL46" s="44"/>
      <c r="VXM46" s="44"/>
      <c r="VXN46" s="44"/>
      <c r="VXO46" s="44"/>
      <c r="VXP46" s="44"/>
      <c r="VXQ46" s="44"/>
      <c r="VXR46" s="44"/>
      <c r="VXS46" s="44"/>
      <c r="VXT46" s="44"/>
      <c r="VXU46" s="44"/>
      <c r="VXV46" s="44"/>
      <c r="VXW46" s="44"/>
      <c r="VXX46" s="44"/>
      <c r="VXY46" s="44"/>
      <c r="VXZ46" s="44"/>
      <c r="VYA46" s="44"/>
      <c r="VYB46" s="44"/>
      <c r="VYC46" s="44"/>
      <c r="VYD46" s="44"/>
      <c r="VYE46" s="44"/>
      <c r="VYF46" s="44"/>
      <c r="VYG46" s="44"/>
      <c r="VYH46" s="44"/>
      <c r="VYI46" s="44"/>
      <c r="VYJ46" s="44"/>
      <c r="VYK46" s="44"/>
      <c r="VYL46" s="44"/>
      <c r="VYM46" s="44"/>
      <c r="VYN46" s="44"/>
      <c r="VYO46" s="44"/>
      <c r="VYP46" s="44"/>
      <c r="VYQ46" s="44"/>
      <c r="VYR46" s="44"/>
      <c r="VYS46" s="44"/>
      <c r="VYT46" s="44"/>
      <c r="VYU46" s="44"/>
      <c r="VYV46" s="44"/>
      <c r="VYW46" s="44"/>
      <c r="VYX46" s="44"/>
      <c r="VYY46" s="44"/>
      <c r="VYZ46" s="44"/>
      <c r="VZA46" s="44"/>
      <c r="VZB46" s="44"/>
      <c r="VZC46" s="44"/>
      <c r="VZD46" s="44"/>
      <c r="VZE46" s="44"/>
      <c r="VZF46" s="44"/>
      <c r="VZG46" s="44"/>
      <c r="VZH46" s="44"/>
      <c r="VZI46" s="44"/>
      <c r="VZJ46" s="44"/>
      <c r="VZK46" s="44"/>
      <c r="VZL46" s="44"/>
      <c r="VZM46" s="44"/>
      <c r="VZN46" s="44"/>
      <c r="VZO46" s="44"/>
      <c r="VZP46" s="44"/>
      <c r="VZQ46" s="44"/>
      <c r="VZR46" s="44"/>
      <c r="VZS46" s="44"/>
      <c r="VZT46" s="44"/>
      <c r="VZU46" s="44"/>
      <c r="VZV46" s="44"/>
      <c r="VZW46" s="44"/>
      <c r="VZX46" s="44"/>
      <c r="VZY46" s="44"/>
      <c r="VZZ46" s="44"/>
      <c r="WAA46" s="44"/>
      <c r="WAB46" s="44"/>
      <c r="WAC46" s="44"/>
      <c r="WAD46" s="44"/>
      <c r="WAE46" s="44"/>
      <c r="WAF46" s="44"/>
      <c r="WAG46" s="44"/>
      <c r="WAH46" s="44"/>
      <c r="WAI46" s="44"/>
      <c r="WAJ46" s="44"/>
      <c r="WAK46" s="44"/>
      <c r="WAL46" s="44"/>
      <c r="WAM46" s="44"/>
      <c r="WAN46" s="44"/>
      <c r="WAO46" s="44"/>
      <c r="WAP46" s="44"/>
      <c r="WAQ46" s="44"/>
      <c r="WAR46" s="44"/>
      <c r="WAS46" s="44"/>
      <c r="WAT46" s="44"/>
      <c r="WAU46" s="44"/>
      <c r="WAV46" s="44"/>
      <c r="WAW46" s="44"/>
      <c r="WAX46" s="44"/>
      <c r="WAY46" s="44"/>
      <c r="WAZ46" s="44"/>
      <c r="WBA46" s="44"/>
      <c r="WBB46" s="44"/>
      <c r="WBC46" s="44"/>
      <c r="WBD46" s="44"/>
      <c r="WBE46" s="44"/>
      <c r="WBF46" s="44"/>
      <c r="WBG46" s="44"/>
      <c r="WBH46" s="44"/>
      <c r="WBI46" s="44"/>
      <c r="WBJ46" s="44"/>
      <c r="WBK46" s="44"/>
      <c r="WBL46" s="44"/>
      <c r="WBM46" s="44"/>
      <c r="WBN46" s="44"/>
      <c r="WBO46" s="44"/>
      <c r="WBP46" s="44"/>
      <c r="WBQ46" s="44"/>
      <c r="WBR46" s="44"/>
      <c r="WBS46" s="44"/>
      <c r="WBT46" s="44"/>
      <c r="WBU46" s="44"/>
      <c r="WBV46" s="44"/>
      <c r="WBW46" s="44"/>
      <c r="WBX46" s="44"/>
      <c r="WBY46" s="44"/>
      <c r="WBZ46" s="44"/>
      <c r="WCA46" s="44"/>
      <c r="WCB46" s="44"/>
      <c r="WCC46" s="44"/>
      <c r="WCD46" s="44"/>
      <c r="WCE46" s="44"/>
      <c r="WCF46" s="44"/>
      <c r="WCG46" s="44"/>
      <c r="WCH46" s="44"/>
      <c r="WCI46" s="44"/>
      <c r="WCJ46" s="44"/>
      <c r="WCK46" s="44"/>
      <c r="WCL46" s="44"/>
      <c r="WCM46" s="44"/>
      <c r="WCN46" s="44"/>
      <c r="WCO46" s="44"/>
      <c r="WCP46" s="44"/>
      <c r="WCQ46" s="44"/>
      <c r="WCR46" s="44"/>
      <c r="WCS46" s="44"/>
      <c r="WCT46" s="44"/>
      <c r="WCU46" s="44"/>
      <c r="WCV46" s="44"/>
      <c r="WCW46" s="44"/>
      <c r="WCX46" s="44"/>
      <c r="WCY46" s="44"/>
      <c r="WCZ46" s="44"/>
      <c r="WDA46" s="44"/>
      <c r="WDB46" s="44"/>
      <c r="WDC46" s="44"/>
      <c r="WDD46" s="44"/>
      <c r="WDE46" s="44"/>
      <c r="WDF46" s="44"/>
      <c r="WDG46" s="44"/>
      <c r="WDH46" s="44"/>
      <c r="WDI46" s="44"/>
      <c r="WDJ46" s="44"/>
      <c r="WDK46" s="44"/>
      <c r="WDL46" s="44"/>
      <c r="WDM46" s="44"/>
      <c r="WDN46" s="44"/>
      <c r="WDO46" s="44"/>
      <c r="WDP46" s="44"/>
      <c r="WDQ46" s="44"/>
      <c r="WDR46" s="44"/>
      <c r="WDS46" s="44"/>
      <c r="WDT46" s="44"/>
      <c r="WDU46" s="44"/>
      <c r="WDV46" s="44"/>
      <c r="WDW46" s="44"/>
      <c r="WDX46" s="44"/>
      <c r="WDY46" s="44"/>
      <c r="WDZ46" s="44"/>
      <c r="WEA46" s="44"/>
      <c r="WEB46" s="44"/>
      <c r="WEC46" s="44"/>
      <c r="WED46" s="44"/>
      <c r="WEE46" s="44"/>
      <c r="WEF46" s="44"/>
      <c r="WEG46" s="44"/>
      <c r="WEH46" s="44"/>
      <c r="WEI46" s="44"/>
      <c r="WEJ46" s="44"/>
      <c r="WEK46" s="44"/>
      <c r="WEL46" s="44"/>
      <c r="WEM46" s="44"/>
      <c r="WEN46" s="44"/>
      <c r="WEO46" s="44"/>
      <c r="WEP46" s="44"/>
      <c r="WEQ46" s="44"/>
      <c r="WER46" s="44"/>
      <c r="WES46" s="44"/>
      <c r="WET46" s="44"/>
      <c r="WEU46" s="44"/>
      <c r="WEV46" s="44"/>
      <c r="WEW46" s="44"/>
      <c r="WEX46" s="44"/>
      <c r="WEY46" s="44"/>
      <c r="WEZ46" s="44"/>
      <c r="WFA46" s="44"/>
      <c r="WFB46" s="44"/>
      <c r="WFC46" s="44"/>
      <c r="WFD46" s="44"/>
      <c r="WFE46" s="44"/>
      <c r="WFF46" s="44"/>
      <c r="WFG46" s="44"/>
      <c r="WFH46" s="44"/>
      <c r="WFI46" s="44"/>
      <c r="WFJ46" s="44"/>
      <c r="WFK46" s="44"/>
      <c r="WFL46" s="44"/>
      <c r="WFM46" s="44"/>
      <c r="WFN46" s="44"/>
      <c r="WFO46" s="44"/>
      <c r="WFP46" s="44"/>
      <c r="WFQ46" s="44"/>
      <c r="WFR46" s="44"/>
      <c r="WFS46" s="44"/>
      <c r="WFT46" s="44"/>
      <c r="WFU46" s="44"/>
      <c r="WFV46" s="44"/>
      <c r="WFW46" s="44"/>
      <c r="WFX46" s="44"/>
      <c r="WFY46" s="44"/>
      <c r="WFZ46" s="44"/>
      <c r="WGA46" s="44"/>
      <c r="WGB46" s="44"/>
      <c r="WGC46" s="44"/>
      <c r="WGD46" s="44"/>
      <c r="WGE46" s="44"/>
      <c r="WGF46" s="44"/>
      <c r="WGG46" s="44"/>
      <c r="WGH46" s="44"/>
      <c r="WGI46" s="44"/>
      <c r="WGJ46" s="44"/>
      <c r="WGK46" s="44"/>
      <c r="WGL46" s="44"/>
      <c r="WGM46" s="44"/>
      <c r="WGN46" s="44"/>
      <c r="WGO46" s="44"/>
      <c r="WGP46" s="44"/>
      <c r="WGQ46" s="44"/>
      <c r="WGR46" s="44"/>
      <c r="WGS46" s="44"/>
      <c r="WGT46" s="44"/>
      <c r="WGU46" s="44"/>
      <c r="WGV46" s="44"/>
      <c r="WGW46" s="44"/>
      <c r="WGX46" s="44"/>
      <c r="WGY46" s="44"/>
      <c r="WGZ46" s="44"/>
      <c r="WHA46" s="44"/>
      <c r="WHB46" s="44"/>
      <c r="WHC46" s="44"/>
      <c r="WHD46" s="44"/>
      <c r="WHE46" s="44"/>
      <c r="WHF46" s="44"/>
      <c r="WHG46" s="44"/>
      <c r="WHH46" s="44"/>
      <c r="WHI46" s="44"/>
      <c r="WHJ46" s="44"/>
      <c r="WHK46" s="44"/>
      <c r="WHL46" s="44"/>
      <c r="WHM46" s="44"/>
      <c r="WHN46" s="44"/>
      <c r="WHO46" s="44"/>
      <c r="WHP46" s="44"/>
      <c r="WHQ46" s="44"/>
      <c r="WHR46" s="44"/>
      <c r="WHS46" s="44"/>
      <c r="WHT46" s="44"/>
      <c r="WHU46" s="44"/>
      <c r="WHV46" s="44"/>
      <c r="WHW46" s="44"/>
      <c r="WHX46" s="44"/>
      <c r="WHY46" s="44"/>
      <c r="WHZ46" s="44"/>
      <c r="WIA46" s="44"/>
      <c r="WIB46" s="44"/>
      <c r="WIC46" s="44"/>
      <c r="WID46" s="44"/>
      <c r="WIE46" s="44"/>
      <c r="WIF46" s="44"/>
      <c r="WIG46" s="44"/>
      <c r="WIH46" s="44"/>
      <c r="WII46" s="44"/>
      <c r="WIJ46" s="44"/>
      <c r="WIK46" s="44"/>
      <c r="WIL46" s="44"/>
      <c r="WIM46" s="44"/>
      <c r="WIN46" s="44"/>
      <c r="WIO46" s="44"/>
      <c r="WIP46" s="44"/>
      <c r="WIQ46" s="44"/>
      <c r="WIR46" s="44"/>
      <c r="WIS46" s="44"/>
      <c r="WIT46" s="44"/>
      <c r="WIU46" s="44"/>
      <c r="WIV46" s="44"/>
      <c r="WIW46" s="44"/>
      <c r="WIX46" s="44"/>
      <c r="WIY46" s="44"/>
      <c r="WIZ46" s="44"/>
      <c r="WJA46" s="44"/>
      <c r="WJB46" s="44"/>
      <c r="WJC46" s="44"/>
      <c r="WJD46" s="44"/>
      <c r="WJE46" s="44"/>
      <c r="WJF46" s="44"/>
      <c r="WJG46" s="44"/>
      <c r="WJH46" s="44"/>
      <c r="WJI46" s="44"/>
      <c r="WJJ46" s="44"/>
      <c r="WJK46" s="44"/>
      <c r="WJL46" s="44"/>
      <c r="WJM46" s="44"/>
      <c r="WJN46" s="44"/>
      <c r="WJO46" s="44"/>
      <c r="WJP46" s="44"/>
      <c r="WJQ46" s="44"/>
      <c r="WJR46" s="44"/>
      <c r="WJS46" s="44"/>
      <c r="WJT46" s="44"/>
      <c r="WJU46" s="44"/>
      <c r="WJV46" s="44"/>
      <c r="WJW46" s="44"/>
      <c r="WJX46" s="44"/>
      <c r="WJY46" s="44"/>
      <c r="WJZ46" s="44"/>
      <c r="WKA46" s="44"/>
      <c r="WKB46" s="44"/>
      <c r="WKC46" s="44"/>
      <c r="WKD46" s="44"/>
      <c r="WKE46" s="44"/>
      <c r="WKF46" s="44"/>
      <c r="WKG46" s="44"/>
      <c r="WKH46" s="44"/>
      <c r="WKI46" s="44"/>
      <c r="WKJ46" s="44"/>
      <c r="WKK46" s="44"/>
      <c r="WKL46" s="44"/>
      <c r="WKM46" s="44"/>
      <c r="WKN46" s="44"/>
      <c r="WKO46" s="44"/>
      <c r="WKP46" s="44"/>
      <c r="WKQ46" s="44"/>
      <c r="WKR46" s="44"/>
      <c r="WKS46" s="44"/>
      <c r="WKT46" s="44"/>
      <c r="WKU46" s="44"/>
      <c r="WKV46" s="44"/>
      <c r="WKW46" s="44"/>
      <c r="WKX46" s="44"/>
      <c r="WKY46" s="44"/>
      <c r="WKZ46" s="44"/>
      <c r="WLA46" s="44"/>
      <c r="WLB46" s="44"/>
      <c r="WLC46" s="44"/>
      <c r="WLD46" s="44"/>
      <c r="WLE46" s="44"/>
      <c r="WLF46" s="44"/>
      <c r="WLG46" s="44"/>
      <c r="WLH46" s="44"/>
      <c r="WLI46" s="44"/>
      <c r="WLJ46" s="44"/>
      <c r="WLK46" s="44"/>
      <c r="WLL46" s="44"/>
      <c r="WLM46" s="44"/>
      <c r="WLN46" s="44"/>
      <c r="WLO46" s="44"/>
      <c r="WLP46" s="44"/>
      <c r="WLQ46" s="44"/>
      <c r="WLR46" s="44"/>
      <c r="WLS46" s="44"/>
      <c r="WLT46" s="44"/>
      <c r="WLU46" s="44"/>
      <c r="WLV46" s="44"/>
      <c r="WLW46" s="44"/>
      <c r="WLX46" s="44"/>
      <c r="WLY46" s="44"/>
      <c r="WLZ46" s="44"/>
      <c r="WMA46" s="44"/>
      <c r="WMB46" s="44"/>
      <c r="WMC46" s="44"/>
      <c r="WMD46" s="44"/>
      <c r="WME46" s="44"/>
      <c r="WMF46" s="44"/>
      <c r="WMG46" s="44"/>
      <c r="WMH46" s="44"/>
      <c r="WMI46" s="44"/>
      <c r="WMJ46" s="44"/>
      <c r="WMK46" s="44"/>
      <c r="WML46" s="44"/>
      <c r="WMM46" s="44"/>
      <c r="WMN46" s="44"/>
      <c r="WMO46" s="44"/>
      <c r="WMP46" s="44"/>
      <c r="WMQ46" s="44"/>
      <c r="WMR46" s="44"/>
      <c r="WMS46" s="44"/>
      <c r="WMT46" s="44"/>
      <c r="WMU46" s="44"/>
      <c r="WMV46" s="44"/>
      <c r="WMW46" s="44"/>
      <c r="WMX46" s="44"/>
      <c r="WMY46" s="44"/>
      <c r="WMZ46" s="44"/>
      <c r="WNA46" s="44"/>
      <c r="WNB46" s="44"/>
      <c r="WNC46" s="44"/>
      <c r="WND46" s="44"/>
      <c r="WNE46" s="44"/>
      <c r="WNF46" s="44"/>
      <c r="WNG46" s="44"/>
      <c r="WNH46" s="44"/>
      <c r="WNI46" s="44"/>
      <c r="WNJ46" s="44"/>
      <c r="WNK46" s="44"/>
      <c r="WNL46" s="44"/>
      <c r="WNM46" s="44"/>
      <c r="WNN46" s="44"/>
      <c r="WNO46" s="44"/>
      <c r="WNP46" s="44"/>
      <c r="WNQ46" s="44"/>
      <c r="WNR46" s="44"/>
      <c r="WNS46" s="44"/>
      <c r="WNT46" s="44"/>
      <c r="WNU46" s="44"/>
      <c r="WNV46" s="44"/>
      <c r="WNW46" s="44"/>
      <c r="WNX46" s="44"/>
      <c r="WNY46" s="44"/>
      <c r="WNZ46" s="44"/>
      <c r="WOA46" s="44"/>
      <c r="WOB46" s="44"/>
      <c r="WOC46" s="44"/>
      <c r="WOD46" s="44"/>
      <c r="WOE46" s="44"/>
      <c r="WOF46" s="44"/>
      <c r="WOG46" s="44"/>
      <c r="WOH46" s="44"/>
      <c r="WOI46" s="44"/>
      <c r="WOJ46" s="44"/>
      <c r="WOK46" s="44"/>
      <c r="WOL46" s="44"/>
      <c r="WOM46" s="44"/>
      <c r="WON46" s="44"/>
      <c r="WOO46" s="44"/>
      <c r="WOP46" s="44"/>
      <c r="WOQ46" s="44"/>
      <c r="WOR46" s="44"/>
      <c r="WOS46" s="44"/>
      <c r="WOT46" s="44"/>
      <c r="WOU46" s="44"/>
      <c r="WOV46" s="44"/>
      <c r="WOW46" s="44"/>
      <c r="WOX46" s="44"/>
      <c r="WOY46" s="44"/>
      <c r="WOZ46" s="44"/>
      <c r="WPA46" s="44"/>
      <c r="WPB46" s="44"/>
      <c r="WPC46" s="44"/>
      <c r="WPD46" s="44"/>
      <c r="WPE46" s="44"/>
      <c r="WPF46" s="44"/>
      <c r="WPG46" s="44"/>
      <c r="WPH46" s="44"/>
      <c r="WPI46" s="44"/>
      <c r="WPJ46" s="44"/>
      <c r="WPK46" s="44"/>
      <c r="WPL46" s="44"/>
      <c r="WPM46" s="44"/>
      <c r="WPN46" s="44"/>
      <c r="WPO46" s="44"/>
      <c r="WPP46" s="44"/>
      <c r="WPQ46" s="44"/>
      <c r="WPR46" s="44"/>
      <c r="WPS46" s="44"/>
      <c r="WPT46" s="44"/>
      <c r="WPU46" s="44"/>
      <c r="WPV46" s="44"/>
      <c r="WPW46" s="44"/>
      <c r="WPX46" s="44"/>
      <c r="WPY46" s="44"/>
      <c r="WPZ46" s="44"/>
      <c r="WQA46" s="44"/>
      <c r="WQB46" s="44"/>
      <c r="WQC46" s="44"/>
      <c r="WQD46" s="44"/>
      <c r="WQE46" s="44"/>
      <c r="WQF46" s="44"/>
      <c r="WQG46" s="44"/>
      <c r="WQH46" s="44"/>
      <c r="WQI46" s="44"/>
      <c r="WQJ46" s="44"/>
      <c r="WQK46" s="44"/>
      <c r="WQL46" s="44"/>
      <c r="WQM46" s="44"/>
      <c r="WQN46" s="44"/>
      <c r="WQO46" s="44"/>
      <c r="WQP46" s="44"/>
      <c r="WQQ46" s="44"/>
      <c r="WQR46" s="44"/>
      <c r="WQS46" s="44"/>
      <c r="WQT46" s="44"/>
      <c r="WQU46" s="44"/>
      <c r="WQV46" s="44"/>
      <c r="WQW46" s="44"/>
      <c r="WQX46" s="44"/>
      <c r="WQY46" s="44"/>
      <c r="WQZ46" s="44"/>
      <c r="WRA46" s="44"/>
      <c r="WRB46" s="44"/>
      <c r="WRC46" s="44"/>
      <c r="WRD46" s="44"/>
      <c r="WRE46" s="44"/>
      <c r="WRF46" s="44"/>
      <c r="WRG46" s="44"/>
      <c r="WRH46" s="44"/>
      <c r="WRI46" s="44"/>
      <c r="WRJ46" s="44"/>
      <c r="WRK46" s="44"/>
      <c r="WRL46" s="44"/>
      <c r="WRM46" s="44"/>
      <c r="WRN46" s="44"/>
      <c r="WRO46" s="44"/>
      <c r="WRP46" s="44"/>
      <c r="WRQ46" s="44"/>
      <c r="WRR46" s="44"/>
      <c r="WRS46" s="44"/>
      <c r="WRT46" s="44"/>
      <c r="WRU46" s="44"/>
      <c r="WRV46" s="44"/>
      <c r="WRW46" s="44"/>
      <c r="WRX46" s="44"/>
      <c r="WRY46" s="44"/>
      <c r="WRZ46" s="44"/>
      <c r="WSA46" s="44"/>
      <c r="WSB46" s="44"/>
      <c r="WSC46" s="44"/>
      <c r="WSD46" s="44"/>
      <c r="WSE46" s="44"/>
      <c r="WSF46" s="44"/>
      <c r="WSG46" s="44"/>
      <c r="WSH46" s="44"/>
      <c r="WSI46" s="44"/>
      <c r="WSJ46" s="44"/>
      <c r="WSK46" s="44"/>
      <c r="WSL46" s="44"/>
      <c r="WSM46" s="44"/>
      <c r="WSN46" s="44"/>
      <c r="WSO46" s="44"/>
      <c r="WSP46" s="44"/>
      <c r="WSQ46" s="44"/>
      <c r="WSR46" s="44"/>
      <c r="WSS46" s="44"/>
      <c r="WST46" s="44"/>
      <c r="WSU46" s="44"/>
      <c r="WSV46" s="44"/>
      <c r="WSW46" s="44"/>
      <c r="WSX46" s="44"/>
      <c r="WSY46" s="44"/>
      <c r="WSZ46" s="44"/>
      <c r="WTA46" s="44"/>
      <c r="WTB46" s="44"/>
      <c r="WTC46" s="44"/>
      <c r="WTD46" s="44"/>
      <c r="WTE46" s="44"/>
      <c r="WTF46" s="44"/>
      <c r="WTG46" s="44"/>
      <c r="WTH46" s="44"/>
      <c r="WTI46" s="44"/>
      <c r="WTJ46" s="44"/>
      <c r="WTK46" s="44"/>
      <c r="WTL46" s="44"/>
      <c r="WTM46" s="44"/>
      <c r="WTN46" s="44"/>
      <c r="WTO46" s="44"/>
      <c r="WTP46" s="44"/>
      <c r="WTQ46" s="44"/>
      <c r="WTR46" s="44"/>
      <c r="WTS46" s="44"/>
      <c r="WTT46" s="44"/>
      <c r="WTU46" s="44"/>
      <c r="WTV46" s="44"/>
      <c r="WTW46" s="44"/>
      <c r="WTX46" s="44"/>
      <c r="WTY46" s="44"/>
      <c r="WTZ46" s="44"/>
      <c r="WUA46" s="44"/>
      <c r="WUB46" s="44"/>
      <c r="WUC46" s="44"/>
      <c r="WUD46" s="44"/>
      <c r="WUE46" s="44"/>
      <c r="WUF46" s="44"/>
      <c r="WUG46" s="44"/>
      <c r="WUH46" s="44"/>
      <c r="WUI46" s="44"/>
      <c r="WUJ46" s="44"/>
      <c r="WUK46" s="44"/>
      <c r="WUL46" s="44"/>
      <c r="WUM46" s="44"/>
      <c r="WUN46" s="44"/>
      <c r="WUO46" s="44"/>
      <c r="WUP46" s="44"/>
      <c r="WUQ46" s="44"/>
      <c r="WUR46" s="44"/>
      <c r="WUS46" s="44"/>
      <c r="WUT46" s="44"/>
      <c r="WUU46" s="44"/>
      <c r="WUV46" s="44"/>
      <c r="WUW46" s="44"/>
      <c r="WUX46" s="44"/>
      <c r="WUY46" s="44"/>
      <c r="WUZ46" s="44"/>
      <c r="WVA46" s="44"/>
      <c r="WVB46" s="44"/>
      <c r="WVC46" s="44"/>
      <c r="WVD46" s="44"/>
      <c r="WVE46" s="44"/>
      <c r="WVF46" s="44"/>
      <c r="WVG46" s="44"/>
      <c r="WVH46" s="44"/>
      <c r="WVI46" s="44"/>
      <c r="WVJ46" s="44"/>
      <c r="WVK46" s="44"/>
      <c r="WVL46" s="44"/>
      <c r="WVM46" s="44"/>
      <c r="WVN46" s="44"/>
      <c r="WVO46" s="44"/>
      <c r="WVP46" s="44"/>
      <c r="WVQ46" s="44"/>
      <c r="WVR46" s="44"/>
      <c r="WVS46" s="44"/>
      <c r="WVT46" s="44"/>
      <c r="WVU46" s="44"/>
      <c r="WVV46" s="44"/>
      <c r="WVW46" s="44"/>
      <c r="WVX46" s="44"/>
      <c r="WVY46" s="44"/>
      <c r="WVZ46" s="44"/>
      <c r="WWA46" s="44"/>
      <c r="WWB46" s="44"/>
      <c r="WWC46" s="44"/>
      <c r="WWD46" s="44"/>
      <c r="WWE46" s="44"/>
      <c r="WWF46" s="44"/>
      <c r="WWG46" s="44"/>
      <c r="WWH46" s="44"/>
      <c r="WWI46" s="44"/>
      <c r="WWJ46" s="44"/>
      <c r="WWK46" s="44"/>
      <c r="WWL46" s="44"/>
      <c r="WWM46" s="44"/>
      <c r="WWN46" s="44"/>
      <c r="WWO46" s="44"/>
      <c r="WWP46" s="44"/>
      <c r="WWQ46" s="44"/>
      <c r="WWR46" s="44"/>
      <c r="WWS46" s="44"/>
      <c r="WWT46" s="44"/>
      <c r="WWU46" s="44"/>
      <c r="WWV46" s="44"/>
      <c r="WWW46" s="44"/>
      <c r="WWX46" s="44"/>
      <c r="WWY46" s="44"/>
      <c r="WWZ46" s="44"/>
      <c r="WXA46" s="44"/>
      <c r="WXB46" s="44"/>
      <c r="WXC46" s="44"/>
      <c r="WXD46" s="44"/>
      <c r="WXE46" s="44"/>
      <c r="WXF46" s="44"/>
      <c r="WXG46" s="44"/>
      <c r="WXH46" s="44"/>
      <c r="WXI46" s="44"/>
      <c r="WXJ46" s="44"/>
      <c r="WXK46" s="44"/>
      <c r="WXL46" s="44"/>
      <c r="WXM46" s="44"/>
      <c r="WXN46" s="44"/>
      <c r="WXO46" s="44"/>
      <c r="WXP46" s="44"/>
      <c r="WXQ46" s="44"/>
      <c r="WXR46" s="44"/>
      <c r="WXS46" s="44"/>
      <c r="WXT46" s="44"/>
      <c r="WXU46" s="44"/>
      <c r="WXV46" s="44"/>
      <c r="WXW46" s="44"/>
      <c r="WXX46" s="44"/>
      <c r="WXY46" s="44"/>
      <c r="WXZ46" s="44"/>
      <c r="WYA46" s="44"/>
      <c r="WYB46" s="44"/>
      <c r="WYC46" s="44"/>
      <c r="WYD46" s="44"/>
      <c r="WYE46" s="44"/>
      <c r="WYF46" s="44"/>
      <c r="WYG46" s="44"/>
      <c r="WYH46" s="44"/>
      <c r="WYI46" s="44"/>
      <c r="WYJ46" s="44"/>
      <c r="WYK46" s="44"/>
      <c r="WYL46" s="44"/>
      <c r="WYM46" s="44"/>
      <c r="WYN46" s="44"/>
      <c r="WYO46" s="44"/>
      <c r="WYP46" s="44"/>
      <c r="WYQ46" s="44"/>
      <c r="WYR46" s="44"/>
      <c r="WYS46" s="44"/>
      <c r="WYT46" s="44"/>
      <c r="WYU46" s="44"/>
      <c r="WYV46" s="44"/>
      <c r="WYW46" s="44"/>
      <c r="WYX46" s="44"/>
      <c r="WYY46" s="44"/>
      <c r="WYZ46" s="44"/>
      <c r="WZA46" s="44"/>
      <c r="WZB46" s="44"/>
      <c r="WZC46" s="44"/>
      <c r="WZD46" s="44"/>
      <c r="WZE46" s="44"/>
      <c r="WZF46" s="44"/>
      <c r="WZG46" s="44"/>
      <c r="WZH46" s="44"/>
      <c r="WZI46" s="44"/>
      <c r="WZJ46" s="44"/>
      <c r="WZK46" s="44"/>
      <c r="WZL46" s="44"/>
      <c r="WZM46" s="44"/>
      <c r="WZN46" s="44"/>
      <c r="WZO46" s="44"/>
      <c r="WZP46" s="44"/>
      <c r="WZQ46" s="44"/>
      <c r="WZR46" s="44"/>
      <c r="WZS46" s="44"/>
      <c r="WZT46" s="44"/>
      <c r="WZU46" s="44"/>
      <c r="WZV46" s="44"/>
      <c r="WZW46" s="44"/>
      <c r="WZX46" s="44"/>
      <c r="WZY46" s="44"/>
      <c r="WZZ46" s="44"/>
      <c r="XAA46" s="44"/>
      <c r="XAB46" s="44"/>
      <c r="XAC46" s="44"/>
      <c r="XAD46" s="44"/>
      <c r="XAE46" s="44"/>
      <c r="XAF46" s="44"/>
      <c r="XAG46" s="44"/>
      <c r="XAH46" s="44"/>
      <c r="XAI46" s="44"/>
      <c r="XAJ46" s="44"/>
      <c r="XAK46" s="44"/>
      <c r="XAL46" s="44"/>
      <c r="XAM46" s="44"/>
      <c r="XAN46" s="44"/>
      <c r="XAO46" s="44"/>
      <c r="XAP46" s="44"/>
      <c r="XAQ46" s="44"/>
      <c r="XAR46" s="44"/>
      <c r="XAS46" s="44"/>
      <c r="XAT46" s="44"/>
      <c r="XAU46" s="44"/>
      <c r="XAV46" s="44"/>
      <c r="XAW46" s="44"/>
      <c r="XAX46" s="44"/>
      <c r="XAY46" s="44"/>
      <c r="XAZ46" s="44"/>
      <c r="XBA46" s="44"/>
      <c r="XBB46" s="44"/>
      <c r="XBC46" s="44"/>
      <c r="XBD46" s="44"/>
      <c r="XBE46" s="44"/>
      <c r="XBF46" s="44"/>
      <c r="XBG46" s="44"/>
      <c r="XBH46" s="44"/>
      <c r="XBI46" s="44"/>
      <c r="XBJ46" s="44"/>
      <c r="XBK46" s="44"/>
      <c r="XBL46" s="44"/>
      <c r="XBM46" s="44"/>
      <c r="XBN46" s="44"/>
      <c r="XBO46" s="44"/>
      <c r="XBP46" s="44"/>
      <c r="XBQ46" s="44"/>
      <c r="XBR46" s="44"/>
      <c r="XBS46" s="44"/>
      <c r="XBT46" s="44"/>
      <c r="XBU46" s="44"/>
      <c r="XBV46" s="44"/>
      <c r="XBW46" s="44"/>
      <c r="XBX46" s="44"/>
      <c r="XBY46" s="44"/>
      <c r="XBZ46" s="44"/>
      <c r="XCA46" s="44"/>
      <c r="XCB46" s="44"/>
      <c r="XCC46" s="44"/>
      <c r="XCD46" s="44"/>
      <c r="XCE46" s="44"/>
      <c r="XCF46" s="44"/>
      <c r="XCG46" s="44"/>
      <c r="XCH46" s="44"/>
      <c r="XCI46" s="44"/>
      <c r="XCJ46" s="44"/>
      <c r="XCK46" s="44"/>
      <c r="XCL46" s="44"/>
      <c r="XCM46" s="44"/>
      <c r="XCN46" s="44"/>
      <c r="XCO46" s="44"/>
      <c r="XCP46" s="44"/>
      <c r="XCQ46" s="44"/>
      <c r="XCR46" s="44"/>
      <c r="XCS46" s="44"/>
      <c r="XCT46" s="44"/>
      <c r="XCU46" s="44"/>
      <c r="XCV46" s="44"/>
      <c r="XCW46" s="44"/>
      <c r="XCX46" s="44"/>
      <c r="XCY46" s="44"/>
      <c r="XCZ46" s="44"/>
      <c r="XDA46" s="44"/>
      <c r="XDB46" s="44"/>
      <c r="XDC46" s="44"/>
      <c r="XDD46" s="44"/>
      <c r="XDE46" s="44"/>
      <c r="XDF46" s="44"/>
      <c r="XDG46" s="44"/>
      <c r="XDH46" s="44"/>
      <c r="XDI46" s="44"/>
      <c r="XDJ46" s="44"/>
      <c r="XDK46" s="44"/>
      <c r="XDL46" s="44"/>
      <c r="XDM46" s="44"/>
      <c r="XDN46" s="44"/>
      <c r="XDO46" s="44"/>
      <c r="XDP46" s="44"/>
      <c r="XDQ46" s="44"/>
      <c r="XDR46" s="44"/>
      <c r="XDS46" s="44"/>
      <c r="XDT46" s="44"/>
      <c r="XDU46" s="44"/>
      <c r="XDV46" s="44"/>
      <c r="XDW46" s="44"/>
      <c r="XDX46" s="44"/>
      <c r="XDY46" s="44"/>
      <c r="XDZ46" s="44"/>
      <c r="XEA46" s="44"/>
      <c r="XEB46" s="44"/>
      <c r="XEC46" s="44"/>
      <c r="XED46" s="44"/>
      <c r="XEE46" s="44"/>
      <c r="XEF46" s="44"/>
      <c r="XEG46" s="44"/>
      <c r="XEH46" s="44"/>
      <c r="XEI46" s="44"/>
      <c r="XEJ46" s="44"/>
      <c r="XEK46" s="44"/>
      <c r="XEL46" s="44"/>
      <c r="XEM46" s="44"/>
      <c r="XEN46" s="44"/>
      <c r="XEO46" s="44"/>
      <c r="XEP46" s="44"/>
      <c r="XEQ46" s="44"/>
      <c r="XER46" s="44"/>
      <c r="XES46" s="44"/>
      <c r="XET46" s="44"/>
      <c r="XEU46" s="44"/>
      <c r="XEV46" s="44"/>
      <c r="XEW46" s="44"/>
      <c r="XEX46" s="44"/>
      <c r="XEY46" s="44"/>
      <c r="XEZ46" s="44"/>
      <c r="XFA46" s="44"/>
      <c r="XFB46" s="44"/>
      <c r="XFC46" s="44"/>
      <c r="XFD46" s="44"/>
    </row>
    <row r="47" spans="2:16384" x14ac:dyDescent="0.25">
      <c r="B47" s="44"/>
      <c r="C47" s="102"/>
      <c r="D47" s="44"/>
      <c r="E47" s="44"/>
      <c r="F47" s="44"/>
      <c r="G47" s="44"/>
      <c r="H47" s="44"/>
      <c r="I47" s="44"/>
      <c r="J47" s="44"/>
      <c r="L47" s="44"/>
      <c r="M47" s="44"/>
      <c r="N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c r="DJ47" s="44"/>
      <c r="DK47" s="44"/>
      <c r="DL47" s="44"/>
      <c r="DM47" s="44"/>
      <c r="DN47" s="44"/>
      <c r="DO47" s="44"/>
      <c r="DP47" s="44"/>
      <c r="DQ47" s="44"/>
      <c r="DR47" s="44"/>
      <c r="DS47" s="44"/>
      <c r="DT47" s="44"/>
      <c r="DU47" s="44"/>
      <c r="DV47" s="44"/>
      <c r="DW47" s="44"/>
      <c r="DX47" s="44"/>
      <c r="DY47" s="44"/>
      <c r="DZ47" s="44"/>
      <c r="EA47" s="44"/>
      <c r="EB47" s="44"/>
      <c r="EC47" s="44"/>
      <c r="ED47" s="44"/>
      <c r="EE47" s="44"/>
      <c r="EF47" s="44"/>
      <c r="EG47" s="44"/>
      <c r="EH47" s="44"/>
      <c r="EI47" s="44"/>
      <c r="EJ47" s="44"/>
      <c r="EK47" s="44"/>
      <c r="EL47" s="44"/>
      <c r="EM47" s="44"/>
      <c r="EN47" s="44"/>
      <c r="EO47" s="44"/>
      <c r="EP47" s="44"/>
      <c r="EQ47" s="44"/>
      <c r="ER47" s="44"/>
      <c r="ES47" s="44"/>
      <c r="ET47" s="44"/>
      <c r="EU47" s="44"/>
      <c r="EV47" s="44"/>
      <c r="EW47" s="44"/>
      <c r="EX47" s="44"/>
      <c r="EY47" s="44"/>
      <c r="EZ47" s="44"/>
      <c r="FA47" s="44"/>
      <c r="FB47" s="44"/>
      <c r="FC47" s="44"/>
      <c r="FD47" s="44"/>
      <c r="FE47" s="44"/>
      <c r="FF47" s="44"/>
      <c r="FG47" s="44"/>
      <c r="FH47" s="44"/>
      <c r="FI47" s="44"/>
      <c r="FJ47" s="44"/>
      <c r="FK47" s="44"/>
      <c r="FL47" s="44"/>
      <c r="FM47" s="44"/>
      <c r="FN47" s="44"/>
      <c r="FO47" s="44"/>
      <c r="FP47" s="44"/>
      <c r="FQ47" s="44"/>
      <c r="FR47" s="44"/>
      <c r="FS47" s="44"/>
      <c r="FT47" s="44"/>
      <c r="FU47" s="44"/>
      <c r="FV47" s="44"/>
      <c r="FW47" s="44"/>
      <c r="FX47" s="44"/>
      <c r="FY47" s="44"/>
      <c r="FZ47" s="44"/>
      <c r="GA47" s="44"/>
      <c r="GB47" s="44"/>
      <c r="GC47" s="44"/>
      <c r="GD47" s="44"/>
      <c r="GE47" s="44"/>
      <c r="GF47" s="44"/>
      <c r="GG47" s="44"/>
      <c r="GH47" s="44"/>
      <c r="GI47" s="44"/>
      <c r="GJ47" s="44"/>
      <c r="GK47" s="44"/>
      <c r="GL47" s="44"/>
      <c r="GM47" s="44"/>
      <c r="GN47" s="44"/>
      <c r="GO47" s="44"/>
      <c r="GP47" s="44"/>
      <c r="GQ47" s="44"/>
      <c r="GR47" s="44"/>
      <c r="GS47" s="44"/>
      <c r="GT47" s="44"/>
      <c r="GU47" s="44"/>
      <c r="GV47" s="44"/>
      <c r="GW47" s="44"/>
      <c r="GX47" s="44"/>
      <c r="GY47" s="44"/>
      <c r="GZ47" s="44"/>
      <c r="HA47" s="44"/>
      <c r="HB47" s="44"/>
      <c r="HC47" s="44"/>
      <c r="HD47" s="44"/>
      <c r="HE47" s="44"/>
      <c r="HF47" s="44"/>
      <c r="HG47" s="44"/>
      <c r="HH47" s="44"/>
      <c r="HI47" s="44"/>
      <c r="HJ47" s="44"/>
      <c r="HK47" s="44"/>
      <c r="HL47" s="44"/>
      <c r="HM47" s="44"/>
      <c r="HN47" s="44"/>
      <c r="HO47" s="44"/>
      <c r="HP47" s="44"/>
      <c r="HQ47" s="44"/>
      <c r="HR47" s="44"/>
      <c r="HS47" s="44"/>
      <c r="HT47" s="44"/>
      <c r="HU47" s="44"/>
      <c r="HV47" s="44"/>
      <c r="HW47" s="44"/>
      <c r="HX47" s="44"/>
      <c r="HY47" s="44"/>
      <c r="HZ47" s="44"/>
      <c r="IA47" s="44"/>
      <c r="IB47" s="44"/>
      <c r="IC47" s="44"/>
      <c r="ID47" s="44"/>
      <c r="IE47" s="44"/>
      <c r="IF47" s="44"/>
      <c r="IG47" s="44"/>
      <c r="IH47" s="44"/>
      <c r="II47" s="44"/>
      <c r="IJ47" s="44"/>
      <c r="IK47" s="44"/>
      <c r="IL47" s="44"/>
      <c r="IM47" s="44"/>
      <c r="IN47" s="44"/>
      <c r="IO47" s="44"/>
      <c r="IP47" s="44"/>
      <c r="IQ47" s="44"/>
      <c r="IR47" s="44"/>
      <c r="IS47" s="44"/>
      <c r="IT47" s="44"/>
      <c r="IU47" s="44"/>
      <c r="IV47" s="44"/>
      <c r="IW47" s="44"/>
      <c r="IX47" s="44"/>
      <c r="IY47" s="44"/>
      <c r="IZ47" s="44"/>
      <c r="JA47" s="44"/>
      <c r="JB47" s="44"/>
      <c r="JC47" s="44"/>
      <c r="JD47" s="44"/>
      <c r="JE47" s="44"/>
      <c r="JF47" s="44"/>
      <c r="JG47" s="44"/>
      <c r="JH47" s="44"/>
      <c r="JI47" s="44"/>
      <c r="JJ47" s="44"/>
      <c r="JK47" s="44"/>
      <c r="JL47" s="44"/>
      <c r="JM47" s="44"/>
      <c r="JN47" s="44"/>
      <c r="JO47" s="44"/>
      <c r="JP47" s="44"/>
      <c r="JQ47" s="44"/>
      <c r="JR47" s="44"/>
      <c r="JS47" s="44"/>
      <c r="JT47" s="44"/>
      <c r="JU47" s="44"/>
      <c r="JV47" s="44"/>
      <c r="JW47" s="44"/>
      <c r="JX47" s="44"/>
      <c r="JY47" s="44"/>
      <c r="JZ47" s="44"/>
      <c r="KA47" s="44"/>
      <c r="KB47" s="44"/>
      <c r="KC47" s="44"/>
      <c r="KD47" s="44"/>
      <c r="KE47" s="44"/>
      <c r="KF47" s="44"/>
      <c r="KG47" s="44"/>
      <c r="KH47" s="44"/>
      <c r="KI47" s="44"/>
      <c r="KJ47" s="44"/>
      <c r="KK47" s="44"/>
      <c r="KL47" s="44"/>
      <c r="KM47" s="44"/>
      <c r="KN47" s="44"/>
      <c r="KO47" s="44"/>
      <c r="KP47" s="44"/>
      <c r="KQ47" s="44"/>
      <c r="KR47" s="44"/>
      <c r="KS47" s="44"/>
      <c r="KT47" s="44"/>
      <c r="KU47" s="44"/>
      <c r="KV47" s="44"/>
      <c r="KW47" s="44"/>
      <c r="KX47" s="44"/>
      <c r="KY47" s="44"/>
      <c r="KZ47" s="44"/>
      <c r="LA47" s="44"/>
      <c r="LB47" s="44"/>
      <c r="LC47" s="44"/>
      <c r="LD47" s="44"/>
      <c r="LE47" s="44"/>
      <c r="LF47" s="44"/>
      <c r="LG47" s="44"/>
      <c r="LH47" s="44"/>
      <c r="LI47" s="44"/>
      <c r="LJ47" s="44"/>
      <c r="LK47" s="44"/>
      <c r="LL47" s="44"/>
      <c r="LM47" s="44"/>
      <c r="LN47" s="44"/>
      <c r="LO47" s="44"/>
      <c r="LP47" s="44"/>
      <c r="LQ47" s="44"/>
      <c r="LR47" s="44"/>
      <c r="LS47" s="44"/>
      <c r="LT47" s="44"/>
      <c r="LU47" s="44"/>
      <c r="LV47" s="44"/>
      <c r="LW47" s="44"/>
      <c r="LX47" s="44"/>
      <c r="LY47" s="44"/>
      <c r="LZ47" s="44"/>
      <c r="MA47" s="44"/>
      <c r="MB47" s="44"/>
      <c r="MC47" s="44"/>
      <c r="MD47" s="44"/>
      <c r="ME47" s="44"/>
      <c r="MF47" s="44"/>
      <c r="MG47" s="44"/>
      <c r="MH47" s="44"/>
      <c r="MI47" s="44"/>
      <c r="MJ47" s="44"/>
      <c r="MK47" s="44"/>
      <c r="ML47" s="44"/>
      <c r="MM47" s="44"/>
      <c r="MN47" s="44"/>
      <c r="MO47" s="44"/>
      <c r="MP47" s="44"/>
      <c r="MQ47" s="44"/>
      <c r="MR47" s="44"/>
      <c r="MS47" s="44"/>
      <c r="MT47" s="44"/>
      <c r="MU47" s="44"/>
      <c r="MV47" s="44"/>
      <c r="MW47" s="44"/>
      <c r="MX47" s="44"/>
      <c r="MY47" s="44"/>
      <c r="MZ47" s="44"/>
      <c r="NA47" s="44"/>
      <c r="NB47" s="44"/>
      <c r="NC47" s="44"/>
      <c r="ND47" s="44"/>
      <c r="NE47" s="44"/>
      <c r="NF47" s="44"/>
      <c r="NG47" s="44"/>
      <c r="NH47" s="44"/>
      <c r="NI47" s="44"/>
      <c r="NJ47" s="44"/>
      <c r="NK47" s="44"/>
      <c r="NL47" s="44"/>
      <c r="NM47" s="44"/>
      <c r="NN47" s="44"/>
      <c r="NO47" s="44"/>
      <c r="NP47" s="44"/>
      <c r="NQ47" s="44"/>
      <c r="NR47" s="44"/>
      <c r="NS47" s="44"/>
      <c r="NT47" s="44"/>
      <c r="NU47" s="44"/>
      <c r="NV47" s="44"/>
      <c r="NW47" s="44"/>
      <c r="NX47" s="44"/>
      <c r="NY47" s="44"/>
      <c r="NZ47" s="44"/>
      <c r="OA47" s="44"/>
      <c r="OB47" s="44"/>
      <c r="OC47" s="44"/>
      <c r="OD47" s="44"/>
      <c r="OE47" s="44"/>
      <c r="OF47" s="44"/>
      <c r="OG47" s="44"/>
      <c r="OH47" s="44"/>
      <c r="OI47" s="44"/>
      <c r="OJ47" s="44"/>
      <c r="OK47" s="44"/>
      <c r="OL47" s="44"/>
      <c r="OM47" s="44"/>
      <c r="ON47" s="44"/>
      <c r="OO47" s="44"/>
      <c r="OP47" s="44"/>
      <c r="OQ47" s="44"/>
      <c r="OR47" s="44"/>
      <c r="OS47" s="44"/>
      <c r="OT47" s="44"/>
      <c r="OU47" s="44"/>
      <c r="OV47" s="44"/>
      <c r="OW47" s="44"/>
      <c r="OX47" s="44"/>
      <c r="OY47" s="44"/>
      <c r="OZ47" s="44"/>
      <c r="PA47" s="44"/>
      <c r="PB47" s="44"/>
      <c r="PC47" s="44"/>
      <c r="PD47" s="44"/>
      <c r="PE47" s="44"/>
      <c r="PF47" s="44"/>
      <c r="PG47" s="44"/>
      <c r="PH47" s="44"/>
      <c r="PI47" s="44"/>
      <c r="PJ47" s="44"/>
      <c r="PK47" s="44"/>
      <c r="PL47" s="44"/>
      <c r="PM47" s="44"/>
      <c r="PN47" s="44"/>
      <c r="PO47" s="44"/>
      <c r="PP47" s="44"/>
      <c r="PQ47" s="44"/>
      <c r="PR47" s="44"/>
      <c r="PS47" s="44"/>
      <c r="PT47" s="44"/>
      <c r="PU47" s="44"/>
      <c r="PV47" s="44"/>
      <c r="PW47" s="44"/>
      <c r="PX47" s="44"/>
      <c r="PY47" s="44"/>
      <c r="PZ47" s="44"/>
      <c r="QA47" s="44"/>
      <c r="QB47" s="44"/>
      <c r="QC47" s="44"/>
      <c r="QD47" s="44"/>
      <c r="QE47" s="44"/>
      <c r="QF47" s="44"/>
      <c r="QG47" s="44"/>
      <c r="QH47" s="44"/>
      <c r="QI47" s="44"/>
      <c r="QJ47" s="44"/>
      <c r="QK47" s="44"/>
      <c r="QL47" s="44"/>
      <c r="QM47" s="44"/>
      <c r="QN47" s="44"/>
      <c r="QO47" s="44"/>
      <c r="QP47" s="44"/>
      <c r="QQ47" s="44"/>
      <c r="QR47" s="44"/>
      <c r="QS47" s="44"/>
      <c r="QT47" s="44"/>
      <c r="QU47" s="44"/>
      <c r="QV47" s="44"/>
      <c r="QW47" s="44"/>
      <c r="QX47" s="44"/>
      <c r="QY47" s="44"/>
      <c r="QZ47" s="44"/>
      <c r="RA47" s="44"/>
      <c r="RB47" s="44"/>
      <c r="RC47" s="44"/>
      <c r="RD47" s="44"/>
      <c r="RE47" s="44"/>
      <c r="RF47" s="44"/>
      <c r="RG47" s="44"/>
      <c r="RH47" s="44"/>
      <c r="RI47" s="44"/>
      <c r="RJ47" s="44"/>
      <c r="RK47" s="44"/>
      <c r="RL47" s="44"/>
      <c r="RM47" s="44"/>
      <c r="RN47" s="44"/>
      <c r="RO47" s="44"/>
      <c r="RP47" s="44"/>
      <c r="RQ47" s="44"/>
      <c r="RR47" s="44"/>
      <c r="RS47" s="44"/>
      <c r="RT47" s="44"/>
      <c r="RU47" s="44"/>
      <c r="RV47" s="44"/>
      <c r="RW47" s="44"/>
      <c r="RX47" s="44"/>
      <c r="RY47" s="44"/>
      <c r="RZ47" s="44"/>
      <c r="SA47" s="44"/>
      <c r="SB47" s="44"/>
      <c r="SC47" s="44"/>
      <c r="SD47" s="44"/>
      <c r="SE47" s="44"/>
      <c r="SF47" s="44"/>
      <c r="SG47" s="44"/>
      <c r="SH47" s="44"/>
      <c r="SI47" s="44"/>
      <c r="SJ47" s="44"/>
      <c r="SK47" s="44"/>
      <c r="SL47" s="44"/>
      <c r="SM47" s="44"/>
      <c r="SN47" s="44"/>
      <c r="SO47" s="44"/>
      <c r="SP47" s="44"/>
      <c r="SQ47" s="44"/>
      <c r="SR47" s="44"/>
      <c r="SS47" s="44"/>
      <c r="ST47" s="44"/>
      <c r="SU47" s="44"/>
      <c r="SV47" s="44"/>
      <c r="SW47" s="44"/>
      <c r="SX47" s="44"/>
      <c r="SY47" s="44"/>
      <c r="SZ47" s="44"/>
      <c r="TA47" s="44"/>
      <c r="TB47" s="44"/>
      <c r="TC47" s="44"/>
      <c r="TD47" s="44"/>
      <c r="TE47" s="44"/>
      <c r="TF47" s="44"/>
      <c r="TG47" s="44"/>
      <c r="TH47" s="44"/>
      <c r="TI47" s="44"/>
      <c r="TJ47" s="44"/>
      <c r="TK47" s="44"/>
      <c r="TL47" s="44"/>
      <c r="TM47" s="44"/>
      <c r="TN47" s="44"/>
      <c r="TO47" s="44"/>
      <c r="TP47" s="44"/>
      <c r="TQ47" s="44"/>
      <c r="TR47" s="44"/>
      <c r="TS47" s="44"/>
      <c r="TT47" s="44"/>
      <c r="TU47" s="44"/>
      <c r="TV47" s="44"/>
      <c r="TW47" s="44"/>
      <c r="TX47" s="44"/>
      <c r="TY47" s="44"/>
      <c r="TZ47" s="44"/>
      <c r="UA47" s="44"/>
      <c r="UB47" s="44"/>
      <c r="UC47" s="44"/>
      <c r="UD47" s="44"/>
      <c r="UE47" s="44"/>
      <c r="UF47" s="44"/>
      <c r="UG47" s="44"/>
      <c r="UH47" s="44"/>
      <c r="UI47" s="44"/>
      <c r="UJ47" s="44"/>
      <c r="UK47" s="44"/>
      <c r="UL47" s="44"/>
      <c r="UM47" s="44"/>
      <c r="UN47" s="44"/>
      <c r="UO47" s="44"/>
      <c r="UP47" s="44"/>
      <c r="UQ47" s="44"/>
      <c r="UR47" s="44"/>
      <c r="US47" s="44"/>
      <c r="UT47" s="44"/>
      <c r="UU47" s="44"/>
      <c r="UV47" s="44"/>
      <c r="UW47" s="44"/>
      <c r="UX47" s="44"/>
      <c r="UY47" s="44"/>
      <c r="UZ47" s="44"/>
      <c r="VA47" s="44"/>
      <c r="VB47" s="44"/>
      <c r="VC47" s="44"/>
      <c r="VD47" s="44"/>
      <c r="VE47" s="44"/>
      <c r="VF47" s="44"/>
      <c r="VG47" s="44"/>
      <c r="VH47" s="44"/>
      <c r="VI47" s="44"/>
      <c r="VJ47" s="44"/>
      <c r="VK47" s="44"/>
      <c r="VL47" s="44"/>
      <c r="VM47" s="44"/>
      <c r="VN47" s="44"/>
      <c r="VO47" s="44"/>
      <c r="VP47" s="44"/>
      <c r="VQ47" s="44"/>
      <c r="VR47" s="44"/>
      <c r="VS47" s="44"/>
      <c r="VT47" s="44"/>
      <c r="VU47" s="44"/>
      <c r="VV47" s="44"/>
      <c r="VW47" s="44"/>
      <c r="VX47" s="44"/>
      <c r="VY47" s="44"/>
      <c r="VZ47" s="44"/>
      <c r="WA47" s="44"/>
      <c r="WB47" s="44"/>
      <c r="WC47" s="44"/>
      <c r="WD47" s="44"/>
      <c r="WE47" s="44"/>
      <c r="WF47" s="44"/>
      <c r="WG47" s="44"/>
      <c r="WH47" s="44"/>
      <c r="WI47" s="44"/>
      <c r="WJ47" s="44"/>
      <c r="WK47" s="44"/>
      <c r="WL47" s="44"/>
      <c r="WM47" s="44"/>
      <c r="WN47" s="44"/>
      <c r="WO47" s="44"/>
      <c r="WP47" s="44"/>
      <c r="WQ47" s="44"/>
      <c r="WR47" s="44"/>
      <c r="WS47" s="44"/>
      <c r="WT47" s="44"/>
      <c r="WU47" s="44"/>
      <c r="WV47" s="44"/>
      <c r="WW47" s="44"/>
      <c r="WX47" s="44"/>
      <c r="WY47" s="44"/>
      <c r="WZ47" s="44"/>
      <c r="XA47" s="44"/>
      <c r="XB47" s="44"/>
      <c r="XC47" s="44"/>
      <c r="XD47" s="44"/>
      <c r="XE47" s="44"/>
      <c r="XF47" s="44"/>
      <c r="XG47" s="44"/>
      <c r="XH47" s="44"/>
      <c r="XI47" s="44"/>
      <c r="XJ47" s="44"/>
      <c r="XK47" s="44"/>
      <c r="XL47" s="44"/>
      <c r="XM47" s="44"/>
      <c r="XN47" s="44"/>
      <c r="XO47" s="44"/>
      <c r="XP47" s="44"/>
      <c r="XQ47" s="44"/>
      <c r="XR47" s="44"/>
      <c r="XS47" s="44"/>
      <c r="XT47" s="44"/>
      <c r="XU47" s="44"/>
      <c r="XV47" s="44"/>
      <c r="XW47" s="44"/>
      <c r="XX47" s="44"/>
      <c r="XY47" s="44"/>
      <c r="XZ47" s="44"/>
      <c r="YA47" s="44"/>
      <c r="YB47" s="44"/>
      <c r="YC47" s="44"/>
      <c r="YD47" s="44"/>
      <c r="YE47" s="44"/>
      <c r="YF47" s="44"/>
      <c r="YG47" s="44"/>
      <c r="YH47" s="44"/>
      <c r="YI47" s="44"/>
      <c r="YJ47" s="44"/>
      <c r="YK47" s="44"/>
      <c r="YL47" s="44"/>
      <c r="YM47" s="44"/>
      <c r="YN47" s="44"/>
      <c r="YO47" s="44"/>
      <c r="YP47" s="44"/>
      <c r="YQ47" s="44"/>
      <c r="YR47" s="44"/>
      <c r="YS47" s="44"/>
      <c r="YT47" s="44"/>
      <c r="YU47" s="44"/>
      <c r="YV47" s="44"/>
      <c r="YW47" s="44"/>
      <c r="YX47" s="44"/>
      <c r="YY47" s="44"/>
      <c r="YZ47" s="44"/>
      <c r="ZA47" s="44"/>
      <c r="ZB47" s="44"/>
      <c r="ZC47" s="44"/>
      <c r="ZD47" s="44"/>
      <c r="ZE47" s="44"/>
      <c r="ZF47" s="44"/>
      <c r="ZG47" s="44"/>
      <c r="ZH47" s="44"/>
      <c r="ZI47" s="44"/>
      <c r="ZJ47" s="44"/>
      <c r="ZK47" s="44"/>
      <c r="ZL47" s="44"/>
      <c r="ZM47" s="44"/>
      <c r="ZN47" s="44"/>
      <c r="ZO47" s="44"/>
      <c r="ZP47" s="44"/>
      <c r="ZQ47" s="44"/>
      <c r="ZR47" s="44"/>
      <c r="ZS47" s="44"/>
      <c r="ZT47" s="44"/>
      <c r="ZU47" s="44"/>
      <c r="ZV47" s="44"/>
      <c r="ZW47" s="44"/>
      <c r="ZX47" s="44"/>
      <c r="ZY47" s="44"/>
      <c r="ZZ47" s="44"/>
      <c r="AAA47" s="44"/>
      <c r="AAB47" s="44"/>
      <c r="AAC47" s="44"/>
      <c r="AAD47" s="44"/>
      <c r="AAE47" s="44"/>
      <c r="AAF47" s="44"/>
      <c r="AAG47" s="44"/>
      <c r="AAH47" s="44"/>
      <c r="AAI47" s="44"/>
      <c r="AAJ47" s="44"/>
      <c r="AAK47" s="44"/>
      <c r="AAL47" s="44"/>
      <c r="AAM47" s="44"/>
      <c r="AAN47" s="44"/>
      <c r="AAO47" s="44"/>
      <c r="AAP47" s="44"/>
      <c r="AAQ47" s="44"/>
      <c r="AAR47" s="44"/>
      <c r="AAS47" s="44"/>
      <c r="AAT47" s="44"/>
      <c r="AAU47" s="44"/>
      <c r="AAV47" s="44"/>
      <c r="AAW47" s="44"/>
      <c r="AAX47" s="44"/>
      <c r="AAY47" s="44"/>
      <c r="AAZ47" s="44"/>
      <c r="ABA47" s="44"/>
      <c r="ABB47" s="44"/>
      <c r="ABC47" s="44"/>
      <c r="ABD47" s="44"/>
      <c r="ABE47" s="44"/>
      <c r="ABF47" s="44"/>
      <c r="ABG47" s="44"/>
      <c r="ABH47" s="44"/>
      <c r="ABI47" s="44"/>
      <c r="ABJ47" s="44"/>
      <c r="ABK47" s="44"/>
      <c r="ABL47" s="44"/>
      <c r="ABM47" s="44"/>
      <c r="ABN47" s="44"/>
      <c r="ABO47" s="44"/>
      <c r="ABP47" s="44"/>
      <c r="ABQ47" s="44"/>
      <c r="ABR47" s="44"/>
      <c r="ABS47" s="44"/>
      <c r="ABT47" s="44"/>
      <c r="ABU47" s="44"/>
      <c r="ABV47" s="44"/>
      <c r="ABW47" s="44"/>
      <c r="ABX47" s="44"/>
      <c r="ABY47" s="44"/>
      <c r="ABZ47" s="44"/>
      <c r="ACA47" s="44"/>
      <c r="ACB47" s="44"/>
      <c r="ACC47" s="44"/>
      <c r="ACD47" s="44"/>
      <c r="ACE47" s="44"/>
      <c r="ACF47" s="44"/>
      <c r="ACG47" s="44"/>
      <c r="ACH47" s="44"/>
      <c r="ACI47" s="44"/>
      <c r="ACJ47" s="44"/>
      <c r="ACK47" s="44"/>
      <c r="ACL47" s="44"/>
      <c r="ACM47" s="44"/>
      <c r="ACN47" s="44"/>
      <c r="ACO47" s="44"/>
      <c r="ACP47" s="44"/>
      <c r="ACQ47" s="44"/>
      <c r="ACR47" s="44"/>
      <c r="ACS47" s="44"/>
      <c r="ACT47" s="44"/>
      <c r="ACU47" s="44"/>
      <c r="ACV47" s="44"/>
      <c r="ACW47" s="44"/>
      <c r="ACX47" s="44"/>
      <c r="ACY47" s="44"/>
      <c r="ACZ47" s="44"/>
      <c r="ADA47" s="44"/>
      <c r="ADB47" s="44"/>
      <c r="ADC47" s="44"/>
      <c r="ADD47" s="44"/>
      <c r="ADE47" s="44"/>
      <c r="ADF47" s="44"/>
      <c r="ADG47" s="44"/>
      <c r="ADH47" s="44"/>
      <c r="ADI47" s="44"/>
      <c r="ADJ47" s="44"/>
      <c r="ADK47" s="44"/>
      <c r="ADL47" s="44"/>
      <c r="ADM47" s="44"/>
      <c r="ADN47" s="44"/>
      <c r="ADO47" s="44"/>
      <c r="ADP47" s="44"/>
      <c r="ADQ47" s="44"/>
      <c r="ADR47" s="44"/>
      <c r="ADS47" s="44"/>
      <c r="ADT47" s="44"/>
      <c r="ADU47" s="44"/>
      <c r="ADV47" s="44"/>
      <c r="ADW47" s="44"/>
      <c r="ADX47" s="44"/>
      <c r="ADY47" s="44"/>
      <c r="ADZ47" s="44"/>
      <c r="AEA47" s="44"/>
      <c r="AEB47" s="44"/>
      <c r="AEC47" s="44"/>
      <c r="AED47" s="44"/>
      <c r="AEE47" s="44"/>
      <c r="AEF47" s="44"/>
      <c r="AEG47" s="44"/>
      <c r="AEH47" s="44"/>
      <c r="AEI47" s="44"/>
      <c r="AEJ47" s="44"/>
      <c r="AEK47" s="44"/>
      <c r="AEL47" s="44"/>
      <c r="AEM47" s="44"/>
      <c r="AEN47" s="44"/>
      <c r="AEO47" s="44"/>
      <c r="AEP47" s="44"/>
      <c r="AEQ47" s="44"/>
      <c r="AER47" s="44"/>
      <c r="AES47" s="44"/>
      <c r="AET47" s="44"/>
      <c r="AEU47" s="44"/>
      <c r="AEV47" s="44"/>
      <c r="AEW47" s="44"/>
      <c r="AEX47" s="44"/>
      <c r="AEY47" s="44"/>
      <c r="AEZ47" s="44"/>
      <c r="AFA47" s="44"/>
      <c r="AFB47" s="44"/>
      <c r="AFC47" s="44"/>
      <c r="AFD47" s="44"/>
      <c r="AFE47" s="44"/>
      <c r="AFF47" s="44"/>
      <c r="AFG47" s="44"/>
      <c r="AFH47" s="44"/>
      <c r="AFI47" s="44"/>
      <c r="AFJ47" s="44"/>
      <c r="AFK47" s="44"/>
      <c r="AFL47" s="44"/>
      <c r="AFM47" s="44"/>
      <c r="AFN47" s="44"/>
      <c r="AFO47" s="44"/>
      <c r="AFP47" s="44"/>
      <c r="AFQ47" s="44"/>
      <c r="AFR47" s="44"/>
      <c r="AFS47" s="44"/>
      <c r="AFT47" s="44"/>
      <c r="AFU47" s="44"/>
      <c r="AFV47" s="44"/>
      <c r="AFW47" s="44"/>
      <c r="AFX47" s="44"/>
      <c r="AFY47" s="44"/>
      <c r="AFZ47" s="44"/>
      <c r="AGA47" s="44"/>
      <c r="AGB47" s="44"/>
      <c r="AGC47" s="44"/>
      <c r="AGD47" s="44"/>
      <c r="AGE47" s="44"/>
      <c r="AGF47" s="44"/>
      <c r="AGG47" s="44"/>
      <c r="AGH47" s="44"/>
      <c r="AGI47" s="44"/>
      <c r="AGJ47" s="44"/>
      <c r="AGK47" s="44"/>
      <c r="AGL47" s="44"/>
      <c r="AGM47" s="44"/>
      <c r="AGN47" s="44"/>
      <c r="AGO47" s="44"/>
      <c r="AGP47" s="44"/>
      <c r="AGQ47" s="44"/>
      <c r="AGR47" s="44"/>
      <c r="AGS47" s="44"/>
      <c r="AGT47" s="44"/>
      <c r="AGU47" s="44"/>
      <c r="AGV47" s="44"/>
      <c r="AGW47" s="44"/>
      <c r="AGX47" s="44"/>
      <c r="AGY47" s="44"/>
      <c r="AGZ47" s="44"/>
      <c r="AHA47" s="44"/>
      <c r="AHB47" s="44"/>
      <c r="AHC47" s="44"/>
      <c r="AHD47" s="44"/>
      <c r="AHE47" s="44"/>
      <c r="AHF47" s="44"/>
      <c r="AHG47" s="44"/>
      <c r="AHH47" s="44"/>
      <c r="AHI47" s="44"/>
      <c r="AHJ47" s="44"/>
      <c r="AHK47" s="44"/>
      <c r="AHL47" s="44"/>
      <c r="AHM47" s="44"/>
      <c r="AHN47" s="44"/>
      <c r="AHO47" s="44"/>
      <c r="AHP47" s="44"/>
      <c r="AHQ47" s="44"/>
      <c r="AHR47" s="44"/>
      <c r="AHS47" s="44"/>
      <c r="AHT47" s="44"/>
      <c r="AHU47" s="44"/>
      <c r="AHV47" s="44"/>
      <c r="AHW47" s="44"/>
      <c r="AHX47" s="44"/>
      <c r="AHY47" s="44"/>
      <c r="AHZ47" s="44"/>
      <c r="AIA47" s="44"/>
      <c r="AIB47" s="44"/>
      <c r="AIC47" s="44"/>
      <c r="AID47" s="44"/>
      <c r="AIE47" s="44"/>
      <c r="AIF47" s="44"/>
      <c r="AIG47" s="44"/>
      <c r="AIH47" s="44"/>
      <c r="AII47" s="44"/>
      <c r="AIJ47" s="44"/>
      <c r="AIK47" s="44"/>
      <c r="AIL47" s="44"/>
      <c r="AIM47" s="44"/>
      <c r="AIN47" s="44"/>
      <c r="AIO47" s="44"/>
      <c r="AIP47" s="44"/>
      <c r="AIQ47" s="44"/>
      <c r="AIR47" s="44"/>
      <c r="AIS47" s="44"/>
      <c r="AIT47" s="44"/>
      <c r="AIU47" s="44"/>
      <c r="AIV47" s="44"/>
      <c r="AIW47" s="44"/>
      <c r="AIX47" s="44"/>
      <c r="AIY47" s="44"/>
      <c r="AIZ47" s="44"/>
      <c r="AJA47" s="44"/>
      <c r="AJB47" s="44"/>
      <c r="AJC47" s="44"/>
      <c r="AJD47" s="44"/>
      <c r="AJE47" s="44"/>
      <c r="AJF47" s="44"/>
      <c r="AJG47" s="44"/>
      <c r="AJH47" s="44"/>
      <c r="AJI47" s="44"/>
      <c r="AJJ47" s="44"/>
      <c r="AJK47" s="44"/>
      <c r="AJL47" s="44"/>
      <c r="AJM47" s="44"/>
      <c r="AJN47" s="44"/>
      <c r="AJO47" s="44"/>
      <c r="AJP47" s="44"/>
      <c r="AJQ47" s="44"/>
      <c r="AJR47" s="44"/>
      <c r="AJS47" s="44"/>
      <c r="AJT47" s="44"/>
      <c r="AJU47" s="44"/>
      <c r="AJV47" s="44"/>
      <c r="AJW47" s="44"/>
      <c r="AJX47" s="44"/>
      <c r="AJY47" s="44"/>
      <c r="AJZ47" s="44"/>
      <c r="AKA47" s="44"/>
      <c r="AKB47" s="44"/>
      <c r="AKC47" s="44"/>
      <c r="AKD47" s="44"/>
      <c r="AKE47" s="44"/>
      <c r="AKF47" s="44"/>
      <c r="AKG47" s="44"/>
      <c r="AKH47" s="44"/>
      <c r="AKI47" s="44"/>
      <c r="AKJ47" s="44"/>
      <c r="AKK47" s="44"/>
      <c r="AKL47" s="44"/>
      <c r="AKM47" s="44"/>
      <c r="AKN47" s="44"/>
      <c r="AKO47" s="44"/>
      <c r="AKP47" s="44"/>
      <c r="AKQ47" s="44"/>
      <c r="AKR47" s="44"/>
      <c r="AKS47" s="44"/>
      <c r="AKT47" s="44"/>
      <c r="AKU47" s="44"/>
      <c r="AKV47" s="44"/>
      <c r="AKW47" s="44"/>
      <c r="AKX47" s="44"/>
      <c r="AKY47" s="44"/>
      <c r="AKZ47" s="44"/>
      <c r="ALA47" s="44"/>
      <c r="ALB47" s="44"/>
      <c r="ALC47" s="44"/>
      <c r="ALD47" s="44"/>
      <c r="ALE47" s="44"/>
      <c r="ALF47" s="44"/>
      <c r="ALG47" s="44"/>
      <c r="ALH47" s="44"/>
      <c r="ALI47" s="44"/>
      <c r="ALJ47" s="44"/>
      <c r="ALK47" s="44"/>
      <c r="ALL47" s="44"/>
      <c r="ALM47" s="44"/>
      <c r="ALN47" s="44"/>
      <c r="ALO47" s="44"/>
      <c r="ALP47" s="44"/>
      <c r="ALQ47" s="44"/>
      <c r="ALR47" s="44"/>
      <c r="ALS47" s="44"/>
      <c r="ALT47" s="44"/>
      <c r="ALU47" s="44"/>
      <c r="ALV47" s="44"/>
      <c r="ALW47" s="44"/>
      <c r="ALX47" s="44"/>
      <c r="ALY47" s="44"/>
      <c r="ALZ47" s="44"/>
      <c r="AMA47" s="44"/>
      <c r="AMB47" s="44"/>
      <c r="AMC47" s="44"/>
      <c r="AMD47" s="44"/>
      <c r="AME47" s="44"/>
      <c r="AMF47" s="44"/>
      <c r="AMG47" s="44"/>
      <c r="AMH47" s="44"/>
      <c r="AMI47" s="44"/>
      <c r="AMJ47" s="44"/>
      <c r="AMK47" s="44"/>
      <c r="AML47" s="44"/>
      <c r="AMM47" s="44"/>
      <c r="AMN47" s="44"/>
      <c r="AMO47" s="44"/>
      <c r="AMP47" s="44"/>
      <c r="AMQ47" s="44"/>
      <c r="AMR47" s="44"/>
      <c r="AMS47" s="44"/>
      <c r="AMT47" s="44"/>
      <c r="AMU47" s="44"/>
      <c r="AMV47" s="44"/>
      <c r="AMW47" s="44"/>
      <c r="AMX47" s="44"/>
      <c r="AMY47" s="44"/>
      <c r="AMZ47" s="44"/>
      <c r="ANA47" s="44"/>
      <c r="ANB47" s="44"/>
      <c r="ANC47" s="44"/>
      <c r="AND47" s="44"/>
      <c r="ANE47" s="44"/>
      <c r="ANF47" s="44"/>
      <c r="ANG47" s="44"/>
      <c r="ANH47" s="44"/>
      <c r="ANI47" s="44"/>
      <c r="ANJ47" s="44"/>
      <c r="ANK47" s="44"/>
      <c r="ANL47" s="44"/>
      <c r="ANM47" s="44"/>
      <c r="ANN47" s="44"/>
      <c r="ANO47" s="44"/>
      <c r="ANP47" s="44"/>
      <c r="ANQ47" s="44"/>
      <c r="ANR47" s="44"/>
      <c r="ANS47" s="44"/>
      <c r="ANT47" s="44"/>
      <c r="ANU47" s="44"/>
      <c r="ANV47" s="44"/>
      <c r="ANW47" s="44"/>
      <c r="ANX47" s="44"/>
      <c r="ANY47" s="44"/>
      <c r="ANZ47" s="44"/>
      <c r="AOA47" s="44"/>
      <c r="AOB47" s="44"/>
      <c r="AOC47" s="44"/>
      <c r="AOD47" s="44"/>
      <c r="AOE47" s="44"/>
      <c r="AOF47" s="44"/>
      <c r="AOG47" s="44"/>
      <c r="AOH47" s="44"/>
      <c r="AOI47" s="44"/>
      <c r="AOJ47" s="44"/>
      <c r="AOK47" s="44"/>
      <c r="AOL47" s="44"/>
      <c r="AOM47" s="44"/>
      <c r="AON47" s="44"/>
      <c r="AOO47" s="44"/>
      <c r="AOP47" s="44"/>
      <c r="AOQ47" s="44"/>
      <c r="AOR47" s="44"/>
      <c r="AOS47" s="44"/>
      <c r="AOT47" s="44"/>
      <c r="AOU47" s="44"/>
      <c r="AOV47" s="44"/>
      <c r="AOW47" s="44"/>
      <c r="AOX47" s="44"/>
      <c r="AOY47" s="44"/>
      <c r="AOZ47" s="44"/>
      <c r="APA47" s="44"/>
      <c r="APB47" s="44"/>
      <c r="APC47" s="44"/>
      <c r="APD47" s="44"/>
      <c r="APE47" s="44"/>
      <c r="APF47" s="44"/>
      <c r="APG47" s="44"/>
      <c r="APH47" s="44"/>
      <c r="API47" s="44"/>
      <c r="APJ47" s="44"/>
      <c r="APK47" s="44"/>
      <c r="APL47" s="44"/>
      <c r="APM47" s="44"/>
      <c r="APN47" s="44"/>
      <c r="APO47" s="44"/>
      <c r="APP47" s="44"/>
      <c r="APQ47" s="44"/>
      <c r="APR47" s="44"/>
      <c r="APS47" s="44"/>
      <c r="APT47" s="44"/>
      <c r="APU47" s="44"/>
      <c r="APV47" s="44"/>
      <c r="APW47" s="44"/>
      <c r="APX47" s="44"/>
      <c r="APY47" s="44"/>
      <c r="APZ47" s="44"/>
      <c r="AQA47" s="44"/>
      <c r="AQB47" s="44"/>
      <c r="AQC47" s="44"/>
      <c r="AQD47" s="44"/>
      <c r="AQE47" s="44"/>
      <c r="AQF47" s="44"/>
      <c r="AQG47" s="44"/>
      <c r="AQH47" s="44"/>
      <c r="AQI47" s="44"/>
      <c r="AQJ47" s="44"/>
      <c r="AQK47" s="44"/>
      <c r="AQL47" s="44"/>
      <c r="AQM47" s="44"/>
      <c r="AQN47" s="44"/>
      <c r="AQO47" s="44"/>
      <c r="AQP47" s="44"/>
      <c r="AQQ47" s="44"/>
      <c r="AQR47" s="44"/>
      <c r="AQS47" s="44"/>
      <c r="AQT47" s="44"/>
      <c r="AQU47" s="44"/>
      <c r="AQV47" s="44"/>
      <c r="AQW47" s="44"/>
      <c r="AQX47" s="44"/>
      <c r="AQY47" s="44"/>
      <c r="AQZ47" s="44"/>
      <c r="ARA47" s="44"/>
      <c r="ARB47" s="44"/>
      <c r="ARC47" s="44"/>
      <c r="ARD47" s="44"/>
      <c r="ARE47" s="44"/>
      <c r="ARF47" s="44"/>
      <c r="ARG47" s="44"/>
      <c r="ARH47" s="44"/>
      <c r="ARI47" s="44"/>
      <c r="ARJ47" s="44"/>
      <c r="ARK47" s="44"/>
      <c r="ARL47" s="44"/>
      <c r="ARM47" s="44"/>
      <c r="ARN47" s="44"/>
      <c r="ARO47" s="44"/>
      <c r="ARP47" s="44"/>
      <c r="ARQ47" s="44"/>
      <c r="ARR47" s="44"/>
      <c r="ARS47" s="44"/>
      <c r="ART47" s="44"/>
      <c r="ARU47" s="44"/>
      <c r="ARV47" s="44"/>
      <c r="ARW47" s="44"/>
      <c r="ARX47" s="44"/>
      <c r="ARY47" s="44"/>
      <c r="ARZ47" s="44"/>
      <c r="ASA47" s="44"/>
      <c r="ASB47" s="44"/>
      <c r="ASC47" s="44"/>
      <c r="ASD47" s="44"/>
      <c r="ASE47" s="44"/>
      <c r="ASF47" s="44"/>
      <c r="ASG47" s="44"/>
      <c r="ASH47" s="44"/>
      <c r="ASI47" s="44"/>
      <c r="ASJ47" s="44"/>
      <c r="ASK47" s="44"/>
      <c r="ASL47" s="44"/>
      <c r="ASM47" s="44"/>
      <c r="ASN47" s="44"/>
      <c r="ASO47" s="44"/>
      <c r="ASP47" s="44"/>
      <c r="ASQ47" s="44"/>
      <c r="ASR47" s="44"/>
      <c r="ASS47" s="44"/>
      <c r="AST47" s="44"/>
      <c r="ASU47" s="44"/>
      <c r="ASV47" s="44"/>
      <c r="ASW47" s="44"/>
      <c r="ASX47" s="44"/>
      <c r="ASY47" s="44"/>
      <c r="ASZ47" s="44"/>
      <c r="ATA47" s="44"/>
      <c r="ATB47" s="44"/>
      <c r="ATC47" s="44"/>
      <c r="ATD47" s="44"/>
      <c r="ATE47" s="44"/>
      <c r="ATF47" s="44"/>
      <c r="ATG47" s="44"/>
      <c r="ATH47" s="44"/>
      <c r="ATI47" s="44"/>
      <c r="ATJ47" s="44"/>
      <c r="ATK47" s="44"/>
      <c r="ATL47" s="44"/>
      <c r="ATM47" s="44"/>
      <c r="ATN47" s="44"/>
      <c r="ATO47" s="44"/>
      <c r="ATP47" s="44"/>
      <c r="ATQ47" s="44"/>
      <c r="ATR47" s="44"/>
      <c r="ATS47" s="44"/>
      <c r="ATT47" s="44"/>
      <c r="ATU47" s="44"/>
      <c r="ATV47" s="44"/>
      <c r="ATW47" s="44"/>
      <c r="ATX47" s="44"/>
      <c r="ATY47" s="44"/>
      <c r="ATZ47" s="44"/>
      <c r="AUA47" s="44"/>
      <c r="AUB47" s="44"/>
      <c r="AUC47" s="44"/>
      <c r="AUD47" s="44"/>
      <c r="AUE47" s="44"/>
      <c r="AUF47" s="44"/>
      <c r="AUG47" s="44"/>
      <c r="AUH47" s="44"/>
      <c r="AUI47" s="44"/>
      <c r="AUJ47" s="44"/>
      <c r="AUK47" s="44"/>
      <c r="AUL47" s="44"/>
      <c r="AUM47" s="44"/>
      <c r="AUN47" s="44"/>
      <c r="AUO47" s="44"/>
      <c r="AUP47" s="44"/>
      <c r="AUQ47" s="44"/>
      <c r="AUR47" s="44"/>
      <c r="AUS47" s="44"/>
      <c r="AUT47" s="44"/>
      <c r="AUU47" s="44"/>
      <c r="AUV47" s="44"/>
      <c r="AUW47" s="44"/>
      <c r="AUX47" s="44"/>
      <c r="AUY47" s="44"/>
      <c r="AUZ47" s="44"/>
      <c r="AVA47" s="44"/>
      <c r="AVB47" s="44"/>
      <c r="AVC47" s="44"/>
      <c r="AVD47" s="44"/>
      <c r="AVE47" s="44"/>
      <c r="AVF47" s="44"/>
      <c r="AVG47" s="44"/>
      <c r="AVH47" s="44"/>
      <c r="AVI47" s="44"/>
      <c r="AVJ47" s="44"/>
      <c r="AVK47" s="44"/>
      <c r="AVL47" s="44"/>
      <c r="AVM47" s="44"/>
      <c r="AVN47" s="44"/>
      <c r="AVO47" s="44"/>
      <c r="AVP47" s="44"/>
      <c r="AVQ47" s="44"/>
      <c r="AVR47" s="44"/>
      <c r="AVS47" s="44"/>
      <c r="AVT47" s="44"/>
      <c r="AVU47" s="44"/>
      <c r="AVV47" s="44"/>
      <c r="AVW47" s="44"/>
      <c r="AVX47" s="44"/>
      <c r="AVY47" s="44"/>
      <c r="AVZ47" s="44"/>
      <c r="AWA47" s="44"/>
      <c r="AWB47" s="44"/>
      <c r="AWC47" s="44"/>
      <c r="AWD47" s="44"/>
      <c r="AWE47" s="44"/>
      <c r="AWF47" s="44"/>
      <c r="AWG47" s="44"/>
      <c r="AWH47" s="44"/>
      <c r="AWI47" s="44"/>
      <c r="AWJ47" s="44"/>
      <c r="AWK47" s="44"/>
      <c r="AWL47" s="44"/>
      <c r="AWM47" s="44"/>
      <c r="AWN47" s="44"/>
      <c r="AWO47" s="44"/>
      <c r="AWP47" s="44"/>
      <c r="AWQ47" s="44"/>
      <c r="AWR47" s="44"/>
      <c r="AWS47" s="44"/>
      <c r="AWT47" s="44"/>
      <c r="AWU47" s="44"/>
      <c r="AWV47" s="44"/>
      <c r="AWW47" s="44"/>
      <c r="AWX47" s="44"/>
      <c r="AWY47" s="44"/>
      <c r="AWZ47" s="44"/>
      <c r="AXA47" s="44"/>
      <c r="AXB47" s="44"/>
      <c r="AXC47" s="44"/>
      <c r="AXD47" s="44"/>
      <c r="AXE47" s="44"/>
      <c r="AXF47" s="44"/>
      <c r="AXG47" s="44"/>
      <c r="AXH47" s="44"/>
      <c r="AXI47" s="44"/>
      <c r="AXJ47" s="44"/>
      <c r="AXK47" s="44"/>
      <c r="AXL47" s="44"/>
      <c r="AXM47" s="44"/>
      <c r="AXN47" s="44"/>
      <c r="AXO47" s="44"/>
      <c r="AXP47" s="44"/>
      <c r="AXQ47" s="44"/>
      <c r="AXR47" s="44"/>
      <c r="AXS47" s="44"/>
      <c r="AXT47" s="44"/>
      <c r="AXU47" s="44"/>
      <c r="AXV47" s="44"/>
      <c r="AXW47" s="44"/>
      <c r="AXX47" s="44"/>
      <c r="AXY47" s="44"/>
      <c r="AXZ47" s="44"/>
      <c r="AYA47" s="44"/>
      <c r="AYB47" s="44"/>
      <c r="AYC47" s="44"/>
      <c r="AYD47" s="44"/>
      <c r="AYE47" s="44"/>
      <c r="AYF47" s="44"/>
      <c r="AYG47" s="44"/>
      <c r="AYH47" s="44"/>
      <c r="AYI47" s="44"/>
      <c r="AYJ47" s="44"/>
      <c r="AYK47" s="44"/>
      <c r="AYL47" s="44"/>
      <c r="AYM47" s="44"/>
      <c r="AYN47" s="44"/>
      <c r="AYO47" s="44"/>
      <c r="AYP47" s="44"/>
      <c r="AYQ47" s="44"/>
      <c r="AYR47" s="44"/>
      <c r="AYS47" s="44"/>
      <c r="AYT47" s="44"/>
      <c r="AYU47" s="44"/>
      <c r="AYV47" s="44"/>
      <c r="AYW47" s="44"/>
      <c r="AYX47" s="44"/>
      <c r="AYY47" s="44"/>
      <c r="AYZ47" s="44"/>
      <c r="AZA47" s="44"/>
      <c r="AZB47" s="44"/>
      <c r="AZC47" s="44"/>
      <c r="AZD47" s="44"/>
      <c r="AZE47" s="44"/>
      <c r="AZF47" s="44"/>
      <c r="AZG47" s="44"/>
      <c r="AZH47" s="44"/>
      <c r="AZI47" s="44"/>
      <c r="AZJ47" s="44"/>
      <c r="AZK47" s="44"/>
      <c r="AZL47" s="44"/>
      <c r="AZM47" s="44"/>
      <c r="AZN47" s="44"/>
      <c r="AZO47" s="44"/>
      <c r="AZP47" s="44"/>
      <c r="AZQ47" s="44"/>
      <c r="AZR47" s="44"/>
      <c r="AZS47" s="44"/>
      <c r="AZT47" s="44"/>
      <c r="AZU47" s="44"/>
      <c r="AZV47" s="44"/>
      <c r="AZW47" s="44"/>
      <c r="AZX47" s="44"/>
      <c r="AZY47" s="44"/>
      <c r="AZZ47" s="44"/>
      <c r="BAA47" s="44"/>
      <c r="BAB47" s="44"/>
      <c r="BAC47" s="44"/>
      <c r="BAD47" s="44"/>
      <c r="BAE47" s="44"/>
      <c r="BAF47" s="44"/>
      <c r="BAG47" s="44"/>
      <c r="BAH47" s="44"/>
      <c r="BAI47" s="44"/>
      <c r="BAJ47" s="44"/>
      <c r="BAK47" s="44"/>
      <c r="BAL47" s="44"/>
      <c r="BAM47" s="44"/>
      <c r="BAN47" s="44"/>
      <c r="BAO47" s="44"/>
      <c r="BAP47" s="44"/>
      <c r="BAQ47" s="44"/>
      <c r="BAR47" s="44"/>
      <c r="BAS47" s="44"/>
      <c r="BAT47" s="44"/>
      <c r="BAU47" s="44"/>
      <c r="BAV47" s="44"/>
      <c r="BAW47" s="44"/>
      <c r="BAX47" s="44"/>
      <c r="BAY47" s="44"/>
      <c r="BAZ47" s="44"/>
      <c r="BBA47" s="44"/>
      <c r="BBB47" s="44"/>
      <c r="BBC47" s="44"/>
      <c r="BBD47" s="44"/>
      <c r="BBE47" s="44"/>
      <c r="BBF47" s="44"/>
      <c r="BBG47" s="44"/>
      <c r="BBH47" s="44"/>
      <c r="BBI47" s="44"/>
      <c r="BBJ47" s="44"/>
      <c r="BBK47" s="44"/>
      <c r="BBL47" s="44"/>
      <c r="BBM47" s="44"/>
      <c r="BBN47" s="44"/>
      <c r="BBO47" s="44"/>
      <c r="BBP47" s="44"/>
      <c r="BBQ47" s="44"/>
      <c r="BBR47" s="44"/>
      <c r="BBS47" s="44"/>
      <c r="BBT47" s="44"/>
      <c r="BBU47" s="44"/>
      <c r="BBV47" s="44"/>
      <c r="BBW47" s="44"/>
      <c r="BBX47" s="44"/>
      <c r="BBY47" s="44"/>
      <c r="BBZ47" s="44"/>
      <c r="BCA47" s="44"/>
      <c r="BCB47" s="44"/>
      <c r="BCC47" s="44"/>
      <c r="BCD47" s="44"/>
      <c r="BCE47" s="44"/>
      <c r="BCF47" s="44"/>
      <c r="BCG47" s="44"/>
      <c r="BCH47" s="44"/>
      <c r="BCI47" s="44"/>
      <c r="BCJ47" s="44"/>
      <c r="BCK47" s="44"/>
      <c r="BCL47" s="44"/>
      <c r="BCM47" s="44"/>
      <c r="BCN47" s="44"/>
      <c r="BCO47" s="44"/>
      <c r="BCP47" s="44"/>
      <c r="BCQ47" s="44"/>
      <c r="BCR47" s="44"/>
      <c r="BCS47" s="44"/>
      <c r="BCT47" s="44"/>
      <c r="BCU47" s="44"/>
      <c r="BCV47" s="44"/>
      <c r="BCW47" s="44"/>
      <c r="BCX47" s="44"/>
      <c r="BCY47" s="44"/>
      <c r="BCZ47" s="44"/>
      <c r="BDA47" s="44"/>
      <c r="BDB47" s="44"/>
      <c r="BDC47" s="44"/>
      <c r="BDD47" s="44"/>
      <c r="BDE47" s="44"/>
      <c r="BDF47" s="44"/>
      <c r="BDG47" s="44"/>
      <c r="BDH47" s="44"/>
      <c r="BDI47" s="44"/>
      <c r="BDJ47" s="44"/>
      <c r="BDK47" s="44"/>
      <c r="BDL47" s="44"/>
      <c r="BDM47" s="44"/>
      <c r="BDN47" s="44"/>
      <c r="BDO47" s="44"/>
      <c r="BDP47" s="44"/>
      <c r="BDQ47" s="44"/>
      <c r="BDR47" s="44"/>
      <c r="BDS47" s="44"/>
      <c r="BDT47" s="44"/>
      <c r="BDU47" s="44"/>
      <c r="BDV47" s="44"/>
      <c r="BDW47" s="44"/>
      <c r="BDX47" s="44"/>
      <c r="BDY47" s="44"/>
      <c r="BDZ47" s="44"/>
      <c r="BEA47" s="44"/>
      <c r="BEB47" s="44"/>
      <c r="BEC47" s="44"/>
      <c r="BED47" s="44"/>
      <c r="BEE47" s="44"/>
      <c r="BEF47" s="44"/>
      <c r="BEG47" s="44"/>
      <c r="BEH47" s="44"/>
      <c r="BEI47" s="44"/>
      <c r="BEJ47" s="44"/>
      <c r="BEK47" s="44"/>
      <c r="BEL47" s="44"/>
      <c r="BEM47" s="44"/>
      <c r="BEN47" s="44"/>
      <c r="BEO47" s="44"/>
      <c r="BEP47" s="44"/>
      <c r="BEQ47" s="44"/>
      <c r="BER47" s="44"/>
      <c r="BES47" s="44"/>
      <c r="BET47" s="44"/>
      <c r="BEU47" s="44"/>
      <c r="BEV47" s="44"/>
      <c r="BEW47" s="44"/>
      <c r="BEX47" s="44"/>
      <c r="BEY47" s="44"/>
      <c r="BEZ47" s="44"/>
      <c r="BFA47" s="44"/>
      <c r="BFB47" s="44"/>
      <c r="BFC47" s="44"/>
      <c r="BFD47" s="44"/>
      <c r="BFE47" s="44"/>
      <c r="BFF47" s="44"/>
      <c r="BFG47" s="44"/>
      <c r="BFH47" s="44"/>
      <c r="BFI47" s="44"/>
      <c r="BFJ47" s="44"/>
      <c r="BFK47" s="44"/>
      <c r="BFL47" s="44"/>
      <c r="BFM47" s="44"/>
      <c r="BFN47" s="44"/>
      <c r="BFO47" s="44"/>
      <c r="BFP47" s="44"/>
      <c r="BFQ47" s="44"/>
      <c r="BFR47" s="44"/>
      <c r="BFS47" s="44"/>
      <c r="BFT47" s="44"/>
      <c r="BFU47" s="44"/>
      <c r="BFV47" s="44"/>
      <c r="BFW47" s="44"/>
      <c r="BFX47" s="44"/>
      <c r="BFY47" s="44"/>
      <c r="BFZ47" s="44"/>
      <c r="BGA47" s="44"/>
      <c r="BGB47" s="44"/>
      <c r="BGC47" s="44"/>
      <c r="BGD47" s="44"/>
      <c r="BGE47" s="44"/>
      <c r="BGF47" s="44"/>
      <c r="BGG47" s="44"/>
      <c r="BGH47" s="44"/>
      <c r="BGI47" s="44"/>
      <c r="BGJ47" s="44"/>
      <c r="BGK47" s="44"/>
      <c r="BGL47" s="44"/>
      <c r="BGM47" s="44"/>
      <c r="BGN47" s="44"/>
      <c r="BGO47" s="44"/>
      <c r="BGP47" s="44"/>
      <c r="BGQ47" s="44"/>
      <c r="BGR47" s="44"/>
      <c r="BGS47" s="44"/>
      <c r="BGT47" s="44"/>
      <c r="BGU47" s="44"/>
      <c r="BGV47" s="44"/>
      <c r="BGW47" s="44"/>
      <c r="BGX47" s="44"/>
      <c r="BGY47" s="44"/>
      <c r="BGZ47" s="44"/>
      <c r="BHA47" s="44"/>
      <c r="BHB47" s="44"/>
      <c r="BHC47" s="44"/>
      <c r="BHD47" s="44"/>
      <c r="BHE47" s="44"/>
      <c r="BHF47" s="44"/>
      <c r="BHG47" s="44"/>
      <c r="BHH47" s="44"/>
      <c r="BHI47" s="44"/>
      <c r="BHJ47" s="44"/>
      <c r="BHK47" s="44"/>
      <c r="BHL47" s="44"/>
      <c r="BHM47" s="44"/>
      <c r="BHN47" s="44"/>
      <c r="BHO47" s="44"/>
      <c r="BHP47" s="44"/>
      <c r="BHQ47" s="44"/>
      <c r="BHR47" s="44"/>
      <c r="BHS47" s="44"/>
      <c r="BHT47" s="44"/>
      <c r="BHU47" s="44"/>
      <c r="BHV47" s="44"/>
      <c r="BHW47" s="44"/>
      <c r="BHX47" s="44"/>
      <c r="BHY47" s="44"/>
      <c r="BHZ47" s="44"/>
      <c r="BIA47" s="44"/>
      <c r="BIB47" s="44"/>
      <c r="BIC47" s="44"/>
      <c r="BID47" s="44"/>
      <c r="BIE47" s="44"/>
      <c r="BIF47" s="44"/>
      <c r="BIG47" s="44"/>
      <c r="BIH47" s="44"/>
      <c r="BII47" s="44"/>
      <c r="BIJ47" s="44"/>
      <c r="BIK47" s="44"/>
      <c r="BIL47" s="44"/>
      <c r="BIM47" s="44"/>
      <c r="BIN47" s="44"/>
      <c r="BIO47" s="44"/>
      <c r="BIP47" s="44"/>
      <c r="BIQ47" s="44"/>
      <c r="BIR47" s="44"/>
      <c r="BIS47" s="44"/>
      <c r="BIT47" s="44"/>
      <c r="BIU47" s="44"/>
      <c r="BIV47" s="44"/>
      <c r="BIW47" s="44"/>
      <c r="BIX47" s="44"/>
      <c r="BIY47" s="44"/>
      <c r="BIZ47" s="44"/>
      <c r="BJA47" s="44"/>
      <c r="BJB47" s="44"/>
      <c r="BJC47" s="44"/>
      <c r="BJD47" s="44"/>
      <c r="BJE47" s="44"/>
      <c r="BJF47" s="44"/>
      <c r="BJG47" s="44"/>
      <c r="BJH47" s="44"/>
      <c r="BJI47" s="44"/>
      <c r="BJJ47" s="44"/>
      <c r="BJK47" s="44"/>
      <c r="BJL47" s="44"/>
      <c r="BJM47" s="44"/>
      <c r="BJN47" s="44"/>
      <c r="BJO47" s="44"/>
      <c r="BJP47" s="44"/>
      <c r="BJQ47" s="44"/>
      <c r="BJR47" s="44"/>
      <c r="BJS47" s="44"/>
      <c r="BJT47" s="44"/>
      <c r="BJU47" s="44"/>
      <c r="BJV47" s="44"/>
      <c r="BJW47" s="44"/>
      <c r="BJX47" s="44"/>
      <c r="BJY47" s="44"/>
      <c r="BJZ47" s="44"/>
      <c r="BKA47" s="44"/>
      <c r="BKB47" s="44"/>
      <c r="BKC47" s="44"/>
      <c r="BKD47" s="44"/>
      <c r="BKE47" s="44"/>
      <c r="BKF47" s="44"/>
      <c r="BKG47" s="44"/>
      <c r="BKH47" s="44"/>
      <c r="BKI47" s="44"/>
      <c r="BKJ47" s="44"/>
      <c r="BKK47" s="44"/>
      <c r="BKL47" s="44"/>
      <c r="BKM47" s="44"/>
      <c r="BKN47" s="44"/>
      <c r="BKO47" s="44"/>
      <c r="BKP47" s="44"/>
      <c r="BKQ47" s="44"/>
      <c r="BKR47" s="44"/>
      <c r="BKS47" s="44"/>
      <c r="BKT47" s="44"/>
      <c r="BKU47" s="44"/>
      <c r="BKV47" s="44"/>
      <c r="BKW47" s="44"/>
      <c r="BKX47" s="44"/>
      <c r="BKY47" s="44"/>
      <c r="BKZ47" s="44"/>
      <c r="BLA47" s="44"/>
      <c r="BLB47" s="44"/>
      <c r="BLC47" s="44"/>
      <c r="BLD47" s="44"/>
      <c r="BLE47" s="44"/>
      <c r="BLF47" s="44"/>
      <c r="BLG47" s="44"/>
      <c r="BLH47" s="44"/>
      <c r="BLI47" s="44"/>
      <c r="BLJ47" s="44"/>
      <c r="BLK47" s="44"/>
      <c r="BLL47" s="44"/>
      <c r="BLM47" s="44"/>
      <c r="BLN47" s="44"/>
      <c r="BLO47" s="44"/>
      <c r="BLP47" s="44"/>
      <c r="BLQ47" s="44"/>
      <c r="BLR47" s="44"/>
      <c r="BLS47" s="44"/>
      <c r="BLT47" s="44"/>
      <c r="BLU47" s="44"/>
      <c r="BLV47" s="44"/>
      <c r="BLW47" s="44"/>
      <c r="BLX47" s="44"/>
      <c r="BLY47" s="44"/>
      <c r="BLZ47" s="44"/>
      <c r="BMA47" s="44"/>
      <c r="BMB47" s="44"/>
      <c r="BMC47" s="44"/>
      <c r="BMD47" s="44"/>
      <c r="BME47" s="44"/>
      <c r="BMF47" s="44"/>
      <c r="BMG47" s="44"/>
      <c r="BMH47" s="44"/>
      <c r="BMI47" s="44"/>
      <c r="BMJ47" s="44"/>
      <c r="BMK47" s="44"/>
      <c r="BML47" s="44"/>
      <c r="BMM47" s="44"/>
      <c r="BMN47" s="44"/>
      <c r="BMO47" s="44"/>
      <c r="BMP47" s="44"/>
      <c r="BMQ47" s="44"/>
      <c r="BMR47" s="44"/>
      <c r="BMS47" s="44"/>
      <c r="BMT47" s="44"/>
      <c r="BMU47" s="44"/>
      <c r="BMV47" s="44"/>
      <c r="BMW47" s="44"/>
      <c r="BMX47" s="44"/>
      <c r="BMY47" s="44"/>
      <c r="BMZ47" s="44"/>
      <c r="BNA47" s="44"/>
      <c r="BNB47" s="44"/>
      <c r="BNC47" s="44"/>
      <c r="BND47" s="44"/>
      <c r="BNE47" s="44"/>
      <c r="BNF47" s="44"/>
      <c r="BNG47" s="44"/>
      <c r="BNH47" s="44"/>
      <c r="BNI47" s="44"/>
      <c r="BNJ47" s="44"/>
      <c r="BNK47" s="44"/>
      <c r="BNL47" s="44"/>
      <c r="BNM47" s="44"/>
      <c r="BNN47" s="44"/>
      <c r="BNO47" s="44"/>
      <c r="BNP47" s="44"/>
      <c r="BNQ47" s="44"/>
      <c r="BNR47" s="44"/>
      <c r="BNS47" s="44"/>
      <c r="BNT47" s="44"/>
      <c r="BNU47" s="44"/>
      <c r="BNV47" s="44"/>
      <c r="BNW47" s="44"/>
      <c r="BNX47" s="44"/>
      <c r="BNY47" s="44"/>
      <c r="BNZ47" s="44"/>
      <c r="BOA47" s="44"/>
      <c r="BOB47" s="44"/>
      <c r="BOC47" s="44"/>
      <c r="BOD47" s="44"/>
      <c r="BOE47" s="44"/>
      <c r="BOF47" s="44"/>
      <c r="BOG47" s="44"/>
      <c r="BOH47" s="44"/>
      <c r="BOI47" s="44"/>
      <c r="BOJ47" s="44"/>
      <c r="BOK47" s="44"/>
      <c r="BOL47" s="44"/>
      <c r="BOM47" s="44"/>
      <c r="BON47" s="44"/>
      <c r="BOO47" s="44"/>
      <c r="BOP47" s="44"/>
      <c r="BOQ47" s="44"/>
      <c r="BOR47" s="44"/>
      <c r="BOS47" s="44"/>
      <c r="BOT47" s="44"/>
      <c r="BOU47" s="44"/>
      <c r="BOV47" s="44"/>
      <c r="BOW47" s="44"/>
      <c r="BOX47" s="44"/>
      <c r="BOY47" s="44"/>
      <c r="BOZ47" s="44"/>
      <c r="BPA47" s="44"/>
      <c r="BPB47" s="44"/>
      <c r="BPC47" s="44"/>
      <c r="BPD47" s="44"/>
      <c r="BPE47" s="44"/>
      <c r="BPF47" s="44"/>
      <c r="BPG47" s="44"/>
      <c r="BPH47" s="44"/>
      <c r="BPI47" s="44"/>
      <c r="BPJ47" s="44"/>
      <c r="BPK47" s="44"/>
      <c r="BPL47" s="44"/>
      <c r="BPM47" s="44"/>
      <c r="BPN47" s="44"/>
      <c r="BPO47" s="44"/>
      <c r="BPP47" s="44"/>
      <c r="BPQ47" s="44"/>
      <c r="BPR47" s="44"/>
      <c r="BPS47" s="44"/>
      <c r="BPT47" s="44"/>
      <c r="BPU47" s="44"/>
      <c r="BPV47" s="44"/>
      <c r="BPW47" s="44"/>
      <c r="BPX47" s="44"/>
      <c r="BPY47" s="44"/>
      <c r="BPZ47" s="44"/>
      <c r="BQA47" s="44"/>
      <c r="BQB47" s="44"/>
      <c r="BQC47" s="44"/>
      <c r="BQD47" s="44"/>
      <c r="BQE47" s="44"/>
      <c r="BQF47" s="44"/>
      <c r="BQG47" s="44"/>
      <c r="BQH47" s="44"/>
      <c r="BQI47" s="44"/>
      <c r="BQJ47" s="44"/>
      <c r="BQK47" s="44"/>
      <c r="BQL47" s="44"/>
      <c r="BQM47" s="44"/>
      <c r="BQN47" s="44"/>
      <c r="BQO47" s="44"/>
      <c r="BQP47" s="44"/>
      <c r="BQQ47" s="44"/>
      <c r="BQR47" s="44"/>
      <c r="BQS47" s="44"/>
      <c r="BQT47" s="44"/>
      <c r="BQU47" s="44"/>
      <c r="BQV47" s="44"/>
      <c r="BQW47" s="44"/>
      <c r="BQX47" s="44"/>
      <c r="BQY47" s="44"/>
      <c r="BQZ47" s="44"/>
      <c r="BRA47" s="44"/>
      <c r="BRB47" s="44"/>
      <c r="BRC47" s="44"/>
      <c r="BRD47" s="44"/>
      <c r="BRE47" s="44"/>
      <c r="BRF47" s="44"/>
      <c r="BRG47" s="44"/>
      <c r="BRH47" s="44"/>
      <c r="BRI47" s="44"/>
      <c r="BRJ47" s="44"/>
      <c r="BRK47" s="44"/>
      <c r="BRL47" s="44"/>
      <c r="BRM47" s="44"/>
      <c r="BRN47" s="44"/>
      <c r="BRO47" s="44"/>
      <c r="BRP47" s="44"/>
      <c r="BRQ47" s="44"/>
      <c r="BRR47" s="44"/>
      <c r="BRS47" s="44"/>
      <c r="BRT47" s="44"/>
      <c r="BRU47" s="44"/>
      <c r="BRV47" s="44"/>
      <c r="BRW47" s="44"/>
      <c r="BRX47" s="44"/>
      <c r="BRY47" s="44"/>
      <c r="BRZ47" s="44"/>
      <c r="BSA47" s="44"/>
      <c r="BSB47" s="44"/>
      <c r="BSC47" s="44"/>
      <c r="BSD47" s="44"/>
      <c r="BSE47" s="44"/>
      <c r="BSF47" s="44"/>
      <c r="BSG47" s="44"/>
      <c r="BSH47" s="44"/>
      <c r="BSI47" s="44"/>
      <c r="BSJ47" s="44"/>
      <c r="BSK47" s="44"/>
      <c r="BSL47" s="44"/>
      <c r="BSM47" s="44"/>
      <c r="BSN47" s="44"/>
      <c r="BSO47" s="44"/>
      <c r="BSP47" s="44"/>
      <c r="BSQ47" s="44"/>
      <c r="BSR47" s="44"/>
      <c r="BSS47" s="44"/>
      <c r="BST47" s="44"/>
      <c r="BSU47" s="44"/>
      <c r="BSV47" s="44"/>
      <c r="BSW47" s="44"/>
      <c r="BSX47" s="44"/>
      <c r="BSY47" s="44"/>
      <c r="BSZ47" s="44"/>
      <c r="BTA47" s="44"/>
      <c r="BTB47" s="44"/>
      <c r="BTC47" s="44"/>
      <c r="BTD47" s="44"/>
      <c r="BTE47" s="44"/>
      <c r="BTF47" s="44"/>
      <c r="BTG47" s="44"/>
      <c r="BTH47" s="44"/>
      <c r="BTI47" s="44"/>
      <c r="BTJ47" s="44"/>
      <c r="BTK47" s="44"/>
      <c r="BTL47" s="44"/>
      <c r="BTM47" s="44"/>
      <c r="BTN47" s="44"/>
      <c r="BTO47" s="44"/>
      <c r="BTP47" s="44"/>
      <c r="BTQ47" s="44"/>
      <c r="BTR47" s="44"/>
      <c r="BTS47" s="44"/>
      <c r="BTT47" s="44"/>
      <c r="BTU47" s="44"/>
      <c r="BTV47" s="44"/>
      <c r="BTW47" s="44"/>
      <c r="BTX47" s="44"/>
      <c r="BTY47" s="44"/>
      <c r="BTZ47" s="44"/>
      <c r="BUA47" s="44"/>
      <c r="BUB47" s="44"/>
      <c r="BUC47" s="44"/>
      <c r="BUD47" s="44"/>
      <c r="BUE47" s="44"/>
      <c r="BUF47" s="44"/>
      <c r="BUG47" s="44"/>
      <c r="BUH47" s="44"/>
      <c r="BUI47" s="44"/>
      <c r="BUJ47" s="44"/>
      <c r="BUK47" s="44"/>
      <c r="BUL47" s="44"/>
      <c r="BUM47" s="44"/>
      <c r="BUN47" s="44"/>
      <c r="BUO47" s="44"/>
      <c r="BUP47" s="44"/>
      <c r="BUQ47" s="44"/>
      <c r="BUR47" s="44"/>
      <c r="BUS47" s="44"/>
      <c r="BUT47" s="44"/>
      <c r="BUU47" s="44"/>
      <c r="BUV47" s="44"/>
      <c r="BUW47" s="44"/>
      <c r="BUX47" s="44"/>
      <c r="BUY47" s="44"/>
      <c r="BUZ47" s="44"/>
      <c r="BVA47" s="44"/>
      <c r="BVB47" s="44"/>
      <c r="BVC47" s="44"/>
      <c r="BVD47" s="44"/>
      <c r="BVE47" s="44"/>
      <c r="BVF47" s="44"/>
      <c r="BVG47" s="44"/>
      <c r="BVH47" s="44"/>
      <c r="BVI47" s="44"/>
      <c r="BVJ47" s="44"/>
      <c r="BVK47" s="44"/>
      <c r="BVL47" s="44"/>
      <c r="BVM47" s="44"/>
      <c r="BVN47" s="44"/>
      <c r="BVO47" s="44"/>
      <c r="BVP47" s="44"/>
      <c r="BVQ47" s="44"/>
      <c r="BVR47" s="44"/>
      <c r="BVS47" s="44"/>
      <c r="BVT47" s="44"/>
      <c r="BVU47" s="44"/>
      <c r="BVV47" s="44"/>
      <c r="BVW47" s="44"/>
      <c r="BVX47" s="44"/>
      <c r="BVY47" s="44"/>
      <c r="BVZ47" s="44"/>
      <c r="BWA47" s="44"/>
      <c r="BWB47" s="44"/>
      <c r="BWC47" s="44"/>
      <c r="BWD47" s="44"/>
      <c r="BWE47" s="44"/>
      <c r="BWF47" s="44"/>
      <c r="BWG47" s="44"/>
      <c r="BWH47" s="44"/>
      <c r="BWI47" s="44"/>
      <c r="BWJ47" s="44"/>
      <c r="BWK47" s="44"/>
      <c r="BWL47" s="44"/>
      <c r="BWM47" s="44"/>
      <c r="BWN47" s="44"/>
      <c r="BWO47" s="44"/>
      <c r="BWP47" s="44"/>
      <c r="BWQ47" s="44"/>
      <c r="BWR47" s="44"/>
      <c r="BWS47" s="44"/>
      <c r="BWT47" s="44"/>
      <c r="BWU47" s="44"/>
      <c r="BWV47" s="44"/>
      <c r="BWW47" s="44"/>
      <c r="BWX47" s="44"/>
      <c r="BWY47" s="44"/>
      <c r="BWZ47" s="44"/>
      <c r="BXA47" s="44"/>
      <c r="BXB47" s="44"/>
      <c r="BXC47" s="44"/>
      <c r="BXD47" s="44"/>
      <c r="BXE47" s="44"/>
      <c r="BXF47" s="44"/>
      <c r="BXG47" s="44"/>
      <c r="BXH47" s="44"/>
      <c r="BXI47" s="44"/>
      <c r="BXJ47" s="44"/>
      <c r="BXK47" s="44"/>
      <c r="BXL47" s="44"/>
      <c r="BXM47" s="44"/>
      <c r="BXN47" s="44"/>
      <c r="BXO47" s="44"/>
      <c r="BXP47" s="44"/>
      <c r="BXQ47" s="44"/>
      <c r="BXR47" s="44"/>
      <c r="BXS47" s="44"/>
      <c r="BXT47" s="44"/>
      <c r="BXU47" s="44"/>
      <c r="BXV47" s="44"/>
      <c r="BXW47" s="44"/>
      <c r="BXX47" s="44"/>
      <c r="BXY47" s="44"/>
      <c r="BXZ47" s="44"/>
      <c r="BYA47" s="44"/>
      <c r="BYB47" s="44"/>
      <c r="BYC47" s="44"/>
      <c r="BYD47" s="44"/>
      <c r="BYE47" s="44"/>
      <c r="BYF47" s="44"/>
      <c r="BYG47" s="44"/>
      <c r="BYH47" s="44"/>
      <c r="BYI47" s="44"/>
      <c r="BYJ47" s="44"/>
      <c r="BYK47" s="44"/>
      <c r="BYL47" s="44"/>
      <c r="BYM47" s="44"/>
      <c r="BYN47" s="44"/>
      <c r="BYO47" s="44"/>
      <c r="BYP47" s="44"/>
      <c r="BYQ47" s="44"/>
      <c r="BYR47" s="44"/>
      <c r="BYS47" s="44"/>
      <c r="BYT47" s="44"/>
      <c r="BYU47" s="44"/>
      <c r="BYV47" s="44"/>
      <c r="BYW47" s="44"/>
      <c r="BYX47" s="44"/>
      <c r="BYY47" s="44"/>
      <c r="BYZ47" s="44"/>
      <c r="BZA47" s="44"/>
      <c r="BZB47" s="44"/>
      <c r="BZC47" s="44"/>
      <c r="BZD47" s="44"/>
      <c r="BZE47" s="44"/>
      <c r="BZF47" s="44"/>
      <c r="BZG47" s="44"/>
      <c r="BZH47" s="44"/>
      <c r="BZI47" s="44"/>
      <c r="BZJ47" s="44"/>
      <c r="BZK47" s="44"/>
      <c r="BZL47" s="44"/>
      <c r="BZM47" s="44"/>
      <c r="BZN47" s="44"/>
      <c r="BZO47" s="44"/>
      <c r="BZP47" s="44"/>
      <c r="BZQ47" s="44"/>
      <c r="BZR47" s="44"/>
      <c r="BZS47" s="44"/>
      <c r="BZT47" s="44"/>
      <c r="BZU47" s="44"/>
      <c r="BZV47" s="44"/>
      <c r="BZW47" s="44"/>
      <c r="BZX47" s="44"/>
      <c r="BZY47" s="44"/>
      <c r="BZZ47" s="44"/>
      <c r="CAA47" s="44"/>
      <c r="CAB47" s="44"/>
      <c r="CAC47" s="44"/>
      <c r="CAD47" s="44"/>
      <c r="CAE47" s="44"/>
      <c r="CAF47" s="44"/>
      <c r="CAG47" s="44"/>
      <c r="CAH47" s="44"/>
      <c r="CAI47" s="44"/>
      <c r="CAJ47" s="44"/>
      <c r="CAK47" s="44"/>
      <c r="CAL47" s="44"/>
      <c r="CAM47" s="44"/>
      <c r="CAN47" s="44"/>
      <c r="CAO47" s="44"/>
      <c r="CAP47" s="44"/>
      <c r="CAQ47" s="44"/>
      <c r="CAR47" s="44"/>
      <c r="CAS47" s="44"/>
      <c r="CAT47" s="44"/>
      <c r="CAU47" s="44"/>
      <c r="CAV47" s="44"/>
      <c r="CAW47" s="44"/>
      <c r="CAX47" s="44"/>
      <c r="CAY47" s="44"/>
      <c r="CAZ47" s="44"/>
      <c r="CBA47" s="44"/>
      <c r="CBB47" s="44"/>
      <c r="CBC47" s="44"/>
      <c r="CBD47" s="44"/>
      <c r="CBE47" s="44"/>
      <c r="CBF47" s="44"/>
      <c r="CBG47" s="44"/>
      <c r="CBH47" s="44"/>
      <c r="CBI47" s="44"/>
      <c r="CBJ47" s="44"/>
      <c r="CBK47" s="44"/>
      <c r="CBL47" s="44"/>
      <c r="CBM47" s="44"/>
      <c r="CBN47" s="44"/>
      <c r="CBO47" s="44"/>
      <c r="CBP47" s="44"/>
      <c r="CBQ47" s="44"/>
      <c r="CBR47" s="44"/>
      <c r="CBS47" s="44"/>
      <c r="CBT47" s="44"/>
      <c r="CBU47" s="44"/>
      <c r="CBV47" s="44"/>
      <c r="CBW47" s="44"/>
      <c r="CBX47" s="44"/>
      <c r="CBY47" s="44"/>
      <c r="CBZ47" s="44"/>
      <c r="CCA47" s="44"/>
      <c r="CCB47" s="44"/>
      <c r="CCC47" s="44"/>
      <c r="CCD47" s="44"/>
      <c r="CCE47" s="44"/>
      <c r="CCF47" s="44"/>
      <c r="CCG47" s="44"/>
      <c r="CCH47" s="44"/>
      <c r="CCI47" s="44"/>
      <c r="CCJ47" s="44"/>
      <c r="CCK47" s="44"/>
      <c r="CCL47" s="44"/>
      <c r="CCM47" s="44"/>
      <c r="CCN47" s="44"/>
      <c r="CCO47" s="44"/>
      <c r="CCP47" s="44"/>
      <c r="CCQ47" s="44"/>
      <c r="CCR47" s="44"/>
      <c r="CCS47" s="44"/>
      <c r="CCT47" s="44"/>
      <c r="CCU47" s="44"/>
      <c r="CCV47" s="44"/>
      <c r="CCW47" s="44"/>
      <c r="CCX47" s="44"/>
      <c r="CCY47" s="44"/>
      <c r="CCZ47" s="44"/>
      <c r="CDA47" s="44"/>
      <c r="CDB47" s="44"/>
      <c r="CDC47" s="44"/>
      <c r="CDD47" s="44"/>
      <c r="CDE47" s="44"/>
      <c r="CDF47" s="44"/>
      <c r="CDG47" s="44"/>
      <c r="CDH47" s="44"/>
      <c r="CDI47" s="44"/>
      <c r="CDJ47" s="44"/>
      <c r="CDK47" s="44"/>
      <c r="CDL47" s="44"/>
      <c r="CDM47" s="44"/>
      <c r="CDN47" s="44"/>
      <c r="CDO47" s="44"/>
      <c r="CDP47" s="44"/>
      <c r="CDQ47" s="44"/>
      <c r="CDR47" s="44"/>
      <c r="CDS47" s="44"/>
      <c r="CDT47" s="44"/>
      <c r="CDU47" s="44"/>
      <c r="CDV47" s="44"/>
      <c r="CDW47" s="44"/>
      <c r="CDX47" s="44"/>
      <c r="CDY47" s="44"/>
      <c r="CDZ47" s="44"/>
      <c r="CEA47" s="44"/>
      <c r="CEB47" s="44"/>
      <c r="CEC47" s="44"/>
      <c r="CED47" s="44"/>
      <c r="CEE47" s="44"/>
      <c r="CEF47" s="44"/>
      <c r="CEG47" s="44"/>
      <c r="CEH47" s="44"/>
      <c r="CEI47" s="44"/>
      <c r="CEJ47" s="44"/>
      <c r="CEK47" s="44"/>
      <c r="CEL47" s="44"/>
      <c r="CEM47" s="44"/>
      <c r="CEN47" s="44"/>
      <c r="CEO47" s="44"/>
      <c r="CEP47" s="44"/>
      <c r="CEQ47" s="44"/>
      <c r="CER47" s="44"/>
      <c r="CES47" s="44"/>
      <c r="CET47" s="44"/>
      <c r="CEU47" s="44"/>
      <c r="CEV47" s="44"/>
      <c r="CEW47" s="44"/>
      <c r="CEX47" s="44"/>
      <c r="CEY47" s="44"/>
      <c r="CEZ47" s="44"/>
      <c r="CFA47" s="44"/>
      <c r="CFB47" s="44"/>
      <c r="CFC47" s="44"/>
      <c r="CFD47" s="44"/>
      <c r="CFE47" s="44"/>
      <c r="CFF47" s="44"/>
      <c r="CFG47" s="44"/>
      <c r="CFH47" s="44"/>
      <c r="CFI47" s="44"/>
      <c r="CFJ47" s="44"/>
      <c r="CFK47" s="44"/>
      <c r="CFL47" s="44"/>
      <c r="CFM47" s="44"/>
      <c r="CFN47" s="44"/>
      <c r="CFO47" s="44"/>
      <c r="CFP47" s="44"/>
      <c r="CFQ47" s="44"/>
      <c r="CFR47" s="44"/>
      <c r="CFS47" s="44"/>
      <c r="CFT47" s="44"/>
      <c r="CFU47" s="44"/>
      <c r="CFV47" s="44"/>
      <c r="CFW47" s="44"/>
      <c r="CFX47" s="44"/>
      <c r="CFY47" s="44"/>
      <c r="CFZ47" s="44"/>
      <c r="CGA47" s="44"/>
      <c r="CGB47" s="44"/>
      <c r="CGC47" s="44"/>
      <c r="CGD47" s="44"/>
      <c r="CGE47" s="44"/>
      <c r="CGF47" s="44"/>
      <c r="CGG47" s="44"/>
      <c r="CGH47" s="44"/>
      <c r="CGI47" s="44"/>
      <c r="CGJ47" s="44"/>
      <c r="CGK47" s="44"/>
      <c r="CGL47" s="44"/>
      <c r="CGM47" s="44"/>
      <c r="CGN47" s="44"/>
      <c r="CGO47" s="44"/>
      <c r="CGP47" s="44"/>
      <c r="CGQ47" s="44"/>
      <c r="CGR47" s="44"/>
      <c r="CGS47" s="44"/>
      <c r="CGT47" s="44"/>
      <c r="CGU47" s="44"/>
      <c r="CGV47" s="44"/>
      <c r="CGW47" s="44"/>
      <c r="CGX47" s="44"/>
      <c r="CGY47" s="44"/>
      <c r="CGZ47" s="44"/>
      <c r="CHA47" s="44"/>
      <c r="CHB47" s="44"/>
      <c r="CHC47" s="44"/>
      <c r="CHD47" s="44"/>
      <c r="CHE47" s="44"/>
      <c r="CHF47" s="44"/>
      <c r="CHG47" s="44"/>
      <c r="CHH47" s="44"/>
      <c r="CHI47" s="44"/>
      <c r="CHJ47" s="44"/>
      <c r="CHK47" s="44"/>
      <c r="CHL47" s="44"/>
      <c r="CHM47" s="44"/>
      <c r="CHN47" s="44"/>
      <c r="CHO47" s="44"/>
      <c r="CHP47" s="44"/>
      <c r="CHQ47" s="44"/>
      <c r="CHR47" s="44"/>
      <c r="CHS47" s="44"/>
      <c r="CHT47" s="44"/>
      <c r="CHU47" s="44"/>
      <c r="CHV47" s="44"/>
      <c r="CHW47" s="44"/>
      <c r="CHX47" s="44"/>
      <c r="CHY47" s="44"/>
      <c r="CHZ47" s="44"/>
      <c r="CIA47" s="44"/>
      <c r="CIB47" s="44"/>
      <c r="CIC47" s="44"/>
      <c r="CID47" s="44"/>
      <c r="CIE47" s="44"/>
      <c r="CIF47" s="44"/>
      <c r="CIG47" s="44"/>
      <c r="CIH47" s="44"/>
      <c r="CII47" s="44"/>
      <c r="CIJ47" s="44"/>
      <c r="CIK47" s="44"/>
      <c r="CIL47" s="44"/>
      <c r="CIM47" s="44"/>
      <c r="CIN47" s="44"/>
      <c r="CIO47" s="44"/>
      <c r="CIP47" s="44"/>
      <c r="CIQ47" s="44"/>
      <c r="CIR47" s="44"/>
      <c r="CIS47" s="44"/>
      <c r="CIT47" s="44"/>
      <c r="CIU47" s="44"/>
      <c r="CIV47" s="44"/>
      <c r="CIW47" s="44"/>
      <c r="CIX47" s="44"/>
      <c r="CIY47" s="44"/>
      <c r="CIZ47" s="44"/>
      <c r="CJA47" s="44"/>
      <c r="CJB47" s="44"/>
      <c r="CJC47" s="44"/>
      <c r="CJD47" s="44"/>
      <c r="CJE47" s="44"/>
      <c r="CJF47" s="44"/>
      <c r="CJG47" s="44"/>
      <c r="CJH47" s="44"/>
      <c r="CJI47" s="44"/>
      <c r="CJJ47" s="44"/>
      <c r="CJK47" s="44"/>
      <c r="CJL47" s="44"/>
      <c r="CJM47" s="44"/>
      <c r="CJN47" s="44"/>
      <c r="CJO47" s="44"/>
      <c r="CJP47" s="44"/>
      <c r="CJQ47" s="44"/>
      <c r="CJR47" s="44"/>
      <c r="CJS47" s="44"/>
      <c r="CJT47" s="44"/>
      <c r="CJU47" s="44"/>
      <c r="CJV47" s="44"/>
      <c r="CJW47" s="44"/>
      <c r="CJX47" s="44"/>
      <c r="CJY47" s="44"/>
      <c r="CJZ47" s="44"/>
      <c r="CKA47" s="44"/>
      <c r="CKB47" s="44"/>
      <c r="CKC47" s="44"/>
      <c r="CKD47" s="44"/>
      <c r="CKE47" s="44"/>
      <c r="CKF47" s="44"/>
      <c r="CKG47" s="44"/>
      <c r="CKH47" s="44"/>
      <c r="CKI47" s="44"/>
      <c r="CKJ47" s="44"/>
      <c r="CKK47" s="44"/>
      <c r="CKL47" s="44"/>
      <c r="CKM47" s="44"/>
      <c r="CKN47" s="44"/>
      <c r="CKO47" s="44"/>
      <c r="CKP47" s="44"/>
      <c r="CKQ47" s="44"/>
      <c r="CKR47" s="44"/>
      <c r="CKS47" s="44"/>
      <c r="CKT47" s="44"/>
      <c r="CKU47" s="44"/>
      <c r="CKV47" s="44"/>
      <c r="CKW47" s="44"/>
      <c r="CKX47" s="44"/>
      <c r="CKY47" s="44"/>
      <c r="CKZ47" s="44"/>
      <c r="CLA47" s="44"/>
      <c r="CLB47" s="44"/>
      <c r="CLC47" s="44"/>
      <c r="CLD47" s="44"/>
      <c r="CLE47" s="44"/>
      <c r="CLF47" s="44"/>
      <c r="CLG47" s="44"/>
      <c r="CLH47" s="44"/>
      <c r="CLI47" s="44"/>
      <c r="CLJ47" s="44"/>
      <c r="CLK47" s="44"/>
      <c r="CLL47" s="44"/>
      <c r="CLM47" s="44"/>
      <c r="CLN47" s="44"/>
      <c r="CLO47" s="44"/>
      <c r="CLP47" s="44"/>
      <c r="CLQ47" s="44"/>
      <c r="CLR47" s="44"/>
      <c r="CLS47" s="44"/>
      <c r="CLT47" s="44"/>
      <c r="CLU47" s="44"/>
      <c r="CLV47" s="44"/>
      <c r="CLW47" s="44"/>
      <c r="CLX47" s="44"/>
      <c r="CLY47" s="44"/>
      <c r="CLZ47" s="44"/>
      <c r="CMA47" s="44"/>
      <c r="CMB47" s="44"/>
      <c r="CMC47" s="44"/>
      <c r="CMD47" s="44"/>
      <c r="CME47" s="44"/>
      <c r="CMF47" s="44"/>
      <c r="CMG47" s="44"/>
      <c r="CMH47" s="44"/>
      <c r="CMI47" s="44"/>
      <c r="CMJ47" s="44"/>
      <c r="CMK47" s="44"/>
      <c r="CML47" s="44"/>
      <c r="CMM47" s="44"/>
      <c r="CMN47" s="44"/>
      <c r="CMO47" s="44"/>
      <c r="CMP47" s="44"/>
      <c r="CMQ47" s="44"/>
      <c r="CMR47" s="44"/>
      <c r="CMS47" s="44"/>
      <c r="CMT47" s="44"/>
      <c r="CMU47" s="44"/>
      <c r="CMV47" s="44"/>
      <c r="CMW47" s="44"/>
      <c r="CMX47" s="44"/>
      <c r="CMY47" s="44"/>
      <c r="CMZ47" s="44"/>
      <c r="CNA47" s="44"/>
      <c r="CNB47" s="44"/>
      <c r="CNC47" s="44"/>
      <c r="CND47" s="44"/>
      <c r="CNE47" s="44"/>
      <c r="CNF47" s="44"/>
      <c r="CNG47" s="44"/>
      <c r="CNH47" s="44"/>
      <c r="CNI47" s="44"/>
      <c r="CNJ47" s="44"/>
      <c r="CNK47" s="44"/>
      <c r="CNL47" s="44"/>
      <c r="CNM47" s="44"/>
      <c r="CNN47" s="44"/>
      <c r="CNO47" s="44"/>
      <c r="CNP47" s="44"/>
      <c r="CNQ47" s="44"/>
      <c r="CNR47" s="44"/>
      <c r="CNS47" s="44"/>
      <c r="CNT47" s="44"/>
      <c r="CNU47" s="44"/>
      <c r="CNV47" s="44"/>
      <c r="CNW47" s="44"/>
      <c r="CNX47" s="44"/>
      <c r="CNY47" s="44"/>
      <c r="CNZ47" s="44"/>
      <c r="COA47" s="44"/>
      <c r="COB47" s="44"/>
      <c r="COC47" s="44"/>
      <c r="COD47" s="44"/>
      <c r="COE47" s="44"/>
      <c r="COF47" s="44"/>
      <c r="COG47" s="44"/>
      <c r="COH47" s="44"/>
      <c r="COI47" s="44"/>
      <c r="COJ47" s="44"/>
      <c r="COK47" s="44"/>
      <c r="COL47" s="44"/>
      <c r="COM47" s="44"/>
      <c r="CON47" s="44"/>
      <c r="COO47" s="44"/>
      <c r="COP47" s="44"/>
      <c r="COQ47" s="44"/>
      <c r="COR47" s="44"/>
      <c r="COS47" s="44"/>
      <c r="COT47" s="44"/>
      <c r="COU47" s="44"/>
      <c r="COV47" s="44"/>
      <c r="COW47" s="44"/>
      <c r="COX47" s="44"/>
      <c r="COY47" s="44"/>
      <c r="COZ47" s="44"/>
      <c r="CPA47" s="44"/>
      <c r="CPB47" s="44"/>
      <c r="CPC47" s="44"/>
      <c r="CPD47" s="44"/>
      <c r="CPE47" s="44"/>
      <c r="CPF47" s="44"/>
      <c r="CPG47" s="44"/>
      <c r="CPH47" s="44"/>
      <c r="CPI47" s="44"/>
      <c r="CPJ47" s="44"/>
      <c r="CPK47" s="44"/>
      <c r="CPL47" s="44"/>
      <c r="CPM47" s="44"/>
      <c r="CPN47" s="44"/>
      <c r="CPO47" s="44"/>
      <c r="CPP47" s="44"/>
      <c r="CPQ47" s="44"/>
      <c r="CPR47" s="44"/>
      <c r="CPS47" s="44"/>
      <c r="CPT47" s="44"/>
      <c r="CPU47" s="44"/>
      <c r="CPV47" s="44"/>
      <c r="CPW47" s="44"/>
      <c r="CPX47" s="44"/>
      <c r="CPY47" s="44"/>
      <c r="CPZ47" s="44"/>
      <c r="CQA47" s="44"/>
      <c r="CQB47" s="44"/>
      <c r="CQC47" s="44"/>
      <c r="CQD47" s="44"/>
      <c r="CQE47" s="44"/>
      <c r="CQF47" s="44"/>
      <c r="CQG47" s="44"/>
      <c r="CQH47" s="44"/>
      <c r="CQI47" s="44"/>
      <c r="CQJ47" s="44"/>
      <c r="CQK47" s="44"/>
      <c r="CQL47" s="44"/>
      <c r="CQM47" s="44"/>
      <c r="CQN47" s="44"/>
      <c r="CQO47" s="44"/>
      <c r="CQP47" s="44"/>
      <c r="CQQ47" s="44"/>
      <c r="CQR47" s="44"/>
      <c r="CQS47" s="44"/>
      <c r="CQT47" s="44"/>
      <c r="CQU47" s="44"/>
      <c r="CQV47" s="44"/>
      <c r="CQW47" s="44"/>
      <c r="CQX47" s="44"/>
      <c r="CQY47" s="44"/>
      <c r="CQZ47" s="44"/>
      <c r="CRA47" s="44"/>
      <c r="CRB47" s="44"/>
      <c r="CRC47" s="44"/>
      <c r="CRD47" s="44"/>
      <c r="CRE47" s="44"/>
      <c r="CRF47" s="44"/>
      <c r="CRG47" s="44"/>
      <c r="CRH47" s="44"/>
      <c r="CRI47" s="44"/>
      <c r="CRJ47" s="44"/>
      <c r="CRK47" s="44"/>
      <c r="CRL47" s="44"/>
      <c r="CRM47" s="44"/>
      <c r="CRN47" s="44"/>
      <c r="CRO47" s="44"/>
      <c r="CRP47" s="44"/>
      <c r="CRQ47" s="44"/>
      <c r="CRR47" s="44"/>
      <c r="CRS47" s="44"/>
      <c r="CRT47" s="44"/>
      <c r="CRU47" s="44"/>
      <c r="CRV47" s="44"/>
      <c r="CRW47" s="44"/>
      <c r="CRX47" s="44"/>
      <c r="CRY47" s="44"/>
      <c r="CRZ47" s="44"/>
      <c r="CSA47" s="44"/>
      <c r="CSB47" s="44"/>
      <c r="CSC47" s="44"/>
      <c r="CSD47" s="44"/>
      <c r="CSE47" s="44"/>
      <c r="CSF47" s="44"/>
      <c r="CSG47" s="44"/>
      <c r="CSH47" s="44"/>
      <c r="CSI47" s="44"/>
      <c r="CSJ47" s="44"/>
      <c r="CSK47" s="44"/>
      <c r="CSL47" s="44"/>
      <c r="CSM47" s="44"/>
      <c r="CSN47" s="44"/>
      <c r="CSO47" s="44"/>
      <c r="CSP47" s="44"/>
      <c r="CSQ47" s="44"/>
      <c r="CSR47" s="44"/>
      <c r="CSS47" s="44"/>
      <c r="CST47" s="44"/>
      <c r="CSU47" s="44"/>
      <c r="CSV47" s="44"/>
      <c r="CSW47" s="44"/>
      <c r="CSX47" s="44"/>
      <c r="CSY47" s="44"/>
      <c r="CSZ47" s="44"/>
      <c r="CTA47" s="44"/>
      <c r="CTB47" s="44"/>
      <c r="CTC47" s="44"/>
      <c r="CTD47" s="44"/>
      <c r="CTE47" s="44"/>
      <c r="CTF47" s="44"/>
      <c r="CTG47" s="44"/>
      <c r="CTH47" s="44"/>
      <c r="CTI47" s="44"/>
      <c r="CTJ47" s="44"/>
      <c r="CTK47" s="44"/>
      <c r="CTL47" s="44"/>
      <c r="CTM47" s="44"/>
      <c r="CTN47" s="44"/>
      <c r="CTO47" s="44"/>
      <c r="CTP47" s="44"/>
      <c r="CTQ47" s="44"/>
      <c r="CTR47" s="44"/>
      <c r="CTS47" s="44"/>
      <c r="CTT47" s="44"/>
      <c r="CTU47" s="44"/>
      <c r="CTV47" s="44"/>
      <c r="CTW47" s="44"/>
      <c r="CTX47" s="44"/>
      <c r="CTY47" s="44"/>
      <c r="CTZ47" s="44"/>
      <c r="CUA47" s="44"/>
      <c r="CUB47" s="44"/>
      <c r="CUC47" s="44"/>
      <c r="CUD47" s="44"/>
      <c r="CUE47" s="44"/>
      <c r="CUF47" s="44"/>
      <c r="CUG47" s="44"/>
      <c r="CUH47" s="44"/>
      <c r="CUI47" s="44"/>
      <c r="CUJ47" s="44"/>
      <c r="CUK47" s="44"/>
      <c r="CUL47" s="44"/>
      <c r="CUM47" s="44"/>
      <c r="CUN47" s="44"/>
      <c r="CUO47" s="44"/>
      <c r="CUP47" s="44"/>
      <c r="CUQ47" s="44"/>
      <c r="CUR47" s="44"/>
      <c r="CUS47" s="44"/>
      <c r="CUT47" s="44"/>
      <c r="CUU47" s="44"/>
      <c r="CUV47" s="44"/>
      <c r="CUW47" s="44"/>
      <c r="CUX47" s="44"/>
      <c r="CUY47" s="44"/>
      <c r="CUZ47" s="44"/>
      <c r="CVA47" s="44"/>
      <c r="CVB47" s="44"/>
      <c r="CVC47" s="44"/>
      <c r="CVD47" s="44"/>
      <c r="CVE47" s="44"/>
      <c r="CVF47" s="44"/>
      <c r="CVG47" s="44"/>
      <c r="CVH47" s="44"/>
      <c r="CVI47" s="44"/>
      <c r="CVJ47" s="44"/>
      <c r="CVK47" s="44"/>
      <c r="CVL47" s="44"/>
      <c r="CVM47" s="44"/>
      <c r="CVN47" s="44"/>
      <c r="CVO47" s="44"/>
      <c r="CVP47" s="44"/>
      <c r="CVQ47" s="44"/>
      <c r="CVR47" s="44"/>
      <c r="CVS47" s="44"/>
      <c r="CVT47" s="44"/>
      <c r="CVU47" s="44"/>
      <c r="CVV47" s="44"/>
      <c r="CVW47" s="44"/>
      <c r="CVX47" s="44"/>
      <c r="CVY47" s="44"/>
      <c r="CVZ47" s="44"/>
      <c r="CWA47" s="44"/>
      <c r="CWB47" s="44"/>
      <c r="CWC47" s="44"/>
      <c r="CWD47" s="44"/>
      <c r="CWE47" s="44"/>
      <c r="CWF47" s="44"/>
      <c r="CWG47" s="44"/>
      <c r="CWH47" s="44"/>
      <c r="CWI47" s="44"/>
      <c r="CWJ47" s="44"/>
      <c r="CWK47" s="44"/>
      <c r="CWL47" s="44"/>
      <c r="CWM47" s="44"/>
      <c r="CWN47" s="44"/>
      <c r="CWO47" s="44"/>
      <c r="CWP47" s="44"/>
      <c r="CWQ47" s="44"/>
      <c r="CWR47" s="44"/>
      <c r="CWS47" s="44"/>
      <c r="CWT47" s="44"/>
      <c r="CWU47" s="44"/>
      <c r="CWV47" s="44"/>
      <c r="CWW47" s="44"/>
      <c r="CWX47" s="44"/>
      <c r="CWY47" s="44"/>
      <c r="CWZ47" s="44"/>
      <c r="CXA47" s="44"/>
      <c r="CXB47" s="44"/>
      <c r="CXC47" s="44"/>
      <c r="CXD47" s="44"/>
      <c r="CXE47" s="44"/>
      <c r="CXF47" s="44"/>
      <c r="CXG47" s="44"/>
      <c r="CXH47" s="44"/>
      <c r="CXI47" s="44"/>
      <c r="CXJ47" s="44"/>
      <c r="CXK47" s="44"/>
      <c r="CXL47" s="44"/>
      <c r="CXM47" s="44"/>
      <c r="CXN47" s="44"/>
      <c r="CXO47" s="44"/>
      <c r="CXP47" s="44"/>
      <c r="CXQ47" s="44"/>
      <c r="CXR47" s="44"/>
      <c r="CXS47" s="44"/>
      <c r="CXT47" s="44"/>
      <c r="CXU47" s="44"/>
      <c r="CXV47" s="44"/>
      <c r="CXW47" s="44"/>
      <c r="CXX47" s="44"/>
      <c r="CXY47" s="44"/>
      <c r="CXZ47" s="44"/>
      <c r="CYA47" s="44"/>
      <c r="CYB47" s="44"/>
      <c r="CYC47" s="44"/>
      <c r="CYD47" s="44"/>
      <c r="CYE47" s="44"/>
      <c r="CYF47" s="44"/>
      <c r="CYG47" s="44"/>
      <c r="CYH47" s="44"/>
      <c r="CYI47" s="44"/>
      <c r="CYJ47" s="44"/>
      <c r="CYK47" s="44"/>
      <c r="CYL47" s="44"/>
      <c r="CYM47" s="44"/>
      <c r="CYN47" s="44"/>
      <c r="CYO47" s="44"/>
      <c r="CYP47" s="44"/>
      <c r="CYQ47" s="44"/>
      <c r="CYR47" s="44"/>
      <c r="CYS47" s="44"/>
      <c r="CYT47" s="44"/>
      <c r="CYU47" s="44"/>
      <c r="CYV47" s="44"/>
      <c r="CYW47" s="44"/>
      <c r="CYX47" s="44"/>
      <c r="CYY47" s="44"/>
      <c r="CYZ47" s="44"/>
      <c r="CZA47" s="44"/>
      <c r="CZB47" s="44"/>
      <c r="CZC47" s="44"/>
      <c r="CZD47" s="44"/>
      <c r="CZE47" s="44"/>
      <c r="CZF47" s="44"/>
      <c r="CZG47" s="44"/>
      <c r="CZH47" s="44"/>
      <c r="CZI47" s="44"/>
      <c r="CZJ47" s="44"/>
      <c r="CZK47" s="44"/>
      <c r="CZL47" s="44"/>
      <c r="CZM47" s="44"/>
      <c r="CZN47" s="44"/>
      <c r="CZO47" s="44"/>
      <c r="CZP47" s="44"/>
      <c r="CZQ47" s="44"/>
      <c r="CZR47" s="44"/>
      <c r="CZS47" s="44"/>
      <c r="CZT47" s="44"/>
      <c r="CZU47" s="44"/>
      <c r="CZV47" s="44"/>
      <c r="CZW47" s="44"/>
      <c r="CZX47" s="44"/>
      <c r="CZY47" s="44"/>
      <c r="CZZ47" s="44"/>
      <c r="DAA47" s="44"/>
      <c r="DAB47" s="44"/>
      <c r="DAC47" s="44"/>
      <c r="DAD47" s="44"/>
      <c r="DAE47" s="44"/>
      <c r="DAF47" s="44"/>
      <c r="DAG47" s="44"/>
      <c r="DAH47" s="44"/>
      <c r="DAI47" s="44"/>
      <c r="DAJ47" s="44"/>
      <c r="DAK47" s="44"/>
      <c r="DAL47" s="44"/>
      <c r="DAM47" s="44"/>
      <c r="DAN47" s="44"/>
      <c r="DAO47" s="44"/>
      <c r="DAP47" s="44"/>
      <c r="DAQ47" s="44"/>
      <c r="DAR47" s="44"/>
      <c r="DAS47" s="44"/>
      <c r="DAT47" s="44"/>
      <c r="DAU47" s="44"/>
      <c r="DAV47" s="44"/>
      <c r="DAW47" s="44"/>
      <c r="DAX47" s="44"/>
      <c r="DAY47" s="44"/>
      <c r="DAZ47" s="44"/>
      <c r="DBA47" s="44"/>
      <c r="DBB47" s="44"/>
      <c r="DBC47" s="44"/>
      <c r="DBD47" s="44"/>
      <c r="DBE47" s="44"/>
      <c r="DBF47" s="44"/>
      <c r="DBG47" s="44"/>
      <c r="DBH47" s="44"/>
      <c r="DBI47" s="44"/>
      <c r="DBJ47" s="44"/>
      <c r="DBK47" s="44"/>
      <c r="DBL47" s="44"/>
      <c r="DBM47" s="44"/>
      <c r="DBN47" s="44"/>
      <c r="DBO47" s="44"/>
      <c r="DBP47" s="44"/>
      <c r="DBQ47" s="44"/>
      <c r="DBR47" s="44"/>
      <c r="DBS47" s="44"/>
      <c r="DBT47" s="44"/>
      <c r="DBU47" s="44"/>
      <c r="DBV47" s="44"/>
      <c r="DBW47" s="44"/>
      <c r="DBX47" s="44"/>
      <c r="DBY47" s="44"/>
      <c r="DBZ47" s="44"/>
      <c r="DCA47" s="44"/>
      <c r="DCB47" s="44"/>
      <c r="DCC47" s="44"/>
      <c r="DCD47" s="44"/>
      <c r="DCE47" s="44"/>
      <c r="DCF47" s="44"/>
      <c r="DCG47" s="44"/>
      <c r="DCH47" s="44"/>
      <c r="DCI47" s="44"/>
      <c r="DCJ47" s="44"/>
      <c r="DCK47" s="44"/>
      <c r="DCL47" s="44"/>
      <c r="DCM47" s="44"/>
      <c r="DCN47" s="44"/>
      <c r="DCO47" s="44"/>
      <c r="DCP47" s="44"/>
      <c r="DCQ47" s="44"/>
      <c r="DCR47" s="44"/>
      <c r="DCS47" s="44"/>
      <c r="DCT47" s="44"/>
      <c r="DCU47" s="44"/>
      <c r="DCV47" s="44"/>
      <c r="DCW47" s="44"/>
      <c r="DCX47" s="44"/>
      <c r="DCY47" s="44"/>
      <c r="DCZ47" s="44"/>
      <c r="DDA47" s="44"/>
      <c r="DDB47" s="44"/>
      <c r="DDC47" s="44"/>
      <c r="DDD47" s="44"/>
      <c r="DDE47" s="44"/>
      <c r="DDF47" s="44"/>
      <c r="DDG47" s="44"/>
      <c r="DDH47" s="44"/>
      <c r="DDI47" s="44"/>
      <c r="DDJ47" s="44"/>
      <c r="DDK47" s="44"/>
      <c r="DDL47" s="44"/>
      <c r="DDM47" s="44"/>
      <c r="DDN47" s="44"/>
      <c r="DDO47" s="44"/>
      <c r="DDP47" s="44"/>
      <c r="DDQ47" s="44"/>
      <c r="DDR47" s="44"/>
      <c r="DDS47" s="44"/>
      <c r="DDT47" s="44"/>
      <c r="DDU47" s="44"/>
      <c r="DDV47" s="44"/>
      <c r="DDW47" s="44"/>
      <c r="DDX47" s="44"/>
      <c r="DDY47" s="44"/>
      <c r="DDZ47" s="44"/>
      <c r="DEA47" s="44"/>
      <c r="DEB47" s="44"/>
      <c r="DEC47" s="44"/>
      <c r="DED47" s="44"/>
      <c r="DEE47" s="44"/>
      <c r="DEF47" s="44"/>
      <c r="DEG47" s="44"/>
      <c r="DEH47" s="44"/>
      <c r="DEI47" s="44"/>
      <c r="DEJ47" s="44"/>
      <c r="DEK47" s="44"/>
      <c r="DEL47" s="44"/>
      <c r="DEM47" s="44"/>
      <c r="DEN47" s="44"/>
      <c r="DEO47" s="44"/>
      <c r="DEP47" s="44"/>
      <c r="DEQ47" s="44"/>
      <c r="DER47" s="44"/>
      <c r="DES47" s="44"/>
      <c r="DET47" s="44"/>
      <c r="DEU47" s="44"/>
      <c r="DEV47" s="44"/>
      <c r="DEW47" s="44"/>
      <c r="DEX47" s="44"/>
      <c r="DEY47" s="44"/>
      <c r="DEZ47" s="44"/>
      <c r="DFA47" s="44"/>
      <c r="DFB47" s="44"/>
      <c r="DFC47" s="44"/>
      <c r="DFD47" s="44"/>
      <c r="DFE47" s="44"/>
      <c r="DFF47" s="44"/>
      <c r="DFG47" s="44"/>
      <c r="DFH47" s="44"/>
      <c r="DFI47" s="44"/>
      <c r="DFJ47" s="44"/>
      <c r="DFK47" s="44"/>
      <c r="DFL47" s="44"/>
      <c r="DFM47" s="44"/>
      <c r="DFN47" s="44"/>
      <c r="DFO47" s="44"/>
      <c r="DFP47" s="44"/>
      <c r="DFQ47" s="44"/>
      <c r="DFR47" s="44"/>
      <c r="DFS47" s="44"/>
      <c r="DFT47" s="44"/>
      <c r="DFU47" s="44"/>
      <c r="DFV47" s="44"/>
      <c r="DFW47" s="44"/>
      <c r="DFX47" s="44"/>
      <c r="DFY47" s="44"/>
      <c r="DFZ47" s="44"/>
      <c r="DGA47" s="44"/>
      <c r="DGB47" s="44"/>
      <c r="DGC47" s="44"/>
      <c r="DGD47" s="44"/>
      <c r="DGE47" s="44"/>
      <c r="DGF47" s="44"/>
      <c r="DGG47" s="44"/>
      <c r="DGH47" s="44"/>
      <c r="DGI47" s="44"/>
      <c r="DGJ47" s="44"/>
      <c r="DGK47" s="44"/>
      <c r="DGL47" s="44"/>
      <c r="DGM47" s="44"/>
      <c r="DGN47" s="44"/>
      <c r="DGO47" s="44"/>
      <c r="DGP47" s="44"/>
      <c r="DGQ47" s="44"/>
      <c r="DGR47" s="44"/>
      <c r="DGS47" s="44"/>
      <c r="DGT47" s="44"/>
      <c r="DGU47" s="44"/>
      <c r="DGV47" s="44"/>
      <c r="DGW47" s="44"/>
      <c r="DGX47" s="44"/>
      <c r="DGY47" s="44"/>
      <c r="DGZ47" s="44"/>
      <c r="DHA47" s="44"/>
      <c r="DHB47" s="44"/>
      <c r="DHC47" s="44"/>
      <c r="DHD47" s="44"/>
      <c r="DHE47" s="44"/>
      <c r="DHF47" s="44"/>
      <c r="DHG47" s="44"/>
      <c r="DHH47" s="44"/>
      <c r="DHI47" s="44"/>
      <c r="DHJ47" s="44"/>
      <c r="DHK47" s="44"/>
      <c r="DHL47" s="44"/>
      <c r="DHM47" s="44"/>
      <c r="DHN47" s="44"/>
      <c r="DHO47" s="44"/>
      <c r="DHP47" s="44"/>
      <c r="DHQ47" s="44"/>
      <c r="DHR47" s="44"/>
      <c r="DHS47" s="44"/>
      <c r="DHT47" s="44"/>
      <c r="DHU47" s="44"/>
      <c r="DHV47" s="44"/>
      <c r="DHW47" s="44"/>
      <c r="DHX47" s="44"/>
      <c r="DHY47" s="44"/>
      <c r="DHZ47" s="44"/>
      <c r="DIA47" s="44"/>
      <c r="DIB47" s="44"/>
      <c r="DIC47" s="44"/>
      <c r="DID47" s="44"/>
      <c r="DIE47" s="44"/>
      <c r="DIF47" s="44"/>
      <c r="DIG47" s="44"/>
      <c r="DIH47" s="44"/>
      <c r="DII47" s="44"/>
      <c r="DIJ47" s="44"/>
      <c r="DIK47" s="44"/>
      <c r="DIL47" s="44"/>
      <c r="DIM47" s="44"/>
      <c r="DIN47" s="44"/>
      <c r="DIO47" s="44"/>
      <c r="DIP47" s="44"/>
      <c r="DIQ47" s="44"/>
      <c r="DIR47" s="44"/>
      <c r="DIS47" s="44"/>
      <c r="DIT47" s="44"/>
      <c r="DIU47" s="44"/>
      <c r="DIV47" s="44"/>
      <c r="DIW47" s="44"/>
      <c r="DIX47" s="44"/>
      <c r="DIY47" s="44"/>
      <c r="DIZ47" s="44"/>
      <c r="DJA47" s="44"/>
      <c r="DJB47" s="44"/>
      <c r="DJC47" s="44"/>
      <c r="DJD47" s="44"/>
      <c r="DJE47" s="44"/>
      <c r="DJF47" s="44"/>
      <c r="DJG47" s="44"/>
      <c r="DJH47" s="44"/>
      <c r="DJI47" s="44"/>
      <c r="DJJ47" s="44"/>
      <c r="DJK47" s="44"/>
      <c r="DJL47" s="44"/>
      <c r="DJM47" s="44"/>
      <c r="DJN47" s="44"/>
      <c r="DJO47" s="44"/>
      <c r="DJP47" s="44"/>
      <c r="DJQ47" s="44"/>
      <c r="DJR47" s="44"/>
      <c r="DJS47" s="44"/>
      <c r="DJT47" s="44"/>
      <c r="DJU47" s="44"/>
      <c r="DJV47" s="44"/>
      <c r="DJW47" s="44"/>
      <c r="DJX47" s="44"/>
      <c r="DJY47" s="44"/>
      <c r="DJZ47" s="44"/>
      <c r="DKA47" s="44"/>
      <c r="DKB47" s="44"/>
      <c r="DKC47" s="44"/>
      <c r="DKD47" s="44"/>
      <c r="DKE47" s="44"/>
      <c r="DKF47" s="44"/>
      <c r="DKG47" s="44"/>
      <c r="DKH47" s="44"/>
      <c r="DKI47" s="44"/>
      <c r="DKJ47" s="44"/>
      <c r="DKK47" s="44"/>
      <c r="DKL47" s="44"/>
      <c r="DKM47" s="44"/>
      <c r="DKN47" s="44"/>
      <c r="DKO47" s="44"/>
      <c r="DKP47" s="44"/>
      <c r="DKQ47" s="44"/>
      <c r="DKR47" s="44"/>
      <c r="DKS47" s="44"/>
      <c r="DKT47" s="44"/>
      <c r="DKU47" s="44"/>
      <c r="DKV47" s="44"/>
      <c r="DKW47" s="44"/>
      <c r="DKX47" s="44"/>
      <c r="DKY47" s="44"/>
      <c r="DKZ47" s="44"/>
      <c r="DLA47" s="44"/>
      <c r="DLB47" s="44"/>
      <c r="DLC47" s="44"/>
      <c r="DLD47" s="44"/>
      <c r="DLE47" s="44"/>
      <c r="DLF47" s="44"/>
      <c r="DLG47" s="44"/>
      <c r="DLH47" s="44"/>
      <c r="DLI47" s="44"/>
      <c r="DLJ47" s="44"/>
      <c r="DLK47" s="44"/>
      <c r="DLL47" s="44"/>
      <c r="DLM47" s="44"/>
      <c r="DLN47" s="44"/>
      <c r="DLO47" s="44"/>
      <c r="DLP47" s="44"/>
      <c r="DLQ47" s="44"/>
      <c r="DLR47" s="44"/>
      <c r="DLS47" s="44"/>
      <c r="DLT47" s="44"/>
      <c r="DLU47" s="44"/>
      <c r="DLV47" s="44"/>
      <c r="DLW47" s="44"/>
      <c r="DLX47" s="44"/>
      <c r="DLY47" s="44"/>
      <c r="DLZ47" s="44"/>
      <c r="DMA47" s="44"/>
      <c r="DMB47" s="44"/>
      <c r="DMC47" s="44"/>
      <c r="DMD47" s="44"/>
      <c r="DME47" s="44"/>
      <c r="DMF47" s="44"/>
      <c r="DMG47" s="44"/>
      <c r="DMH47" s="44"/>
      <c r="DMI47" s="44"/>
      <c r="DMJ47" s="44"/>
      <c r="DMK47" s="44"/>
      <c r="DML47" s="44"/>
      <c r="DMM47" s="44"/>
      <c r="DMN47" s="44"/>
      <c r="DMO47" s="44"/>
      <c r="DMP47" s="44"/>
      <c r="DMQ47" s="44"/>
      <c r="DMR47" s="44"/>
      <c r="DMS47" s="44"/>
      <c r="DMT47" s="44"/>
      <c r="DMU47" s="44"/>
      <c r="DMV47" s="44"/>
      <c r="DMW47" s="44"/>
      <c r="DMX47" s="44"/>
      <c r="DMY47" s="44"/>
      <c r="DMZ47" s="44"/>
      <c r="DNA47" s="44"/>
      <c r="DNB47" s="44"/>
      <c r="DNC47" s="44"/>
      <c r="DND47" s="44"/>
      <c r="DNE47" s="44"/>
      <c r="DNF47" s="44"/>
      <c r="DNG47" s="44"/>
      <c r="DNH47" s="44"/>
      <c r="DNI47" s="44"/>
      <c r="DNJ47" s="44"/>
      <c r="DNK47" s="44"/>
      <c r="DNL47" s="44"/>
      <c r="DNM47" s="44"/>
      <c r="DNN47" s="44"/>
      <c r="DNO47" s="44"/>
      <c r="DNP47" s="44"/>
      <c r="DNQ47" s="44"/>
      <c r="DNR47" s="44"/>
      <c r="DNS47" s="44"/>
      <c r="DNT47" s="44"/>
      <c r="DNU47" s="44"/>
      <c r="DNV47" s="44"/>
      <c r="DNW47" s="44"/>
      <c r="DNX47" s="44"/>
      <c r="DNY47" s="44"/>
      <c r="DNZ47" s="44"/>
      <c r="DOA47" s="44"/>
      <c r="DOB47" s="44"/>
      <c r="DOC47" s="44"/>
      <c r="DOD47" s="44"/>
      <c r="DOE47" s="44"/>
      <c r="DOF47" s="44"/>
      <c r="DOG47" s="44"/>
      <c r="DOH47" s="44"/>
      <c r="DOI47" s="44"/>
      <c r="DOJ47" s="44"/>
      <c r="DOK47" s="44"/>
      <c r="DOL47" s="44"/>
      <c r="DOM47" s="44"/>
      <c r="DON47" s="44"/>
      <c r="DOO47" s="44"/>
      <c r="DOP47" s="44"/>
      <c r="DOQ47" s="44"/>
      <c r="DOR47" s="44"/>
      <c r="DOS47" s="44"/>
      <c r="DOT47" s="44"/>
      <c r="DOU47" s="44"/>
      <c r="DOV47" s="44"/>
      <c r="DOW47" s="44"/>
      <c r="DOX47" s="44"/>
      <c r="DOY47" s="44"/>
      <c r="DOZ47" s="44"/>
      <c r="DPA47" s="44"/>
      <c r="DPB47" s="44"/>
      <c r="DPC47" s="44"/>
      <c r="DPD47" s="44"/>
      <c r="DPE47" s="44"/>
      <c r="DPF47" s="44"/>
      <c r="DPG47" s="44"/>
      <c r="DPH47" s="44"/>
      <c r="DPI47" s="44"/>
      <c r="DPJ47" s="44"/>
      <c r="DPK47" s="44"/>
      <c r="DPL47" s="44"/>
      <c r="DPM47" s="44"/>
      <c r="DPN47" s="44"/>
      <c r="DPO47" s="44"/>
      <c r="DPP47" s="44"/>
      <c r="DPQ47" s="44"/>
      <c r="DPR47" s="44"/>
      <c r="DPS47" s="44"/>
      <c r="DPT47" s="44"/>
      <c r="DPU47" s="44"/>
      <c r="DPV47" s="44"/>
      <c r="DPW47" s="44"/>
      <c r="DPX47" s="44"/>
      <c r="DPY47" s="44"/>
      <c r="DPZ47" s="44"/>
      <c r="DQA47" s="44"/>
      <c r="DQB47" s="44"/>
      <c r="DQC47" s="44"/>
      <c r="DQD47" s="44"/>
      <c r="DQE47" s="44"/>
      <c r="DQF47" s="44"/>
      <c r="DQG47" s="44"/>
      <c r="DQH47" s="44"/>
      <c r="DQI47" s="44"/>
      <c r="DQJ47" s="44"/>
      <c r="DQK47" s="44"/>
      <c r="DQL47" s="44"/>
      <c r="DQM47" s="44"/>
      <c r="DQN47" s="44"/>
      <c r="DQO47" s="44"/>
      <c r="DQP47" s="44"/>
      <c r="DQQ47" s="44"/>
      <c r="DQR47" s="44"/>
      <c r="DQS47" s="44"/>
      <c r="DQT47" s="44"/>
      <c r="DQU47" s="44"/>
      <c r="DQV47" s="44"/>
      <c r="DQW47" s="44"/>
      <c r="DQX47" s="44"/>
      <c r="DQY47" s="44"/>
      <c r="DQZ47" s="44"/>
      <c r="DRA47" s="44"/>
      <c r="DRB47" s="44"/>
      <c r="DRC47" s="44"/>
      <c r="DRD47" s="44"/>
      <c r="DRE47" s="44"/>
      <c r="DRF47" s="44"/>
      <c r="DRG47" s="44"/>
      <c r="DRH47" s="44"/>
      <c r="DRI47" s="44"/>
      <c r="DRJ47" s="44"/>
      <c r="DRK47" s="44"/>
      <c r="DRL47" s="44"/>
      <c r="DRM47" s="44"/>
      <c r="DRN47" s="44"/>
      <c r="DRO47" s="44"/>
      <c r="DRP47" s="44"/>
      <c r="DRQ47" s="44"/>
      <c r="DRR47" s="44"/>
      <c r="DRS47" s="44"/>
      <c r="DRT47" s="44"/>
      <c r="DRU47" s="44"/>
      <c r="DRV47" s="44"/>
      <c r="DRW47" s="44"/>
      <c r="DRX47" s="44"/>
      <c r="DRY47" s="44"/>
      <c r="DRZ47" s="44"/>
      <c r="DSA47" s="44"/>
      <c r="DSB47" s="44"/>
      <c r="DSC47" s="44"/>
      <c r="DSD47" s="44"/>
      <c r="DSE47" s="44"/>
      <c r="DSF47" s="44"/>
      <c r="DSG47" s="44"/>
      <c r="DSH47" s="44"/>
      <c r="DSI47" s="44"/>
      <c r="DSJ47" s="44"/>
      <c r="DSK47" s="44"/>
      <c r="DSL47" s="44"/>
      <c r="DSM47" s="44"/>
      <c r="DSN47" s="44"/>
      <c r="DSO47" s="44"/>
      <c r="DSP47" s="44"/>
      <c r="DSQ47" s="44"/>
      <c r="DSR47" s="44"/>
      <c r="DSS47" s="44"/>
      <c r="DST47" s="44"/>
      <c r="DSU47" s="44"/>
      <c r="DSV47" s="44"/>
      <c r="DSW47" s="44"/>
      <c r="DSX47" s="44"/>
      <c r="DSY47" s="44"/>
      <c r="DSZ47" s="44"/>
      <c r="DTA47" s="44"/>
      <c r="DTB47" s="44"/>
      <c r="DTC47" s="44"/>
      <c r="DTD47" s="44"/>
      <c r="DTE47" s="44"/>
      <c r="DTF47" s="44"/>
      <c r="DTG47" s="44"/>
      <c r="DTH47" s="44"/>
      <c r="DTI47" s="44"/>
      <c r="DTJ47" s="44"/>
      <c r="DTK47" s="44"/>
      <c r="DTL47" s="44"/>
      <c r="DTM47" s="44"/>
      <c r="DTN47" s="44"/>
      <c r="DTO47" s="44"/>
      <c r="DTP47" s="44"/>
      <c r="DTQ47" s="44"/>
      <c r="DTR47" s="44"/>
      <c r="DTS47" s="44"/>
      <c r="DTT47" s="44"/>
      <c r="DTU47" s="44"/>
      <c r="DTV47" s="44"/>
      <c r="DTW47" s="44"/>
      <c r="DTX47" s="44"/>
      <c r="DTY47" s="44"/>
      <c r="DTZ47" s="44"/>
      <c r="DUA47" s="44"/>
      <c r="DUB47" s="44"/>
      <c r="DUC47" s="44"/>
      <c r="DUD47" s="44"/>
      <c r="DUE47" s="44"/>
      <c r="DUF47" s="44"/>
      <c r="DUG47" s="44"/>
      <c r="DUH47" s="44"/>
      <c r="DUI47" s="44"/>
      <c r="DUJ47" s="44"/>
      <c r="DUK47" s="44"/>
      <c r="DUL47" s="44"/>
      <c r="DUM47" s="44"/>
      <c r="DUN47" s="44"/>
      <c r="DUO47" s="44"/>
      <c r="DUP47" s="44"/>
      <c r="DUQ47" s="44"/>
      <c r="DUR47" s="44"/>
      <c r="DUS47" s="44"/>
      <c r="DUT47" s="44"/>
      <c r="DUU47" s="44"/>
      <c r="DUV47" s="44"/>
      <c r="DUW47" s="44"/>
      <c r="DUX47" s="44"/>
      <c r="DUY47" s="44"/>
      <c r="DUZ47" s="44"/>
      <c r="DVA47" s="44"/>
      <c r="DVB47" s="44"/>
      <c r="DVC47" s="44"/>
      <c r="DVD47" s="44"/>
      <c r="DVE47" s="44"/>
      <c r="DVF47" s="44"/>
      <c r="DVG47" s="44"/>
      <c r="DVH47" s="44"/>
      <c r="DVI47" s="44"/>
      <c r="DVJ47" s="44"/>
      <c r="DVK47" s="44"/>
      <c r="DVL47" s="44"/>
      <c r="DVM47" s="44"/>
      <c r="DVN47" s="44"/>
      <c r="DVO47" s="44"/>
      <c r="DVP47" s="44"/>
      <c r="DVQ47" s="44"/>
      <c r="DVR47" s="44"/>
      <c r="DVS47" s="44"/>
      <c r="DVT47" s="44"/>
      <c r="DVU47" s="44"/>
      <c r="DVV47" s="44"/>
      <c r="DVW47" s="44"/>
      <c r="DVX47" s="44"/>
      <c r="DVY47" s="44"/>
      <c r="DVZ47" s="44"/>
      <c r="DWA47" s="44"/>
      <c r="DWB47" s="44"/>
      <c r="DWC47" s="44"/>
      <c r="DWD47" s="44"/>
      <c r="DWE47" s="44"/>
      <c r="DWF47" s="44"/>
      <c r="DWG47" s="44"/>
      <c r="DWH47" s="44"/>
      <c r="DWI47" s="44"/>
      <c r="DWJ47" s="44"/>
      <c r="DWK47" s="44"/>
      <c r="DWL47" s="44"/>
      <c r="DWM47" s="44"/>
      <c r="DWN47" s="44"/>
      <c r="DWO47" s="44"/>
      <c r="DWP47" s="44"/>
      <c r="DWQ47" s="44"/>
      <c r="DWR47" s="44"/>
      <c r="DWS47" s="44"/>
      <c r="DWT47" s="44"/>
      <c r="DWU47" s="44"/>
      <c r="DWV47" s="44"/>
      <c r="DWW47" s="44"/>
      <c r="DWX47" s="44"/>
      <c r="DWY47" s="44"/>
      <c r="DWZ47" s="44"/>
      <c r="DXA47" s="44"/>
      <c r="DXB47" s="44"/>
      <c r="DXC47" s="44"/>
      <c r="DXD47" s="44"/>
      <c r="DXE47" s="44"/>
      <c r="DXF47" s="44"/>
      <c r="DXG47" s="44"/>
      <c r="DXH47" s="44"/>
      <c r="DXI47" s="44"/>
      <c r="DXJ47" s="44"/>
      <c r="DXK47" s="44"/>
      <c r="DXL47" s="44"/>
      <c r="DXM47" s="44"/>
      <c r="DXN47" s="44"/>
      <c r="DXO47" s="44"/>
      <c r="DXP47" s="44"/>
      <c r="DXQ47" s="44"/>
      <c r="DXR47" s="44"/>
      <c r="DXS47" s="44"/>
      <c r="DXT47" s="44"/>
      <c r="DXU47" s="44"/>
      <c r="DXV47" s="44"/>
      <c r="DXW47" s="44"/>
      <c r="DXX47" s="44"/>
      <c r="DXY47" s="44"/>
      <c r="DXZ47" s="44"/>
      <c r="DYA47" s="44"/>
      <c r="DYB47" s="44"/>
      <c r="DYC47" s="44"/>
      <c r="DYD47" s="44"/>
      <c r="DYE47" s="44"/>
      <c r="DYF47" s="44"/>
      <c r="DYG47" s="44"/>
      <c r="DYH47" s="44"/>
      <c r="DYI47" s="44"/>
      <c r="DYJ47" s="44"/>
      <c r="DYK47" s="44"/>
      <c r="DYL47" s="44"/>
      <c r="DYM47" s="44"/>
      <c r="DYN47" s="44"/>
      <c r="DYO47" s="44"/>
      <c r="DYP47" s="44"/>
      <c r="DYQ47" s="44"/>
      <c r="DYR47" s="44"/>
      <c r="DYS47" s="44"/>
      <c r="DYT47" s="44"/>
      <c r="DYU47" s="44"/>
      <c r="DYV47" s="44"/>
      <c r="DYW47" s="44"/>
      <c r="DYX47" s="44"/>
      <c r="DYY47" s="44"/>
      <c r="DYZ47" s="44"/>
      <c r="DZA47" s="44"/>
      <c r="DZB47" s="44"/>
      <c r="DZC47" s="44"/>
      <c r="DZD47" s="44"/>
      <c r="DZE47" s="44"/>
      <c r="DZF47" s="44"/>
      <c r="DZG47" s="44"/>
      <c r="DZH47" s="44"/>
      <c r="DZI47" s="44"/>
      <c r="DZJ47" s="44"/>
      <c r="DZK47" s="44"/>
      <c r="DZL47" s="44"/>
      <c r="DZM47" s="44"/>
      <c r="DZN47" s="44"/>
      <c r="DZO47" s="44"/>
      <c r="DZP47" s="44"/>
      <c r="DZQ47" s="44"/>
      <c r="DZR47" s="44"/>
      <c r="DZS47" s="44"/>
      <c r="DZT47" s="44"/>
      <c r="DZU47" s="44"/>
      <c r="DZV47" s="44"/>
      <c r="DZW47" s="44"/>
      <c r="DZX47" s="44"/>
      <c r="DZY47" s="44"/>
      <c r="DZZ47" s="44"/>
      <c r="EAA47" s="44"/>
      <c r="EAB47" s="44"/>
      <c r="EAC47" s="44"/>
      <c r="EAD47" s="44"/>
      <c r="EAE47" s="44"/>
      <c r="EAF47" s="44"/>
      <c r="EAG47" s="44"/>
      <c r="EAH47" s="44"/>
      <c r="EAI47" s="44"/>
      <c r="EAJ47" s="44"/>
      <c r="EAK47" s="44"/>
      <c r="EAL47" s="44"/>
      <c r="EAM47" s="44"/>
      <c r="EAN47" s="44"/>
      <c r="EAO47" s="44"/>
      <c r="EAP47" s="44"/>
      <c r="EAQ47" s="44"/>
      <c r="EAR47" s="44"/>
      <c r="EAS47" s="44"/>
      <c r="EAT47" s="44"/>
      <c r="EAU47" s="44"/>
      <c r="EAV47" s="44"/>
      <c r="EAW47" s="44"/>
      <c r="EAX47" s="44"/>
      <c r="EAY47" s="44"/>
      <c r="EAZ47" s="44"/>
      <c r="EBA47" s="44"/>
      <c r="EBB47" s="44"/>
      <c r="EBC47" s="44"/>
      <c r="EBD47" s="44"/>
      <c r="EBE47" s="44"/>
      <c r="EBF47" s="44"/>
      <c r="EBG47" s="44"/>
      <c r="EBH47" s="44"/>
      <c r="EBI47" s="44"/>
      <c r="EBJ47" s="44"/>
      <c r="EBK47" s="44"/>
      <c r="EBL47" s="44"/>
      <c r="EBM47" s="44"/>
      <c r="EBN47" s="44"/>
      <c r="EBO47" s="44"/>
      <c r="EBP47" s="44"/>
      <c r="EBQ47" s="44"/>
      <c r="EBR47" s="44"/>
      <c r="EBS47" s="44"/>
      <c r="EBT47" s="44"/>
      <c r="EBU47" s="44"/>
      <c r="EBV47" s="44"/>
      <c r="EBW47" s="44"/>
      <c r="EBX47" s="44"/>
      <c r="EBY47" s="44"/>
      <c r="EBZ47" s="44"/>
      <c r="ECA47" s="44"/>
      <c r="ECB47" s="44"/>
      <c r="ECC47" s="44"/>
      <c r="ECD47" s="44"/>
      <c r="ECE47" s="44"/>
      <c r="ECF47" s="44"/>
      <c r="ECG47" s="44"/>
      <c r="ECH47" s="44"/>
      <c r="ECI47" s="44"/>
      <c r="ECJ47" s="44"/>
      <c r="ECK47" s="44"/>
      <c r="ECL47" s="44"/>
      <c r="ECM47" s="44"/>
      <c r="ECN47" s="44"/>
      <c r="ECO47" s="44"/>
      <c r="ECP47" s="44"/>
      <c r="ECQ47" s="44"/>
      <c r="ECR47" s="44"/>
      <c r="ECS47" s="44"/>
      <c r="ECT47" s="44"/>
      <c r="ECU47" s="44"/>
      <c r="ECV47" s="44"/>
      <c r="ECW47" s="44"/>
      <c r="ECX47" s="44"/>
      <c r="ECY47" s="44"/>
      <c r="ECZ47" s="44"/>
      <c r="EDA47" s="44"/>
      <c r="EDB47" s="44"/>
      <c r="EDC47" s="44"/>
      <c r="EDD47" s="44"/>
      <c r="EDE47" s="44"/>
      <c r="EDF47" s="44"/>
      <c r="EDG47" s="44"/>
      <c r="EDH47" s="44"/>
      <c r="EDI47" s="44"/>
      <c r="EDJ47" s="44"/>
      <c r="EDK47" s="44"/>
      <c r="EDL47" s="44"/>
      <c r="EDM47" s="44"/>
      <c r="EDN47" s="44"/>
      <c r="EDO47" s="44"/>
      <c r="EDP47" s="44"/>
      <c r="EDQ47" s="44"/>
      <c r="EDR47" s="44"/>
      <c r="EDS47" s="44"/>
      <c r="EDT47" s="44"/>
      <c r="EDU47" s="44"/>
      <c r="EDV47" s="44"/>
      <c r="EDW47" s="44"/>
      <c r="EDX47" s="44"/>
      <c r="EDY47" s="44"/>
      <c r="EDZ47" s="44"/>
      <c r="EEA47" s="44"/>
      <c r="EEB47" s="44"/>
      <c r="EEC47" s="44"/>
      <c r="EED47" s="44"/>
      <c r="EEE47" s="44"/>
      <c r="EEF47" s="44"/>
      <c r="EEG47" s="44"/>
      <c r="EEH47" s="44"/>
      <c r="EEI47" s="44"/>
      <c r="EEJ47" s="44"/>
      <c r="EEK47" s="44"/>
      <c r="EEL47" s="44"/>
      <c r="EEM47" s="44"/>
      <c r="EEN47" s="44"/>
      <c r="EEO47" s="44"/>
      <c r="EEP47" s="44"/>
      <c r="EEQ47" s="44"/>
      <c r="EER47" s="44"/>
      <c r="EES47" s="44"/>
      <c r="EET47" s="44"/>
      <c r="EEU47" s="44"/>
      <c r="EEV47" s="44"/>
      <c r="EEW47" s="44"/>
      <c r="EEX47" s="44"/>
      <c r="EEY47" s="44"/>
      <c r="EEZ47" s="44"/>
      <c r="EFA47" s="44"/>
      <c r="EFB47" s="44"/>
      <c r="EFC47" s="44"/>
      <c r="EFD47" s="44"/>
      <c r="EFE47" s="44"/>
      <c r="EFF47" s="44"/>
      <c r="EFG47" s="44"/>
      <c r="EFH47" s="44"/>
      <c r="EFI47" s="44"/>
      <c r="EFJ47" s="44"/>
      <c r="EFK47" s="44"/>
      <c r="EFL47" s="44"/>
      <c r="EFM47" s="44"/>
      <c r="EFN47" s="44"/>
      <c r="EFO47" s="44"/>
      <c r="EFP47" s="44"/>
      <c r="EFQ47" s="44"/>
      <c r="EFR47" s="44"/>
      <c r="EFS47" s="44"/>
      <c r="EFT47" s="44"/>
      <c r="EFU47" s="44"/>
      <c r="EFV47" s="44"/>
      <c r="EFW47" s="44"/>
      <c r="EFX47" s="44"/>
      <c r="EFY47" s="44"/>
      <c r="EFZ47" s="44"/>
      <c r="EGA47" s="44"/>
      <c r="EGB47" s="44"/>
      <c r="EGC47" s="44"/>
      <c r="EGD47" s="44"/>
      <c r="EGE47" s="44"/>
      <c r="EGF47" s="44"/>
      <c r="EGG47" s="44"/>
      <c r="EGH47" s="44"/>
      <c r="EGI47" s="44"/>
      <c r="EGJ47" s="44"/>
      <c r="EGK47" s="44"/>
      <c r="EGL47" s="44"/>
      <c r="EGM47" s="44"/>
      <c r="EGN47" s="44"/>
      <c r="EGO47" s="44"/>
      <c r="EGP47" s="44"/>
      <c r="EGQ47" s="44"/>
      <c r="EGR47" s="44"/>
      <c r="EGS47" s="44"/>
      <c r="EGT47" s="44"/>
      <c r="EGU47" s="44"/>
      <c r="EGV47" s="44"/>
      <c r="EGW47" s="44"/>
      <c r="EGX47" s="44"/>
      <c r="EGY47" s="44"/>
      <c r="EGZ47" s="44"/>
      <c r="EHA47" s="44"/>
      <c r="EHB47" s="44"/>
      <c r="EHC47" s="44"/>
      <c r="EHD47" s="44"/>
      <c r="EHE47" s="44"/>
      <c r="EHF47" s="44"/>
      <c r="EHG47" s="44"/>
      <c r="EHH47" s="44"/>
      <c r="EHI47" s="44"/>
      <c r="EHJ47" s="44"/>
      <c r="EHK47" s="44"/>
      <c r="EHL47" s="44"/>
      <c r="EHM47" s="44"/>
      <c r="EHN47" s="44"/>
      <c r="EHO47" s="44"/>
      <c r="EHP47" s="44"/>
      <c r="EHQ47" s="44"/>
      <c r="EHR47" s="44"/>
      <c r="EHS47" s="44"/>
      <c r="EHT47" s="44"/>
      <c r="EHU47" s="44"/>
      <c r="EHV47" s="44"/>
      <c r="EHW47" s="44"/>
      <c r="EHX47" s="44"/>
      <c r="EHY47" s="44"/>
      <c r="EHZ47" s="44"/>
      <c r="EIA47" s="44"/>
      <c r="EIB47" s="44"/>
      <c r="EIC47" s="44"/>
      <c r="EID47" s="44"/>
      <c r="EIE47" s="44"/>
      <c r="EIF47" s="44"/>
      <c r="EIG47" s="44"/>
      <c r="EIH47" s="44"/>
      <c r="EII47" s="44"/>
      <c r="EIJ47" s="44"/>
      <c r="EIK47" s="44"/>
      <c r="EIL47" s="44"/>
      <c r="EIM47" s="44"/>
      <c r="EIN47" s="44"/>
      <c r="EIO47" s="44"/>
      <c r="EIP47" s="44"/>
      <c r="EIQ47" s="44"/>
      <c r="EIR47" s="44"/>
      <c r="EIS47" s="44"/>
      <c r="EIT47" s="44"/>
      <c r="EIU47" s="44"/>
      <c r="EIV47" s="44"/>
      <c r="EIW47" s="44"/>
      <c r="EIX47" s="44"/>
      <c r="EIY47" s="44"/>
      <c r="EIZ47" s="44"/>
      <c r="EJA47" s="44"/>
      <c r="EJB47" s="44"/>
      <c r="EJC47" s="44"/>
      <c r="EJD47" s="44"/>
      <c r="EJE47" s="44"/>
      <c r="EJF47" s="44"/>
      <c r="EJG47" s="44"/>
      <c r="EJH47" s="44"/>
      <c r="EJI47" s="44"/>
      <c r="EJJ47" s="44"/>
      <c r="EJK47" s="44"/>
      <c r="EJL47" s="44"/>
      <c r="EJM47" s="44"/>
      <c r="EJN47" s="44"/>
      <c r="EJO47" s="44"/>
      <c r="EJP47" s="44"/>
      <c r="EJQ47" s="44"/>
      <c r="EJR47" s="44"/>
      <c r="EJS47" s="44"/>
      <c r="EJT47" s="44"/>
      <c r="EJU47" s="44"/>
      <c r="EJV47" s="44"/>
      <c r="EJW47" s="44"/>
      <c r="EJX47" s="44"/>
      <c r="EJY47" s="44"/>
      <c r="EJZ47" s="44"/>
      <c r="EKA47" s="44"/>
      <c r="EKB47" s="44"/>
      <c r="EKC47" s="44"/>
      <c r="EKD47" s="44"/>
      <c r="EKE47" s="44"/>
      <c r="EKF47" s="44"/>
      <c r="EKG47" s="44"/>
      <c r="EKH47" s="44"/>
      <c r="EKI47" s="44"/>
      <c r="EKJ47" s="44"/>
      <c r="EKK47" s="44"/>
      <c r="EKL47" s="44"/>
      <c r="EKM47" s="44"/>
      <c r="EKN47" s="44"/>
      <c r="EKO47" s="44"/>
      <c r="EKP47" s="44"/>
      <c r="EKQ47" s="44"/>
      <c r="EKR47" s="44"/>
      <c r="EKS47" s="44"/>
      <c r="EKT47" s="44"/>
      <c r="EKU47" s="44"/>
      <c r="EKV47" s="44"/>
      <c r="EKW47" s="44"/>
      <c r="EKX47" s="44"/>
      <c r="EKY47" s="44"/>
      <c r="EKZ47" s="44"/>
      <c r="ELA47" s="44"/>
      <c r="ELB47" s="44"/>
      <c r="ELC47" s="44"/>
      <c r="ELD47" s="44"/>
      <c r="ELE47" s="44"/>
      <c r="ELF47" s="44"/>
      <c r="ELG47" s="44"/>
      <c r="ELH47" s="44"/>
      <c r="ELI47" s="44"/>
      <c r="ELJ47" s="44"/>
      <c r="ELK47" s="44"/>
      <c r="ELL47" s="44"/>
      <c r="ELM47" s="44"/>
      <c r="ELN47" s="44"/>
      <c r="ELO47" s="44"/>
      <c r="ELP47" s="44"/>
      <c r="ELQ47" s="44"/>
      <c r="ELR47" s="44"/>
      <c r="ELS47" s="44"/>
      <c r="ELT47" s="44"/>
      <c r="ELU47" s="44"/>
      <c r="ELV47" s="44"/>
      <c r="ELW47" s="44"/>
      <c r="ELX47" s="44"/>
      <c r="ELY47" s="44"/>
      <c r="ELZ47" s="44"/>
      <c r="EMA47" s="44"/>
      <c r="EMB47" s="44"/>
      <c r="EMC47" s="44"/>
      <c r="EMD47" s="44"/>
      <c r="EME47" s="44"/>
      <c r="EMF47" s="44"/>
      <c r="EMG47" s="44"/>
      <c r="EMH47" s="44"/>
      <c r="EMI47" s="44"/>
      <c r="EMJ47" s="44"/>
      <c r="EMK47" s="44"/>
      <c r="EML47" s="44"/>
      <c r="EMM47" s="44"/>
      <c r="EMN47" s="44"/>
      <c r="EMO47" s="44"/>
      <c r="EMP47" s="44"/>
      <c r="EMQ47" s="44"/>
      <c r="EMR47" s="44"/>
      <c r="EMS47" s="44"/>
      <c r="EMT47" s="44"/>
      <c r="EMU47" s="44"/>
      <c r="EMV47" s="44"/>
      <c r="EMW47" s="44"/>
      <c r="EMX47" s="44"/>
      <c r="EMY47" s="44"/>
      <c r="EMZ47" s="44"/>
      <c r="ENA47" s="44"/>
      <c r="ENB47" s="44"/>
      <c r="ENC47" s="44"/>
      <c r="END47" s="44"/>
      <c r="ENE47" s="44"/>
      <c r="ENF47" s="44"/>
      <c r="ENG47" s="44"/>
      <c r="ENH47" s="44"/>
      <c r="ENI47" s="44"/>
      <c r="ENJ47" s="44"/>
      <c r="ENK47" s="44"/>
      <c r="ENL47" s="44"/>
      <c r="ENM47" s="44"/>
      <c r="ENN47" s="44"/>
      <c r="ENO47" s="44"/>
      <c r="ENP47" s="44"/>
      <c r="ENQ47" s="44"/>
      <c r="ENR47" s="44"/>
      <c r="ENS47" s="44"/>
      <c r="ENT47" s="44"/>
      <c r="ENU47" s="44"/>
      <c r="ENV47" s="44"/>
      <c r="ENW47" s="44"/>
      <c r="ENX47" s="44"/>
      <c r="ENY47" s="44"/>
      <c r="ENZ47" s="44"/>
      <c r="EOA47" s="44"/>
      <c r="EOB47" s="44"/>
      <c r="EOC47" s="44"/>
      <c r="EOD47" s="44"/>
      <c r="EOE47" s="44"/>
      <c r="EOF47" s="44"/>
      <c r="EOG47" s="44"/>
      <c r="EOH47" s="44"/>
      <c r="EOI47" s="44"/>
      <c r="EOJ47" s="44"/>
      <c r="EOK47" s="44"/>
      <c r="EOL47" s="44"/>
      <c r="EOM47" s="44"/>
      <c r="EON47" s="44"/>
      <c r="EOO47" s="44"/>
      <c r="EOP47" s="44"/>
      <c r="EOQ47" s="44"/>
      <c r="EOR47" s="44"/>
      <c r="EOS47" s="44"/>
      <c r="EOT47" s="44"/>
      <c r="EOU47" s="44"/>
      <c r="EOV47" s="44"/>
      <c r="EOW47" s="44"/>
      <c r="EOX47" s="44"/>
      <c r="EOY47" s="44"/>
      <c r="EOZ47" s="44"/>
      <c r="EPA47" s="44"/>
      <c r="EPB47" s="44"/>
      <c r="EPC47" s="44"/>
      <c r="EPD47" s="44"/>
      <c r="EPE47" s="44"/>
      <c r="EPF47" s="44"/>
      <c r="EPG47" s="44"/>
      <c r="EPH47" s="44"/>
      <c r="EPI47" s="44"/>
      <c r="EPJ47" s="44"/>
      <c r="EPK47" s="44"/>
      <c r="EPL47" s="44"/>
      <c r="EPM47" s="44"/>
      <c r="EPN47" s="44"/>
      <c r="EPO47" s="44"/>
      <c r="EPP47" s="44"/>
      <c r="EPQ47" s="44"/>
      <c r="EPR47" s="44"/>
      <c r="EPS47" s="44"/>
      <c r="EPT47" s="44"/>
      <c r="EPU47" s="44"/>
      <c r="EPV47" s="44"/>
      <c r="EPW47" s="44"/>
      <c r="EPX47" s="44"/>
      <c r="EPY47" s="44"/>
      <c r="EPZ47" s="44"/>
      <c r="EQA47" s="44"/>
      <c r="EQB47" s="44"/>
      <c r="EQC47" s="44"/>
      <c r="EQD47" s="44"/>
      <c r="EQE47" s="44"/>
      <c r="EQF47" s="44"/>
      <c r="EQG47" s="44"/>
      <c r="EQH47" s="44"/>
      <c r="EQI47" s="44"/>
      <c r="EQJ47" s="44"/>
      <c r="EQK47" s="44"/>
      <c r="EQL47" s="44"/>
      <c r="EQM47" s="44"/>
      <c r="EQN47" s="44"/>
      <c r="EQO47" s="44"/>
      <c r="EQP47" s="44"/>
      <c r="EQQ47" s="44"/>
      <c r="EQR47" s="44"/>
      <c r="EQS47" s="44"/>
      <c r="EQT47" s="44"/>
      <c r="EQU47" s="44"/>
      <c r="EQV47" s="44"/>
      <c r="EQW47" s="44"/>
      <c r="EQX47" s="44"/>
      <c r="EQY47" s="44"/>
      <c r="EQZ47" s="44"/>
      <c r="ERA47" s="44"/>
      <c r="ERB47" s="44"/>
      <c r="ERC47" s="44"/>
      <c r="ERD47" s="44"/>
      <c r="ERE47" s="44"/>
      <c r="ERF47" s="44"/>
      <c r="ERG47" s="44"/>
      <c r="ERH47" s="44"/>
      <c r="ERI47" s="44"/>
      <c r="ERJ47" s="44"/>
      <c r="ERK47" s="44"/>
      <c r="ERL47" s="44"/>
      <c r="ERM47" s="44"/>
      <c r="ERN47" s="44"/>
      <c r="ERO47" s="44"/>
      <c r="ERP47" s="44"/>
      <c r="ERQ47" s="44"/>
      <c r="ERR47" s="44"/>
      <c r="ERS47" s="44"/>
      <c r="ERT47" s="44"/>
      <c r="ERU47" s="44"/>
      <c r="ERV47" s="44"/>
      <c r="ERW47" s="44"/>
      <c r="ERX47" s="44"/>
      <c r="ERY47" s="44"/>
      <c r="ERZ47" s="44"/>
      <c r="ESA47" s="44"/>
      <c r="ESB47" s="44"/>
      <c r="ESC47" s="44"/>
      <c r="ESD47" s="44"/>
      <c r="ESE47" s="44"/>
      <c r="ESF47" s="44"/>
      <c r="ESG47" s="44"/>
      <c r="ESH47" s="44"/>
      <c r="ESI47" s="44"/>
      <c r="ESJ47" s="44"/>
      <c r="ESK47" s="44"/>
      <c r="ESL47" s="44"/>
      <c r="ESM47" s="44"/>
      <c r="ESN47" s="44"/>
      <c r="ESO47" s="44"/>
      <c r="ESP47" s="44"/>
      <c r="ESQ47" s="44"/>
      <c r="ESR47" s="44"/>
      <c r="ESS47" s="44"/>
      <c r="EST47" s="44"/>
      <c r="ESU47" s="44"/>
      <c r="ESV47" s="44"/>
      <c r="ESW47" s="44"/>
      <c r="ESX47" s="44"/>
      <c r="ESY47" s="44"/>
      <c r="ESZ47" s="44"/>
      <c r="ETA47" s="44"/>
      <c r="ETB47" s="44"/>
      <c r="ETC47" s="44"/>
      <c r="ETD47" s="44"/>
      <c r="ETE47" s="44"/>
      <c r="ETF47" s="44"/>
      <c r="ETG47" s="44"/>
      <c r="ETH47" s="44"/>
      <c r="ETI47" s="44"/>
      <c r="ETJ47" s="44"/>
      <c r="ETK47" s="44"/>
      <c r="ETL47" s="44"/>
      <c r="ETM47" s="44"/>
      <c r="ETN47" s="44"/>
      <c r="ETO47" s="44"/>
      <c r="ETP47" s="44"/>
      <c r="ETQ47" s="44"/>
      <c r="ETR47" s="44"/>
      <c r="ETS47" s="44"/>
      <c r="ETT47" s="44"/>
      <c r="ETU47" s="44"/>
      <c r="ETV47" s="44"/>
      <c r="ETW47" s="44"/>
      <c r="ETX47" s="44"/>
      <c r="ETY47" s="44"/>
      <c r="ETZ47" s="44"/>
      <c r="EUA47" s="44"/>
      <c r="EUB47" s="44"/>
      <c r="EUC47" s="44"/>
      <c r="EUD47" s="44"/>
      <c r="EUE47" s="44"/>
      <c r="EUF47" s="44"/>
      <c r="EUG47" s="44"/>
      <c r="EUH47" s="44"/>
      <c r="EUI47" s="44"/>
      <c r="EUJ47" s="44"/>
      <c r="EUK47" s="44"/>
      <c r="EUL47" s="44"/>
      <c r="EUM47" s="44"/>
      <c r="EUN47" s="44"/>
      <c r="EUO47" s="44"/>
      <c r="EUP47" s="44"/>
      <c r="EUQ47" s="44"/>
      <c r="EUR47" s="44"/>
      <c r="EUS47" s="44"/>
      <c r="EUT47" s="44"/>
      <c r="EUU47" s="44"/>
      <c r="EUV47" s="44"/>
      <c r="EUW47" s="44"/>
      <c r="EUX47" s="44"/>
      <c r="EUY47" s="44"/>
      <c r="EUZ47" s="44"/>
      <c r="EVA47" s="44"/>
      <c r="EVB47" s="44"/>
      <c r="EVC47" s="44"/>
      <c r="EVD47" s="44"/>
      <c r="EVE47" s="44"/>
      <c r="EVF47" s="44"/>
      <c r="EVG47" s="44"/>
      <c r="EVH47" s="44"/>
      <c r="EVI47" s="44"/>
      <c r="EVJ47" s="44"/>
      <c r="EVK47" s="44"/>
      <c r="EVL47" s="44"/>
      <c r="EVM47" s="44"/>
      <c r="EVN47" s="44"/>
      <c r="EVO47" s="44"/>
      <c r="EVP47" s="44"/>
      <c r="EVQ47" s="44"/>
      <c r="EVR47" s="44"/>
      <c r="EVS47" s="44"/>
      <c r="EVT47" s="44"/>
      <c r="EVU47" s="44"/>
      <c r="EVV47" s="44"/>
      <c r="EVW47" s="44"/>
      <c r="EVX47" s="44"/>
      <c r="EVY47" s="44"/>
      <c r="EVZ47" s="44"/>
      <c r="EWA47" s="44"/>
      <c r="EWB47" s="44"/>
      <c r="EWC47" s="44"/>
      <c r="EWD47" s="44"/>
      <c r="EWE47" s="44"/>
      <c r="EWF47" s="44"/>
      <c r="EWG47" s="44"/>
      <c r="EWH47" s="44"/>
      <c r="EWI47" s="44"/>
      <c r="EWJ47" s="44"/>
      <c r="EWK47" s="44"/>
      <c r="EWL47" s="44"/>
      <c r="EWM47" s="44"/>
      <c r="EWN47" s="44"/>
      <c r="EWO47" s="44"/>
      <c r="EWP47" s="44"/>
      <c r="EWQ47" s="44"/>
      <c r="EWR47" s="44"/>
      <c r="EWS47" s="44"/>
      <c r="EWT47" s="44"/>
      <c r="EWU47" s="44"/>
      <c r="EWV47" s="44"/>
      <c r="EWW47" s="44"/>
      <c r="EWX47" s="44"/>
      <c r="EWY47" s="44"/>
      <c r="EWZ47" s="44"/>
      <c r="EXA47" s="44"/>
      <c r="EXB47" s="44"/>
      <c r="EXC47" s="44"/>
      <c r="EXD47" s="44"/>
      <c r="EXE47" s="44"/>
      <c r="EXF47" s="44"/>
      <c r="EXG47" s="44"/>
      <c r="EXH47" s="44"/>
      <c r="EXI47" s="44"/>
      <c r="EXJ47" s="44"/>
      <c r="EXK47" s="44"/>
      <c r="EXL47" s="44"/>
      <c r="EXM47" s="44"/>
      <c r="EXN47" s="44"/>
      <c r="EXO47" s="44"/>
      <c r="EXP47" s="44"/>
      <c r="EXQ47" s="44"/>
      <c r="EXR47" s="44"/>
      <c r="EXS47" s="44"/>
      <c r="EXT47" s="44"/>
      <c r="EXU47" s="44"/>
      <c r="EXV47" s="44"/>
      <c r="EXW47" s="44"/>
      <c r="EXX47" s="44"/>
      <c r="EXY47" s="44"/>
      <c r="EXZ47" s="44"/>
      <c r="EYA47" s="44"/>
      <c r="EYB47" s="44"/>
      <c r="EYC47" s="44"/>
      <c r="EYD47" s="44"/>
      <c r="EYE47" s="44"/>
      <c r="EYF47" s="44"/>
      <c r="EYG47" s="44"/>
      <c r="EYH47" s="44"/>
      <c r="EYI47" s="44"/>
      <c r="EYJ47" s="44"/>
      <c r="EYK47" s="44"/>
      <c r="EYL47" s="44"/>
      <c r="EYM47" s="44"/>
      <c r="EYN47" s="44"/>
      <c r="EYO47" s="44"/>
      <c r="EYP47" s="44"/>
      <c r="EYQ47" s="44"/>
      <c r="EYR47" s="44"/>
      <c r="EYS47" s="44"/>
      <c r="EYT47" s="44"/>
      <c r="EYU47" s="44"/>
      <c r="EYV47" s="44"/>
      <c r="EYW47" s="44"/>
      <c r="EYX47" s="44"/>
      <c r="EYY47" s="44"/>
      <c r="EYZ47" s="44"/>
      <c r="EZA47" s="44"/>
      <c r="EZB47" s="44"/>
      <c r="EZC47" s="44"/>
      <c r="EZD47" s="44"/>
      <c r="EZE47" s="44"/>
      <c r="EZF47" s="44"/>
      <c r="EZG47" s="44"/>
      <c r="EZH47" s="44"/>
      <c r="EZI47" s="44"/>
      <c r="EZJ47" s="44"/>
      <c r="EZK47" s="44"/>
      <c r="EZL47" s="44"/>
      <c r="EZM47" s="44"/>
      <c r="EZN47" s="44"/>
      <c r="EZO47" s="44"/>
      <c r="EZP47" s="44"/>
      <c r="EZQ47" s="44"/>
      <c r="EZR47" s="44"/>
      <c r="EZS47" s="44"/>
      <c r="EZT47" s="44"/>
      <c r="EZU47" s="44"/>
      <c r="EZV47" s="44"/>
      <c r="EZW47" s="44"/>
      <c r="EZX47" s="44"/>
      <c r="EZY47" s="44"/>
      <c r="EZZ47" s="44"/>
      <c r="FAA47" s="44"/>
      <c r="FAB47" s="44"/>
      <c r="FAC47" s="44"/>
      <c r="FAD47" s="44"/>
      <c r="FAE47" s="44"/>
      <c r="FAF47" s="44"/>
      <c r="FAG47" s="44"/>
      <c r="FAH47" s="44"/>
      <c r="FAI47" s="44"/>
      <c r="FAJ47" s="44"/>
      <c r="FAK47" s="44"/>
      <c r="FAL47" s="44"/>
      <c r="FAM47" s="44"/>
      <c r="FAN47" s="44"/>
      <c r="FAO47" s="44"/>
      <c r="FAP47" s="44"/>
      <c r="FAQ47" s="44"/>
      <c r="FAR47" s="44"/>
      <c r="FAS47" s="44"/>
      <c r="FAT47" s="44"/>
      <c r="FAU47" s="44"/>
      <c r="FAV47" s="44"/>
      <c r="FAW47" s="44"/>
      <c r="FAX47" s="44"/>
      <c r="FAY47" s="44"/>
      <c r="FAZ47" s="44"/>
      <c r="FBA47" s="44"/>
      <c r="FBB47" s="44"/>
      <c r="FBC47" s="44"/>
      <c r="FBD47" s="44"/>
      <c r="FBE47" s="44"/>
      <c r="FBF47" s="44"/>
      <c r="FBG47" s="44"/>
      <c r="FBH47" s="44"/>
      <c r="FBI47" s="44"/>
      <c r="FBJ47" s="44"/>
      <c r="FBK47" s="44"/>
      <c r="FBL47" s="44"/>
      <c r="FBM47" s="44"/>
      <c r="FBN47" s="44"/>
      <c r="FBO47" s="44"/>
      <c r="FBP47" s="44"/>
      <c r="FBQ47" s="44"/>
      <c r="FBR47" s="44"/>
      <c r="FBS47" s="44"/>
      <c r="FBT47" s="44"/>
      <c r="FBU47" s="44"/>
      <c r="FBV47" s="44"/>
      <c r="FBW47" s="44"/>
      <c r="FBX47" s="44"/>
      <c r="FBY47" s="44"/>
      <c r="FBZ47" s="44"/>
      <c r="FCA47" s="44"/>
      <c r="FCB47" s="44"/>
      <c r="FCC47" s="44"/>
      <c r="FCD47" s="44"/>
      <c r="FCE47" s="44"/>
      <c r="FCF47" s="44"/>
      <c r="FCG47" s="44"/>
      <c r="FCH47" s="44"/>
      <c r="FCI47" s="44"/>
      <c r="FCJ47" s="44"/>
      <c r="FCK47" s="44"/>
      <c r="FCL47" s="44"/>
      <c r="FCM47" s="44"/>
      <c r="FCN47" s="44"/>
      <c r="FCO47" s="44"/>
      <c r="FCP47" s="44"/>
      <c r="FCQ47" s="44"/>
      <c r="FCR47" s="44"/>
      <c r="FCS47" s="44"/>
      <c r="FCT47" s="44"/>
      <c r="FCU47" s="44"/>
      <c r="FCV47" s="44"/>
      <c r="FCW47" s="44"/>
      <c r="FCX47" s="44"/>
      <c r="FCY47" s="44"/>
      <c r="FCZ47" s="44"/>
      <c r="FDA47" s="44"/>
      <c r="FDB47" s="44"/>
      <c r="FDC47" s="44"/>
      <c r="FDD47" s="44"/>
      <c r="FDE47" s="44"/>
      <c r="FDF47" s="44"/>
      <c r="FDG47" s="44"/>
      <c r="FDH47" s="44"/>
      <c r="FDI47" s="44"/>
      <c r="FDJ47" s="44"/>
      <c r="FDK47" s="44"/>
      <c r="FDL47" s="44"/>
      <c r="FDM47" s="44"/>
      <c r="FDN47" s="44"/>
      <c r="FDO47" s="44"/>
      <c r="FDP47" s="44"/>
      <c r="FDQ47" s="44"/>
      <c r="FDR47" s="44"/>
      <c r="FDS47" s="44"/>
      <c r="FDT47" s="44"/>
      <c r="FDU47" s="44"/>
      <c r="FDV47" s="44"/>
      <c r="FDW47" s="44"/>
      <c r="FDX47" s="44"/>
      <c r="FDY47" s="44"/>
      <c r="FDZ47" s="44"/>
      <c r="FEA47" s="44"/>
      <c r="FEB47" s="44"/>
      <c r="FEC47" s="44"/>
      <c r="FED47" s="44"/>
      <c r="FEE47" s="44"/>
      <c r="FEF47" s="44"/>
      <c r="FEG47" s="44"/>
      <c r="FEH47" s="44"/>
      <c r="FEI47" s="44"/>
      <c r="FEJ47" s="44"/>
      <c r="FEK47" s="44"/>
      <c r="FEL47" s="44"/>
      <c r="FEM47" s="44"/>
      <c r="FEN47" s="44"/>
      <c r="FEO47" s="44"/>
      <c r="FEP47" s="44"/>
      <c r="FEQ47" s="44"/>
      <c r="FER47" s="44"/>
      <c r="FES47" s="44"/>
      <c r="FET47" s="44"/>
      <c r="FEU47" s="44"/>
      <c r="FEV47" s="44"/>
      <c r="FEW47" s="44"/>
      <c r="FEX47" s="44"/>
      <c r="FEY47" s="44"/>
      <c r="FEZ47" s="44"/>
      <c r="FFA47" s="44"/>
      <c r="FFB47" s="44"/>
      <c r="FFC47" s="44"/>
      <c r="FFD47" s="44"/>
      <c r="FFE47" s="44"/>
      <c r="FFF47" s="44"/>
      <c r="FFG47" s="44"/>
      <c r="FFH47" s="44"/>
      <c r="FFI47" s="44"/>
      <c r="FFJ47" s="44"/>
      <c r="FFK47" s="44"/>
      <c r="FFL47" s="44"/>
      <c r="FFM47" s="44"/>
      <c r="FFN47" s="44"/>
      <c r="FFO47" s="44"/>
      <c r="FFP47" s="44"/>
      <c r="FFQ47" s="44"/>
      <c r="FFR47" s="44"/>
      <c r="FFS47" s="44"/>
      <c r="FFT47" s="44"/>
      <c r="FFU47" s="44"/>
      <c r="FFV47" s="44"/>
      <c r="FFW47" s="44"/>
      <c r="FFX47" s="44"/>
      <c r="FFY47" s="44"/>
      <c r="FFZ47" s="44"/>
      <c r="FGA47" s="44"/>
      <c r="FGB47" s="44"/>
      <c r="FGC47" s="44"/>
      <c r="FGD47" s="44"/>
      <c r="FGE47" s="44"/>
      <c r="FGF47" s="44"/>
      <c r="FGG47" s="44"/>
      <c r="FGH47" s="44"/>
      <c r="FGI47" s="44"/>
      <c r="FGJ47" s="44"/>
      <c r="FGK47" s="44"/>
      <c r="FGL47" s="44"/>
      <c r="FGM47" s="44"/>
      <c r="FGN47" s="44"/>
      <c r="FGO47" s="44"/>
      <c r="FGP47" s="44"/>
      <c r="FGQ47" s="44"/>
      <c r="FGR47" s="44"/>
      <c r="FGS47" s="44"/>
      <c r="FGT47" s="44"/>
      <c r="FGU47" s="44"/>
      <c r="FGV47" s="44"/>
      <c r="FGW47" s="44"/>
      <c r="FGX47" s="44"/>
      <c r="FGY47" s="44"/>
      <c r="FGZ47" s="44"/>
      <c r="FHA47" s="44"/>
      <c r="FHB47" s="44"/>
      <c r="FHC47" s="44"/>
      <c r="FHD47" s="44"/>
      <c r="FHE47" s="44"/>
      <c r="FHF47" s="44"/>
      <c r="FHG47" s="44"/>
      <c r="FHH47" s="44"/>
      <c r="FHI47" s="44"/>
      <c r="FHJ47" s="44"/>
      <c r="FHK47" s="44"/>
      <c r="FHL47" s="44"/>
      <c r="FHM47" s="44"/>
      <c r="FHN47" s="44"/>
      <c r="FHO47" s="44"/>
      <c r="FHP47" s="44"/>
      <c r="FHQ47" s="44"/>
      <c r="FHR47" s="44"/>
      <c r="FHS47" s="44"/>
      <c r="FHT47" s="44"/>
      <c r="FHU47" s="44"/>
      <c r="FHV47" s="44"/>
      <c r="FHW47" s="44"/>
      <c r="FHX47" s="44"/>
      <c r="FHY47" s="44"/>
      <c r="FHZ47" s="44"/>
      <c r="FIA47" s="44"/>
      <c r="FIB47" s="44"/>
      <c r="FIC47" s="44"/>
      <c r="FID47" s="44"/>
      <c r="FIE47" s="44"/>
      <c r="FIF47" s="44"/>
      <c r="FIG47" s="44"/>
      <c r="FIH47" s="44"/>
      <c r="FII47" s="44"/>
      <c r="FIJ47" s="44"/>
      <c r="FIK47" s="44"/>
      <c r="FIL47" s="44"/>
      <c r="FIM47" s="44"/>
      <c r="FIN47" s="44"/>
      <c r="FIO47" s="44"/>
      <c r="FIP47" s="44"/>
      <c r="FIQ47" s="44"/>
      <c r="FIR47" s="44"/>
      <c r="FIS47" s="44"/>
      <c r="FIT47" s="44"/>
      <c r="FIU47" s="44"/>
      <c r="FIV47" s="44"/>
      <c r="FIW47" s="44"/>
      <c r="FIX47" s="44"/>
      <c r="FIY47" s="44"/>
      <c r="FIZ47" s="44"/>
      <c r="FJA47" s="44"/>
      <c r="FJB47" s="44"/>
      <c r="FJC47" s="44"/>
      <c r="FJD47" s="44"/>
      <c r="FJE47" s="44"/>
      <c r="FJF47" s="44"/>
      <c r="FJG47" s="44"/>
      <c r="FJH47" s="44"/>
      <c r="FJI47" s="44"/>
      <c r="FJJ47" s="44"/>
      <c r="FJK47" s="44"/>
      <c r="FJL47" s="44"/>
      <c r="FJM47" s="44"/>
      <c r="FJN47" s="44"/>
      <c r="FJO47" s="44"/>
      <c r="FJP47" s="44"/>
      <c r="FJQ47" s="44"/>
      <c r="FJR47" s="44"/>
      <c r="FJS47" s="44"/>
      <c r="FJT47" s="44"/>
      <c r="FJU47" s="44"/>
      <c r="FJV47" s="44"/>
      <c r="FJW47" s="44"/>
      <c r="FJX47" s="44"/>
      <c r="FJY47" s="44"/>
      <c r="FJZ47" s="44"/>
      <c r="FKA47" s="44"/>
      <c r="FKB47" s="44"/>
      <c r="FKC47" s="44"/>
      <c r="FKD47" s="44"/>
      <c r="FKE47" s="44"/>
      <c r="FKF47" s="44"/>
      <c r="FKG47" s="44"/>
      <c r="FKH47" s="44"/>
      <c r="FKI47" s="44"/>
      <c r="FKJ47" s="44"/>
      <c r="FKK47" s="44"/>
      <c r="FKL47" s="44"/>
      <c r="FKM47" s="44"/>
      <c r="FKN47" s="44"/>
      <c r="FKO47" s="44"/>
      <c r="FKP47" s="44"/>
      <c r="FKQ47" s="44"/>
      <c r="FKR47" s="44"/>
      <c r="FKS47" s="44"/>
      <c r="FKT47" s="44"/>
      <c r="FKU47" s="44"/>
      <c r="FKV47" s="44"/>
      <c r="FKW47" s="44"/>
      <c r="FKX47" s="44"/>
      <c r="FKY47" s="44"/>
      <c r="FKZ47" s="44"/>
      <c r="FLA47" s="44"/>
      <c r="FLB47" s="44"/>
      <c r="FLC47" s="44"/>
      <c r="FLD47" s="44"/>
      <c r="FLE47" s="44"/>
      <c r="FLF47" s="44"/>
      <c r="FLG47" s="44"/>
      <c r="FLH47" s="44"/>
      <c r="FLI47" s="44"/>
      <c r="FLJ47" s="44"/>
      <c r="FLK47" s="44"/>
      <c r="FLL47" s="44"/>
      <c r="FLM47" s="44"/>
      <c r="FLN47" s="44"/>
      <c r="FLO47" s="44"/>
      <c r="FLP47" s="44"/>
      <c r="FLQ47" s="44"/>
      <c r="FLR47" s="44"/>
      <c r="FLS47" s="44"/>
      <c r="FLT47" s="44"/>
      <c r="FLU47" s="44"/>
      <c r="FLV47" s="44"/>
      <c r="FLW47" s="44"/>
      <c r="FLX47" s="44"/>
      <c r="FLY47" s="44"/>
      <c r="FLZ47" s="44"/>
      <c r="FMA47" s="44"/>
      <c r="FMB47" s="44"/>
      <c r="FMC47" s="44"/>
      <c r="FMD47" s="44"/>
      <c r="FME47" s="44"/>
      <c r="FMF47" s="44"/>
      <c r="FMG47" s="44"/>
      <c r="FMH47" s="44"/>
      <c r="FMI47" s="44"/>
      <c r="FMJ47" s="44"/>
      <c r="FMK47" s="44"/>
      <c r="FML47" s="44"/>
      <c r="FMM47" s="44"/>
      <c r="FMN47" s="44"/>
      <c r="FMO47" s="44"/>
      <c r="FMP47" s="44"/>
      <c r="FMQ47" s="44"/>
      <c r="FMR47" s="44"/>
      <c r="FMS47" s="44"/>
      <c r="FMT47" s="44"/>
      <c r="FMU47" s="44"/>
      <c r="FMV47" s="44"/>
      <c r="FMW47" s="44"/>
      <c r="FMX47" s="44"/>
      <c r="FMY47" s="44"/>
      <c r="FMZ47" s="44"/>
      <c r="FNA47" s="44"/>
      <c r="FNB47" s="44"/>
      <c r="FNC47" s="44"/>
      <c r="FND47" s="44"/>
      <c r="FNE47" s="44"/>
      <c r="FNF47" s="44"/>
      <c r="FNG47" s="44"/>
      <c r="FNH47" s="44"/>
      <c r="FNI47" s="44"/>
      <c r="FNJ47" s="44"/>
      <c r="FNK47" s="44"/>
      <c r="FNL47" s="44"/>
      <c r="FNM47" s="44"/>
      <c r="FNN47" s="44"/>
      <c r="FNO47" s="44"/>
      <c r="FNP47" s="44"/>
      <c r="FNQ47" s="44"/>
      <c r="FNR47" s="44"/>
      <c r="FNS47" s="44"/>
      <c r="FNT47" s="44"/>
      <c r="FNU47" s="44"/>
      <c r="FNV47" s="44"/>
      <c r="FNW47" s="44"/>
      <c r="FNX47" s="44"/>
      <c r="FNY47" s="44"/>
      <c r="FNZ47" s="44"/>
      <c r="FOA47" s="44"/>
      <c r="FOB47" s="44"/>
      <c r="FOC47" s="44"/>
      <c r="FOD47" s="44"/>
      <c r="FOE47" s="44"/>
      <c r="FOF47" s="44"/>
      <c r="FOG47" s="44"/>
      <c r="FOH47" s="44"/>
      <c r="FOI47" s="44"/>
      <c r="FOJ47" s="44"/>
      <c r="FOK47" s="44"/>
      <c r="FOL47" s="44"/>
      <c r="FOM47" s="44"/>
      <c r="FON47" s="44"/>
      <c r="FOO47" s="44"/>
      <c r="FOP47" s="44"/>
      <c r="FOQ47" s="44"/>
      <c r="FOR47" s="44"/>
      <c r="FOS47" s="44"/>
      <c r="FOT47" s="44"/>
      <c r="FOU47" s="44"/>
      <c r="FOV47" s="44"/>
      <c r="FOW47" s="44"/>
      <c r="FOX47" s="44"/>
      <c r="FOY47" s="44"/>
      <c r="FOZ47" s="44"/>
      <c r="FPA47" s="44"/>
      <c r="FPB47" s="44"/>
      <c r="FPC47" s="44"/>
      <c r="FPD47" s="44"/>
      <c r="FPE47" s="44"/>
      <c r="FPF47" s="44"/>
      <c r="FPG47" s="44"/>
      <c r="FPH47" s="44"/>
      <c r="FPI47" s="44"/>
      <c r="FPJ47" s="44"/>
      <c r="FPK47" s="44"/>
      <c r="FPL47" s="44"/>
      <c r="FPM47" s="44"/>
      <c r="FPN47" s="44"/>
      <c r="FPO47" s="44"/>
      <c r="FPP47" s="44"/>
      <c r="FPQ47" s="44"/>
      <c r="FPR47" s="44"/>
      <c r="FPS47" s="44"/>
      <c r="FPT47" s="44"/>
      <c r="FPU47" s="44"/>
      <c r="FPV47" s="44"/>
      <c r="FPW47" s="44"/>
      <c r="FPX47" s="44"/>
      <c r="FPY47" s="44"/>
      <c r="FPZ47" s="44"/>
      <c r="FQA47" s="44"/>
      <c r="FQB47" s="44"/>
      <c r="FQC47" s="44"/>
      <c r="FQD47" s="44"/>
      <c r="FQE47" s="44"/>
      <c r="FQF47" s="44"/>
      <c r="FQG47" s="44"/>
      <c r="FQH47" s="44"/>
      <c r="FQI47" s="44"/>
      <c r="FQJ47" s="44"/>
      <c r="FQK47" s="44"/>
      <c r="FQL47" s="44"/>
      <c r="FQM47" s="44"/>
      <c r="FQN47" s="44"/>
      <c r="FQO47" s="44"/>
      <c r="FQP47" s="44"/>
      <c r="FQQ47" s="44"/>
      <c r="FQR47" s="44"/>
      <c r="FQS47" s="44"/>
      <c r="FQT47" s="44"/>
      <c r="FQU47" s="44"/>
      <c r="FQV47" s="44"/>
      <c r="FQW47" s="44"/>
      <c r="FQX47" s="44"/>
      <c r="FQY47" s="44"/>
      <c r="FQZ47" s="44"/>
      <c r="FRA47" s="44"/>
      <c r="FRB47" s="44"/>
      <c r="FRC47" s="44"/>
      <c r="FRD47" s="44"/>
      <c r="FRE47" s="44"/>
      <c r="FRF47" s="44"/>
      <c r="FRG47" s="44"/>
      <c r="FRH47" s="44"/>
      <c r="FRI47" s="44"/>
      <c r="FRJ47" s="44"/>
      <c r="FRK47" s="44"/>
      <c r="FRL47" s="44"/>
      <c r="FRM47" s="44"/>
      <c r="FRN47" s="44"/>
      <c r="FRO47" s="44"/>
      <c r="FRP47" s="44"/>
      <c r="FRQ47" s="44"/>
      <c r="FRR47" s="44"/>
      <c r="FRS47" s="44"/>
      <c r="FRT47" s="44"/>
      <c r="FRU47" s="44"/>
      <c r="FRV47" s="44"/>
      <c r="FRW47" s="44"/>
      <c r="FRX47" s="44"/>
      <c r="FRY47" s="44"/>
      <c r="FRZ47" s="44"/>
      <c r="FSA47" s="44"/>
      <c r="FSB47" s="44"/>
      <c r="FSC47" s="44"/>
      <c r="FSD47" s="44"/>
      <c r="FSE47" s="44"/>
      <c r="FSF47" s="44"/>
      <c r="FSG47" s="44"/>
      <c r="FSH47" s="44"/>
      <c r="FSI47" s="44"/>
      <c r="FSJ47" s="44"/>
      <c r="FSK47" s="44"/>
      <c r="FSL47" s="44"/>
      <c r="FSM47" s="44"/>
      <c r="FSN47" s="44"/>
      <c r="FSO47" s="44"/>
      <c r="FSP47" s="44"/>
      <c r="FSQ47" s="44"/>
      <c r="FSR47" s="44"/>
      <c r="FSS47" s="44"/>
      <c r="FST47" s="44"/>
      <c r="FSU47" s="44"/>
      <c r="FSV47" s="44"/>
      <c r="FSW47" s="44"/>
      <c r="FSX47" s="44"/>
      <c r="FSY47" s="44"/>
      <c r="FSZ47" s="44"/>
      <c r="FTA47" s="44"/>
      <c r="FTB47" s="44"/>
      <c r="FTC47" s="44"/>
      <c r="FTD47" s="44"/>
      <c r="FTE47" s="44"/>
      <c r="FTF47" s="44"/>
      <c r="FTG47" s="44"/>
      <c r="FTH47" s="44"/>
      <c r="FTI47" s="44"/>
      <c r="FTJ47" s="44"/>
      <c r="FTK47" s="44"/>
      <c r="FTL47" s="44"/>
      <c r="FTM47" s="44"/>
      <c r="FTN47" s="44"/>
      <c r="FTO47" s="44"/>
      <c r="FTP47" s="44"/>
      <c r="FTQ47" s="44"/>
      <c r="FTR47" s="44"/>
      <c r="FTS47" s="44"/>
      <c r="FTT47" s="44"/>
      <c r="FTU47" s="44"/>
      <c r="FTV47" s="44"/>
      <c r="FTW47" s="44"/>
      <c r="FTX47" s="44"/>
      <c r="FTY47" s="44"/>
      <c r="FTZ47" s="44"/>
      <c r="FUA47" s="44"/>
      <c r="FUB47" s="44"/>
      <c r="FUC47" s="44"/>
      <c r="FUD47" s="44"/>
      <c r="FUE47" s="44"/>
      <c r="FUF47" s="44"/>
      <c r="FUG47" s="44"/>
      <c r="FUH47" s="44"/>
      <c r="FUI47" s="44"/>
      <c r="FUJ47" s="44"/>
      <c r="FUK47" s="44"/>
      <c r="FUL47" s="44"/>
      <c r="FUM47" s="44"/>
      <c r="FUN47" s="44"/>
      <c r="FUO47" s="44"/>
      <c r="FUP47" s="44"/>
      <c r="FUQ47" s="44"/>
      <c r="FUR47" s="44"/>
      <c r="FUS47" s="44"/>
      <c r="FUT47" s="44"/>
      <c r="FUU47" s="44"/>
      <c r="FUV47" s="44"/>
      <c r="FUW47" s="44"/>
      <c r="FUX47" s="44"/>
      <c r="FUY47" s="44"/>
      <c r="FUZ47" s="44"/>
      <c r="FVA47" s="44"/>
      <c r="FVB47" s="44"/>
      <c r="FVC47" s="44"/>
      <c r="FVD47" s="44"/>
      <c r="FVE47" s="44"/>
      <c r="FVF47" s="44"/>
      <c r="FVG47" s="44"/>
      <c r="FVH47" s="44"/>
      <c r="FVI47" s="44"/>
      <c r="FVJ47" s="44"/>
      <c r="FVK47" s="44"/>
      <c r="FVL47" s="44"/>
      <c r="FVM47" s="44"/>
      <c r="FVN47" s="44"/>
      <c r="FVO47" s="44"/>
      <c r="FVP47" s="44"/>
      <c r="FVQ47" s="44"/>
      <c r="FVR47" s="44"/>
      <c r="FVS47" s="44"/>
      <c r="FVT47" s="44"/>
      <c r="FVU47" s="44"/>
      <c r="FVV47" s="44"/>
      <c r="FVW47" s="44"/>
      <c r="FVX47" s="44"/>
      <c r="FVY47" s="44"/>
      <c r="FVZ47" s="44"/>
      <c r="FWA47" s="44"/>
      <c r="FWB47" s="44"/>
      <c r="FWC47" s="44"/>
      <c r="FWD47" s="44"/>
      <c r="FWE47" s="44"/>
      <c r="FWF47" s="44"/>
      <c r="FWG47" s="44"/>
      <c r="FWH47" s="44"/>
      <c r="FWI47" s="44"/>
      <c r="FWJ47" s="44"/>
      <c r="FWK47" s="44"/>
      <c r="FWL47" s="44"/>
      <c r="FWM47" s="44"/>
      <c r="FWN47" s="44"/>
      <c r="FWO47" s="44"/>
      <c r="FWP47" s="44"/>
      <c r="FWQ47" s="44"/>
      <c r="FWR47" s="44"/>
      <c r="FWS47" s="44"/>
      <c r="FWT47" s="44"/>
      <c r="FWU47" s="44"/>
      <c r="FWV47" s="44"/>
      <c r="FWW47" s="44"/>
      <c r="FWX47" s="44"/>
      <c r="FWY47" s="44"/>
      <c r="FWZ47" s="44"/>
      <c r="FXA47" s="44"/>
      <c r="FXB47" s="44"/>
      <c r="FXC47" s="44"/>
      <c r="FXD47" s="44"/>
      <c r="FXE47" s="44"/>
      <c r="FXF47" s="44"/>
      <c r="FXG47" s="44"/>
      <c r="FXH47" s="44"/>
      <c r="FXI47" s="44"/>
      <c r="FXJ47" s="44"/>
      <c r="FXK47" s="44"/>
      <c r="FXL47" s="44"/>
      <c r="FXM47" s="44"/>
      <c r="FXN47" s="44"/>
      <c r="FXO47" s="44"/>
      <c r="FXP47" s="44"/>
      <c r="FXQ47" s="44"/>
      <c r="FXR47" s="44"/>
      <c r="FXS47" s="44"/>
      <c r="FXT47" s="44"/>
      <c r="FXU47" s="44"/>
      <c r="FXV47" s="44"/>
      <c r="FXW47" s="44"/>
      <c r="FXX47" s="44"/>
      <c r="FXY47" s="44"/>
      <c r="FXZ47" s="44"/>
      <c r="FYA47" s="44"/>
      <c r="FYB47" s="44"/>
      <c r="FYC47" s="44"/>
      <c r="FYD47" s="44"/>
      <c r="FYE47" s="44"/>
      <c r="FYF47" s="44"/>
      <c r="FYG47" s="44"/>
      <c r="FYH47" s="44"/>
      <c r="FYI47" s="44"/>
      <c r="FYJ47" s="44"/>
      <c r="FYK47" s="44"/>
      <c r="FYL47" s="44"/>
      <c r="FYM47" s="44"/>
      <c r="FYN47" s="44"/>
      <c r="FYO47" s="44"/>
      <c r="FYP47" s="44"/>
      <c r="FYQ47" s="44"/>
      <c r="FYR47" s="44"/>
      <c r="FYS47" s="44"/>
      <c r="FYT47" s="44"/>
      <c r="FYU47" s="44"/>
      <c r="FYV47" s="44"/>
      <c r="FYW47" s="44"/>
      <c r="FYX47" s="44"/>
      <c r="FYY47" s="44"/>
      <c r="FYZ47" s="44"/>
      <c r="FZA47" s="44"/>
      <c r="FZB47" s="44"/>
      <c r="FZC47" s="44"/>
      <c r="FZD47" s="44"/>
      <c r="FZE47" s="44"/>
      <c r="FZF47" s="44"/>
      <c r="FZG47" s="44"/>
      <c r="FZH47" s="44"/>
      <c r="FZI47" s="44"/>
      <c r="FZJ47" s="44"/>
      <c r="FZK47" s="44"/>
      <c r="FZL47" s="44"/>
      <c r="FZM47" s="44"/>
      <c r="FZN47" s="44"/>
      <c r="FZO47" s="44"/>
      <c r="FZP47" s="44"/>
      <c r="FZQ47" s="44"/>
      <c r="FZR47" s="44"/>
      <c r="FZS47" s="44"/>
      <c r="FZT47" s="44"/>
      <c r="FZU47" s="44"/>
      <c r="FZV47" s="44"/>
      <c r="FZW47" s="44"/>
      <c r="FZX47" s="44"/>
      <c r="FZY47" s="44"/>
      <c r="FZZ47" s="44"/>
      <c r="GAA47" s="44"/>
      <c r="GAB47" s="44"/>
      <c r="GAC47" s="44"/>
      <c r="GAD47" s="44"/>
      <c r="GAE47" s="44"/>
      <c r="GAF47" s="44"/>
      <c r="GAG47" s="44"/>
      <c r="GAH47" s="44"/>
      <c r="GAI47" s="44"/>
      <c r="GAJ47" s="44"/>
      <c r="GAK47" s="44"/>
      <c r="GAL47" s="44"/>
      <c r="GAM47" s="44"/>
      <c r="GAN47" s="44"/>
      <c r="GAO47" s="44"/>
      <c r="GAP47" s="44"/>
      <c r="GAQ47" s="44"/>
      <c r="GAR47" s="44"/>
      <c r="GAS47" s="44"/>
      <c r="GAT47" s="44"/>
      <c r="GAU47" s="44"/>
      <c r="GAV47" s="44"/>
      <c r="GAW47" s="44"/>
      <c r="GAX47" s="44"/>
      <c r="GAY47" s="44"/>
      <c r="GAZ47" s="44"/>
      <c r="GBA47" s="44"/>
      <c r="GBB47" s="44"/>
      <c r="GBC47" s="44"/>
      <c r="GBD47" s="44"/>
      <c r="GBE47" s="44"/>
      <c r="GBF47" s="44"/>
      <c r="GBG47" s="44"/>
      <c r="GBH47" s="44"/>
      <c r="GBI47" s="44"/>
      <c r="GBJ47" s="44"/>
      <c r="GBK47" s="44"/>
      <c r="GBL47" s="44"/>
      <c r="GBM47" s="44"/>
      <c r="GBN47" s="44"/>
      <c r="GBO47" s="44"/>
      <c r="GBP47" s="44"/>
      <c r="GBQ47" s="44"/>
      <c r="GBR47" s="44"/>
      <c r="GBS47" s="44"/>
      <c r="GBT47" s="44"/>
      <c r="GBU47" s="44"/>
      <c r="GBV47" s="44"/>
      <c r="GBW47" s="44"/>
      <c r="GBX47" s="44"/>
      <c r="GBY47" s="44"/>
      <c r="GBZ47" s="44"/>
      <c r="GCA47" s="44"/>
      <c r="GCB47" s="44"/>
      <c r="GCC47" s="44"/>
      <c r="GCD47" s="44"/>
      <c r="GCE47" s="44"/>
      <c r="GCF47" s="44"/>
      <c r="GCG47" s="44"/>
      <c r="GCH47" s="44"/>
      <c r="GCI47" s="44"/>
      <c r="GCJ47" s="44"/>
      <c r="GCK47" s="44"/>
      <c r="GCL47" s="44"/>
      <c r="GCM47" s="44"/>
      <c r="GCN47" s="44"/>
      <c r="GCO47" s="44"/>
      <c r="GCP47" s="44"/>
      <c r="GCQ47" s="44"/>
      <c r="GCR47" s="44"/>
      <c r="GCS47" s="44"/>
      <c r="GCT47" s="44"/>
      <c r="GCU47" s="44"/>
      <c r="GCV47" s="44"/>
      <c r="GCW47" s="44"/>
      <c r="GCX47" s="44"/>
      <c r="GCY47" s="44"/>
      <c r="GCZ47" s="44"/>
      <c r="GDA47" s="44"/>
      <c r="GDB47" s="44"/>
      <c r="GDC47" s="44"/>
      <c r="GDD47" s="44"/>
      <c r="GDE47" s="44"/>
      <c r="GDF47" s="44"/>
      <c r="GDG47" s="44"/>
      <c r="GDH47" s="44"/>
      <c r="GDI47" s="44"/>
      <c r="GDJ47" s="44"/>
      <c r="GDK47" s="44"/>
      <c r="GDL47" s="44"/>
      <c r="GDM47" s="44"/>
      <c r="GDN47" s="44"/>
      <c r="GDO47" s="44"/>
      <c r="GDP47" s="44"/>
      <c r="GDQ47" s="44"/>
      <c r="GDR47" s="44"/>
      <c r="GDS47" s="44"/>
      <c r="GDT47" s="44"/>
      <c r="GDU47" s="44"/>
      <c r="GDV47" s="44"/>
      <c r="GDW47" s="44"/>
      <c r="GDX47" s="44"/>
      <c r="GDY47" s="44"/>
      <c r="GDZ47" s="44"/>
      <c r="GEA47" s="44"/>
      <c r="GEB47" s="44"/>
      <c r="GEC47" s="44"/>
      <c r="GED47" s="44"/>
      <c r="GEE47" s="44"/>
      <c r="GEF47" s="44"/>
      <c r="GEG47" s="44"/>
      <c r="GEH47" s="44"/>
      <c r="GEI47" s="44"/>
      <c r="GEJ47" s="44"/>
      <c r="GEK47" s="44"/>
      <c r="GEL47" s="44"/>
      <c r="GEM47" s="44"/>
      <c r="GEN47" s="44"/>
      <c r="GEO47" s="44"/>
      <c r="GEP47" s="44"/>
      <c r="GEQ47" s="44"/>
      <c r="GER47" s="44"/>
      <c r="GES47" s="44"/>
      <c r="GET47" s="44"/>
      <c r="GEU47" s="44"/>
      <c r="GEV47" s="44"/>
      <c r="GEW47" s="44"/>
      <c r="GEX47" s="44"/>
      <c r="GEY47" s="44"/>
      <c r="GEZ47" s="44"/>
      <c r="GFA47" s="44"/>
      <c r="GFB47" s="44"/>
      <c r="GFC47" s="44"/>
      <c r="GFD47" s="44"/>
      <c r="GFE47" s="44"/>
      <c r="GFF47" s="44"/>
      <c r="GFG47" s="44"/>
      <c r="GFH47" s="44"/>
      <c r="GFI47" s="44"/>
      <c r="GFJ47" s="44"/>
      <c r="GFK47" s="44"/>
      <c r="GFL47" s="44"/>
      <c r="GFM47" s="44"/>
      <c r="GFN47" s="44"/>
      <c r="GFO47" s="44"/>
      <c r="GFP47" s="44"/>
      <c r="GFQ47" s="44"/>
      <c r="GFR47" s="44"/>
      <c r="GFS47" s="44"/>
      <c r="GFT47" s="44"/>
      <c r="GFU47" s="44"/>
      <c r="GFV47" s="44"/>
      <c r="GFW47" s="44"/>
      <c r="GFX47" s="44"/>
      <c r="GFY47" s="44"/>
      <c r="GFZ47" s="44"/>
      <c r="GGA47" s="44"/>
      <c r="GGB47" s="44"/>
      <c r="GGC47" s="44"/>
      <c r="GGD47" s="44"/>
      <c r="GGE47" s="44"/>
      <c r="GGF47" s="44"/>
      <c r="GGG47" s="44"/>
      <c r="GGH47" s="44"/>
      <c r="GGI47" s="44"/>
      <c r="GGJ47" s="44"/>
      <c r="GGK47" s="44"/>
      <c r="GGL47" s="44"/>
      <c r="GGM47" s="44"/>
      <c r="GGN47" s="44"/>
      <c r="GGO47" s="44"/>
      <c r="GGP47" s="44"/>
      <c r="GGQ47" s="44"/>
      <c r="GGR47" s="44"/>
      <c r="GGS47" s="44"/>
      <c r="GGT47" s="44"/>
      <c r="GGU47" s="44"/>
      <c r="GGV47" s="44"/>
      <c r="GGW47" s="44"/>
      <c r="GGX47" s="44"/>
      <c r="GGY47" s="44"/>
      <c r="GGZ47" s="44"/>
      <c r="GHA47" s="44"/>
      <c r="GHB47" s="44"/>
      <c r="GHC47" s="44"/>
      <c r="GHD47" s="44"/>
      <c r="GHE47" s="44"/>
      <c r="GHF47" s="44"/>
      <c r="GHG47" s="44"/>
      <c r="GHH47" s="44"/>
      <c r="GHI47" s="44"/>
      <c r="GHJ47" s="44"/>
      <c r="GHK47" s="44"/>
      <c r="GHL47" s="44"/>
      <c r="GHM47" s="44"/>
      <c r="GHN47" s="44"/>
      <c r="GHO47" s="44"/>
      <c r="GHP47" s="44"/>
      <c r="GHQ47" s="44"/>
      <c r="GHR47" s="44"/>
      <c r="GHS47" s="44"/>
      <c r="GHT47" s="44"/>
      <c r="GHU47" s="44"/>
      <c r="GHV47" s="44"/>
      <c r="GHW47" s="44"/>
      <c r="GHX47" s="44"/>
      <c r="GHY47" s="44"/>
      <c r="GHZ47" s="44"/>
      <c r="GIA47" s="44"/>
      <c r="GIB47" s="44"/>
      <c r="GIC47" s="44"/>
      <c r="GID47" s="44"/>
      <c r="GIE47" s="44"/>
      <c r="GIF47" s="44"/>
      <c r="GIG47" s="44"/>
      <c r="GIH47" s="44"/>
      <c r="GII47" s="44"/>
      <c r="GIJ47" s="44"/>
      <c r="GIK47" s="44"/>
      <c r="GIL47" s="44"/>
      <c r="GIM47" s="44"/>
      <c r="GIN47" s="44"/>
      <c r="GIO47" s="44"/>
      <c r="GIP47" s="44"/>
      <c r="GIQ47" s="44"/>
      <c r="GIR47" s="44"/>
      <c r="GIS47" s="44"/>
      <c r="GIT47" s="44"/>
      <c r="GIU47" s="44"/>
      <c r="GIV47" s="44"/>
      <c r="GIW47" s="44"/>
      <c r="GIX47" s="44"/>
      <c r="GIY47" s="44"/>
      <c r="GIZ47" s="44"/>
      <c r="GJA47" s="44"/>
      <c r="GJB47" s="44"/>
      <c r="GJC47" s="44"/>
      <c r="GJD47" s="44"/>
      <c r="GJE47" s="44"/>
      <c r="GJF47" s="44"/>
      <c r="GJG47" s="44"/>
      <c r="GJH47" s="44"/>
      <c r="GJI47" s="44"/>
      <c r="GJJ47" s="44"/>
      <c r="GJK47" s="44"/>
      <c r="GJL47" s="44"/>
      <c r="GJM47" s="44"/>
      <c r="GJN47" s="44"/>
      <c r="GJO47" s="44"/>
      <c r="GJP47" s="44"/>
      <c r="GJQ47" s="44"/>
      <c r="GJR47" s="44"/>
      <c r="GJS47" s="44"/>
      <c r="GJT47" s="44"/>
      <c r="GJU47" s="44"/>
      <c r="GJV47" s="44"/>
      <c r="GJW47" s="44"/>
      <c r="GJX47" s="44"/>
      <c r="GJY47" s="44"/>
      <c r="GJZ47" s="44"/>
      <c r="GKA47" s="44"/>
      <c r="GKB47" s="44"/>
      <c r="GKC47" s="44"/>
      <c r="GKD47" s="44"/>
      <c r="GKE47" s="44"/>
      <c r="GKF47" s="44"/>
      <c r="GKG47" s="44"/>
      <c r="GKH47" s="44"/>
      <c r="GKI47" s="44"/>
      <c r="GKJ47" s="44"/>
      <c r="GKK47" s="44"/>
      <c r="GKL47" s="44"/>
      <c r="GKM47" s="44"/>
      <c r="GKN47" s="44"/>
      <c r="GKO47" s="44"/>
      <c r="GKP47" s="44"/>
      <c r="GKQ47" s="44"/>
      <c r="GKR47" s="44"/>
      <c r="GKS47" s="44"/>
      <c r="GKT47" s="44"/>
      <c r="GKU47" s="44"/>
      <c r="GKV47" s="44"/>
      <c r="GKW47" s="44"/>
      <c r="GKX47" s="44"/>
      <c r="GKY47" s="44"/>
      <c r="GKZ47" s="44"/>
      <c r="GLA47" s="44"/>
      <c r="GLB47" s="44"/>
      <c r="GLC47" s="44"/>
      <c r="GLD47" s="44"/>
      <c r="GLE47" s="44"/>
      <c r="GLF47" s="44"/>
      <c r="GLG47" s="44"/>
      <c r="GLH47" s="44"/>
      <c r="GLI47" s="44"/>
      <c r="GLJ47" s="44"/>
      <c r="GLK47" s="44"/>
      <c r="GLL47" s="44"/>
      <c r="GLM47" s="44"/>
      <c r="GLN47" s="44"/>
      <c r="GLO47" s="44"/>
      <c r="GLP47" s="44"/>
      <c r="GLQ47" s="44"/>
      <c r="GLR47" s="44"/>
      <c r="GLS47" s="44"/>
      <c r="GLT47" s="44"/>
      <c r="GLU47" s="44"/>
      <c r="GLV47" s="44"/>
      <c r="GLW47" s="44"/>
      <c r="GLX47" s="44"/>
      <c r="GLY47" s="44"/>
      <c r="GLZ47" s="44"/>
      <c r="GMA47" s="44"/>
      <c r="GMB47" s="44"/>
      <c r="GMC47" s="44"/>
      <c r="GMD47" s="44"/>
      <c r="GME47" s="44"/>
      <c r="GMF47" s="44"/>
      <c r="GMG47" s="44"/>
      <c r="GMH47" s="44"/>
      <c r="GMI47" s="44"/>
      <c r="GMJ47" s="44"/>
      <c r="GMK47" s="44"/>
      <c r="GML47" s="44"/>
      <c r="GMM47" s="44"/>
      <c r="GMN47" s="44"/>
      <c r="GMO47" s="44"/>
      <c r="GMP47" s="44"/>
      <c r="GMQ47" s="44"/>
      <c r="GMR47" s="44"/>
      <c r="GMS47" s="44"/>
      <c r="GMT47" s="44"/>
      <c r="GMU47" s="44"/>
      <c r="GMV47" s="44"/>
      <c r="GMW47" s="44"/>
      <c r="GMX47" s="44"/>
      <c r="GMY47" s="44"/>
      <c r="GMZ47" s="44"/>
      <c r="GNA47" s="44"/>
      <c r="GNB47" s="44"/>
      <c r="GNC47" s="44"/>
      <c r="GND47" s="44"/>
      <c r="GNE47" s="44"/>
      <c r="GNF47" s="44"/>
      <c r="GNG47" s="44"/>
      <c r="GNH47" s="44"/>
      <c r="GNI47" s="44"/>
      <c r="GNJ47" s="44"/>
      <c r="GNK47" s="44"/>
      <c r="GNL47" s="44"/>
      <c r="GNM47" s="44"/>
      <c r="GNN47" s="44"/>
      <c r="GNO47" s="44"/>
      <c r="GNP47" s="44"/>
      <c r="GNQ47" s="44"/>
      <c r="GNR47" s="44"/>
      <c r="GNS47" s="44"/>
      <c r="GNT47" s="44"/>
      <c r="GNU47" s="44"/>
      <c r="GNV47" s="44"/>
      <c r="GNW47" s="44"/>
      <c r="GNX47" s="44"/>
      <c r="GNY47" s="44"/>
      <c r="GNZ47" s="44"/>
      <c r="GOA47" s="44"/>
      <c r="GOB47" s="44"/>
      <c r="GOC47" s="44"/>
      <c r="GOD47" s="44"/>
      <c r="GOE47" s="44"/>
      <c r="GOF47" s="44"/>
      <c r="GOG47" s="44"/>
      <c r="GOH47" s="44"/>
      <c r="GOI47" s="44"/>
      <c r="GOJ47" s="44"/>
      <c r="GOK47" s="44"/>
      <c r="GOL47" s="44"/>
      <c r="GOM47" s="44"/>
      <c r="GON47" s="44"/>
      <c r="GOO47" s="44"/>
      <c r="GOP47" s="44"/>
      <c r="GOQ47" s="44"/>
      <c r="GOR47" s="44"/>
      <c r="GOS47" s="44"/>
      <c r="GOT47" s="44"/>
      <c r="GOU47" s="44"/>
      <c r="GOV47" s="44"/>
      <c r="GOW47" s="44"/>
      <c r="GOX47" s="44"/>
      <c r="GOY47" s="44"/>
      <c r="GOZ47" s="44"/>
      <c r="GPA47" s="44"/>
      <c r="GPB47" s="44"/>
      <c r="GPC47" s="44"/>
      <c r="GPD47" s="44"/>
      <c r="GPE47" s="44"/>
      <c r="GPF47" s="44"/>
      <c r="GPG47" s="44"/>
      <c r="GPH47" s="44"/>
      <c r="GPI47" s="44"/>
      <c r="GPJ47" s="44"/>
      <c r="GPK47" s="44"/>
      <c r="GPL47" s="44"/>
      <c r="GPM47" s="44"/>
      <c r="GPN47" s="44"/>
      <c r="GPO47" s="44"/>
      <c r="GPP47" s="44"/>
      <c r="GPQ47" s="44"/>
      <c r="GPR47" s="44"/>
      <c r="GPS47" s="44"/>
      <c r="GPT47" s="44"/>
      <c r="GPU47" s="44"/>
      <c r="GPV47" s="44"/>
      <c r="GPW47" s="44"/>
      <c r="GPX47" s="44"/>
      <c r="GPY47" s="44"/>
      <c r="GPZ47" s="44"/>
      <c r="GQA47" s="44"/>
      <c r="GQB47" s="44"/>
      <c r="GQC47" s="44"/>
      <c r="GQD47" s="44"/>
      <c r="GQE47" s="44"/>
      <c r="GQF47" s="44"/>
      <c r="GQG47" s="44"/>
      <c r="GQH47" s="44"/>
      <c r="GQI47" s="44"/>
      <c r="GQJ47" s="44"/>
      <c r="GQK47" s="44"/>
      <c r="GQL47" s="44"/>
      <c r="GQM47" s="44"/>
      <c r="GQN47" s="44"/>
      <c r="GQO47" s="44"/>
      <c r="GQP47" s="44"/>
      <c r="GQQ47" s="44"/>
      <c r="GQR47" s="44"/>
      <c r="GQS47" s="44"/>
      <c r="GQT47" s="44"/>
      <c r="GQU47" s="44"/>
      <c r="GQV47" s="44"/>
      <c r="GQW47" s="44"/>
      <c r="GQX47" s="44"/>
      <c r="GQY47" s="44"/>
      <c r="GQZ47" s="44"/>
      <c r="GRA47" s="44"/>
      <c r="GRB47" s="44"/>
      <c r="GRC47" s="44"/>
      <c r="GRD47" s="44"/>
      <c r="GRE47" s="44"/>
      <c r="GRF47" s="44"/>
      <c r="GRG47" s="44"/>
      <c r="GRH47" s="44"/>
      <c r="GRI47" s="44"/>
      <c r="GRJ47" s="44"/>
      <c r="GRK47" s="44"/>
      <c r="GRL47" s="44"/>
      <c r="GRM47" s="44"/>
      <c r="GRN47" s="44"/>
      <c r="GRO47" s="44"/>
      <c r="GRP47" s="44"/>
      <c r="GRQ47" s="44"/>
      <c r="GRR47" s="44"/>
      <c r="GRS47" s="44"/>
      <c r="GRT47" s="44"/>
      <c r="GRU47" s="44"/>
      <c r="GRV47" s="44"/>
      <c r="GRW47" s="44"/>
      <c r="GRX47" s="44"/>
      <c r="GRY47" s="44"/>
      <c r="GRZ47" s="44"/>
      <c r="GSA47" s="44"/>
      <c r="GSB47" s="44"/>
      <c r="GSC47" s="44"/>
      <c r="GSD47" s="44"/>
      <c r="GSE47" s="44"/>
      <c r="GSF47" s="44"/>
      <c r="GSG47" s="44"/>
      <c r="GSH47" s="44"/>
      <c r="GSI47" s="44"/>
      <c r="GSJ47" s="44"/>
      <c r="GSK47" s="44"/>
      <c r="GSL47" s="44"/>
      <c r="GSM47" s="44"/>
      <c r="GSN47" s="44"/>
      <c r="GSO47" s="44"/>
      <c r="GSP47" s="44"/>
      <c r="GSQ47" s="44"/>
      <c r="GSR47" s="44"/>
      <c r="GSS47" s="44"/>
      <c r="GST47" s="44"/>
      <c r="GSU47" s="44"/>
      <c r="GSV47" s="44"/>
      <c r="GSW47" s="44"/>
      <c r="GSX47" s="44"/>
      <c r="GSY47" s="44"/>
      <c r="GSZ47" s="44"/>
      <c r="GTA47" s="44"/>
      <c r="GTB47" s="44"/>
      <c r="GTC47" s="44"/>
      <c r="GTD47" s="44"/>
      <c r="GTE47" s="44"/>
      <c r="GTF47" s="44"/>
      <c r="GTG47" s="44"/>
      <c r="GTH47" s="44"/>
      <c r="GTI47" s="44"/>
      <c r="GTJ47" s="44"/>
      <c r="GTK47" s="44"/>
      <c r="GTL47" s="44"/>
      <c r="GTM47" s="44"/>
      <c r="GTN47" s="44"/>
      <c r="GTO47" s="44"/>
      <c r="GTP47" s="44"/>
      <c r="GTQ47" s="44"/>
      <c r="GTR47" s="44"/>
      <c r="GTS47" s="44"/>
      <c r="GTT47" s="44"/>
      <c r="GTU47" s="44"/>
      <c r="GTV47" s="44"/>
      <c r="GTW47" s="44"/>
      <c r="GTX47" s="44"/>
      <c r="GTY47" s="44"/>
      <c r="GTZ47" s="44"/>
      <c r="GUA47" s="44"/>
      <c r="GUB47" s="44"/>
      <c r="GUC47" s="44"/>
      <c r="GUD47" s="44"/>
      <c r="GUE47" s="44"/>
      <c r="GUF47" s="44"/>
      <c r="GUG47" s="44"/>
      <c r="GUH47" s="44"/>
      <c r="GUI47" s="44"/>
      <c r="GUJ47" s="44"/>
      <c r="GUK47" s="44"/>
      <c r="GUL47" s="44"/>
      <c r="GUM47" s="44"/>
      <c r="GUN47" s="44"/>
      <c r="GUO47" s="44"/>
      <c r="GUP47" s="44"/>
      <c r="GUQ47" s="44"/>
      <c r="GUR47" s="44"/>
      <c r="GUS47" s="44"/>
      <c r="GUT47" s="44"/>
      <c r="GUU47" s="44"/>
      <c r="GUV47" s="44"/>
      <c r="GUW47" s="44"/>
      <c r="GUX47" s="44"/>
      <c r="GUY47" s="44"/>
      <c r="GUZ47" s="44"/>
      <c r="GVA47" s="44"/>
      <c r="GVB47" s="44"/>
      <c r="GVC47" s="44"/>
      <c r="GVD47" s="44"/>
      <c r="GVE47" s="44"/>
      <c r="GVF47" s="44"/>
      <c r="GVG47" s="44"/>
      <c r="GVH47" s="44"/>
      <c r="GVI47" s="44"/>
      <c r="GVJ47" s="44"/>
      <c r="GVK47" s="44"/>
      <c r="GVL47" s="44"/>
      <c r="GVM47" s="44"/>
      <c r="GVN47" s="44"/>
      <c r="GVO47" s="44"/>
      <c r="GVP47" s="44"/>
      <c r="GVQ47" s="44"/>
      <c r="GVR47" s="44"/>
      <c r="GVS47" s="44"/>
      <c r="GVT47" s="44"/>
      <c r="GVU47" s="44"/>
      <c r="GVV47" s="44"/>
      <c r="GVW47" s="44"/>
      <c r="GVX47" s="44"/>
      <c r="GVY47" s="44"/>
      <c r="GVZ47" s="44"/>
      <c r="GWA47" s="44"/>
      <c r="GWB47" s="44"/>
      <c r="GWC47" s="44"/>
      <c r="GWD47" s="44"/>
      <c r="GWE47" s="44"/>
      <c r="GWF47" s="44"/>
      <c r="GWG47" s="44"/>
      <c r="GWH47" s="44"/>
      <c r="GWI47" s="44"/>
      <c r="GWJ47" s="44"/>
      <c r="GWK47" s="44"/>
      <c r="GWL47" s="44"/>
      <c r="GWM47" s="44"/>
      <c r="GWN47" s="44"/>
      <c r="GWO47" s="44"/>
      <c r="GWP47" s="44"/>
      <c r="GWQ47" s="44"/>
      <c r="GWR47" s="44"/>
      <c r="GWS47" s="44"/>
      <c r="GWT47" s="44"/>
      <c r="GWU47" s="44"/>
      <c r="GWV47" s="44"/>
      <c r="GWW47" s="44"/>
      <c r="GWX47" s="44"/>
      <c r="GWY47" s="44"/>
      <c r="GWZ47" s="44"/>
      <c r="GXA47" s="44"/>
      <c r="GXB47" s="44"/>
      <c r="GXC47" s="44"/>
      <c r="GXD47" s="44"/>
      <c r="GXE47" s="44"/>
      <c r="GXF47" s="44"/>
      <c r="GXG47" s="44"/>
      <c r="GXH47" s="44"/>
      <c r="GXI47" s="44"/>
      <c r="GXJ47" s="44"/>
      <c r="GXK47" s="44"/>
      <c r="GXL47" s="44"/>
      <c r="GXM47" s="44"/>
      <c r="GXN47" s="44"/>
      <c r="GXO47" s="44"/>
      <c r="GXP47" s="44"/>
      <c r="GXQ47" s="44"/>
      <c r="GXR47" s="44"/>
      <c r="GXS47" s="44"/>
      <c r="GXT47" s="44"/>
      <c r="GXU47" s="44"/>
      <c r="GXV47" s="44"/>
      <c r="GXW47" s="44"/>
      <c r="GXX47" s="44"/>
      <c r="GXY47" s="44"/>
      <c r="GXZ47" s="44"/>
      <c r="GYA47" s="44"/>
      <c r="GYB47" s="44"/>
      <c r="GYC47" s="44"/>
      <c r="GYD47" s="44"/>
      <c r="GYE47" s="44"/>
      <c r="GYF47" s="44"/>
      <c r="GYG47" s="44"/>
      <c r="GYH47" s="44"/>
      <c r="GYI47" s="44"/>
      <c r="GYJ47" s="44"/>
      <c r="GYK47" s="44"/>
      <c r="GYL47" s="44"/>
      <c r="GYM47" s="44"/>
      <c r="GYN47" s="44"/>
      <c r="GYO47" s="44"/>
      <c r="GYP47" s="44"/>
      <c r="GYQ47" s="44"/>
      <c r="GYR47" s="44"/>
      <c r="GYS47" s="44"/>
      <c r="GYT47" s="44"/>
      <c r="GYU47" s="44"/>
      <c r="GYV47" s="44"/>
      <c r="GYW47" s="44"/>
      <c r="GYX47" s="44"/>
      <c r="GYY47" s="44"/>
      <c r="GYZ47" s="44"/>
      <c r="GZA47" s="44"/>
      <c r="GZB47" s="44"/>
      <c r="GZC47" s="44"/>
      <c r="GZD47" s="44"/>
      <c r="GZE47" s="44"/>
      <c r="GZF47" s="44"/>
      <c r="GZG47" s="44"/>
      <c r="GZH47" s="44"/>
      <c r="GZI47" s="44"/>
      <c r="GZJ47" s="44"/>
      <c r="GZK47" s="44"/>
      <c r="GZL47" s="44"/>
      <c r="GZM47" s="44"/>
      <c r="GZN47" s="44"/>
      <c r="GZO47" s="44"/>
      <c r="GZP47" s="44"/>
      <c r="GZQ47" s="44"/>
      <c r="GZR47" s="44"/>
      <c r="GZS47" s="44"/>
      <c r="GZT47" s="44"/>
      <c r="GZU47" s="44"/>
      <c r="GZV47" s="44"/>
      <c r="GZW47" s="44"/>
      <c r="GZX47" s="44"/>
      <c r="GZY47" s="44"/>
      <c r="GZZ47" s="44"/>
      <c r="HAA47" s="44"/>
      <c r="HAB47" s="44"/>
      <c r="HAC47" s="44"/>
      <c r="HAD47" s="44"/>
      <c r="HAE47" s="44"/>
      <c r="HAF47" s="44"/>
      <c r="HAG47" s="44"/>
      <c r="HAH47" s="44"/>
      <c r="HAI47" s="44"/>
      <c r="HAJ47" s="44"/>
      <c r="HAK47" s="44"/>
      <c r="HAL47" s="44"/>
      <c r="HAM47" s="44"/>
      <c r="HAN47" s="44"/>
      <c r="HAO47" s="44"/>
      <c r="HAP47" s="44"/>
      <c r="HAQ47" s="44"/>
      <c r="HAR47" s="44"/>
      <c r="HAS47" s="44"/>
      <c r="HAT47" s="44"/>
      <c r="HAU47" s="44"/>
      <c r="HAV47" s="44"/>
      <c r="HAW47" s="44"/>
      <c r="HAX47" s="44"/>
      <c r="HAY47" s="44"/>
      <c r="HAZ47" s="44"/>
      <c r="HBA47" s="44"/>
      <c r="HBB47" s="44"/>
      <c r="HBC47" s="44"/>
      <c r="HBD47" s="44"/>
      <c r="HBE47" s="44"/>
      <c r="HBF47" s="44"/>
      <c r="HBG47" s="44"/>
      <c r="HBH47" s="44"/>
      <c r="HBI47" s="44"/>
      <c r="HBJ47" s="44"/>
      <c r="HBK47" s="44"/>
      <c r="HBL47" s="44"/>
      <c r="HBM47" s="44"/>
      <c r="HBN47" s="44"/>
      <c r="HBO47" s="44"/>
      <c r="HBP47" s="44"/>
      <c r="HBQ47" s="44"/>
      <c r="HBR47" s="44"/>
      <c r="HBS47" s="44"/>
      <c r="HBT47" s="44"/>
      <c r="HBU47" s="44"/>
      <c r="HBV47" s="44"/>
      <c r="HBW47" s="44"/>
      <c r="HBX47" s="44"/>
      <c r="HBY47" s="44"/>
      <c r="HBZ47" s="44"/>
      <c r="HCA47" s="44"/>
      <c r="HCB47" s="44"/>
      <c r="HCC47" s="44"/>
      <c r="HCD47" s="44"/>
      <c r="HCE47" s="44"/>
      <c r="HCF47" s="44"/>
      <c r="HCG47" s="44"/>
      <c r="HCH47" s="44"/>
      <c r="HCI47" s="44"/>
      <c r="HCJ47" s="44"/>
      <c r="HCK47" s="44"/>
      <c r="HCL47" s="44"/>
      <c r="HCM47" s="44"/>
      <c r="HCN47" s="44"/>
      <c r="HCO47" s="44"/>
      <c r="HCP47" s="44"/>
      <c r="HCQ47" s="44"/>
      <c r="HCR47" s="44"/>
      <c r="HCS47" s="44"/>
      <c r="HCT47" s="44"/>
      <c r="HCU47" s="44"/>
      <c r="HCV47" s="44"/>
      <c r="HCW47" s="44"/>
      <c r="HCX47" s="44"/>
      <c r="HCY47" s="44"/>
      <c r="HCZ47" s="44"/>
      <c r="HDA47" s="44"/>
      <c r="HDB47" s="44"/>
      <c r="HDC47" s="44"/>
      <c r="HDD47" s="44"/>
      <c r="HDE47" s="44"/>
      <c r="HDF47" s="44"/>
      <c r="HDG47" s="44"/>
      <c r="HDH47" s="44"/>
      <c r="HDI47" s="44"/>
      <c r="HDJ47" s="44"/>
      <c r="HDK47" s="44"/>
      <c r="HDL47" s="44"/>
      <c r="HDM47" s="44"/>
      <c r="HDN47" s="44"/>
      <c r="HDO47" s="44"/>
      <c r="HDP47" s="44"/>
      <c r="HDQ47" s="44"/>
      <c r="HDR47" s="44"/>
      <c r="HDS47" s="44"/>
      <c r="HDT47" s="44"/>
      <c r="HDU47" s="44"/>
      <c r="HDV47" s="44"/>
      <c r="HDW47" s="44"/>
      <c r="HDX47" s="44"/>
      <c r="HDY47" s="44"/>
      <c r="HDZ47" s="44"/>
      <c r="HEA47" s="44"/>
      <c r="HEB47" s="44"/>
      <c r="HEC47" s="44"/>
      <c r="HED47" s="44"/>
      <c r="HEE47" s="44"/>
      <c r="HEF47" s="44"/>
      <c r="HEG47" s="44"/>
      <c r="HEH47" s="44"/>
      <c r="HEI47" s="44"/>
      <c r="HEJ47" s="44"/>
      <c r="HEK47" s="44"/>
      <c r="HEL47" s="44"/>
      <c r="HEM47" s="44"/>
      <c r="HEN47" s="44"/>
      <c r="HEO47" s="44"/>
      <c r="HEP47" s="44"/>
      <c r="HEQ47" s="44"/>
      <c r="HER47" s="44"/>
      <c r="HES47" s="44"/>
      <c r="HET47" s="44"/>
      <c r="HEU47" s="44"/>
      <c r="HEV47" s="44"/>
      <c r="HEW47" s="44"/>
      <c r="HEX47" s="44"/>
      <c r="HEY47" s="44"/>
      <c r="HEZ47" s="44"/>
      <c r="HFA47" s="44"/>
      <c r="HFB47" s="44"/>
      <c r="HFC47" s="44"/>
      <c r="HFD47" s="44"/>
      <c r="HFE47" s="44"/>
      <c r="HFF47" s="44"/>
      <c r="HFG47" s="44"/>
      <c r="HFH47" s="44"/>
      <c r="HFI47" s="44"/>
      <c r="HFJ47" s="44"/>
      <c r="HFK47" s="44"/>
      <c r="HFL47" s="44"/>
      <c r="HFM47" s="44"/>
      <c r="HFN47" s="44"/>
      <c r="HFO47" s="44"/>
      <c r="HFP47" s="44"/>
      <c r="HFQ47" s="44"/>
      <c r="HFR47" s="44"/>
      <c r="HFS47" s="44"/>
      <c r="HFT47" s="44"/>
      <c r="HFU47" s="44"/>
      <c r="HFV47" s="44"/>
      <c r="HFW47" s="44"/>
      <c r="HFX47" s="44"/>
      <c r="HFY47" s="44"/>
      <c r="HFZ47" s="44"/>
      <c r="HGA47" s="44"/>
      <c r="HGB47" s="44"/>
      <c r="HGC47" s="44"/>
      <c r="HGD47" s="44"/>
      <c r="HGE47" s="44"/>
      <c r="HGF47" s="44"/>
      <c r="HGG47" s="44"/>
      <c r="HGH47" s="44"/>
      <c r="HGI47" s="44"/>
      <c r="HGJ47" s="44"/>
      <c r="HGK47" s="44"/>
      <c r="HGL47" s="44"/>
      <c r="HGM47" s="44"/>
      <c r="HGN47" s="44"/>
      <c r="HGO47" s="44"/>
      <c r="HGP47" s="44"/>
      <c r="HGQ47" s="44"/>
      <c r="HGR47" s="44"/>
      <c r="HGS47" s="44"/>
      <c r="HGT47" s="44"/>
      <c r="HGU47" s="44"/>
      <c r="HGV47" s="44"/>
      <c r="HGW47" s="44"/>
      <c r="HGX47" s="44"/>
      <c r="HGY47" s="44"/>
      <c r="HGZ47" s="44"/>
      <c r="HHA47" s="44"/>
      <c r="HHB47" s="44"/>
      <c r="HHC47" s="44"/>
      <c r="HHD47" s="44"/>
      <c r="HHE47" s="44"/>
      <c r="HHF47" s="44"/>
      <c r="HHG47" s="44"/>
      <c r="HHH47" s="44"/>
      <c r="HHI47" s="44"/>
      <c r="HHJ47" s="44"/>
      <c r="HHK47" s="44"/>
      <c r="HHL47" s="44"/>
      <c r="HHM47" s="44"/>
      <c r="HHN47" s="44"/>
      <c r="HHO47" s="44"/>
      <c r="HHP47" s="44"/>
      <c r="HHQ47" s="44"/>
      <c r="HHR47" s="44"/>
      <c r="HHS47" s="44"/>
      <c r="HHT47" s="44"/>
      <c r="HHU47" s="44"/>
      <c r="HHV47" s="44"/>
      <c r="HHW47" s="44"/>
      <c r="HHX47" s="44"/>
      <c r="HHY47" s="44"/>
      <c r="HHZ47" s="44"/>
      <c r="HIA47" s="44"/>
      <c r="HIB47" s="44"/>
      <c r="HIC47" s="44"/>
      <c r="HID47" s="44"/>
      <c r="HIE47" s="44"/>
      <c r="HIF47" s="44"/>
      <c r="HIG47" s="44"/>
      <c r="HIH47" s="44"/>
      <c r="HII47" s="44"/>
      <c r="HIJ47" s="44"/>
      <c r="HIK47" s="44"/>
      <c r="HIL47" s="44"/>
      <c r="HIM47" s="44"/>
      <c r="HIN47" s="44"/>
      <c r="HIO47" s="44"/>
      <c r="HIP47" s="44"/>
      <c r="HIQ47" s="44"/>
      <c r="HIR47" s="44"/>
      <c r="HIS47" s="44"/>
      <c r="HIT47" s="44"/>
      <c r="HIU47" s="44"/>
      <c r="HIV47" s="44"/>
      <c r="HIW47" s="44"/>
      <c r="HIX47" s="44"/>
      <c r="HIY47" s="44"/>
      <c r="HIZ47" s="44"/>
      <c r="HJA47" s="44"/>
      <c r="HJB47" s="44"/>
      <c r="HJC47" s="44"/>
      <c r="HJD47" s="44"/>
      <c r="HJE47" s="44"/>
      <c r="HJF47" s="44"/>
      <c r="HJG47" s="44"/>
      <c r="HJH47" s="44"/>
      <c r="HJI47" s="44"/>
      <c r="HJJ47" s="44"/>
      <c r="HJK47" s="44"/>
      <c r="HJL47" s="44"/>
      <c r="HJM47" s="44"/>
      <c r="HJN47" s="44"/>
      <c r="HJO47" s="44"/>
      <c r="HJP47" s="44"/>
      <c r="HJQ47" s="44"/>
      <c r="HJR47" s="44"/>
      <c r="HJS47" s="44"/>
      <c r="HJT47" s="44"/>
      <c r="HJU47" s="44"/>
      <c r="HJV47" s="44"/>
      <c r="HJW47" s="44"/>
      <c r="HJX47" s="44"/>
      <c r="HJY47" s="44"/>
      <c r="HJZ47" s="44"/>
      <c r="HKA47" s="44"/>
      <c r="HKB47" s="44"/>
      <c r="HKC47" s="44"/>
      <c r="HKD47" s="44"/>
      <c r="HKE47" s="44"/>
      <c r="HKF47" s="44"/>
      <c r="HKG47" s="44"/>
      <c r="HKH47" s="44"/>
      <c r="HKI47" s="44"/>
      <c r="HKJ47" s="44"/>
      <c r="HKK47" s="44"/>
      <c r="HKL47" s="44"/>
      <c r="HKM47" s="44"/>
      <c r="HKN47" s="44"/>
      <c r="HKO47" s="44"/>
      <c r="HKP47" s="44"/>
      <c r="HKQ47" s="44"/>
      <c r="HKR47" s="44"/>
      <c r="HKS47" s="44"/>
      <c r="HKT47" s="44"/>
      <c r="HKU47" s="44"/>
      <c r="HKV47" s="44"/>
      <c r="HKW47" s="44"/>
      <c r="HKX47" s="44"/>
      <c r="HKY47" s="44"/>
      <c r="HKZ47" s="44"/>
      <c r="HLA47" s="44"/>
      <c r="HLB47" s="44"/>
      <c r="HLC47" s="44"/>
      <c r="HLD47" s="44"/>
      <c r="HLE47" s="44"/>
      <c r="HLF47" s="44"/>
      <c r="HLG47" s="44"/>
      <c r="HLH47" s="44"/>
      <c r="HLI47" s="44"/>
      <c r="HLJ47" s="44"/>
      <c r="HLK47" s="44"/>
      <c r="HLL47" s="44"/>
      <c r="HLM47" s="44"/>
      <c r="HLN47" s="44"/>
      <c r="HLO47" s="44"/>
      <c r="HLP47" s="44"/>
      <c r="HLQ47" s="44"/>
      <c r="HLR47" s="44"/>
      <c r="HLS47" s="44"/>
      <c r="HLT47" s="44"/>
      <c r="HLU47" s="44"/>
      <c r="HLV47" s="44"/>
      <c r="HLW47" s="44"/>
      <c r="HLX47" s="44"/>
      <c r="HLY47" s="44"/>
      <c r="HLZ47" s="44"/>
      <c r="HMA47" s="44"/>
      <c r="HMB47" s="44"/>
      <c r="HMC47" s="44"/>
      <c r="HMD47" s="44"/>
      <c r="HME47" s="44"/>
      <c r="HMF47" s="44"/>
      <c r="HMG47" s="44"/>
      <c r="HMH47" s="44"/>
      <c r="HMI47" s="44"/>
      <c r="HMJ47" s="44"/>
      <c r="HMK47" s="44"/>
      <c r="HML47" s="44"/>
      <c r="HMM47" s="44"/>
      <c r="HMN47" s="44"/>
      <c r="HMO47" s="44"/>
      <c r="HMP47" s="44"/>
      <c r="HMQ47" s="44"/>
      <c r="HMR47" s="44"/>
      <c r="HMS47" s="44"/>
      <c r="HMT47" s="44"/>
      <c r="HMU47" s="44"/>
      <c r="HMV47" s="44"/>
      <c r="HMW47" s="44"/>
      <c r="HMX47" s="44"/>
      <c r="HMY47" s="44"/>
      <c r="HMZ47" s="44"/>
      <c r="HNA47" s="44"/>
      <c r="HNB47" s="44"/>
      <c r="HNC47" s="44"/>
      <c r="HND47" s="44"/>
      <c r="HNE47" s="44"/>
      <c r="HNF47" s="44"/>
      <c r="HNG47" s="44"/>
      <c r="HNH47" s="44"/>
      <c r="HNI47" s="44"/>
      <c r="HNJ47" s="44"/>
      <c r="HNK47" s="44"/>
      <c r="HNL47" s="44"/>
      <c r="HNM47" s="44"/>
      <c r="HNN47" s="44"/>
      <c r="HNO47" s="44"/>
      <c r="HNP47" s="44"/>
      <c r="HNQ47" s="44"/>
      <c r="HNR47" s="44"/>
      <c r="HNS47" s="44"/>
      <c r="HNT47" s="44"/>
      <c r="HNU47" s="44"/>
      <c r="HNV47" s="44"/>
      <c r="HNW47" s="44"/>
      <c r="HNX47" s="44"/>
      <c r="HNY47" s="44"/>
      <c r="HNZ47" s="44"/>
      <c r="HOA47" s="44"/>
      <c r="HOB47" s="44"/>
      <c r="HOC47" s="44"/>
      <c r="HOD47" s="44"/>
      <c r="HOE47" s="44"/>
      <c r="HOF47" s="44"/>
      <c r="HOG47" s="44"/>
      <c r="HOH47" s="44"/>
      <c r="HOI47" s="44"/>
      <c r="HOJ47" s="44"/>
      <c r="HOK47" s="44"/>
      <c r="HOL47" s="44"/>
      <c r="HOM47" s="44"/>
      <c r="HON47" s="44"/>
      <c r="HOO47" s="44"/>
      <c r="HOP47" s="44"/>
      <c r="HOQ47" s="44"/>
      <c r="HOR47" s="44"/>
      <c r="HOS47" s="44"/>
      <c r="HOT47" s="44"/>
      <c r="HOU47" s="44"/>
      <c r="HOV47" s="44"/>
      <c r="HOW47" s="44"/>
      <c r="HOX47" s="44"/>
      <c r="HOY47" s="44"/>
      <c r="HOZ47" s="44"/>
      <c r="HPA47" s="44"/>
      <c r="HPB47" s="44"/>
      <c r="HPC47" s="44"/>
      <c r="HPD47" s="44"/>
      <c r="HPE47" s="44"/>
      <c r="HPF47" s="44"/>
      <c r="HPG47" s="44"/>
      <c r="HPH47" s="44"/>
      <c r="HPI47" s="44"/>
      <c r="HPJ47" s="44"/>
      <c r="HPK47" s="44"/>
      <c r="HPL47" s="44"/>
      <c r="HPM47" s="44"/>
      <c r="HPN47" s="44"/>
      <c r="HPO47" s="44"/>
      <c r="HPP47" s="44"/>
      <c r="HPQ47" s="44"/>
      <c r="HPR47" s="44"/>
      <c r="HPS47" s="44"/>
      <c r="HPT47" s="44"/>
      <c r="HPU47" s="44"/>
      <c r="HPV47" s="44"/>
      <c r="HPW47" s="44"/>
      <c r="HPX47" s="44"/>
      <c r="HPY47" s="44"/>
      <c r="HPZ47" s="44"/>
      <c r="HQA47" s="44"/>
      <c r="HQB47" s="44"/>
      <c r="HQC47" s="44"/>
      <c r="HQD47" s="44"/>
      <c r="HQE47" s="44"/>
      <c r="HQF47" s="44"/>
      <c r="HQG47" s="44"/>
      <c r="HQH47" s="44"/>
      <c r="HQI47" s="44"/>
      <c r="HQJ47" s="44"/>
      <c r="HQK47" s="44"/>
      <c r="HQL47" s="44"/>
      <c r="HQM47" s="44"/>
      <c r="HQN47" s="44"/>
      <c r="HQO47" s="44"/>
      <c r="HQP47" s="44"/>
      <c r="HQQ47" s="44"/>
      <c r="HQR47" s="44"/>
      <c r="HQS47" s="44"/>
      <c r="HQT47" s="44"/>
      <c r="HQU47" s="44"/>
      <c r="HQV47" s="44"/>
      <c r="HQW47" s="44"/>
      <c r="HQX47" s="44"/>
      <c r="HQY47" s="44"/>
      <c r="HQZ47" s="44"/>
      <c r="HRA47" s="44"/>
      <c r="HRB47" s="44"/>
      <c r="HRC47" s="44"/>
      <c r="HRD47" s="44"/>
      <c r="HRE47" s="44"/>
      <c r="HRF47" s="44"/>
      <c r="HRG47" s="44"/>
      <c r="HRH47" s="44"/>
      <c r="HRI47" s="44"/>
      <c r="HRJ47" s="44"/>
      <c r="HRK47" s="44"/>
      <c r="HRL47" s="44"/>
      <c r="HRM47" s="44"/>
      <c r="HRN47" s="44"/>
      <c r="HRO47" s="44"/>
      <c r="HRP47" s="44"/>
      <c r="HRQ47" s="44"/>
      <c r="HRR47" s="44"/>
      <c r="HRS47" s="44"/>
      <c r="HRT47" s="44"/>
      <c r="HRU47" s="44"/>
      <c r="HRV47" s="44"/>
      <c r="HRW47" s="44"/>
      <c r="HRX47" s="44"/>
      <c r="HRY47" s="44"/>
      <c r="HRZ47" s="44"/>
      <c r="HSA47" s="44"/>
      <c r="HSB47" s="44"/>
      <c r="HSC47" s="44"/>
      <c r="HSD47" s="44"/>
      <c r="HSE47" s="44"/>
      <c r="HSF47" s="44"/>
      <c r="HSG47" s="44"/>
      <c r="HSH47" s="44"/>
      <c r="HSI47" s="44"/>
      <c r="HSJ47" s="44"/>
      <c r="HSK47" s="44"/>
      <c r="HSL47" s="44"/>
      <c r="HSM47" s="44"/>
      <c r="HSN47" s="44"/>
      <c r="HSO47" s="44"/>
      <c r="HSP47" s="44"/>
      <c r="HSQ47" s="44"/>
      <c r="HSR47" s="44"/>
      <c r="HSS47" s="44"/>
      <c r="HST47" s="44"/>
      <c r="HSU47" s="44"/>
      <c r="HSV47" s="44"/>
      <c r="HSW47" s="44"/>
      <c r="HSX47" s="44"/>
      <c r="HSY47" s="44"/>
      <c r="HSZ47" s="44"/>
      <c r="HTA47" s="44"/>
      <c r="HTB47" s="44"/>
      <c r="HTC47" s="44"/>
      <c r="HTD47" s="44"/>
      <c r="HTE47" s="44"/>
      <c r="HTF47" s="44"/>
      <c r="HTG47" s="44"/>
      <c r="HTH47" s="44"/>
      <c r="HTI47" s="44"/>
      <c r="HTJ47" s="44"/>
      <c r="HTK47" s="44"/>
      <c r="HTL47" s="44"/>
      <c r="HTM47" s="44"/>
      <c r="HTN47" s="44"/>
      <c r="HTO47" s="44"/>
      <c r="HTP47" s="44"/>
      <c r="HTQ47" s="44"/>
      <c r="HTR47" s="44"/>
      <c r="HTS47" s="44"/>
      <c r="HTT47" s="44"/>
      <c r="HTU47" s="44"/>
      <c r="HTV47" s="44"/>
      <c r="HTW47" s="44"/>
      <c r="HTX47" s="44"/>
      <c r="HTY47" s="44"/>
      <c r="HTZ47" s="44"/>
      <c r="HUA47" s="44"/>
      <c r="HUB47" s="44"/>
      <c r="HUC47" s="44"/>
      <c r="HUD47" s="44"/>
      <c r="HUE47" s="44"/>
      <c r="HUF47" s="44"/>
      <c r="HUG47" s="44"/>
      <c r="HUH47" s="44"/>
      <c r="HUI47" s="44"/>
      <c r="HUJ47" s="44"/>
      <c r="HUK47" s="44"/>
      <c r="HUL47" s="44"/>
      <c r="HUM47" s="44"/>
      <c r="HUN47" s="44"/>
      <c r="HUO47" s="44"/>
      <c r="HUP47" s="44"/>
      <c r="HUQ47" s="44"/>
      <c r="HUR47" s="44"/>
      <c r="HUS47" s="44"/>
      <c r="HUT47" s="44"/>
      <c r="HUU47" s="44"/>
      <c r="HUV47" s="44"/>
      <c r="HUW47" s="44"/>
      <c r="HUX47" s="44"/>
      <c r="HUY47" s="44"/>
      <c r="HUZ47" s="44"/>
      <c r="HVA47" s="44"/>
      <c r="HVB47" s="44"/>
      <c r="HVC47" s="44"/>
      <c r="HVD47" s="44"/>
      <c r="HVE47" s="44"/>
      <c r="HVF47" s="44"/>
      <c r="HVG47" s="44"/>
      <c r="HVH47" s="44"/>
      <c r="HVI47" s="44"/>
      <c r="HVJ47" s="44"/>
      <c r="HVK47" s="44"/>
      <c r="HVL47" s="44"/>
      <c r="HVM47" s="44"/>
      <c r="HVN47" s="44"/>
      <c r="HVO47" s="44"/>
      <c r="HVP47" s="44"/>
      <c r="HVQ47" s="44"/>
      <c r="HVR47" s="44"/>
      <c r="HVS47" s="44"/>
      <c r="HVT47" s="44"/>
      <c r="HVU47" s="44"/>
      <c r="HVV47" s="44"/>
      <c r="HVW47" s="44"/>
      <c r="HVX47" s="44"/>
      <c r="HVY47" s="44"/>
      <c r="HVZ47" s="44"/>
      <c r="HWA47" s="44"/>
      <c r="HWB47" s="44"/>
      <c r="HWC47" s="44"/>
      <c r="HWD47" s="44"/>
      <c r="HWE47" s="44"/>
      <c r="HWF47" s="44"/>
      <c r="HWG47" s="44"/>
      <c r="HWH47" s="44"/>
      <c r="HWI47" s="44"/>
      <c r="HWJ47" s="44"/>
      <c r="HWK47" s="44"/>
      <c r="HWL47" s="44"/>
      <c r="HWM47" s="44"/>
      <c r="HWN47" s="44"/>
      <c r="HWO47" s="44"/>
      <c r="HWP47" s="44"/>
      <c r="HWQ47" s="44"/>
      <c r="HWR47" s="44"/>
      <c r="HWS47" s="44"/>
      <c r="HWT47" s="44"/>
      <c r="HWU47" s="44"/>
      <c r="HWV47" s="44"/>
      <c r="HWW47" s="44"/>
      <c r="HWX47" s="44"/>
      <c r="HWY47" s="44"/>
      <c r="HWZ47" s="44"/>
      <c r="HXA47" s="44"/>
      <c r="HXB47" s="44"/>
      <c r="HXC47" s="44"/>
      <c r="HXD47" s="44"/>
      <c r="HXE47" s="44"/>
      <c r="HXF47" s="44"/>
      <c r="HXG47" s="44"/>
      <c r="HXH47" s="44"/>
      <c r="HXI47" s="44"/>
      <c r="HXJ47" s="44"/>
      <c r="HXK47" s="44"/>
      <c r="HXL47" s="44"/>
      <c r="HXM47" s="44"/>
      <c r="HXN47" s="44"/>
      <c r="HXO47" s="44"/>
      <c r="HXP47" s="44"/>
      <c r="HXQ47" s="44"/>
      <c r="HXR47" s="44"/>
      <c r="HXS47" s="44"/>
      <c r="HXT47" s="44"/>
      <c r="HXU47" s="44"/>
      <c r="HXV47" s="44"/>
      <c r="HXW47" s="44"/>
      <c r="HXX47" s="44"/>
      <c r="HXY47" s="44"/>
      <c r="HXZ47" s="44"/>
      <c r="HYA47" s="44"/>
      <c r="HYB47" s="44"/>
      <c r="HYC47" s="44"/>
      <c r="HYD47" s="44"/>
      <c r="HYE47" s="44"/>
      <c r="HYF47" s="44"/>
      <c r="HYG47" s="44"/>
      <c r="HYH47" s="44"/>
      <c r="HYI47" s="44"/>
      <c r="HYJ47" s="44"/>
      <c r="HYK47" s="44"/>
      <c r="HYL47" s="44"/>
      <c r="HYM47" s="44"/>
      <c r="HYN47" s="44"/>
      <c r="HYO47" s="44"/>
      <c r="HYP47" s="44"/>
      <c r="HYQ47" s="44"/>
      <c r="HYR47" s="44"/>
      <c r="HYS47" s="44"/>
      <c r="HYT47" s="44"/>
      <c r="HYU47" s="44"/>
      <c r="HYV47" s="44"/>
      <c r="HYW47" s="44"/>
      <c r="HYX47" s="44"/>
      <c r="HYY47" s="44"/>
      <c r="HYZ47" s="44"/>
      <c r="HZA47" s="44"/>
      <c r="HZB47" s="44"/>
      <c r="HZC47" s="44"/>
      <c r="HZD47" s="44"/>
      <c r="HZE47" s="44"/>
      <c r="HZF47" s="44"/>
      <c r="HZG47" s="44"/>
      <c r="HZH47" s="44"/>
      <c r="HZI47" s="44"/>
      <c r="HZJ47" s="44"/>
      <c r="HZK47" s="44"/>
      <c r="HZL47" s="44"/>
      <c r="HZM47" s="44"/>
      <c r="HZN47" s="44"/>
      <c r="HZO47" s="44"/>
      <c r="HZP47" s="44"/>
      <c r="HZQ47" s="44"/>
      <c r="HZR47" s="44"/>
      <c r="HZS47" s="44"/>
      <c r="HZT47" s="44"/>
      <c r="HZU47" s="44"/>
      <c r="HZV47" s="44"/>
      <c r="HZW47" s="44"/>
      <c r="HZX47" s="44"/>
      <c r="HZY47" s="44"/>
      <c r="HZZ47" s="44"/>
      <c r="IAA47" s="44"/>
      <c r="IAB47" s="44"/>
      <c r="IAC47" s="44"/>
      <c r="IAD47" s="44"/>
      <c r="IAE47" s="44"/>
      <c r="IAF47" s="44"/>
      <c r="IAG47" s="44"/>
      <c r="IAH47" s="44"/>
      <c r="IAI47" s="44"/>
      <c r="IAJ47" s="44"/>
      <c r="IAK47" s="44"/>
      <c r="IAL47" s="44"/>
      <c r="IAM47" s="44"/>
      <c r="IAN47" s="44"/>
      <c r="IAO47" s="44"/>
      <c r="IAP47" s="44"/>
      <c r="IAQ47" s="44"/>
      <c r="IAR47" s="44"/>
      <c r="IAS47" s="44"/>
      <c r="IAT47" s="44"/>
      <c r="IAU47" s="44"/>
      <c r="IAV47" s="44"/>
      <c r="IAW47" s="44"/>
      <c r="IAX47" s="44"/>
      <c r="IAY47" s="44"/>
      <c r="IAZ47" s="44"/>
      <c r="IBA47" s="44"/>
      <c r="IBB47" s="44"/>
      <c r="IBC47" s="44"/>
      <c r="IBD47" s="44"/>
      <c r="IBE47" s="44"/>
      <c r="IBF47" s="44"/>
      <c r="IBG47" s="44"/>
      <c r="IBH47" s="44"/>
      <c r="IBI47" s="44"/>
      <c r="IBJ47" s="44"/>
      <c r="IBK47" s="44"/>
      <c r="IBL47" s="44"/>
      <c r="IBM47" s="44"/>
      <c r="IBN47" s="44"/>
      <c r="IBO47" s="44"/>
      <c r="IBP47" s="44"/>
      <c r="IBQ47" s="44"/>
      <c r="IBR47" s="44"/>
      <c r="IBS47" s="44"/>
      <c r="IBT47" s="44"/>
      <c r="IBU47" s="44"/>
      <c r="IBV47" s="44"/>
      <c r="IBW47" s="44"/>
      <c r="IBX47" s="44"/>
      <c r="IBY47" s="44"/>
      <c r="IBZ47" s="44"/>
      <c r="ICA47" s="44"/>
      <c r="ICB47" s="44"/>
      <c r="ICC47" s="44"/>
      <c r="ICD47" s="44"/>
      <c r="ICE47" s="44"/>
      <c r="ICF47" s="44"/>
      <c r="ICG47" s="44"/>
      <c r="ICH47" s="44"/>
      <c r="ICI47" s="44"/>
      <c r="ICJ47" s="44"/>
      <c r="ICK47" s="44"/>
      <c r="ICL47" s="44"/>
      <c r="ICM47" s="44"/>
      <c r="ICN47" s="44"/>
      <c r="ICO47" s="44"/>
      <c r="ICP47" s="44"/>
      <c r="ICQ47" s="44"/>
      <c r="ICR47" s="44"/>
      <c r="ICS47" s="44"/>
      <c r="ICT47" s="44"/>
      <c r="ICU47" s="44"/>
      <c r="ICV47" s="44"/>
      <c r="ICW47" s="44"/>
      <c r="ICX47" s="44"/>
      <c r="ICY47" s="44"/>
      <c r="ICZ47" s="44"/>
      <c r="IDA47" s="44"/>
      <c r="IDB47" s="44"/>
      <c r="IDC47" s="44"/>
      <c r="IDD47" s="44"/>
      <c r="IDE47" s="44"/>
      <c r="IDF47" s="44"/>
      <c r="IDG47" s="44"/>
      <c r="IDH47" s="44"/>
      <c r="IDI47" s="44"/>
      <c r="IDJ47" s="44"/>
      <c r="IDK47" s="44"/>
      <c r="IDL47" s="44"/>
      <c r="IDM47" s="44"/>
      <c r="IDN47" s="44"/>
      <c r="IDO47" s="44"/>
      <c r="IDP47" s="44"/>
      <c r="IDQ47" s="44"/>
      <c r="IDR47" s="44"/>
      <c r="IDS47" s="44"/>
      <c r="IDT47" s="44"/>
      <c r="IDU47" s="44"/>
      <c r="IDV47" s="44"/>
      <c r="IDW47" s="44"/>
      <c r="IDX47" s="44"/>
      <c r="IDY47" s="44"/>
      <c r="IDZ47" s="44"/>
      <c r="IEA47" s="44"/>
      <c r="IEB47" s="44"/>
      <c r="IEC47" s="44"/>
      <c r="IED47" s="44"/>
      <c r="IEE47" s="44"/>
      <c r="IEF47" s="44"/>
      <c r="IEG47" s="44"/>
      <c r="IEH47" s="44"/>
      <c r="IEI47" s="44"/>
      <c r="IEJ47" s="44"/>
      <c r="IEK47" s="44"/>
      <c r="IEL47" s="44"/>
      <c r="IEM47" s="44"/>
      <c r="IEN47" s="44"/>
      <c r="IEO47" s="44"/>
      <c r="IEP47" s="44"/>
      <c r="IEQ47" s="44"/>
      <c r="IER47" s="44"/>
      <c r="IES47" s="44"/>
      <c r="IET47" s="44"/>
      <c r="IEU47" s="44"/>
      <c r="IEV47" s="44"/>
      <c r="IEW47" s="44"/>
      <c r="IEX47" s="44"/>
      <c r="IEY47" s="44"/>
      <c r="IEZ47" s="44"/>
      <c r="IFA47" s="44"/>
      <c r="IFB47" s="44"/>
      <c r="IFC47" s="44"/>
      <c r="IFD47" s="44"/>
      <c r="IFE47" s="44"/>
      <c r="IFF47" s="44"/>
      <c r="IFG47" s="44"/>
      <c r="IFH47" s="44"/>
      <c r="IFI47" s="44"/>
      <c r="IFJ47" s="44"/>
      <c r="IFK47" s="44"/>
      <c r="IFL47" s="44"/>
      <c r="IFM47" s="44"/>
      <c r="IFN47" s="44"/>
      <c r="IFO47" s="44"/>
      <c r="IFP47" s="44"/>
      <c r="IFQ47" s="44"/>
      <c r="IFR47" s="44"/>
      <c r="IFS47" s="44"/>
      <c r="IFT47" s="44"/>
      <c r="IFU47" s="44"/>
      <c r="IFV47" s="44"/>
      <c r="IFW47" s="44"/>
      <c r="IFX47" s="44"/>
      <c r="IFY47" s="44"/>
      <c r="IFZ47" s="44"/>
      <c r="IGA47" s="44"/>
      <c r="IGB47" s="44"/>
      <c r="IGC47" s="44"/>
      <c r="IGD47" s="44"/>
      <c r="IGE47" s="44"/>
      <c r="IGF47" s="44"/>
      <c r="IGG47" s="44"/>
      <c r="IGH47" s="44"/>
      <c r="IGI47" s="44"/>
      <c r="IGJ47" s="44"/>
      <c r="IGK47" s="44"/>
      <c r="IGL47" s="44"/>
      <c r="IGM47" s="44"/>
      <c r="IGN47" s="44"/>
      <c r="IGO47" s="44"/>
      <c r="IGP47" s="44"/>
      <c r="IGQ47" s="44"/>
      <c r="IGR47" s="44"/>
      <c r="IGS47" s="44"/>
      <c r="IGT47" s="44"/>
      <c r="IGU47" s="44"/>
      <c r="IGV47" s="44"/>
      <c r="IGW47" s="44"/>
      <c r="IGX47" s="44"/>
      <c r="IGY47" s="44"/>
      <c r="IGZ47" s="44"/>
      <c r="IHA47" s="44"/>
      <c r="IHB47" s="44"/>
      <c r="IHC47" s="44"/>
      <c r="IHD47" s="44"/>
      <c r="IHE47" s="44"/>
      <c r="IHF47" s="44"/>
      <c r="IHG47" s="44"/>
      <c r="IHH47" s="44"/>
      <c r="IHI47" s="44"/>
      <c r="IHJ47" s="44"/>
      <c r="IHK47" s="44"/>
      <c r="IHL47" s="44"/>
      <c r="IHM47" s="44"/>
      <c r="IHN47" s="44"/>
      <c r="IHO47" s="44"/>
      <c r="IHP47" s="44"/>
      <c r="IHQ47" s="44"/>
      <c r="IHR47" s="44"/>
      <c r="IHS47" s="44"/>
      <c r="IHT47" s="44"/>
      <c r="IHU47" s="44"/>
      <c r="IHV47" s="44"/>
      <c r="IHW47" s="44"/>
      <c r="IHX47" s="44"/>
      <c r="IHY47" s="44"/>
      <c r="IHZ47" s="44"/>
      <c r="IIA47" s="44"/>
      <c r="IIB47" s="44"/>
      <c r="IIC47" s="44"/>
      <c r="IID47" s="44"/>
      <c r="IIE47" s="44"/>
      <c r="IIF47" s="44"/>
      <c r="IIG47" s="44"/>
      <c r="IIH47" s="44"/>
      <c r="III47" s="44"/>
      <c r="IIJ47" s="44"/>
      <c r="IIK47" s="44"/>
      <c r="IIL47" s="44"/>
      <c r="IIM47" s="44"/>
      <c r="IIN47" s="44"/>
      <c r="IIO47" s="44"/>
      <c r="IIP47" s="44"/>
      <c r="IIQ47" s="44"/>
      <c r="IIR47" s="44"/>
      <c r="IIS47" s="44"/>
      <c r="IIT47" s="44"/>
      <c r="IIU47" s="44"/>
      <c r="IIV47" s="44"/>
      <c r="IIW47" s="44"/>
      <c r="IIX47" s="44"/>
      <c r="IIY47" s="44"/>
      <c r="IIZ47" s="44"/>
      <c r="IJA47" s="44"/>
      <c r="IJB47" s="44"/>
      <c r="IJC47" s="44"/>
      <c r="IJD47" s="44"/>
      <c r="IJE47" s="44"/>
      <c r="IJF47" s="44"/>
      <c r="IJG47" s="44"/>
      <c r="IJH47" s="44"/>
      <c r="IJI47" s="44"/>
      <c r="IJJ47" s="44"/>
      <c r="IJK47" s="44"/>
      <c r="IJL47" s="44"/>
      <c r="IJM47" s="44"/>
      <c r="IJN47" s="44"/>
      <c r="IJO47" s="44"/>
      <c r="IJP47" s="44"/>
      <c r="IJQ47" s="44"/>
      <c r="IJR47" s="44"/>
      <c r="IJS47" s="44"/>
      <c r="IJT47" s="44"/>
      <c r="IJU47" s="44"/>
      <c r="IJV47" s="44"/>
      <c r="IJW47" s="44"/>
      <c r="IJX47" s="44"/>
      <c r="IJY47" s="44"/>
      <c r="IJZ47" s="44"/>
      <c r="IKA47" s="44"/>
      <c r="IKB47" s="44"/>
      <c r="IKC47" s="44"/>
      <c r="IKD47" s="44"/>
      <c r="IKE47" s="44"/>
      <c r="IKF47" s="44"/>
      <c r="IKG47" s="44"/>
      <c r="IKH47" s="44"/>
      <c r="IKI47" s="44"/>
      <c r="IKJ47" s="44"/>
      <c r="IKK47" s="44"/>
      <c r="IKL47" s="44"/>
      <c r="IKM47" s="44"/>
      <c r="IKN47" s="44"/>
      <c r="IKO47" s="44"/>
      <c r="IKP47" s="44"/>
      <c r="IKQ47" s="44"/>
      <c r="IKR47" s="44"/>
      <c r="IKS47" s="44"/>
      <c r="IKT47" s="44"/>
      <c r="IKU47" s="44"/>
      <c r="IKV47" s="44"/>
      <c r="IKW47" s="44"/>
      <c r="IKX47" s="44"/>
      <c r="IKY47" s="44"/>
      <c r="IKZ47" s="44"/>
      <c r="ILA47" s="44"/>
      <c r="ILB47" s="44"/>
      <c r="ILC47" s="44"/>
      <c r="ILD47" s="44"/>
      <c r="ILE47" s="44"/>
      <c r="ILF47" s="44"/>
      <c r="ILG47" s="44"/>
      <c r="ILH47" s="44"/>
      <c r="ILI47" s="44"/>
      <c r="ILJ47" s="44"/>
      <c r="ILK47" s="44"/>
      <c r="ILL47" s="44"/>
      <c r="ILM47" s="44"/>
      <c r="ILN47" s="44"/>
      <c r="ILO47" s="44"/>
      <c r="ILP47" s="44"/>
      <c r="ILQ47" s="44"/>
      <c r="ILR47" s="44"/>
      <c r="ILS47" s="44"/>
      <c r="ILT47" s="44"/>
      <c r="ILU47" s="44"/>
      <c r="ILV47" s="44"/>
      <c r="ILW47" s="44"/>
      <c r="ILX47" s="44"/>
      <c r="ILY47" s="44"/>
      <c r="ILZ47" s="44"/>
      <c r="IMA47" s="44"/>
      <c r="IMB47" s="44"/>
      <c r="IMC47" s="44"/>
      <c r="IMD47" s="44"/>
      <c r="IME47" s="44"/>
      <c r="IMF47" s="44"/>
      <c r="IMG47" s="44"/>
      <c r="IMH47" s="44"/>
      <c r="IMI47" s="44"/>
      <c r="IMJ47" s="44"/>
      <c r="IMK47" s="44"/>
      <c r="IML47" s="44"/>
      <c r="IMM47" s="44"/>
      <c r="IMN47" s="44"/>
      <c r="IMO47" s="44"/>
      <c r="IMP47" s="44"/>
      <c r="IMQ47" s="44"/>
      <c r="IMR47" s="44"/>
      <c r="IMS47" s="44"/>
      <c r="IMT47" s="44"/>
      <c r="IMU47" s="44"/>
      <c r="IMV47" s="44"/>
      <c r="IMW47" s="44"/>
      <c r="IMX47" s="44"/>
      <c r="IMY47" s="44"/>
      <c r="IMZ47" s="44"/>
      <c r="INA47" s="44"/>
      <c r="INB47" s="44"/>
      <c r="INC47" s="44"/>
      <c r="IND47" s="44"/>
      <c r="INE47" s="44"/>
      <c r="INF47" s="44"/>
      <c r="ING47" s="44"/>
      <c r="INH47" s="44"/>
      <c r="INI47" s="44"/>
      <c r="INJ47" s="44"/>
      <c r="INK47" s="44"/>
      <c r="INL47" s="44"/>
      <c r="INM47" s="44"/>
      <c r="INN47" s="44"/>
      <c r="INO47" s="44"/>
      <c r="INP47" s="44"/>
      <c r="INQ47" s="44"/>
      <c r="INR47" s="44"/>
      <c r="INS47" s="44"/>
      <c r="INT47" s="44"/>
      <c r="INU47" s="44"/>
      <c r="INV47" s="44"/>
      <c r="INW47" s="44"/>
      <c r="INX47" s="44"/>
      <c r="INY47" s="44"/>
      <c r="INZ47" s="44"/>
      <c r="IOA47" s="44"/>
      <c r="IOB47" s="44"/>
      <c r="IOC47" s="44"/>
      <c r="IOD47" s="44"/>
      <c r="IOE47" s="44"/>
      <c r="IOF47" s="44"/>
      <c r="IOG47" s="44"/>
      <c r="IOH47" s="44"/>
      <c r="IOI47" s="44"/>
      <c r="IOJ47" s="44"/>
      <c r="IOK47" s="44"/>
      <c r="IOL47" s="44"/>
      <c r="IOM47" s="44"/>
      <c r="ION47" s="44"/>
      <c r="IOO47" s="44"/>
      <c r="IOP47" s="44"/>
      <c r="IOQ47" s="44"/>
      <c r="IOR47" s="44"/>
      <c r="IOS47" s="44"/>
      <c r="IOT47" s="44"/>
      <c r="IOU47" s="44"/>
      <c r="IOV47" s="44"/>
      <c r="IOW47" s="44"/>
      <c r="IOX47" s="44"/>
      <c r="IOY47" s="44"/>
      <c r="IOZ47" s="44"/>
      <c r="IPA47" s="44"/>
      <c r="IPB47" s="44"/>
      <c r="IPC47" s="44"/>
      <c r="IPD47" s="44"/>
      <c r="IPE47" s="44"/>
      <c r="IPF47" s="44"/>
      <c r="IPG47" s="44"/>
      <c r="IPH47" s="44"/>
      <c r="IPI47" s="44"/>
      <c r="IPJ47" s="44"/>
      <c r="IPK47" s="44"/>
      <c r="IPL47" s="44"/>
      <c r="IPM47" s="44"/>
      <c r="IPN47" s="44"/>
      <c r="IPO47" s="44"/>
      <c r="IPP47" s="44"/>
      <c r="IPQ47" s="44"/>
      <c r="IPR47" s="44"/>
      <c r="IPS47" s="44"/>
      <c r="IPT47" s="44"/>
      <c r="IPU47" s="44"/>
      <c r="IPV47" s="44"/>
      <c r="IPW47" s="44"/>
      <c r="IPX47" s="44"/>
      <c r="IPY47" s="44"/>
      <c r="IPZ47" s="44"/>
      <c r="IQA47" s="44"/>
      <c r="IQB47" s="44"/>
      <c r="IQC47" s="44"/>
      <c r="IQD47" s="44"/>
      <c r="IQE47" s="44"/>
      <c r="IQF47" s="44"/>
      <c r="IQG47" s="44"/>
      <c r="IQH47" s="44"/>
      <c r="IQI47" s="44"/>
      <c r="IQJ47" s="44"/>
      <c r="IQK47" s="44"/>
      <c r="IQL47" s="44"/>
      <c r="IQM47" s="44"/>
      <c r="IQN47" s="44"/>
      <c r="IQO47" s="44"/>
      <c r="IQP47" s="44"/>
      <c r="IQQ47" s="44"/>
      <c r="IQR47" s="44"/>
      <c r="IQS47" s="44"/>
      <c r="IQT47" s="44"/>
      <c r="IQU47" s="44"/>
      <c r="IQV47" s="44"/>
      <c r="IQW47" s="44"/>
      <c r="IQX47" s="44"/>
      <c r="IQY47" s="44"/>
      <c r="IQZ47" s="44"/>
      <c r="IRA47" s="44"/>
      <c r="IRB47" s="44"/>
      <c r="IRC47" s="44"/>
      <c r="IRD47" s="44"/>
      <c r="IRE47" s="44"/>
      <c r="IRF47" s="44"/>
      <c r="IRG47" s="44"/>
      <c r="IRH47" s="44"/>
      <c r="IRI47" s="44"/>
      <c r="IRJ47" s="44"/>
      <c r="IRK47" s="44"/>
      <c r="IRL47" s="44"/>
      <c r="IRM47" s="44"/>
      <c r="IRN47" s="44"/>
      <c r="IRO47" s="44"/>
      <c r="IRP47" s="44"/>
      <c r="IRQ47" s="44"/>
      <c r="IRR47" s="44"/>
      <c r="IRS47" s="44"/>
      <c r="IRT47" s="44"/>
      <c r="IRU47" s="44"/>
      <c r="IRV47" s="44"/>
      <c r="IRW47" s="44"/>
      <c r="IRX47" s="44"/>
      <c r="IRY47" s="44"/>
      <c r="IRZ47" s="44"/>
      <c r="ISA47" s="44"/>
      <c r="ISB47" s="44"/>
      <c r="ISC47" s="44"/>
      <c r="ISD47" s="44"/>
      <c r="ISE47" s="44"/>
      <c r="ISF47" s="44"/>
      <c r="ISG47" s="44"/>
      <c r="ISH47" s="44"/>
      <c r="ISI47" s="44"/>
      <c r="ISJ47" s="44"/>
      <c r="ISK47" s="44"/>
      <c r="ISL47" s="44"/>
      <c r="ISM47" s="44"/>
      <c r="ISN47" s="44"/>
      <c r="ISO47" s="44"/>
      <c r="ISP47" s="44"/>
      <c r="ISQ47" s="44"/>
      <c r="ISR47" s="44"/>
      <c r="ISS47" s="44"/>
      <c r="IST47" s="44"/>
      <c r="ISU47" s="44"/>
      <c r="ISV47" s="44"/>
      <c r="ISW47" s="44"/>
      <c r="ISX47" s="44"/>
      <c r="ISY47" s="44"/>
      <c r="ISZ47" s="44"/>
      <c r="ITA47" s="44"/>
      <c r="ITB47" s="44"/>
      <c r="ITC47" s="44"/>
      <c r="ITD47" s="44"/>
      <c r="ITE47" s="44"/>
      <c r="ITF47" s="44"/>
      <c r="ITG47" s="44"/>
      <c r="ITH47" s="44"/>
      <c r="ITI47" s="44"/>
      <c r="ITJ47" s="44"/>
      <c r="ITK47" s="44"/>
      <c r="ITL47" s="44"/>
      <c r="ITM47" s="44"/>
      <c r="ITN47" s="44"/>
      <c r="ITO47" s="44"/>
      <c r="ITP47" s="44"/>
      <c r="ITQ47" s="44"/>
      <c r="ITR47" s="44"/>
      <c r="ITS47" s="44"/>
      <c r="ITT47" s="44"/>
      <c r="ITU47" s="44"/>
      <c r="ITV47" s="44"/>
      <c r="ITW47" s="44"/>
      <c r="ITX47" s="44"/>
      <c r="ITY47" s="44"/>
      <c r="ITZ47" s="44"/>
      <c r="IUA47" s="44"/>
      <c r="IUB47" s="44"/>
      <c r="IUC47" s="44"/>
      <c r="IUD47" s="44"/>
      <c r="IUE47" s="44"/>
      <c r="IUF47" s="44"/>
      <c r="IUG47" s="44"/>
      <c r="IUH47" s="44"/>
      <c r="IUI47" s="44"/>
      <c r="IUJ47" s="44"/>
      <c r="IUK47" s="44"/>
      <c r="IUL47" s="44"/>
      <c r="IUM47" s="44"/>
      <c r="IUN47" s="44"/>
      <c r="IUO47" s="44"/>
      <c r="IUP47" s="44"/>
      <c r="IUQ47" s="44"/>
      <c r="IUR47" s="44"/>
      <c r="IUS47" s="44"/>
      <c r="IUT47" s="44"/>
      <c r="IUU47" s="44"/>
      <c r="IUV47" s="44"/>
      <c r="IUW47" s="44"/>
      <c r="IUX47" s="44"/>
      <c r="IUY47" s="44"/>
      <c r="IUZ47" s="44"/>
      <c r="IVA47" s="44"/>
      <c r="IVB47" s="44"/>
      <c r="IVC47" s="44"/>
      <c r="IVD47" s="44"/>
      <c r="IVE47" s="44"/>
      <c r="IVF47" s="44"/>
      <c r="IVG47" s="44"/>
      <c r="IVH47" s="44"/>
      <c r="IVI47" s="44"/>
      <c r="IVJ47" s="44"/>
      <c r="IVK47" s="44"/>
      <c r="IVL47" s="44"/>
      <c r="IVM47" s="44"/>
      <c r="IVN47" s="44"/>
      <c r="IVO47" s="44"/>
      <c r="IVP47" s="44"/>
      <c r="IVQ47" s="44"/>
      <c r="IVR47" s="44"/>
      <c r="IVS47" s="44"/>
      <c r="IVT47" s="44"/>
      <c r="IVU47" s="44"/>
      <c r="IVV47" s="44"/>
      <c r="IVW47" s="44"/>
      <c r="IVX47" s="44"/>
      <c r="IVY47" s="44"/>
      <c r="IVZ47" s="44"/>
      <c r="IWA47" s="44"/>
      <c r="IWB47" s="44"/>
      <c r="IWC47" s="44"/>
      <c r="IWD47" s="44"/>
      <c r="IWE47" s="44"/>
      <c r="IWF47" s="44"/>
      <c r="IWG47" s="44"/>
      <c r="IWH47" s="44"/>
      <c r="IWI47" s="44"/>
      <c r="IWJ47" s="44"/>
      <c r="IWK47" s="44"/>
      <c r="IWL47" s="44"/>
      <c r="IWM47" s="44"/>
      <c r="IWN47" s="44"/>
      <c r="IWO47" s="44"/>
      <c r="IWP47" s="44"/>
      <c r="IWQ47" s="44"/>
      <c r="IWR47" s="44"/>
      <c r="IWS47" s="44"/>
      <c r="IWT47" s="44"/>
      <c r="IWU47" s="44"/>
      <c r="IWV47" s="44"/>
      <c r="IWW47" s="44"/>
      <c r="IWX47" s="44"/>
      <c r="IWY47" s="44"/>
      <c r="IWZ47" s="44"/>
      <c r="IXA47" s="44"/>
      <c r="IXB47" s="44"/>
      <c r="IXC47" s="44"/>
      <c r="IXD47" s="44"/>
      <c r="IXE47" s="44"/>
      <c r="IXF47" s="44"/>
      <c r="IXG47" s="44"/>
      <c r="IXH47" s="44"/>
      <c r="IXI47" s="44"/>
      <c r="IXJ47" s="44"/>
      <c r="IXK47" s="44"/>
      <c r="IXL47" s="44"/>
      <c r="IXM47" s="44"/>
      <c r="IXN47" s="44"/>
      <c r="IXO47" s="44"/>
      <c r="IXP47" s="44"/>
      <c r="IXQ47" s="44"/>
      <c r="IXR47" s="44"/>
      <c r="IXS47" s="44"/>
      <c r="IXT47" s="44"/>
      <c r="IXU47" s="44"/>
      <c r="IXV47" s="44"/>
      <c r="IXW47" s="44"/>
      <c r="IXX47" s="44"/>
      <c r="IXY47" s="44"/>
      <c r="IXZ47" s="44"/>
      <c r="IYA47" s="44"/>
      <c r="IYB47" s="44"/>
      <c r="IYC47" s="44"/>
      <c r="IYD47" s="44"/>
      <c r="IYE47" s="44"/>
      <c r="IYF47" s="44"/>
      <c r="IYG47" s="44"/>
      <c r="IYH47" s="44"/>
      <c r="IYI47" s="44"/>
      <c r="IYJ47" s="44"/>
      <c r="IYK47" s="44"/>
      <c r="IYL47" s="44"/>
      <c r="IYM47" s="44"/>
      <c r="IYN47" s="44"/>
      <c r="IYO47" s="44"/>
      <c r="IYP47" s="44"/>
      <c r="IYQ47" s="44"/>
      <c r="IYR47" s="44"/>
      <c r="IYS47" s="44"/>
      <c r="IYT47" s="44"/>
      <c r="IYU47" s="44"/>
      <c r="IYV47" s="44"/>
      <c r="IYW47" s="44"/>
      <c r="IYX47" s="44"/>
      <c r="IYY47" s="44"/>
      <c r="IYZ47" s="44"/>
      <c r="IZA47" s="44"/>
      <c r="IZB47" s="44"/>
      <c r="IZC47" s="44"/>
      <c r="IZD47" s="44"/>
      <c r="IZE47" s="44"/>
      <c r="IZF47" s="44"/>
      <c r="IZG47" s="44"/>
      <c r="IZH47" s="44"/>
      <c r="IZI47" s="44"/>
      <c r="IZJ47" s="44"/>
      <c r="IZK47" s="44"/>
      <c r="IZL47" s="44"/>
      <c r="IZM47" s="44"/>
      <c r="IZN47" s="44"/>
      <c r="IZO47" s="44"/>
      <c r="IZP47" s="44"/>
      <c r="IZQ47" s="44"/>
      <c r="IZR47" s="44"/>
      <c r="IZS47" s="44"/>
      <c r="IZT47" s="44"/>
      <c r="IZU47" s="44"/>
      <c r="IZV47" s="44"/>
      <c r="IZW47" s="44"/>
      <c r="IZX47" s="44"/>
      <c r="IZY47" s="44"/>
      <c r="IZZ47" s="44"/>
      <c r="JAA47" s="44"/>
      <c r="JAB47" s="44"/>
      <c r="JAC47" s="44"/>
      <c r="JAD47" s="44"/>
      <c r="JAE47" s="44"/>
      <c r="JAF47" s="44"/>
      <c r="JAG47" s="44"/>
      <c r="JAH47" s="44"/>
      <c r="JAI47" s="44"/>
      <c r="JAJ47" s="44"/>
      <c r="JAK47" s="44"/>
      <c r="JAL47" s="44"/>
      <c r="JAM47" s="44"/>
      <c r="JAN47" s="44"/>
      <c r="JAO47" s="44"/>
      <c r="JAP47" s="44"/>
      <c r="JAQ47" s="44"/>
      <c r="JAR47" s="44"/>
      <c r="JAS47" s="44"/>
      <c r="JAT47" s="44"/>
      <c r="JAU47" s="44"/>
      <c r="JAV47" s="44"/>
      <c r="JAW47" s="44"/>
      <c r="JAX47" s="44"/>
      <c r="JAY47" s="44"/>
      <c r="JAZ47" s="44"/>
      <c r="JBA47" s="44"/>
      <c r="JBB47" s="44"/>
      <c r="JBC47" s="44"/>
      <c r="JBD47" s="44"/>
      <c r="JBE47" s="44"/>
      <c r="JBF47" s="44"/>
      <c r="JBG47" s="44"/>
      <c r="JBH47" s="44"/>
      <c r="JBI47" s="44"/>
      <c r="JBJ47" s="44"/>
      <c r="JBK47" s="44"/>
      <c r="JBL47" s="44"/>
      <c r="JBM47" s="44"/>
      <c r="JBN47" s="44"/>
      <c r="JBO47" s="44"/>
      <c r="JBP47" s="44"/>
      <c r="JBQ47" s="44"/>
      <c r="JBR47" s="44"/>
      <c r="JBS47" s="44"/>
      <c r="JBT47" s="44"/>
      <c r="JBU47" s="44"/>
      <c r="JBV47" s="44"/>
      <c r="JBW47" s="44"/>
      <c r="JBX47" s="44"/>
      <c r="JBY47" s="44"/>
      <c r="JBZ47" s="44"/>
      <c r="JCA47" s="44"/>
      <c r="JCB47" s="44"/>
      <c r="JCC47" s="44"/>
      <c r="JCD47" s="44"/>
      <c r="JCE47" s="44"/>
      <c r="JCF47" s="44"/>
      <c r="JCG47" s="44"/>
      <c r="JCH47" s="44"/>
      <c r="JCI47" s="44"/>
      <c r="JCJ47" s="44"/>
      <c r="JCK47" s="44"/>
      <c r="JCL47" s="44"/>
      <c r="JCM47" s="44"/>
      <c r="JCN47" s="44"/>
      <c r="JCO47" s="44"/>
      <c r="JCP47" s="44"/>
      <c r="JCQ47" s="44"/>
      <c r="JCR47" s="44"/>
      <c r="JCS47" s="44"/>
      <c r="JCT47" s="44"/>
      <c r="JCU47" s="44"/>
      <c r="JCV47" s="44"/>
      <c r="JCW47" s="44"/>
      <c r="JCX47" s="44"/>
      <c r="JCY47" s="44"/>
      <c r="JCZ47" s="44"/>
      <c r="JDA47" s="44"/>
      <c r="JDB47" s="44"/>
      <c r="JDC47" s="44"/>
      <c r="JDD47" s="44"/>
      <c r="JDE47" s="44"/>
      <c r="JDF47" s="44"/>
      <c r="JDG47" s="44"/>
      <c r="JDH47" s="44"/>
      <c r="JDI47" s="44"/>
      <c r="JDJ47" s="44"/>
      <c r="JDK47" s="44"/>
      <c r="JDL47" s="44"/>
      <c r="JDM47" s="44"/>
      <c r="JDN47" s="44"/>
      <c r="JDO47" s="44"/>
      <c r="JDP47" s="44"/>
      <c r="JDQ47" s="44"/>
      <c r="JDR47" s="44"/>
      <c r="JDS47" s="44"/>
      <c r="JDT47" s="44"/>
      <c r="JDU47" s="44"/>
      <c r="JDV47" s="44"/>
      <c r="JDW47" s="44"/>
      <c r="JDX47" s="44"/>
      <c r="JDY47" s="44"/>
      <c r="JDZ47" s="44"/>
      <c r="JEA47" s="44"/>
      <c r="JEB47" s="44"/>
      <c r="JEC47" s="44"/>
      <c r="JED47" s="44"/>
      <c r="JEE47" s="44"/>
      <c r="JEF47" s="44"/>
      <c r="JEG47" s="44"/>
      <c r="JEH47" s="44"/>
      <c r="JEI47" s="44"/>
      <c r="JEJ47" s="44"/>
      <c r="JEK47" s="44"/>
      <c r="JEL47" s="44"/>
      <c r="JEM47" s="44"/>
      <c r="JEN47" s="44"/>
      <c r="JEO47" s="44"/>
      <c r="JEP47" s="44"/>
      <c r="JEQ47" s="44"/>
      <c r="JER47" s="44"/>
      <c r="JES47" s="44"/>
      <c r="JET47" s="44"/>
      <c r="JEU47" s="44"/>
      <c r="JEV47" s="44"/>
      <c r="JEW47" s="44"/>
      <c r="JEX47" s="44"/>
      <c r="JEY47" s="44"/>
      <c r="JEZ47" s="44"/>
      <c r="JFA47" s="44"/>
      <c r="JFB47" s="44"/>
      <c r="JFC47" s="44"/>
      <c r="JFD47" s="44"/>
      <c r="JFE47" s="44"/>
      <c r="JFF47" s="44"/>
      <c r="JFG47" s="44"/>
      <c r="JFH47" s="44"/>
      <c r="JFI47" s="44"/>
      <c r="JFJ47" s="44"/>
      <c r="JFK47" s="44"/>
      <c r="JFL47" s="44"/>
      <c r="JFM47" s="44"/>
      <c r="JFN47" s="44"/>
      <c r="JFO47" s="44"/>
      <c r="JFP47" s="44"/>
      <c r="JFQ47" s="44"/>
      <c r="JFR47" s="44"/>
      <c r="JFS47" s="44"/>
      <c r="JFT47" s="44"/>
      <c r="JFU47" s="44"/>
      <c r="JFV47" s="44"/>
      <c r="JFW47" s="44"/>
      <c r="JFX47" s="44"/>
      <c r="JFY47" s="44"/>
      <c r="JFZ47" s="44"/>
      <c r="JGA47" s="44"/>
      <c r="JGB47" s="44"/>
      <c r="JGC47" s="44"/>
      <c r="JGD47" s="44"/>
      <c r="JGE47" s="44"/>
      <c r="JGF47" s="44"/>
      <c r="JGG47" s="44"/>
      <c r="JGH47" s="44"/>
      <c r="JGI47" s="44"/>
      <c r="JGJ47" s="44"/>
      <c r="JGK47" s="44"/>
      <c r="JGL47" s="44"/>
      <c r="JGM47" s="44"/>
      <c r="JGN47" s="44"/>
      <c r="JGO47" s="44"/>
      <c r="JGP47" s="44"/>
      <c r="JGQ47" s="44"/>
      <c r="JGR47" s="44"/>
      <c r="JGS47" s="44"/>
      <c r="JGT47" s="44"/>
      <c r="JGU47" s="44"/>
      <c r="JGV47" s="44"/>
      <c r="JGW47" s="44"/>
      <c r="JGX47" s="44"/>
      <c r="JGY47" s="44"/>
      <c r="JGZ47" s="44"/>
      <c r="JHA47" s="44"/>
      <c r="JHB47" s="44"/>
      <c r="JHC47" s="44"/>
      <c r="JHD47" s="44"/>
      <c r="JHE47" s="44"/>
      <c r="JHF47" s="44"/>
      <c r="JHG47" s="44"/>
      <c r="JHH47" s="44"/>
      <c r="JHI47" s="44"/>
      <c r="JHJ47" s="44"/>
      <c r="JHK47" s="44"/>
      <c r="JHL47" s="44"/>
      <c r="JHM47" s="44"/>
      <c r="JHN47" s="44"/>
      <c r="JHO47" s="44"/>
      <c r="JHP47" s="44"/>
      <c r="JHQ47" s="44"/>
      <c r="JHR47" s="44"/>
      <c r="JHS47" s="44"/>
      <c r="JHT47" s="44"/>
      <c r="JHU47" s="44"/>
      <c r="JHV47" s="44"/>
      <c r="JHW47" s="44"/>
      <c r="JHX47" s="44"/>
      <c r="JHY47" s="44"/>
      <c r="JHZ47" s="44"/>
      <c r="JIA47" s="44"/>
      <c r="JIB47" s="44"/>
      <c r="JIC47" s="44"/>
      <c r="JID47" s="44"/>
      <c r="JIE47" s="44"/>
      <c r="JIF47" s="44"/>
      <c r="JIG47" s="44"/>
      <c r="JIH47" s="44"/>
      <c r="JII47" s="44"/>
      <c r="JIJ47" s="44"/>
      <c r="JIK47" s="44"/>
      <c r="JIL47" s="44"/>
      <c r="JIM47" s="44"/>
      <c r="JIN47" s="44"/>
      <c r="JIO47" s="44"/>
      <c r="JIP47" s="44"/>
      <c r="JIQ47" s="44"/>
      <c r="JIR47" s="44"/>
      <c r="JIS47" s="44"/>
      <c r="JIT47" s="44"/>
      <c r="JIU47" s="44"/>
      <c r="JIV47" s="44"/>
      <c r="JIW47" s="44"/>
      <c r="JIX47" s="44"/>
      <c r="JIY47" s="44"/>
      <c r="JIZ47" s="44"/>
      <c r="JJA47" s="44"/>
      <c r="JJB47" s="44"/>
      <c r="JJC47" s="44"/>
      <c r="JJD47" s="44"/>
      <c r="JJE47" s="44"/>
      <c r="JJF47" s="44"/>
      <c r="JJG47" s="44"/>
      <c r="JJH47" s="44"/>
      <c r="JJI47" s="44"/>
      <c r="JJJ47" s="44"/>
      <c r="JJK47" s="44"/>
      <c r="JJL47" s="44"/>
      <c r="JJM47" s="44"/>
      <c r="JJN47" s="44"/>
      <c r="JJO47" s="44"/>
      <c r="JJP47" s="44"/>
      <c r="JJQ47" s="44"/>
      <c r="JJR47" s="44"/>
      <c r="JJS47" s="44"/>
      <c r="JJT47" s="44"/>
      <c r="JJU47" s="44"/>
      <c r="JJV47" s="44"/>
      <c r="JJW47" s="44"/>
      <c r="JJX47" s="44"/>
      <c r="JJY47" s="44"/>
      <c r="JJZ47" s="44"/>
      <c r="JKA47" s="44"/>
      <c r="JKB47" s="44"/>
      <c r="JKC47" s="44"/>
      <c r="JKD47" s="44"/>
      <c r="JKE47" s="44"/>
      <c r="JKF47" s="44"/>
      <c r="JKG47" s="44"/>
      <c r="JKH47" s="44"/>
      <c r="JKI47" s="44"/>
      <c r="JKJ47" s="44"/>
      <c r="JKK47" s="44"/>
      <c r="JKL47" s="44"/>
      <c r="JKM47" s="44"/>
      <c r="JKN47" s="44"/>
      <c r="JKO47" s="44"/>
      <c r="JKP47" s="44"/>
      <c r="JKQ47" s="44"/>
      <c r="JKR47" s="44"/>
      <c r="JKS47" s="44"/>
      <c r="JKT47" s="44"/>
      <c r="JKU47" s="44"/>
      <c r="JKV47" s="44"/>
      <c r="JKW47" s="44"/>
      <c r="JKX47" s="44"/>
      <c r="JKY47" s="44"/>
      <c r="JKZ47" s="44"/>
      <c r="JLA47" s="44"/>
      <c r="JLB47" s="44"/>
      <c r="JLC47" s="44"/>
      <c r="JLD47" s="44"/>
      <c r="JLE47" s="44"/>
      <c r="JLF47" s="44"/>
      <c r="JLG47" s="44"/>
      <c r="JLH47" s="44"/>
      <c r="JLI47" s="44"/>
      <c r="JLJ47" s="44"/>
      <c r="JLK47" s="44"/>
      <c r="JLL47" s="44"/>
      <c r="JLM47" s="44"/>
      <c r="JLN47" s="44"/>
      <c r="JLO47" s="44"/>
      <c r="JLP47" s="44"/>
      <c r="JLQ47" s="44"/>
      <c r="JLR47" s="44"/>
      <c r="JLS47" s="44"/>
      <c r="JLT47" s="44"/>
      <c r="JLU47" s="44"/>
      <c r="JLV47" s="44"/>
      <c r="JLW47" s="44"/>
      <c r="JLX47" s="44"/>
      <c r="JLY47" s="44"/>
      <c r="JLZ47" s="44"/>
      <c r="JMA47" s="44"/>
      <c r="JMB47" s="44"/>
      <c r="JMC47" s="44"/>
      <c r="JMD47" s="44"/>
      <c r="JME47" s="44"/>
      <c r="JMF47" s="44"/>
      <c r="JMG47" s="44"/>
      <c r="JMH47" s="44"/>
      <c r="JMI47" s="44"/>
      <c r="JMJ47" s="44"/>
      <c r="JMK47" s="44"/>
      <c r="JML47" s="44"/>
      <c r="JMM47" s="44"/>
      <c r="JMN47" s="44"/>
      <c r="JMO47" s="44"/>
      <c r="JMP47" s="44"/>
      <c r="JMQ47" s="44"/>
      <c r="JMR47" s="44"/>
      <c r="JMS47" s="44"/>
      <c r="JMT47" s="44"/>
      <c r="JMU47" s="44"/>
      <c r="JMV47" s="44"/>
      <c r="JMW47" s="44"/>
      <c r="JMX47" s="44"/>
      <c r="JMY47" s="44"/>
      <c r="JMZ47" s="44"/>
      <c r="JNA47" s="44"/>
      <c r="JNB47" s="44"/>
      <c r="JNC47" s="44"/>
      <c r="JND47" s="44"/>
      <c r="JNE47" s="44"/>
      <c r="JNF47" s="44"/>
      <c r="JNG47" s="44"/>
      <c r="JNH47" s="44"/>
      <c r="JNI47" s="44"/>
      <c r="JNJ47" s="44"/>
      <c r="JNK47" s="44"/>
      <c r="JNL47" s="44"/>
      <c r="JNM47" s="44"/>
      <c r="JNN47" s="44"/>
      <c r="JNO47" s="44"/>
      <c r="JNP47" s="44"/>
      <c r="JNQ47" s="44"/>
      <c r="JNR47" s="44"/>
      <c r="JNS47" s="44"/>
      <c r="JNT47" s="44"/>
      <c r="JNU47" s="44"/>
      <c r="JNV47" s="44"/>
      <c r="JNW47" s="44"/>
      <c r="JNX47" s="44"/>
      <c r="JNY47" s="44"/>
      <c r="JNZ47" s="44"/>
      <c r="JOA47" s="44"/>
      <c r="JOB47" s="44"/>
      <c r="JOC47" s="44"/>
      <c r="JOD47" s="44"/>
      <c r="JOE47" s="44"/>
      <c r="JOF47" s="44"/>
      <c r="JOG47" s="44"/>
      <c r="JOH47" s="44"/>
      <c r="JOI47" s="44"/>
      <c r="JOJ47" s="44"/>
      <c r="JOK47" s="44"/>
      <c r="JOL47" s="44"/>
      <c r="JOM47" s="44"/>
      <c r="JON47" s="44"/>
      <c r="JOO47" s="44"/>
      <c r="JOP47" s="44"/>
      <c r="JOQ47" s="44"/>
      <c r="JOR47" s="44"/>
      <c r="JOS47" s="44"/>
      <c r="JOT47" s="44"/>
      <c r="JOU47" s="44"/>
      <c r="JOV47" s="44"/>
      <c r="JOW47" s="44"/>
      <c r="JOX47" s="44"/>
      <c r="JOY47" s="44"/>
      <c r="JOZ47" s="44"/>
      <c r="JPA47" s="44"/>
      <c r="JPB47" s="44"/>
      <c r="JPC47" s="44"/>
      <c r="JPD47" s="44"/>
      <c r="JPE47" s="44"/>
      <c r="JPF47" s="44"/>
      <c r="JPG47" s="44"/>
      <c r="JPH47" s="44"/>
      <c r="JPI47" s="44"/>
      <c r="JPJ47" s="44"/>
      <c r="JPK47" s="44"/>
      <c r="JPL47" s="44"/>
      <c r="JPM47" s="44"/>
      <c r="JPN47" s="44"/>
      <c r="JPO47" s="44"/>
      <c r="JPP47" s="44"/>
      <c r="JPQ47" s="44"/>
      <c r="JPR47" s="44"/>
      <c r="JPS47" s="44"/>
      <c r="JPT47" s="44"/>
      <c r="JPU47" s="44"/>
      <c r="JPV47" s="44"/>
      <c r="JPW47" s="44"/>
      <c r="JPX47" s="44"/>
      <c r="JPY47" s="44"/>
      <c r="JPZ47" s="44"/>
      <c r="JQA47" s="44"/>
      <c r="JQB47" s="44"/>
      <c r="JQC47" s="44"/>
      <c r="JQD47" s="44"/>
      <c r="JQE47" s="44"/>
      <c r="JQF47" s="44"/>
      <c r="JQG47" s="44"/>
      <c r="JQH47" s="44"/>
      <c r="JQI47" s="44"/>
      <c r="JQJ47" s="44"/>
      <c r="JQK47" s="44"/>
      <c r="JQL47" s="44"/>
      <c r="JQM47" s="44"/>
      <c r="JQN47" s="44"/>
      <c r="JQO47" s="44"/>
      <c r="JQP47" s="44"/>
      <c r="JQQ47" s="44"/>
      <c r="JQR47" s="44"/>
      <c r="JQS47" s="44"/>
      <c r="JQT47" s="44"/>
      <c r="JQU47" s="44"/>
      <c r="JQV47" s="44"/>
      <c r="JQW47" s="44"/>
      <c r="JQX47" s="44"/>
      <c r="JQY47" s="44"/>
      <c r="JQZ47" s="44"/>
      <c r="JRA47" s="44"/>
      <c r="JRB47" s="44"/>
      <c r="JRC47" s="44"/>
      <c r="JRD47" s="44"/>
      <c r="JRE47" s="44"/>
      <c r="JRF47" s="44"/>
      <c r="JRG47" s="44"/>
      <c r="JRH47" s="44"/>
      <c r="JRI47" s="44"/>
      <c r="JRJ47" s="44"/>
      <c r="JRK47" s="44"/>
      <c r="JRL47" s="44"/>
      <c r="JRM47" s="44"/>
      <c r="JRN47" s="44"/>
      <c r="JRO47" s="44"/>
      <c r="JRP47" s="44"/>
      <c r="JRQ47" s="44"/>
      <c r="JRR47" s="44"/>
      <c r="JRS47" s="44"/>
      <c r="JRT47" s="44"/>
      <c r="JRU47" s="44"/>
      <c r="JRV47" s="44"/>
      <c r="JRW47" s="44"/>
      <c r="JRX47" s="44"/>
      <c r="JRY47" s="44"/>
      <c r="JRZ47" s="44"/>
      <c r="JSA47" s="44"/>
      <c r="JSB47" s="44"/>
      <c r="JSC47" s="44"/>
      <c r="JSD47" s="44"/>
      <c r="JSE47" s="44"/>
      <c r="JSF47" s="44"/>
      <c r="JSG47" s="44"/>
      <c r="JSH47" s="44"/>
      <c r="JSI47" s="44"/>
      <c r="JSJ47" s="44"/>
      <c r="JSK47" s="44"/>
      <c r="JSL47" s="44"/>
      <c r="JSM47" s="44"/>
      <c r="JSN47" s="44"/>
      <c r="JSO47" s="44"/>
      <c r="JSP47" s="44"/>
      <c r="JSQ47" s="44"/>
      <c r="JSR47" s="44"/>
      <c r="JSS47" s="44"/>
      <c r="JST47" s="44"/>
      <c r="JSU47" s="44"/>
      <c r="JSV47" s="44"/>
      <c r="JSW47" s="44"/>
      <c r="JSX47" s="44"/>
      <c r="JSY47" s="44"/>
      <c r="JSZ47" s="44"/>
      <c r="JTA47" s="44"/>
      <c r="JTB47" s="44"/>
      <c r="JTC47" s="44"/>
      <c r="JTD47" s="44"/>
      <c r="JTE47" s="44"/>
      <c r="JTF47" s="44"/>
      <c r="JTG47" s="44"/>
      <c r="JTH47" s="44"/>
      <c r="JTI47" s="44"/>
      <c r="JTJ47" s="44"/>
      <c r="JTK47" s="44"/>
      <c r="JTL47" s="44"/>
      <c r="JTM47" s="44"/>
      <c r="JTN47" s="44"/>
      <c r="JTO47" s="44"/>
      <c r="JTP47" s="44"/>
      <c r="JTQ47" s="44"/>
      <c r="JTR47" s="44"/>
      <c r="JTS47" s="44"/>
      <c r="JTT47" s="44"/>
      <c r="JTU47" s="44"/>
      <c r="JTV47" s="44"/>
      <c r="JTW47" s="44"/>
      <c r="JTX47" s="44"/>
      <c r="JTY47" s="44"/>
      <c r="JTZ47" s="44"/>
      <c r="JUA47" s="44"/>
      <c r="JUB47" s="44"/>
      <c r="JUC47" s="44"/>
      <c r="JUD47" s="44"/>
      <c r="JUE47" s="44"/>
      <c r="JUF47" s="44"/>
      <c r="JUG47" s="44"/>
      <c r="JUH47" s="44"/>
      <c r="JUI47" s="44"/>
      <c r="JUJ47" s="44"/>
      <c r="JUK47" s="44"/>
      <c r="JUL47" s="44"/>
      <c r="JUM47" s="44"/>
      <c r="JUN47" s="44"/>
      <c r="JUO47" s="44"/>
      <c r="JUP47" s="44"/>
      <c r="JUQ47" s="44"/>
      <c r="JUR47" s="44"/>
      <c r="JUS47" s="44"/>
      <c r="JUT47" s="44"/>
      <c r="JUU47" s="44"/>
      <c r="JUV47" s="44"/>
      <c r="JUW47" s="44"/>
      <c r="JUX47" s="44"/>
      <c r="JUY47" s="44"/>
      <c r="JUZ47" s="44"/>
      <c r="JVA47" s="44"/>
      <c r="JVB47" s="44"/>
      <c r="JVC47" s="44"/>
      <c r="JVD47" s="44"/>
      <c r="JVE47" s="44"/>
      <c r="JVF47" s="44"/>
      <c r="JVG47" s="44"/>
      <c r="JVH47" s="44"/>
      <c r="JVI47" s="44"/>
      <c r="JVJ47" s="44"/>
      <c r="JVK47" s="44"/>
      <c r="JVL47" s="44"/>
      <c r="JVM47" s="44"/>
      <c r="JVN47" s="44"/>
      <c r="JVO47" s="44"/>
      <c r="JVP47" s="44"/>
      <c r="JVQ47" s="44"/>
      <c r="JVR47" s="44"/>
      <c r="JVS47" s="44"/>
      <c r="JVT47" s="44"/>
      <c r="JVU47" s="44"/>
      <c r="JVV47" s="44"/>
      <c r="JVW47" s="44"/>
      <c r="JVX47" s="44"/>
      <c r="JVY47" s="44"/>
      <c r="JVZ47" s="44"/>
      <c r="JWA47" s="44"/>
      <c r="JWB47" s="44"/>
      <c r="JWC47" s="44"/>
      <c r="JWD47" s="44"/>
      <c r="JWE47" s="44"/>
      <c r="JWF47" s="44"/>
      <c r="JWG47" s="44"/>
      <c r="JWH47" s="44"/>
      <c r="JWI47" s="44"/>
      <c r="JWJ47" s="44"/>
      <c r="JWK47" s="44"/>
      <c r="JWL47" s="44"/>
      <c r="JWM47" s="44"/>
      <c r="JWN47" s="44"/>
      <c r="JWO47" s="44"/>
      <c r="JWP47" s="44"/>
      <c r="JWQ47" s="44"/>
      <c r="JWR47" s="44"/>
      <c r="JWS47" s="44"/>
      <c r="JWT47" s="44"/>
      <c r="JWU47" s="44"/>
      <c r="JWV47" s="44"/>
      <c r="JWW47" s="44"/>
      <c r="JWX47" s="44"/>
      <c r="JWY47" s="44"/>
      <c r="JWZ47" s="44"/>
      <c r="JXA47" s="44"/>
      <c r="JXB47" s="44"/>
      <c r="JXC47" s="44"/>
      <c r="JXD47" s="44"/>
      <c r="JXE47" s="44"/>
      <c r="JXF47" s="44"/>
      <c r="JXG47" s="44"/>
      <c r="JXH47" s="44"/>
      <c r="JXI47" s="44"/>
      <c r="JXJ47" s="44"/>
      <c r="JXK47" s="44"/>
      <c r="JXL47" s="44"/>
      <c r="JXM47" s="44"/>
      <c r="JXN47" s="44"/>
      <c r="JXO47" s="44"/>
      <c r="JXP47" s="44"/>
      <c r="JXQ47" s="44"/>
      <c r="JXR47" s="44"/>
      <c r="JXS47" s="44"/>
      <c r="JXT47" s="44"/>
      <c r="JXU47" s="44"/>
      <c r="JXV47" s="44"/>
      <c r="JXW47" s="44"/>
      <c r="JXX47" s="44"/>
      <c r="JXY47" s="44"/>
      <c r="JXZ47" s="44"/>
      <c r="JYA47" s="44"/>
      <c r="JYB47" s="44"/>
      <c r="JYC47" s="44"/>
      <c r="JYD47" s="44"/>
      <c r="JYE47" s="44"/>
      <c r="JYF47" s="44"/>
      <c r="JYG47" s="44"/>
      <c r="JYH47" s="44"/>
      <c r="JYI47" s="44"/>
      <c r="JYJ47" s="44"/>
      <c r="JYK47" s="44"/>
      <c r="JYL47" s="44"/>
      <c r="JYM47" s="44"/>
      <c r="JYN47" s="44"/>
      <c r="JYO47" s="44"/>
      <c r="JYP47" s="44"/>
      <c r="JYQ47" s="44"/>
      <c r="JYR47" s="44"/>
      <c r="JYS47" s="44"/>
      <c r="JYT47" s="44"/>
      <c r="JYU47" s="44"/>
      <c r="JYV47" s="44"/>
      <c r="JYW47" s="44"/>
      <c r="JYX47" s="44"/>
      <c r="JYY47" s="44"/>
      <c r="JYZ47" s="44"/>
      <c r="JZA47" s="44"/>
      <c r="JZB47" s="44"/>
      <c r="JZC47" s="44"/>
      <c r="JZD47" s="44"/>
      <c r="JZE47" s="44"/>
      <c r="JZF47" s="44"/>
      <c r="JZG47" s="44"/>
      <c r="JZH47" s="44"/>
      <c r="JZI47" s="44"/>
      <c r="JZJ47" s="44"/>
      <c r="JZK47" s="44"/>
      <c r="JZL47" s="44"/>
      <c r="JZM47" s="44"/>
      <c r="JZN47" s="44"/>
      <c r="JZO47" s="44"/>
      <c r="JZP47" s="44"/>
      <c r="JZQ47" s="44"/>
      <c r="JZR47" s="44"/>
      <c r="JZS47" s="44"/>
      <c r="JZT47" s="44"/>
      <c r="JZU47" s="44"/>
      <c r="JZV47" s="44"/>
      <c r="JZW47" s="44"/>
      <c r="JZX47" s="44"/>
      <c r="JZY47" s="44"/>
      <c r="JZZ47" s="44"/>
      <c r="KAA47" s="44"/>
      <c r="KAB47" s="44"/>
      <c r="KAC47" s="44"/>
      <c r="KAD47" s="44"/>
      <c r="KAE47" s="44"/>
      <c r="KAF47" s="44"/>
      <c r="KAG47" s="44"/>
      <c r="KAH47" s="44"/>
      <c r="KAI47" s="44"/>
      <c r="KAJ47" s="44"/>
      <c r="KAK47" s="44"/>
      <c r="KAL47" s="44"/>
      <c r="KAM47" s="44"/>
      <c r="KAN47" s="44"/>
      <c r="KAO47" s="44"/>
      <c r="KAP47" s="44"/>
      <c r="KAQ47" s="44"/>
      <c r="KAR47" s="44"/>
      <c r="KAS47" s="44"/>
      <c r="KAT47" s="44"/>
      <c r="KAU47" s="44"/>
      <c r="KAV47" s="44"/>
      <c r="KAW47" s="44"/>
      <c r="KAX47" s="44"/>
      <c r="KAY47" s="44"/>
      <c r="KAZ47" s="44"/>
      <c r="KBA47" s="44"/>
      <c r="KBB47" s="44"/>
      <c r="KBC47" s="44"/>
      <c r="KBD47" s="44"/>
      <c r="KBE47" s="44"/>
      <c r="KBF47" s="44"/>
      <c r="KBG47" s="44"/>
      <c r="KBH47" s="44"/>
      <c r="KBI47" s="44"/>
      <c r="KBJ47" s="44"/>
      <c r="KBK47" s="44"/>
      <c r="KBL47" s="44"/>
      <c r="KBM47" s="44"/>
      <c r="KBN47" s="44"/>
      <c r="KBO47" s="44"/>
      <c r="KBP47" s="44"/>
      <c r="KBQ47" s="44"/>
      <c r="KBR47" s="44"/>
      <c r="KBS47" s="44"/>
      <c r="KBT47" s="44"/>
      <c r="KBU47" s="44"/>
      <c r="KBV47" s="44"/>
      <c r="KBW47" s="44"/>
      <c r="KBX47" s="44"/>
      <c r="KBY47" s="44"/>
      <c r="KBZ47" s="44"/>
      <c r="KCA47" s="44"/>
      <c r="KCB47" s="44"/>
      <c r="KCC47" s="44"/>
      <c r="KCD47" s="44"/>
      <c r="KCE47" s="44"/>
      <c r="KCF47" s="44"/>
      <c r="KCG47" s="44"/>
      <c r="KCH47" s="44"/>
      <c r="KCI47" s="44"/>
      <c r="KCJ47" s="44"/>
      <c r="KCK47" s="44"/>
      <c r="KCL47" s="44"/>
      <c r="KCM47" s="44"/>
      <c r="KCN47" s="44"/>
      <c r="KCO47" s="44"/>
      <c r="KCP47" s="44"/>
      <c r="KCQ47" s="44"/>
      <c r="KCR47" s="44"/>
      <c r="KCS47" s="44"/>
      <c r="KCT47" s="44"/>
      <c r="KCU47" s="44"/>
      <c r="KCV47" s="44"/>
      <c r="KCW47" s="44"/>
      <c r="KCX47" s="44"/>
      <c r="KCY47" s="44"/>
      <c r="KCZ47" s="44"/>
      <c r="KDA47" s="44"/>
      <c r="KDB47" s="44"/>
      <c r="KDC47" s="44"/>
      <c r="KDD47" s="44"/>
      <c r="KDE47" s="44"/>
      <c r="KDF47" s="44"/>
      <c r="KDG47" s="44"/>
      <c r="KDH47" s="44"/>
      <c r="KDI47" s="44"/>
      <c r="KDJ47" s="44"/>
      <c r="KDK47" s="44"/>
      <c r="KDL47" s="44"/>
      <c r="KDM47" s="44"/>
      <c r="KDN47" s="44"/>
      <c r="KDO47" s="44"/>
      <c r="KDP47" s="44"/>
      <c r="KDQ47" s="44"/>
      <c r="KDR47" s="44"/>
      <c r="KDS47" s="44"/>
      <c r="KDT47" s="44"/>
      <c r="KDU47" s="44"/>
      <c r="KDV47" s="44"/>
      <c r="KDW47" s="44"/>
      <c r="KDX47" s="44"/>
      <c r="KDY47" s="44"/>
      <c r="KDZ47" s="44"/>
      <c r="KEA47" s="44"/>
      <c r="KEB47" s="44"/>
      <c r="KEC47" s="44"/>
      <c r="KED47" s="44"/>
      <c r="KEE47" s="44"/>
      <c r="KEF47" s="44"/>
      <c r="KEG47" s="44"/>
      <c r="KEH47" s="44"/>
      <c r="KEI47" s="44"/>
      <c r="KEJ47" s="44"/>
      <c r="KEK47" s="44"/>
      <c r="KEL47" s="44"/>
      <c r="KEM47" s="44"/>
      <c r="KEN47" s="44"/>
      <c r="KEO47" s="44"/>
      <c r="KEP47" s="44"/>
      <c r="KEQ47" s="44"/>
      <c r="KER47" s="44"/>
      <c r="KES47" s="44"/>
      <c r="KET47" s="44"/>
      <c r="KEU47" s="44"/>
      <c r="KEV47" s="44"/>
      <c r="KEW47" s="44"/>
      <c r="KEX47" s="44"/>
      <c r="KEY47" s="44"/>
      <c r="KEZ47" s="44"/>
      <c r="KFA47" s="44"/>
      <c r="KFB47" s="44"/>
      <c r="KFC47" s="44"/>
      <c r="KFD47" s="44"/>
      <c r="KFE47" s="44"/>
      <c r="KFF47" s="44"/>
      <c r="KFG47" s="44"/>
      <c r="KFH47" s="44"/>
      <c r="KFI47" s="44"/>
      <c r="KFJ47" s="44"/>
      <c r="KFK47" s="44"/>
      <c r="KFL47" s="44"/>
      <c r="KFM47" s="44"/>
      <c r="KFN47" s="44"/>
      <c r="KFO47" s="44"/>
      <c r="KFP47" s="44"/>
      <c r="KFQ47" s="44"/>
      <c r="KFR47" s="44"/>
      <c r="KFS47" s="44"/>
      <c r="KFT47" s="44"/>
      <c r="KFU47" s="44"/>
      <c r="KFV47" s="44"/>
      <c r="KFW47" s="44"/>
      <c r="KFX47" s="44"/>
      <c r="KFY47" s="44"/>
      <c r="KFZ47" s="44"/>
      <c r="KGA47" s="44"/>
      <c r="KGB47" s="44"/>
      <c r="KGC47" s="44"/>
      <c r="KGD47" s="44"/>
      <c r="KGE47" s="44"/>
      <c r="KGF47" s="44"/>
      <c r="KGG47" s="44"/>
      <c r="KGH47" s="44"/>
      <c r="KGI47" s="44"/>
      <c r="KGJ47" s="44"/>
      <c r="KGK47" s="44"/>
      <c r="KGL47" s="44"/>
      <c r="KGM47" s="44"/>
      <c r="KGN47" s="44"/>
      <c r="KGO47" s="44"/>
      <c r="KGP47" s="44"/>
      <c r="KGQ47" s="44"/>
      <c r="KGR47" s="44"/>
      <c r="KGS47" s="44"/>
      <c r="KGT47" s="44"/>
      <c r="KGU47" s="44"/>
      <c r="KGV47" s="44"/>
      <c r="KGW47" s="44"/>
      <c r="KGX47" s="44"/>
      <c r="KGY47" s="44"/>
      <c r="KGZ47" s="44"/>
      <c r="KHA47" s="44"/>
      <c r="KHB47" s="44"/>
      <c r="KHC47" s="44"/>
      <c r="KHD47" s="44"/>
      <c r="KHE47" s="44"/>
      <c r="KHF47" s="44"/>
      <c r="KHG47" s="44"/>
      <c r="KHH47" s="44"/>
      <c r="KHI47" s="44"/>
      <c r="KHJ47" s="44"/>
      <c r="KHK47" s="44"/>
      <c r="KHL47" s="44"/>
      <c r="KHM47" s="44"/>
      <c r="KHN47" s="44"/>
      <c r="KHO47" s="44"/>
      <c r="KHP47" s="44"/>
      <c r="KHQ47" s="44"/>
      <c r="KHR47" s="44"/>
      <c r="KHS47" s="44"/>
      <c r="KHT47" s="44"/>
      <c r="KHU47" s="44"/>
      <c r="KHV47" s="44"/>
      <c r="KHW47" s="44"/>
      <c r="KHX47" s="44"/>
      <c r="KHY47" s="44"/>
      <c r="KHZ47" s="44"/>
      <c r="KIA47" s="44"/>
      <c r="KIB47" s="44"/>
      <c r="KIC47" s="44"/>
      <c r="KID47" s="44"/>
      <c r="KIE47" s="44"/>
      <c r="KIF47" s="44"/>
      <c r="KIG47" s="44"/>
      <c r="KIH47" s="44"/>
      <c r="KII47" s="44"/>
      <c r="KIJ47" s="44"/>
      <c r="KIK47" s="44"/>
      <c r="KIL47" s="44"/>
      <c r="KIM47" s="44"/>
      <c r="KIN47" s="44"/>
      <c r="KIO47" s="44"/>
      <c r="KIP47" s="44"/>
      <c r="KIQ47" s="44"/>
      <c r="KIR47" s="44"/>
      <c r="KIS47" s="44"/>
      <c r="KIT47" s="44"/>
      <c r="KIU47" s="44"/>
      <c r="KIV47" s="44"/>
      <c r="KIW47" s="44"/>
      <c r="KIX47" s="44"/>
      <c r="KIY47" s="44"/>
      <c r="KIZ47" s="44"/>
      <c r="KJA47" s="44"/>
      <c r="KJB47" s="44"/>
      <c r="KJC47" s="44"/>
      <c r="KJD47" s="44"/>
      <c r="KJE47" s="44"/>
      <c r="KJF47" s="44"/>
      <c r="KJG47" s="44"/>
      <c r="KJH47" s="44"/>
      <c r="KJI47" s="44"/>
      <c r="KJJ47" s="44"/>
      <c r="KJK47" s="44"/>
      <c r="KJL47" s="44"/>
      <c r="KJM47" s="44"/>
      <c r="KJN47" s="44"/>
      <c r="KJO47" s="44"/>
      <c r="KJP47" s="44"/>
      <c r="KJQ47" s="44"/>
      <c r="KJR47" s="44"/>
      <c r="KJS47" s="44"/>
      <c r="KJT47" s="44"/>
      <c r="KJU47" s="44"/>
      <c r="KJV47" s="44"/>
      <c r="KJW47" s="44"/>
      <c r="KJX47" s="44"/>
      <c r="KJY47" s="44"/>
      <c r="KJZ47" s="44"/>
      <c r="KKA47" s="44"/>
      <c r="KKB47" s="44"/>
      <c r="KKC47" s="44"/>
      <c r="KKD47" s="44"/>
      <c r="KKE47" s="44"/>
      <c r="KKF47" s="44"/>
      <c r="KKG47" s="44"/>
      <c r="KKH47" s="44"/>
      <c r="KKI47" s="44"/>
      <c r="KKJ47" s="44"/>
      <c r="KKK47" s="44"/>
      <c r="KKL47" s="44"/>
      <c r="KKM47" s="44"/>
      <c r="KKN47" s="44"/>
      <c r="KKO47" s="44"/>
      <c r="KKP47" s="44"/>
      <c r="KKQ47" s="44"/>
      <c r="KKR47" s="44"/>
      <c r="KKS47" s="44"/>
      <c r="KKT47" s="44"/>
      <c r="KKU47" s="44"/>
      <c r="KKV47" s="44"/>
      <c r="KKW47" s="44"/>
      <c r="KKX47" s="44"/>
      <c r="KKY47" s="44"/>
      <c r="KKZ47" s="44"/>
      <c r="KLA47" s="44"/>
      <c r="KLB47" s="44"/>
      <c r="KLC47" s="44"/>
      <c r="KLD47" s="44"/>
      <c r="KLE47" s="44"/>
      <c r="KLF47" s="44"/>
      <c r="KLG47" s="44"/>
      <c r="KLH47" s="44"/>
      <c r="KLI47" s="44"/>
      <c r="KLJ47" s="44"/>
      <c r="KLK47" s="44"/>
      <c r="KLL47" s="44"/>
      <c r="KLM47" s="44"/>
      <c r="KLN47" s="44"/>
      <c r="KLO47" s="44"/>
      <c r="KLP47" s="44"/>
      <c r="KLQ47" s="44"/>
      <c r="KLR47" s="44"/>
      <c r="KLS47" s="44"/>
      <c r="KLT47" s="44"/>
      <c r="KLU47" s="44"/>
      <c r="KLV47" s="44"/>
      <c r="KLW47" s="44"/>
      <c r="KLX47" s="44"/>
      <c r="KLY47" s="44"/>
      <c r="KLZ47" s="44"/>
      <c r="KMA47" s="44"/>
      <c r="KMB47" s="44"/>
      <c r="KMC47" s="44"/>
      <c r="KMD47" s="44"/>
      <c r="KME47" s="44"/>
      <c r="KMF47" s="44"/>
      <c r="KMG47" s="44"/>
      <c r="KMH47" s="44"/>
      <c r="KMI47" s="44"/>
      <c r="KMJ47" s="44"/>
      <c r="KMK47" s="44"/>
      <c r="KML47" s="44"/>
      <c r="KMM47" s="44"/>
      <c r="KMN47" s="44"/>
      <c r="KMO47" s="44"/>
      <c r="KMP47" s="44"/>
      <c r="KMQ47" s="44"/>
      <c r="KMR47" s="44"/>
      <c r="KMS47" s="44"/>
      <c r="KMT47" s="44"/>
      <c r="KMU47" s="44"/>
      <c r="KMV47" s="44"/>
      <c r="KMW47" s="44"/>
      <c r="KMX47" s="44"/>
      <c r="KMY47" s="44"/>
      <c r="KMZ47" s="44"/>
      <c r="KNA47" s="44"/>
      <c r="KNB47" s="44"/>
      <c r="KNC47" s="44"/>
      <c r="KND47" s="44"/>
      <c r="KNE47" s="44"/>
      <c r="KNF47" s="44"/>
      <c r="KNG47" s="44"/>
      <c r="KNH47" s="44"/>
      <c r="KNI47" s="44"/>
      <c r="KNJ47" s="44"/>
      <c r="KNK47" s="44"/>
      <c r="KNL47" s="44"/>
      <c r="KNM47" s="44"/>
      <c r="KNN47" s="44"/>
      <c r="KNO47" s="44"/>
      <c r="KNP47" s="44"/>
      <c r="KNQ47" s="44"/>
      <c r="KNR47" s="44"/>
      <c r="KNS47" s="44"/>
      <c r="KNT47" s="44"/>
      <c r="KNU47" s="44"/>
      <c r="KNV47" s="44"/>
      <c r="KNW47" s="44"/>
      <c r="KNX47" s="44"/>
      <c r="KNY47" s="44"/>
      <c r="KNZ47" s="44"/>
      <c r="KOA47" s="44"/>
      <c r="KOB47" s="44"/>
      <c r="KOC47" s="44"/>
      <c r="KOD47" s="44"/>
      <c r="KOE47" s="44"/>
      <c r="KOF47" s="44"/>
      <c r="KOG47" s="44"/>
      <c r="KOH47" s="44"/>
      <c r="KOI47" s="44"/>
      <c r="KOJ47" s="44"/>
      <c r="KOK47" s="44"/>
      <c r="KOL47" s="44"/>
      <c r="KOM47" s="44"/>
      <c r="KON47" s="44"/>
      <c r="KOO47" s="44"/>
      <c r="KOP47" s="44"/>
      <c r="KOQ47" s="44"/>
      <c r="KOR47" s="44"/>
      <c r="KOS47" s="44"/>
      <c r="KOT47" s="44"/>
      <c r="KOU47" s="44"/>
      <c r="KOV47" s="44"/>
      <c r="KOW47" s="44"/>
      <c r="KOX47" s="44"/>
      <c r="KOY47" s="44"/>
      <c r="KOZ47" s="44"/>
      <c r="KPA47" s="44"/>
      <c r="KPB47" s="44"/>
      <c r="KPC47" s="44"/>
      <c r="KPD47" s="44"/>
      <c r="KPE47" s="44"/>
      <c r="KPF47" s="44"/>
      <c r="KPG47" s="44"/>
      <c r="KPH47" s="44"/>
      <c r="KPI47" s="44"/>
      <c r="KPJ47" s="44"/>
      <c r="KPK47" s="44"/>
      <c r="KPL47" s="44"/>
      <c r="KPM47" s="44"/>
      <c r="KPN47" s="44"/>
      <c r="KPO47" s="44"/>
      <c r="KPP47" s="44"/>
      <c r="KPQ47" s="44"/>
      <c r="KPR47" s="44"/>
      <c r="KPS47" s="44"/>
      <c r="KPT47" s="44"/>
      <c r="KPU47" s="44"/>
      <c r="KPV47" s="44"/>
      <c r="KPW47" s="44"/>
      <c r="KPX47" s="44"/>
      <c r="KPY47" s="44"/>
      <c r="KPZ47" s="44"/>
      <c r="KQA47" s="44"/>
      <c r="KQB47" s="44"/>
      <c r="KQC47" s="44"/>
      <c r="KQD47" s="44"/>
      <c r="KQE47" s="44"/>
      <c r="KQF47" s="44"/>
      <c r="KQG47" s="44"/>
      <c r="KQH47" s="44"/>
      <c r="KQI47" s="44"/>
      <c r="KQJ47" s="44"/>
      <c r="KQK47" s="44"/>
      <c r="KQL47" s="44"/>
      <c r="KQM47" s="44"/>
      <c r="KQN47" s="44"/>
      <c r="KQO47" s="44"/>
      <c r="KQP47" s="44"/>
      <c r="KQQ47" s="44"/>
      <c r="KQR47" s="44"/>
      <c r="KQS47" s="44"/>
      <c r="KQT47" s="44"/>
      <c r="KQU47" s="44"/>
      <c r="KQV47" s="44"/>
      <c r="KQW47" s="44"/>
      <c r="KQX47" s="44"/>
      <c r="KQY47" s="44"/>
      <c r="KQZ47" s="44"/>
      <c r="KRA47" s="44"/>
      <c r="KRB47" s="44"/>
      <c r="KRC47" s="44"/>
      <c r="KRD47" s="44"/>
      <c r="KRE47" s="44"/>
      <c r="KRF47" s="44"/>
      <c r="KRG47" s="44"/>
      <c r="KRH47" s="44"/>
      <c r="KRI47" s="44"/>
      <c r="KRJ47" s="44"/>
      <c r="KRK47" s="44"/>
      <c r="KRL47" s="44"/>
      <c r="KRM47" s="44"/>
      <c r="KRN47" s="44"/>
      <c r="KRO47" s="44"/>
      <c r="KRP47" s="44"/>
      <c r="KRQ47" s="44"/>
      <c r="KRR47" s="44"/>
      <c r="KRS47" s="44"/>
      <c r="KRT47" s="44"/>
      <c r="KRU47" s="44"/>
      <c r="KRV47" s="44"/>
      <c r="KRW47" s="44"/>
      <c r="KRX47" s="44"/>
      <c r="KRY47" s="44"/>
      <c r="KRZ47" s="44"/>
      <c r="KSA47" s="44"/>
      <c r="KSB47" s="44"/>
      <c r="KSC47" s="44"/>
      <c r="KSD47" s="44"/>
      <c r="KSE47" s="44"/>
      <c r="KSF47" s="44"/>
      <c r="KSG47" s="44"/>
      <c r="KSH47" s="44"/>
      <c r="KSI47" s="44"/>
      <c r="KSJ47" s="44"/>
      <c r="KSK47" s="44"/>
      <c r="KSL47" s="44"/>
      <c r="KSM47" s="44"/>
      <c r="KSN47" s="44"/>
      <c r="KSO47" s="44"/>
      <c r="KSP47" s="44"/>
      <c r="KSQ47" s="44"/>
      <c r="KSR47" s="44"/>
      <c r="KSS47" s="44"/>
      <c r="KST47" s="44"/>
      <c r="KSU47" s="44"/>
      <c r="KSV47" s="44"/>
      <c r="KSW47" s="44"/>
      <c r="KSX47" s="44"/>
      <c r="KSY47" s="44"/>
      <c r="KSZ47" s="44"/>
      <c r="KTA47" s="44"/>
      <c r="KTB47" s="44"/>
      <c r="KTC47" s="44"/>
      <c r="KTD47" s="44"/>
      <c r="KTE47" s="44"/>
      <c r="KTF47" s="44"/>
      <c r="KTG47" s="44"/>
      <c r="KTH47" s="44"/>
      <c r="KTI47" s="44"/>
      <c r="KTJ47" s="44"/>
      <c r="KTK47" s="44"/>
      <c r="KTL47" s="44"/>
      <c r="KTM47" s="44"/>
      <c r="KTN47" s="44"/>
      <c r="KTO47" s="44"/>
      <c r="KTP47" s="44"/>
      <c r="KTQ47" s="44"/>
      <c r="KTR47" s="44"/>
      <c r="KTS47" s="44"/>
      <c r="KTT47" s="44"/>
      <c r="KTU47" s="44"/>
      <c r="KTV47" s="44"/>
      <c r="KTW47" s="44"/>
      <c r="KTX47" s="44"/>
      <c r="KTY47" s="44"/>
      <c r="KTZ47" s="44"/>
      <c r="KUA47" s="44"/>
      <c r="KUB47" s="44"/>
      <c r="KUC47" s="44"/>
      <c r="KUD47" s="44"/>
      <c r="KUE47" s="44"/>
      <c r="KUF47" s="44"/>
      <c r="KUG47" s="44"/>
      <c r="KUH47" s="44"/>
      <c r="KUI47" s="44"/>
      <c r="KUJ47" s="44"/>
      <c r="KUK47" s="44"/>
      <c r="KUL47" s="44"/>
      <c r="KUM47" s="44"/>
      <c r="KUN47" s="44"/>
      <c r="KUO47" s="44"/>
      <c r="KUP47" s="44"/>
      <c r="KUQ47" s="44"/>
      <c r="KUR47" s="44"/>
      <c r="KUS47" s="44"/>
      <c r="KUT47" s="44"/>
      <c r="KUU47" s="44"/>
      <c r="KUV47" s="44"/>
      <c r="KUW47" s="44"/>
      <c r="KUX47" s="44"/>
      <c r="KUY47" s="44"/>
      <c r="KUZ47" s="44"/>
      <c r="KVA47" s="44"/>
      <c r="KVB47" s="44"/>
      <c r="KVC47" s="44"/>
      <c r="KVD47" s="44"/>
      <c r="KVE47" s="44"/>
      <c r="KVF47" s="44"/>
      <c r="KVG47" s="44"/>
      <c r="KVH47" s="44"/>
      <c r="KVI47" s="44"/>
      <c r="KVJ47" s="44"/>
      <c r="KVK47" s="44"/>
      <c r="KVL47" s="44"/>
      <c r="KVM47" s="44"/>
      <c r="KVN47" s="44"/>
      <c r="KVO47" s="44"/>
      <c r="KVP47" s="44"/>
      <c r="KVQ47" s="44"/>
      <c r="KVR47" s="44"/>
      <c r="KVS47" s="44"/>
      <c r="KVT47" s="44"/>
      <c r="KVU47" s="44"/>
      <c r="KVV47" s="44"/>
      <c r="KVW47" s="44"/>
      <c r="KVX47" s="44"/>
      <c r="KVY47" s="44"/>
      <c r="KVZ47" s="44"/>
      <c r="KWA47" s="44"/>
      <c r="KWB47" s="44"/>
      <c r="KWC47" s="44"/>
      <c r="KWD47" s="44"/>
      <c r="KWE47" s="44"/>
      <c r="KWF47" s="44"/>
      <c r="KWG47" s="44"/>
      <c r="KWH47" s="44"/>
      <c r="KWI47" s="44"/>
      <c r="KWJ47" s="44"/>
      <c r="KWK47" s="44"/>
      <c r="KWL47" s="44"/>
      <c r="KWM47" s="44"/>
      <c r="KWN47" s="44"/>
      <c r="KWO47" s="44"/>
      <c r="KWP47" s="44"/>
      <c r="KWQ47" s="44"/>
      <c r="KWR47" s="44"/>
      <c r="KWS47" s="44"/>
      <c r="KWT47" s="44"/>
      <c r="KWU47" s="44"/>
      <c r="KWV47" s="44"/>
      <c r="KWW47" s="44"/>
      <c r="KWX47" s="44"/>
      <c r="KWY47" s="44"/>
      <c r="KWZ47" s="44"/>
      <c r="KXA47" s="44"/>
      <c r="KXB47" s="44"/>
      <c r="KXC47" s="44"/>
      <c r="KXD47" s="44"/>
      <c r="KXE47" s="44"/>
      <c r="KXF47" s="44"/>
      <c r="KXG47" s="44"/>
      <c r="KXH47" s="44"/>
      <c r="KXI47" s="44"/>
      <c r="KXJ47" s="44"/>
      <c r="KXK47" s="44"/>
      <c r="KXL47" s="44"/>
      <c r="KXM47" s="44"/>
      <c r="KXN47" s="44"/>
      <c r="KXO47" s="44"/>
      <c r="KXP47" s="44"/>
      <c r="KXQ47" s="44"/>
      <c r="KXR47" s="44"/>
      <c r="KXS47" s="44"/>
      <c r="KXT47" s="44"/>
      <c r="KXU47" s="44"/>
      <c r="KXV47" s="44"/>
      <c r="KXW47" s="44"/>
      <c r="KXX47" s="44"/>
      <c r="KXY47" s="44"/>
      <c r="KXZ47" s="44"/>
      <c r="KYA47" s="44"/>
      <c r="KYB47" s="44"/>
      <c r="KYC47" s="44"/>
      <c r="KYD47" s="44"/>
      <c r="KYE47" s="44"/>
      <c r="KYF47" s="44"/>
      <c r="KYG47" s="44"/>
      <c r="KYH47" s="44"/>
      <c r="KYI47" s="44"/>
      <c r="KYJ47" s="44"/>
      <c r="KYK47" s="44"/>
      <c r="KYL47" s="44"/>
      <c r="KYM47" s="44"/>
      <c r="KYN47" s="44"/>
      <c r="KYO47" s="44"/>
      <c r="KYP47" s="44"/>
      <c r="KYQ47" s="44"/>
      <c r="KYR47" s="44"/>
      <c r="KYS47" s="44"/>
      <c r="KYT47" s="44"/>
      <c r="KYU47" s="44"/>
      <c r="KYV47" s="44"/>
      <c r="KYW47" s="44"/>
      <c r="KYX47" s="44"/>
      <c r="KYY47" s="44"/>
      <c r="KYZ47" s="44"/>
      <c r="KZA47" s="44"/>
      <c r="KZB47" s="44"/>
      <c r="KZC47" s="44"/>
      <c r="KZD47" s="44"/>
      <c r="KZE47" s="44"/>
      <c r="KZF47" s="44"/>
      <c r="KZG47" s="44"/>
      <c r="KZH47" s="44"/>
      <c r="KZI47" s="44"/>
      <c r="KZJ47" s="44"/>
      <c r="KZK47" s="44"/>
      <c r="KZL47" s="44"/>
      <c r="KZM47" s="44"/>
      <c r="KZN47" s="44"/>
      <c r="KZO47" s="44"/>
      <c r="KZP47" s="44"/>
      <c r="KZQ47" s="44"/>
      <c r="KZR47" s="44"/>
      <c r="KZS47" s="44"/>
      <c r="KZT47" s="44"/>
      <c r="KZU47" s="44"/>
      <c r="KZV47" s="44"/>
      <c r="KZW47" s="44"/>
      <c r="KZX47" s="44"/>
      <c r="KZY47" s="44"/>
      <c r="KZZ47" s="44"/>
      <c r="LAA47" s="44"/>
      <c r="LAB47" s="44"/>
      <c r="LAC47" s="44"/>
      <c r="LAD47" s="44"/>
      <c r="LAE47" s="44"/>
      <c r="LAF47" s="44"/>
      <c r="LAG47" s="44"/>
      <c r="LAH47" s="44"/>
      <c r="LAI47" s="44"/>
      <c r="LAJ47" s="44"/>
      <c r="LAK47" s="44"/>
      <c r="LAL47" s="44"/>
      <c r="LAM47" s="44"/>
      <c r="LAN47" s="44"/>
      <c r="LAO47" s="44"/>
      <c r="LAP47" s="44"/>
      <c r="LAQ47" s="44"/>
      <c r="LAR47" s="44"/>
      <c r="LAS47" s="44"/>
      <c r="LAT47" s="44"/>
      <c r="LAU47" s="44"/>
      <c r="LAV47" s="44"/>
      <c r="LAW47" s="44"/>
      <c r="LAX47" s="44"/>
      <c r="LAY47" s="44"/>
      <c r="LAZ47" s="44"/>
      <c r="LBA47" s="44"/>
      <c r="LBB47" s="44"/>
      <c r="LBC47" s="44"/>
      <c r="LBD47" s="44"/>
      <c r="LBE47" s="44"/>
      <c r="LBF47" s="44"/>
      <c r="LBG47" s="44"/>
      <c r="LBH47" s="44"/>
      <c r="LBI47" s="44"/>
      <c r="LBJ47" s="44"/>
      <c r="LBK47" s="44"/>
      <c r="LBL47" s="44"/>
      <c r="LBM47" s="44"/>
      <c r="LBN47" s="44"/>
      <c r="LBO47" s="44"/>
      <c r="LBP47" s="44"/>
      <c r="LBQ47" s="44"/>
      <c r="LBR47" s="44"/>
      <c r="LBS47" s="44"/>
      <c r="LBT47" s="44"/>
      <c r="LBU47" s="44"/>
      <c r="LBV47" s="44"/>
      <c r="LBW47" s="44"/>
      <c r="LBX47" s="44"/>
      <c r="LBY47" s="44"/>
      <c r="LBZ47" s="44"/>
      <c r="LCA47" s="44"/>
      <c r="LCB47" s="44"/>
      <c r="LCC47" s="44"/>
      <c r="LCD47" s="44"/>
      <c r="LCE47" s="44"/>
      <c r="LCF47" s="44"/>
      <c r="LCG47" s="44"/>
      <c r="LCH47" s="44"/>
      <c r="LCI47" s="44"/>
      <c r="LCJ47" s="44"/>
      <c r="LCK47" s="44"/>
      <c r="LCL47" s="44"/>
      <c r="LCM47" s="44"/>
      <c r="LCN47" s="44"/>
      <c r="LCO47" s="44"/>
      <c r="LCP47" s="44"/>
      <c r="LCQ47" s="44"/>
      <c r="LCR47" s="44"/>
      <c r="LCS47" s="44"/>
      <c r="LCT47" s="44"/>
      <c r="LCU47" s="44"/>
      <c r="LCV47" s="44"/>
      <c r="LCW47" s="44"/>
      <c r="LCX47" s="44"/>
      <c r="LCY47" s="44"/>
      <c r="LCZ47" s="44"/>
      <c r="LDA47" s="44"/>
      <c r="LDB47" s="44"/>
      <c r="LDC47" s="44"/>
      <c r="LDD47" s="44"/>
      <c r="LDE47" s="44"/>
      <c r="LDF47" s="44"/>
      <c r="LDG47" s="44"/>
      <c r="LDH47" s="44"/>
      <c r="LDI47" s="44"/>
      <c r="LDJ47" s="44"/>
      <c r="LDK47" s="44"/>
      <c r="LDL47" s="44"/>
      <c r="LDM47" s="44"/>
      <c r="LDN47" s="44"/>
      <c r="LDO47" s="44"/>
      <c r="LDP47" s="44"/>
      <c r="LDQ47" s="44"/>
      <c r="LDR47" s="44"/>
      <c r="LDS47" s="44"/>
      <c r="LDT47" s="44"/>
      <c r="LDU47" s="44"/>
      <c r="LDV47" s="44"/>
      <c r="LDW47" s="44"/>
      <c r="LDX47" s="44"/>
      <c r="LDY47" s="44"/>
      <c r="LDZ47" s="44"/>
      <c r="LEA47" s="44"/>
      <c r="LEB47" s="44"/>
      <c r="LEC47" s="44"/>
      <c r="LED47" s="44"/>
      <c r="LEE47" s="44"/>
      <c r="LEF47" s="44"/>
      <c r="LEG47" s="44"/>
      <c r="LEH47" s="44"/>
      <c r="LEI47" s="44"/>
      <c r="LEJ47" s="44"/>
      <c r="LEK47" s="44"/>
      <c r="LEL47" s="44"/>
      <c r="LEM47" s="44"/>
      <c r="LEN47" s="44"/>
      <c r="LEO47" s="44"/>
      <c r="LEP47" s="44"/>
      <c r="LEQ47" s="44"/>
      <c r="LER47" s="44"/>
      <c r="LES47" s="44"/>
      <c r="LET47" s="44"/>
      <c r="LEU47" s="44"/>
      <c r="LEV47" s="44"/>
      <c r="LEW47" s="44"/>
      <c r="LEX47" s="44"/>
      <c r="LEY47" s="44"/>
      <c r="LEZ47" s="44"/>
      <c r="LFA47" s="44"/>
      <c r="LFB47" s="44"/>
      <c r="LFC47" s="44"/>
      <c r="LFD47" s="44"/>
      <c r="LFE47" s="44"/>
      <c r="LFF47" s="44"/>
      <c r="LFG47" s="44"/>
      <c r="LFH47" s="44"/>
      <c r="LFI47" s="44"/>
      <c r="LFJ47" s="44"/>
      <c r="LFK47" s="44"/>
      <c r="LFL47" s="44"/>
      <c r="LFM47" s="44"/>
      <c r="LFN47" s="44"/>
      <c r="LFO47" s="44"/>
      <c r="LFP47" s="44"/>
      <c r="LFQ47" s="44"/>
      <c r="LFR47" s="44"/>
      <c r="LFS47" s="44"/>
      <c r="LFT47" s="44"/>
      <c r="LFU47" s="44"/>
      <c r="LFV47" s="44"/>
      <c r="LFW47" s="44"/>
      <c r="LFX47" s="44"/>
      <c r="LFY47" s="44"/>
      <c r="LFZ47" s="44"/>
      <c r="LGA47" s="44"/>
      <c r="LGB47" s="44"/>
      <c r="LGC47" s="44"/>
      <c r="LGD47" s="44"/>
      <c r="LGE47" s="44"/>
      <c r="LGF47" s="44"/>
      <c r="LGG47" s="44"/>
      <c r="LGH47" s="44"/>
      <c r="LGI47" s="44"/>
      <c r="LGJ47" s="44"/>
      <c r="LGK47" s="44"/>
      <c r="LGL47" s="44"/>
      <c r="LGM47" s="44"/>
      <c r="LGN47" s="44"/>
      <c r="LGO47" s="44"/>
      <c r="LGP47" s="44"/>
      <c r="LGQ47" s="44"/>
      <c r="LGR47" s="44"/>
      <c r="LGS47" s="44"/>
      <c r="LGT47" s="44"/>
      <c r="LGU47" s="44"/>
      <c r="LGV47" s="44"/>
      <c r="LGW47" s="44"/>
      <c r="LGX47" s="44"/>
      <c r="LGY47" s="44"/>
      <c r="LGZ47" s="44"/>
      <c r="LHA47" s="44"/>
      <c r="LHB47" s="44"/>
      <c r="LHC47" s="44"/>
      <c r="LHD47" s="44"/>
      <c r="LHE47" s="44"/>
      <c r="LHF47" s="44"/>
      <c r="LHG47" s="44"/>
      <c r="LHH47" s="44"/>
      <c r="LHI47" s="44"/>
      <c r="LHJ47" s="44"/>
      <c r="LHK47" s="44"/>
      <c r="LHL47" s="44"/>
      <c r="LHM47" s="44"/>
      <c r="LHN47" s="44"/>
      <c r="LHO47" s="44"/>
      <c r="LHP47" s="44"/>
      <c r="LHQ47" s="44"/>
      <c r="LHR47" s="44"/>
      <c r="LHS47" s="44"/>
      <c r="LHT47" s="44"/>
      <c r="LHU47" s="44"/>
      <c r="LHV47" s="44"/>
      <c r="LHW47" s="44"/>
      <c r="LHX47" s="44"/>
      <c r="LHY47" s="44"/>
      <c r="LHZ47" s="44"/>
      <c r="LIA47" s="44"/>
      <c r="LIB47" s="44"/>
      <c r="LIC47" s="44"/>
      <c r="LID47" s="44"/>
      <c r="LIE47" s="44"/>
      <c r="LIF47" s="44"/>
      <c r="LIG47" s="44"/>
      <c r="LIH47" s="44"/>
      <c r="LII47" s="44"/>
      <c r="LIJ47" s="44"/>
      <c r="LIK47" s="44"/>
      <c r="LIL47" s="44"/>
      <c r="LIM47" s="44"/>
      <c r="LIN47" s="44"/>
      <c r="LIO47" s="44"/>
      <c r="LIP47" s="44"/>
      <c r="LIQ47" s="44"/>
      <c r="LIR47" s="44"/>
      <c r="LIS47" s="44"/>
      <c r="LIT47" s="44"/>
      <c r="LIU47" s="44"/>
      <c r="LIV47" s="44"/>
      <c r="LIW47" s="44"/>
      <c r="LIX47" s="44"/>
      <c r="LIY47" s="44"/>
      <c r="LIZ47" s="44"/>
      <c r="LJA47" s="44"/>
      <c r="LJB47" s="44"/>
      <c r="LJC47" s="44"/>
      <c r="LJD47" s="44"/>
      <c r="LJE47" s="44"/>
      <c r="LJF47" s="44"/>
      <c r="LJG47" s="44"/>
      <c r="LJH47" s="44"/>
      <c r="LJI47" s="44"/>
      <c r="LJJ47" s="44"/>
      <c r="LJK47" s="44"/>
      <c r="LJL47" s="44"/>
      <c r="LJM47" s="44"/>
      <c r="LJN47" s="44"/>
      <c r="LJO47" s="44"/>
      <c r="LJP47" s="44"/>
      <c r="LJQ47" s="44"/>
      <c r="LJR47" s="44"/>
      <c r="LJS47" s="44"/>
      <c r="LJT47" s="44"/>
      <c r="LJU47" s="44"/>
      <c r="LJV47" s="44"/>
      <c r="LJW47" s="44"/>
      <c r="LJX47" s="44"/>
      <c r="LJY47" s="44"/>
      <c r="LJZ47" s="44"/>
      <c r="LKA47" s="44"/>
      <c r="LKB47" s="44"/>
      <c r="LKC47" s="44"/>
      <c r="LKD47" s="44"/>
      <c r="LKE47" s="44"/>
      <c r="LKF47" s="44"/>
      <c r="LKG47" s="44"/>
      <c r="LKH47" s="44"/>
      <c r="LKI47" s="44"/>
      <c r="LKJ47" s="44"/>
      <c r="LKK47" s="44"/>
      <c r="LKL47" s="44"/>
      <c r="LKM47" s="44"/>
      <c r="LKN47" s="44"/>
      <c r="LKO47" s="44"/>
      <c r="LKP47" s="44"/>
      <c r="LKQ47" s="44"/>
      <c r="LKR47" s="44"/>
      <c r="LKS47" s="44"/>
      <c r="LKT47" s="44"/>
      <c r="LKU47" s="44"/>
      <c r="LKV47" s="44"/>
      <c r="LKW47" s="44"/>
      <c r="LKX47" s="44"/>
      <c r="LKY47" s="44"/>
      <c r="LKZ47" s="44"/>
      <c r="LLA47" s="44"/>
      <c r="LLB47" s="44"/>
      <c r="LLC47" s="44"/>
      <c r="LLD47" s="44"/>
      <c r="LLE47" s="44"/>
      <c r="LLF47" s="44"/>
      <c r="LLG47" s="44"/>
      <c r="LLH47" s="44"/>
      <c r="LLI47" s="44"/>
      <c r="LLJ47" s="44"/>
      <c r="LLK47" s="44"/>
      <c r="LLL47" s="44"/>
      <c r="LLM47" s="44"/>
      <c r="LLN47" s="44"/>
      <c r="LLO47" s="44"/>
      <c r="LLP47" s="44"/>
      <c r="LLQ47" s="44"/>
      <c r="LLR47" s="44"/>
      <c r="LLS47" s="44"/>
      <c r="LLT47" s="44"/>
      <c r="LLU47" s="44"/>
      <c r="LLV47" s="44"/>
      <c r="LLW47" s="44"/>
      <c r="LLX47" s="44"/>
      <c r="LLY47" s="44"/>
      <c r="LLZ47" s="44"/>
      <c r="LMA47" s="44"/>
      <c r="LMB47" s="44"/>
      <c r="LMC47" s="44"/>
      <c r="LMD47" s="44"/>
      <c r="LME47" s="44"/>
      <c r="LMF47" s="44"/>
      <c r="LMG47" s="44"/>
      <c r="LMH47" s="44"/>
      <c r="LMI47" s="44"/>
      <c r="LMJ47" s="44"/>
      <c r="LMK47" s="44"/>
      <c r="LML47" s="44"/>
      <c r="LMM47" s="44"/>
      <c r="LMN47" s="44"/>
      <c r="LMO47" s="44"/>
      <c r="LMP47" s="44"/>
      <c r="LMQ47" s="44"/>
      <c r="LMR47" s="44"/>
      <c r="LMS47" s="44"/>
      <c r="LMT47" s="44"/>
      <c r="LMU47" s="44"/>
      <c r="LMV47" s="44"/>
      <c r="LMW47" s="44"/>
      <c r="LMX47" s="44"/>
      <c r="LMY47" s="44"/>
      <c r="LMZ47" s="44"/>
      <c r="LNA47" s="44"/>
      <c r="LNB47" s="44"/>
      <c r="LNC47" s="44"/>
      <c r="LND47" s="44"/>
      <c r="LNE47" s="44"/>
      <c r="LNF47" s="44"/>
      <c r="LNG47" s="44"/>
      <c r="LNH47" s="44"/>
      <c r="LNI47" s="44"/>
      <c r="LNJ47" s="44"/>
      <c r="LNK47" s="44"/>
      <c r="LNL47" s="44"/>
      <c r="LNM47" s="44"/>
      <c r="LNN47" s="44"/>
      <c r="LNO47" s="44"/>
      <c r="LNP47" s="44"/>
      <c r="LNQ47" s="44"/>
      <c r="LNR47" s="44"/>
      <c r="LNS47" s="44"/>
      <c r="LNT47" s="44"/>
      <c r="LNU47" s="44"/>
      <c r="LNV47" s="44"/>
      <c r="LNW47" s="44"/>
      <c r="LNX47" s="44"/>
      <c r="LNY47" s="44"/>
      <c r="LNZ47" s="44"/>
      <c r="LOA47" s="44"/>
      <c r="LOB47" s="44"/>
      <c r="LOC47" s="44"/>
      <c r="LOD47" s="44"/>
      <c r="LOE47" s="44"/>
      <c r="LOF47" s="44"/>
      <c r="LOG47" s="44"/>
      <c r="LOH47" s="44"/>
      <c r="LOI47" s="44"/>
      <c r="LOJ47" s="44"/>
      <c r="LOK47" s="44"/>
      <c r="LOL47" s="44"/>
      <c r="LOM47" s="44"/>
      <c r="LON47" s="44"/>
      <c r="LOO47" s="44"/>
      <c r="LOP47" s="44"/>
      <c r="LOQ47" s="44"/>
      <c r="LOR47" s="44"/>
      <c r="LOS47" s="44"/>
      <c r="LOT47" s="44"/>
      <c r="LOU47" s="44"/>
      <c r="LOV47" s="44"/>
      <c r="LOW47" s="44"/>
      <c r="LOX47" s="44"/>
      <c r="LOY47" s="44"/>
      <c r="LOZ47" s="44"/>
      <c r="LPA47" s="44"/>
      <c r="LPB47" s="44"/>
      <c r="LPC47" s="44"/>
      <c r="LPD47" s="44"/>
      <c r="LPE47" s="44"/>
      <c r="LPF47" s="44"/>
      <c r="LPG47" s="44"/>
      <c r="LPH47" s="44"/>
      <c r="LPI47" s="44"/>
      <c r="LPJ47" s="44"/>
      <c r="LPK47" s="44"/>
      <c r="LPL47" s="44"/>
      <c r="LPM47" s="44"/>
      <c r="LPN47" s="44"/>
      <c r="LPO47" s="44"/>
      <c r="LPP47" s="44"/>
      <c r="LPQ47" s="44"/>
      <c r="LPR47" s="44"/>
      <c r="LPS47" s="44"/>
      <c r="LPT47" s="44"/>
      <c r="LPU47" s="44"/>
      <c r="LPV47" s="44"/>
      <c r="LPW47" s="44"/>
      <c r="LPX47" s="44"/>
      <c r="LPY47" s="44"/>
      <c r="LPZ47" s="44"/>
      <c r="LQA47" s="44"/>
      <c r="LQB47" s="44"/>
      <c r="LQC47" s="44"/>
      <c r="LQD47" s="44"/>
      <c r="LQE47" s="44"/>
      <c r="LQF47" s="44"/>
      <c r="LQG47" s="44"/>
      <c r="LQH47" s="44"/>
      <c r="LQI47" s="44"/>
      <c r="LQJ47" s="44"/>
      <c r="LQK47" s="44"/>
      <c r="LQL47" s="44"/>
      <c r="LQM47" s="44"/>
      <c r="LQN47" s="44"/>
      <c r="LQO47" s="44"/>
      <c r="LQP47" s="44"/>
      <c r="LQQ47" s="44"/>
      <c r="LQR47" s="44"/>
      <c r="LQS47" s="44"/>
      <c r="LQT47" s="44"/>
      <c r="LQU47" s="44"/>
      <c r="LQV47" s="44"/>
      <c r="LQW47" s="44"/>
      <c r="LQX47" s="44"/>
      <c r="LQY47" s="44"/>
      <c r="LQZ47" s="44"/>
      <c r="LRA47" s="44"/>
      <c r="LRB47" s="44"/>
      <c r="LRC47" s="44"/>
      <c r="LRD47" s="44"/>
      <c r="LRE47" s="44"/>
      <c r="LRF47" s="44"/>
      <c r="LRG47" s="44"/>
      <c r="LRH47" s="44"/>
      <c r="LRI47" s="44"/>
      <c r="LRJ47" s="44"/>
      <c r="LRK47" s="44"/>
      <c r="LRL47" s="44"/>
      <c r="LRM47" s="44"/>
      <c r="LRN47" s="44"/>
      <c r="LRO47" s="44"/>
      <c r="LRP47" s="44"/>
      <c r="LRQ47" s="44"/>
      <c r="LRR47" s="44"/>
      <c r="LRS47" s="44"/>
      <c r="LRT47" s="44"/>
      <c r="LRU47" s="44"/>
      <c r="LRV47" s="44"/>
      <c r="LRW47" s="44"/>
      <c r="LRX47" s="44"/>
      <c r="LRY47" s="44"/>
      <c r="LRZ47" s="44"/>
      <c r="LSA47" s="44"/>
      <c r="LSB47" s="44"/>
      <c r="LSC47" s="44"/>
      <c r="LSD47" s="44"/>
      <c r="LSE47" s="44"/>
      <c r="LSF47" s="44"/>
      <c r="LSG47" s="44"/>
      <c r="LSH47" s="44"/>
      <c r="LSI47" s="44"/>
      <c r="LSJ47" s="44"/>
      <c r="LSK47" s="44"/>
      <c r="LSL47" s="44"/>
      <c r="LSM47" s="44"/>
      <c r="LSN47" s="44"/>
      <c r="LSO47" s="44"/>
      <c r="LSP47" s="44"/>
      <c r="LSQ47" s="44"/>
      <c r="LSR47" s="44"/>
      <c r="LSS47" s="44"/>
      <c r="LST47" s="44"/>
      <c r="LSU47" s="44"/>
      <c r="LSV47" s="44"/>
      <c r="LSW47" s="44"/>
      <c r="LSX47" s="44"/>
      <c r="LSY47" s="44"/>
      <c r="LSZ47" s="44"/>
      <c r="LTA47" s="44"/>
      <c r="LTB47" s="44"/>
      <c r="LTC47" s="44"/>
      <c r="LTD47" s="44"/>
      <c r="LTE47" s="44"/>
      <c r="LTF47" s="44"/>
      <c r="LTG47" s="44"/>
      <c r="LTH47" s="44"/>
      <c r="LTI47" s="44"/>
      <c r="LTJ47" s="44"/>
      <c r="LTK47" s="44"/>
      <c r="LTL47" s="44"/>
      <c r="LTM47" s="44"/>
      <c r="LTN47" s="44"/>
      <c r="LTO47" s="44"/>
      <c r="LTP47" s="44"/>
      <c r="LTQ47" s="44"/>
      <c r="LTR47" s="44"/>
      <c r="LTS47" s="44"/>
      <c r="LTT47" s="44"/>
      <c r="LTU47" s="44"/>
      <c r="LTV47" s="44"/>
      <c r="LTW47" s="44"/>
      <c r="LTX47" s="44"/>
      <c r="LTY47" s="44"/>
      <c r="LTZ47" s="44"/>
      <c r="LUA47" s="44"/>
      <c r="LUB47" s="44"/>
      <c r="LUC47" s="44"/>
      <c r="LUD47" s="44"/>
      <c r="LUE47" s="44"/>
      <c r="LUF47" s="44"/>
      <c r="LUG47" s="44"/>
      <c r="LUH47" s="44"/>
      <c r="LUI47" s="44"/>
      <c r="LUJ47" s="44"/>
      <c r="LUK47" s="44"/>
      <c r="LUL47" s="44"/>
      <c r="LUM47" s="44"/>
      <c r="LUN47" s="44"/>
      <c r="LUO47" s="44"/>
      <c r="LUP47" s="44"/>
      <c r="LUQ47" s="44"/>
      <c r="LUR47" s="44"/>
      <c r="LUS47" s="44"/>
      <c r="LUT47" s="44"/>
      <c r="LUU47" s="44"/>
      <c r="LUV47" s="44"/>
      <c r="LUW47" s="44"/>
      <c r="LUX47" s="44"/>
      <c r="LUY47" s="44"/>
      <c r="LUZ47" s="44"/>
      <c r="LVA47" s="44"/>
      <c r="LVB47" s="44"/>
      <c r="LVC47" s="44"/>
      <c r="LVD47" s="44"/>
      <c r="LVE47" s="44"/>
      <c r="LVF47" s="44"/>
      <c r="LVG47" s="44"/>
      <c r="LVH47" s="44"/>
      <c r="LVI47" s="44"/>
      <c r="LVJ47" s="44"/>
      <c r="LVK47" s="44"/>
      <c r="LVL47" s="44"/>
      <c r="LVM47" s="44"/>
      <c r="LVN47" s="44"/>
      <c r="LVO47" s="44"/>
      <c r="LVP47" s="44"/>
      <c r="LVQ47" s="44"/>
      <c r="LVR47" s="44"/>
      <c r="LVS47" s="44"/>
      <c r="LVT47" s="44"/>
      <c r="LVU47" s="44"/>
      <c r="LVV47" s="44"/>
      <c r="LVW47" s="44"/>
      <c r="LVX47" s="44"/>
      <c r="LVY47" s="44"/>
      <c r="LVZ47" s="44"/>
      <c r="LWA47" s="44"/>
      <c r="LWB47" s="44"/>
      <c r="LWC47" s="44"/>
      <c r="LWD47" s="44"/>
      <c r="LWE47" s="44"/>
      <c r="LWF47" s="44"/>
      <c r="LWG47" s="44"/>
      <c r="LWH47" s="44"/>
      <c r="LWI47" s="44"/>
      <c r="LWJ47" s="44"/>
      <c r="LWK47" s="44"/>
      <c r="LWL47" s="44"/>
      <c r="LWM47" s="44"/>
      <c r="LWN47" s="44"/>
      <c r="LWO47" s="44"/>
      <c r="LWP47" s="44"/>
      <c r="LWQ47" s="44"/>
      <c r="LWR47" s="44"/>
      <c r="LWS47" s="44"/>
      <c r="LWT47" s="44"/>
      <c r="LWU47" s="44"/>
      <c r="LWV47" s="44"/>
      <c r="LWW47" s="44"/>
      <c r="LWX47" s="44"/>
      <c r="LWY47" s="44"/>
      <c r="LWZ47" s="44"/>
      <c r="LXA47" s="44"/>
      <c r="LXB47" s="44"/>
      <c r="LXC47" s="44"/>
      <c r="LXD47" s="44"/>
      <c r="LXE47" s="44"/>
      <c r="LXF47" s="44"/>
      <c r="LXG47" s="44"/>
      <c r="LXH47" s="44"/>
      <c r="LXI47" s="44"/>
      <c r="LXJ47" s="44"/>
      <c r="LXK47" s="44"/>
      <c r="LXL47" s="44"/>
      <c r="LXM47" s="44"/>
      <c r="LXN47" s="44"/>
      <c r="LXO47" s="44"/>
      <c r="LXP47" s="44"/>
      <c r="LXQ47" s="44"/>
      <c r="LXR47" s="44"/>
      <c r="LXS47" s="44"/>
      <c r="LXT47" s="44"/>
      <c r="LXU47" s="44"/>
      <c r="LXV47" s="44"/>
      <c r="LXW47" s="44"/>
      <c r="LXX47" s="44"/>
      <c r="LXY47" s="44"/>
      <c r="LXZ47" s="44"/>
      <c r="LYA47" s="44"/>
      <c r="LYB47" s="44"/>
      <c r="LYC47" s="44"/>
      <c r="LYD47" s="44"/>
      <c r="LYE47" s="44"/>
      <c r="LYF47" s="44"/>
      <c r="LYG47" s="44"/>
      <c r="LYH47" s="44"/>
      <c r="LYI47" s="44"/>
      <c r="LYJ47" s="44"/>
      <c r="LYK47" s="44"/>
      <c r="LYL47" s="44"/>
      <c r="LYM47" s="44"/>
      <c r="LYN47" s="44"/>
      <c r="LYO47" s="44"/>
      <c r="LYP47" s="44"/>
      <c r="LYQ47" s="44"/>
      <c r="LYR47" s="44"/>
      <c r="LYS47" s="44"/>
      <c r="LYT47" s="44"/>
      <c r="LYU47" s="44"/>
      <c r="LYV47" s="44"/>
      <c r="LYW47" s="44"/>
      <c r="LYX47" s="44"/>
      <c r="LYY47" s="44"/>
      <c r="LYZ47" s="44"/>
      <c r="LZA47" s="44"/>
      <c r="LZB47" s="44"/>
      <c r="LZC47" s="44"/>
      <c r="LZD47" s="44"/>
      <c r="LZE47" s="44"/>
      <c r="LZF47" s="44"/>
      <c r="LZG47" s="44"/>
      <c r="LZH47" s="44"/>
      <c r="LZI47" s="44"/>
      <c r="LZJ47" s="44"/>
      <c r="LZK47" s="44"/>
      <c r="LZL47" s="44"/>
      <c r="LZM47" s="44"/>
      <c r="LZN47" s="44"/>
      <c r="LZO47" s="44"/>
      <c r="LZP47" s="44"/>
      <c r="LZQ47" s="44"/>
      <c r="LZR47" s="44"/>
      <c r="LZS47" s="44"/>
      <c r="LZT47" s="44"/>
      <c r="LZU47" s="44"/>
      <c r="LZV47" s="44"/>
      <c r="LZW47" s="44"/>
      <c r="LZX47" s="44"/>
      <c r="LZY47" s="44"/>
      <c r="LZZ47" s="44"/>
      <c r="MAA47" s="44"/>
      <c r="MAB47" s="44"/>
      <c r="MAC47" s="44"/>
      <c r="MAD47" s="44"/>
      <c r="MAE47" s="44"/>
      <c r="MAF47" s="44"/>
      <c r="MAG47" s="44"/>
      <c r="MAH47" s="44"/>
      <c r="MAI47" s="44"/>
      <c r="MAJ47" s="44"/>
      <c r="MAK47" s="44"/>
      <c r="MAL47" s="44"/>
      <c r="MAM47" s="44"/>
      <c r="MAN47" s="44"/>
      <c r="MAO47" s="44"/>
      <c r="MAP47" s="44"/>
      <c r="MAQ47" s="44"/>
      <c r="MAR47" s="44"/>
      <c r="MAS47" s="44"/>
      <c r="MAT47" s="44"/>
      <c r="MAU47" s="44"/>
      <c r="MAV47" s="44"/>
      <c r="MAW47" s="44"/>
      <c r="MAX47" s="44"/>
      <c r="MAY47" s="44"/>
      <c r="MAZ47" s="44"/>
      <c r="MBA47" s="44"/>
      <c r="MBB47" s="44"/>
      <c r="MBC47" s="44"/>
      <c r="MBD47" s="44"/>
      <c r="MBE47" s="44"/>
      <c r="MBF47" s="44"/>
      <c r="MBG47" s="44"/>
      <c r="MBH47" s="44"/>
      <c r="MBI47" s="44"/>
      <c r="MBJ47" s="44"/>
      <c r="MBK47" s="44"/>
      <c r="MBL47" s="44"/>
      <c r="MBM47" s="44"/>
      <c r="MBN47" s="44"/>
      <c r="MBO47" s="44"/>
      <c r="MBP47" s="44"/>
      <c r="MBQ47" s="44"/>
      <c r="MBR47" s="44"/>
      <c r="MBS47" s="44"/>
      <c r="MBT47" s="44"/>
      <c r="MBU47" s="44"/>
      <c r="MBV47" s="44"/>
      <c r="MBW47" s="44"/>
      <c r="MBX47" s="44"/>
      <c r="MBY47" s="44"/>
      <c r="MBZ47" s="44"/>
      <c r="MCA47" s="44"/>
      <c r="MCB47" s="44"/>
      <c r="MCC47" s="44"/>
      <c r="MCD47" s="44"/>
      <c r="MCE47" s="44"/>
      <c r="MCF47" s="44"/>
      <c r="MCG47" s="44"/>
      <c r="MCH47" s="44"/>
      <c r="MCI47" s="44"/>
      <c r="MCJ47" s="44"/>
      <c r="MCK47" s="44"/>
      <c r="MCL47" s="44"/>
      <c r="MCM47" s="44"/>
      <c r="MCN47" s="44"/>
      <c r="MCO47" s="44"/>
      <c r="MCP47" s="44"/>
      <c r="MCQ47" s="44"/>
      <c r="MCR47" s="44"/>
      <c r="MCS47" s="44"/>
      <c r="MCT47" s="44"/>
      <c r="MCU47" s="44"/>
      <c r="MCV47" s="44"/>
      <c r="MCW47" s="44"/>
      <c r="MCX47" s="44"/>
      <c r="MCY47" s="44"/>
      <c r="MCZ47" s="44"/>
      <c r="MDA47" s="44"/>
      <c r="MDB47" s="44"/>
      <c r="MDC47" s="44"/>
      <c r="MDD47" s="44"/>
      <c r="MDE47" s="44"/>
      <c r="MDF47" s="44"/>
      <c r="MDG47" s="44"/>
      <c r="MDH47" s="44"/>
      <c r="MDI47" s="44"/>
      <c r="MDJ47" s="44"/>
      <c r="MDK47" s="44"/>
      <c r="MDL47" s="44"/>
      <c r="MDM47" s="44"/>
      <c r="MDN47" s="44"/>
      <c r="MDO47" s="44"/>
      <c r="MDP47" s="44"/>
      <c r="MDQ47" s="44"/>
      <c r="MDR47" s="44"/>
      <c r="MDS47" s="44"/>
      <c r="MDT47" s="44"/>
      <c r="MDU47" s="44"/>
      <c r="MDV47" s="44"/>
      <c r="MDW47" s="44"/>
      <c r="MDX47" s="44"/>
      <c r="MDY47" s="44"/>
      <c r="MDZ47" s="44"/>
      <c r="MEA47" s="44"/>
      <c r="MEB47" s="44"/>
      <c r="MEC47" s="44"/>
      <c r="MED47" s="44"/>
      <c r="MEE47" s="44"/>
      <c r="MEF47" s="44"/>
      <c r="MEG47" s="44"/>
      <c r="MEH47" s="44"/>
      <c r="MEI47" s="44"/>
      <c r="MEJ47" s="44"/>
      <c r="MEK47" s="44"/>
      <c r="MEL47" s="44"/>
      <c r="MEM47" s="44"/>
      <c r="MEN47" s="44"/>
      <c r="MEO47" s="44"/>
      <c r="MEP47" s="44"/>
      <c r="MEQ47" s="44"/>
      <c r="MER47" s="44"/>
      <c r="MES47" s="44"/>
      <c r="MET47" s="44"/>
      <c r="MEU47" s="44"/>
      <c r="MEV47" s="44"/>
      <c r="MEW47" s="44"/>
      <c r="MEX47" s="44"/>
      <c r="MEY47" s="44"/>
      <c r="MEZ47" s="44"/>
      <c r="MFA47" s="44"/>
      <c r="MFB47" s="44"/>
      <c r="MFC47" s="44"/>
      <c r="MFD47" s="44"/>
      <c r="MFE47" s="44"/>
      <c r="MFF47" s="44"/>
      <c r="MFG47" s="44"/>
      <c r="MFH47" s="44"/>
      <c r="MFI47" s="44"/>
      <c r="MFJ47" s="44"/>
      <c r="MFK47" s="44"/>
      <c r="MFL47" s="44"/>
      <c r="MFM47" s="44"/>
      <c r="MFN47" s="44"/>
      <c r="MFO47" s="44"/>
      <c r="MFP47" s="44"/>
      <c r="MFQ47" s="44"/>
      <c r="MFR47" s="44"/>
      <c r="MFS47" s="44"/>
      <c r="MFT47" s="44"/>
      <c r="MFU47" s="44"/>
      <c r="MFV47" s="44"/>
      <c r="MFW47" s="44"/>
      <c r="MFX47" s="44"/>
      <c r="MFY47" s="44"/>
      <c r="MFZ47" s="44"/>
      <c r="MGA47" s="44"/>
      <c r="MGB47" s="44"/>
      <c r="MGC47" s="44"/>
      <c r="MGD47" s="44"/>
      <c r="MGE47" s="44"/>
      <c r="MGF47" s="44"/>
      <c r="MGG47" s="44"/>
      <c r="MGH47" s="44"/>
      <c r="MGI47" s="44"/>
      <c r="MGJ47" s="44"/>
      <c r="MGK47" s="44"/>
      <c r="MGL47" s="44"/>
      <c r="MGM47" s="44"/>
      <c r="MGN47" s="44"/>
      <c r="MGO47" s="44"/>
      <c r="MGP47" s="44"/>
      <c r="MGQ47" s="44"/>
      <c r="MGR47" s="44"/>
      <c r="MGS47" s="44"/>
      <c r="MGT47" s="44"/>
      <c r="MGU47" s="44"/>
      <c r="MGV47" s="44"/>
      <c r="MGW47" s="44"/>
      <c r="MGX47" s="44"/>
      <c r="MGY47" s="44"/>
      <c r="MGZ47" s="44"/>
      <c r="MHA47" s="44"/>
      <c r="MHB47" s="44"/>
      <c r="MHC47" s="44"/>
      <c r="MHD47" s="44"/>
      <c r="MHE47" s="44"/>
      <c r="MHF47" s="44"/>
      <c r="MHG47" s="44"/>
      <c r="MHH47" s="44"/>
      <c r="MHI47" s="44"/>
      <c r="MHJ47" s="44"/>
      <c r="MHK47" s="44"/>
      <c r="MHL47" s="44"/>
      <c r="MHM47" s="44"/>
      <c r="MHN47" s="44"/>
      <c r="MHO47" s="44"/>
      <c r="MHP47" s="44"/>
      <c r="MHQ47" s="44"/>
      <c r="MHR47" s="44"/>
      <c r="MHS47" s="44"/>
      <c r="MHT47" s="44"/>
      <c r="MHU47" s="44"/>
      <c r="MHV47" s="44"/>
      <c r="MHW47" s="44"/>
      <c r="MHX47" s="44"/>
      <c r="MHY47" s="44"/>
      <c r="MHZ47" s="44"/>
      <c r="MIA47" s="44"/>
      <c r="MIB47" s="44"/>
      <c r="MIC47" s="44"/>
      <c r="MID47" s="44"/>
      <c r="MIE47" s="44"/>
      <c r="MIF47" s="44"/>
      <c r="MIG47" s="44"/>
      <c r="MIH47" s="44"/>
      <c r="MII47" s="44"/>
      <c r="MIJ47" s="44"/>
      <c r="MIK47" s="44"/>
      <c r="MIL47" s="44"/>
      <c r="MIM47" s="44"/>
      <c r="MIN47" s="44"/>
      <c r="MIO47" s="44"/>
      <c r="MIP47" s="44"/>
      <c r="MIQ47" s="44"/>
      <c r="MIR47" s="44"/>
      <c r="MIS47" s="44"/>
      <c r="MIT47" s="44"/>
      <c r="MIU47" s="44"/>
      <c r="MIV47" s="44"/>
      <c r="MIW47" s="44"/>
      <c r="MIX47" s="44"/>
      <c r="MIY47" s="44"/>
      <c r="MIZ47" s="44"/>
      <c r="MJA47" s="44"/>
      <c r="MJB47" s="44"/>
      <c r="MJC47" s="44"/>
      <c r="MJD47" s="44"/>
      <c r="MJE47" s="44"/>
      <c r="MJF47" s="44"/>
      <c r="MJG47" s="44"/>
      <c r="MJH47" s="44"/>
      <c r="MJI47" s="44"/>
      <c r="MJJ47" s="44"/>
      <c r="MJK47" s="44"/>
      <c r="MJL47" s="44"/>
      <c r="MJM47" s="44"/>
      <c r="MJN47" s="44"/>
      <c r="MJO47" s="44"/>
      <c r="MJP47" s="44"/>
      <c r="MJQ47" s="44"/>
      <c r="MJR47" s="44"/>
      <c r="MJS47" s="44"/>
      <c r="MJT47" s="44"/>
      <c r="MJU47" s="44"/>
      <c r="MJV47" s="44"/>
      <c r="MJW47" s="44"/>
      <c r="MJX47" s="44"/>
      <c r="MJY47" s="44"/>
      <c r="MJZ47" s="44"/>
      <c r="MKA47" s="44"/>
      <c r="MKB47" s="44"/>
      <c r="MKC47" s="44"/>
      <c r="MKD47" s="44"/>
      <c r="MKE47" s="44"/>
      <c r="MKF47" s="44"/>
      <c r="MKG47" s="44"/>
      <c r="MKH47" s="44"/>
      <c r="MKI47" s="44"/>
      <c r="MKJ47" s="44"/>
      <c r="MKK47" s="44"/>
      <c r="MKL47" s="44"/>
      <c r="MKM47" s="44"/>
      <c r="MKN47" s="44"/>
      <c r="MKO47" s="44"/>
      <c r="MKP47" s="44"/>
      <c r="MKQ47" s="44"/>
      <c r="MKR47" s="44"/>
      <c r="MKS47" s="44"/>
      <c r="MKT47" s="44"/>
      <c r="MKU47" s="44"/>
      <c r="MKV47" s="44"/>
      <c r="MKW47" s="44"/>
      <c r="MKX47" s="44"/>
      <c r="MKY47" s="44"/>
      <c r="MKZ47" s="44"/>
      <c r="MLA47" s="44"/>
      <c r="MLB47" s="44"/>
      <c r="MLC47" s="44"/>
      <c r="MLD47" s="44"/>
      <c r="MLE47" s="44"/>
      <c r="MLF47" s="44"/>
      <c r="MLG47" s="44"/>
      <c r="MLH47" s="44"/>
      <c r="MLI47" s="44"/>
      <c r="MLJ47" s="44"/>
      <c r="MLK47" s="44"/>
      <c r="MLL47" s="44"/>
      <c r="MLM47" s="44"/>
      <c r="MLN47" s="44"/>
      <c r="MLO47" s="44"/>
      <c r="MLP47" s="44"/>
      <c r="MLQ47" s="44"/>
      <c r="MLR47" s="44"/>
      <c r="MLS47" s="44"/>
      <c r="MLT47" s="44"/>
      <c r="MLU47" s="44"/>
      <c r="MLV47" s="44"/>
      <c r="MLW47" s="44"/>
      <c r="MLX47" s="44"/>
      <c r="MLY47" s="44"/>
      <c r="MLZ47" s="44"/>
      <c r="MMA47" s="44"/>
      <c r="MMB47" s="44"/>
      <c r="MMC47" s="44"/>
      <c r="MMD47" s="44"/>
      <c r="MME47" s="44"/>
      <c r="MMF47" s="44"/>
      <c r="MMG47" s="44"/>
      <c r="MMH47" s="44"/>
      <c r="MMI47" s="44"/>
      <c r="MMJ47" s="44"/>
      <c r="MMK47" s="44"/>
      <c r="MML47" s="44"/>
      <c r="MMM47" s="44"/>
      <c r="MMN47" s="44"/>
      <c r="MMO47" s="44"/>
      <c r="MMP47" s="44"/>
      <c r="MMQ47" s="44"/>
      <c r="MMR47" s="44"/>
      <c r="MMS47" s="44"/>
      <c r="MMT47" s="44"/>
      <c r="MMU47" s="44"/>
      <c r="MMV47" s="44"/>
      <c r="MMW47" s="44"/>
      <c r="MMX47" s="44"/>
      <c r="MMY47" s="44"/>
      <c r="MMZ47" s="44"/>
      <c r="MNA47" s="44"/>
      <c r="MNB47" s="44"/>
      <c r="MNC47" s="44"/>
      <c r="MND47" s="44"/>
      <c r="MNE47" s="44"/>
      <c r="MNF47" s="44"/>
      <c r="MNG47" s="44"/>
      <c r="MNH47" s="44"/>
      <c r="MNI47" s="44"/>
      <c r="MNJ47" s="44"/>
      <c r="MNK47" s="44"/>
      <c r="MNL47" s="44"/>
      <c r="MNM47" s="44"/>
      <c r="MNN47" s="44"/>
      <c r="MNO47" s="44"/>
      <c r="MNP47" s="44"/>
      <c r="MNQ47" s="44"/>
      <c r="MNR47" s="44"/>
      <c r="MNS47" s="44"/>
      <c r="MNT47" s="44"/>
      <c r="MNU47" s="44"/>
      <c r="MNV47" s="44"/>
      <c r="MNW47" s="44"/>
      <c r="MNX47" s="44"/>
      <c r="MNY47" s="44"/>
      <c r="MNZ47" s="44"/>
      <c r="MOA47" s="44"/>
      <c r="MOB47" s="44"/>
      <c r="MOC47" s="44"/>
      <c r="MOD47" s="44"/>
      <c r="MOE47" s="44"/>
      <c r="MOF47" s="44"/>
      <c r="MOG47" s="44"/>
      <c r="MOH47" s="44"/>
      <c r="MOI47" s="44"/>
      <c r="MOJ47" s="44"/>
      <c r="MOK47" s="44"/>
      <c r="MOL47" s="44"/>
      <c r="MOM47" s="44"/>
      <c r="MON47" s="44"/>
      <c r="MOO47" s="44"/>
      <c r="MOP47" s="44"/>
      <c r="MOQ47" s="44"/>
      <c r="MOR47" s="44"/>
      <c r="MOS47" s="44"/>
      <c r="MOT47" s="44"/>
      <c r="MOU47" s="44"/>
      <c r="MOV47" s="44"/>
      <c r="MOW47" s="44"/>
      <c r="MOX47" s="44"/>
      <c r="MOY47" s="44"/>
      <c r="MOZ47" s="44"/>
      <c r="MPA47" s="44"/>
      <c r="MPB47" s="44"/>
      <c r="MPC47" s="44"/>
      <c r="MPD47" s="44"/>
      <c r="MPE47" s="44"/>
      <c r="MPF47" s="44"/>
      <c r="MPG47" s="44"/>
      <c r="MPH47" s="44"/>
      <c r="MPI47" s="44"/>
      <c r="MPJ47" s="44"/>
      <c r="MPK47" s="44"/>
      <c r="MPL47" s="44"/>
      <c r="MPM47" s="44"/>
      <c r="MPN47" s="44"/>
      <c r="MPO47" s="44"/>
      <c r="MPP47" s="44"/>
      <c r="MPQ47" s="44"/>
      <c r="MPR47" s="44"/>
      <c r="MPS47" s="44"/>
      <c r="MPT47" s="44"/>
      <c r="MPU47" s="44"/>
      <c r="MPV47" s="44"/>
      <c r="MPW47" s="44"/>
      <c r="MPX47" s="44"/>
      <c r="MPY47" s="44"/>
      <c r="MPZ47" s="44"/>
      <c r="MQA47" s="44"/>
      <c r="MQB47" s="44"/>
      <c r="MQC47" s="44"/>
      <c r="MQD47" s="44"/>
      <c r="MQE47" s="44"/>
      <c r="MQF47" s="44"/>
      <c r="MQG47" s="44"/>
      <c r="MQH47" s="44"/>
      <c r="MQI47" s="44"/>
      <c r="MQJ47" s="44"/>
      <c r="MQK47" s="44"/>
      <c r="MQL47" s="44"/>
      <c r="MQM47" s="44"/>
      <c r="MQN47" s="44"/>
      <c r="MQO47" s="44"/>
      <c r="MQP47" s="44"/>
      <c r="MQQ47" s="44"/>
      <c r="MQR47" s="44"/>
      <c r="MQS47" s="44"/>
      <c r="MQT47" s="44"/>
      <c r="MQU47" s="44"/>
      <c r="MQV47" s="44"/>
      <c r="MQW47" s="44"/>
      <c r="MQX47" s="44"/>
      <c r="MQY47" s="44"/>
      <c r="MQZ47" s="44"/>
      <c r="MRA47" s="44"/>
      <c r="MRB47" s="44"/>
      <c r="MRC47" s="44"/>
      <c r="MRD47" s="44"/>
      <c r="MRE47" s="44"/>
      <c r="MRF47" s="44"/>
      <c r="MRG47" s="44"/>
      <c r="MRH47" s="44"/>
      <c r="MRI47" s="44"/>
      <c r="MRJ47" s="44"/>
      <c r="MRK47" s="44"/>
      <c r="MRL47" s="44"/>
      <c r="MRM47" s="44"/>
      <c r="MRN47" s="44"/>
      <c r="MRO47" s="44"/>
      <c r="MRP47" s="44"/>
      <c r="MRQ47" s="44"/>
      <c r="MRR47" s="44"/>
      <c r="MRS47" s="44"/>
      <c r="MRT47" s="44"/>
      <c r="MRU47" s="44"/>
      <c r="MRV47" s="44"/>
      <c r="MRW47" s="44"/>
      <c r="MRX47" s="44"/>
      <c r="MRY47" s="44"/>
      <c r="MRZ47" s="44"/>
      <c r="MSA47" s="44"/>
      <c r="MSB47" s="44"/>
      <c r="MSC47" s="44"/>
      <c r="MSD47" s="44"/>
      <c r="MSE47" s="44"/>
      <c r="MSF47" s="44"/>
      <c r="MSG47" s="44"/>
      <c r="MSH47" s="44"/>
      <c r="MSI47" s="44"/>
      <c r="MSJ47" s="44"/>
      <c r="MSK47" s="44"/>
      <c r="MSL47" s="44"/>
      <c r="MSM47" s="44"/>
      <c r="MSN47" s="44"/>
      <c r="MSO47" s="44"/>
      <c r="MSP47" s="44"/>
      <c r="MSQ47" s="44"/>
      <c r="MSR47" s="44"/>
      <c r="MSS47" s="44"/>
      <c r="MST47" s="44"/>
      <c r="MSU47" s="44"/>
      <c r="MSV47" s="44"/>
      <c r="MSW47" s="44"/>
      <c r="MSX47" s="44"/>
      <c r="MSY47" s="44"/>
      <c r="MSZ47" s="44"/>
      <c r="MTA47" s="44"/>
      <c r="MTB47" s="44"/>
      <c r="MTC47" s="44"/>
      <c r="MTD47" s="44"/>
      <c r="MTE47" s="44"/>
      <c r="MTF47" s="44"/>
      <c r="MTG47" s="44"/>
      <c r="MTH47" s="44"/>
      <c r="MTI47" s="44"/>
      <c r="MTJ47" s="44"/>
      <c r="MTK47" s="44"/>
      <c r="MTL47" s="44"/>
      <c r="MTM47" s="44"/>
      <c r="MTN47" s="44"/>
      <c r="MTO47" s="44"/>
      <c r="MTP47" s="44"/>
      <c r="MTQ47" s="44"/>
      <c r="MTR47" s="44"/>
      <c r="MTS47" s="44"/>
      <c r="MTT47" s="44"/>
      <c r="MTU47" s="44"/>
      <c r="MTV47" s="44"/>
      <c r="MTW47" s="44"/>
      <c r="MTX47" s="44"/>
      <c r="MTY47" s="44"/>
      <c r="MTZ47" s="44"/>
      <c r="MUA47" s="44"/>
      <c r="MUB47" s="44"/>
      <c r="MUC47" s="44"/>
      <c r="MUD47" s="44"/>
      <c r="MUE47" s="44"/>
      <c r="MUF47" s="44"/>
      <c r="MUG47" s="44"/>
      <c r="MUH47" s="44"/>
      <c r="MUI47" s="44"/>
      <c r="MUJ47" s="44"/>
      <c r="MUK47" s="44"/>
      <c r="MUL47" s="44"/>
      <c r="MUM47" s="44"/>
      <c r="MUN47" s="44"/>
      <c r="MUO47" s="44"/>
      <c r="MUP47" s="44"/>
      <c r="MUQ47" s="44"/>
      <c r="MUR47" s="44"/>
      <c r="MUS47" s="44"/>
      <c r="MUT47" s="44"/>
      <c r="MUU47" s="44"/>
      <c r="MUV47" s="44"/>
      <c r="MUW47" s="44"/>
      <c r="MUX47" s="44"/>
      <c r="MUY47" s="44"/>
      <c r="MUZ47" s="44"/>
      <c r="MVA47" s="44"/>
      <c r="MVB47" s="44"/>
      <c r="MVC47" s="44"/>
      <c r="MVD47" s="44"/>
      <c r="MVE47" s="44"/>
      <c r="MVF47" s="44"/>
      <c r="MVG47" s="44"/>
      <c r="MVH47" s="44"/>
      <c r="MVI47" s="44"/>
      <c r="MVJ47" s="44"/>
      <c r="MVK47" s="44"/>
      <c r="MVL47" s="44"/>
      <c r="MVM47" s="44"/>
      <c r="MVN47" s="44"/>
      <c r="MVO47" s="44"/>
      <c r="MVP47" s="44"/>
      <c r="MVQ47" s="44"/>
      <c r="MVR47" s="44"/>
      <c r="MVS47" s="44"/>
      <c r="MVT47" s="44"/>
      <c r="MVU47" s="44"/>
      <c r="MVV47" s="44"/>
      <c r="MVW47" s="44"/>
      <c r="MVX47" s="44"/>
      <c r="MVY47" s="44"/>
      <c r="MVZ47" s="44"/>
      <c r="MWA47" s="44"/>
      <c r="MWB47" s="44"/>
      <c r="MWC47" s="44"/>
      <c r="MWD47" s="44"/>
      <c r="MWE47" s="44"/>
      <c r="MWF47" s="44"/>
      <c r="MWG47" s="44"/>
      <c r="MWH47" s="44"/>
      <c r="MWI47" s="44"/>
      <c r="MWJ47" s="44"/>
      <c r="MWK47" s="44"/>
      <c r="MWL47" s="44"/>
      <c r="MWM47" s="44"/>
      <c r="MWN47" s="44"/>
      <c r="MWO47" s="44"/>
      <c r="MWP47" s="44"/>
      <c r="MWQ47" s="44"/>
      <c r="MWR47" s="44"/>
      <c r="MWS47" s="44"/>
      <c r="MWT47" s="44"/>
      <c r="MWU47" s="44"/>
      <c r="MWV47" s="44"/>
      <c r="MWW47" s="44"/>
      <c r="MWX47" s="44"/>
      <c r="MWY47" s="44"/>
      <c r="MWZ47" s="44"/>
      <c r="MXA47" s="44"/>
      <c r="MXB47" s="44"/>
      <c r="MXC47" s="44"/>
      <c r="MXD47" s="44"/>
      <c r="MXE47" s="44"/>
      <c r="MXF47" s="44"/>
      <c r="MXG47" s="44"/>
      <c r="MXH47" s="44"/>
      <c r="MXI47" s="44"/>
      <c r="MXJ47" s="44"/>
      <c r="MXK47" s="44"/>
      <c r="MXL47" s="44"/>
      <c r="MXM47" s="44"/>
      <c r="MXN47" s="44"/>
      <c r="MXO47" s="44"/>
      <c r="MXP47" s="44"/>
      <c r="MXQ47" s="44"/>
      <c r="MXR47" s="44"/>
      <c r="MXS47" s="44"/>
      <c r="MXT47" s="44"/>
      <c r="MXU47" s="44"/>
      <c r="MXV47" s="44"/>
      <c r="MXW47" s="44"/>
      <c r="MXX47" s="44"/>
      <c r="MXY47" s="44"/>
      <c r="MXZ47" s="44"/>
      <c r="MYA47" s="44"/>
      <c r="MYB47" s="44"/>
      <c r="MYC47" s="44"/>
      <c r="MYD47" s="44"/>
      <c r="MYE47" s="44"/>
      <c r="MYF47" s="44"/>
      <c r="MYG47" s="44"/>
      <c r="MYH47" s="44"/>
      <c r="MYI47" s="44"/>
      <c r="MYJ47" s="44"/>
      <c r="MYK47" s="44"/>
      <c r="MYL47" s="44"/>
      <c r="MYM47" s="44"/>
      <c r="MYN47" s="44"/>
      <c r="MYO47" s="44"/>
      <c r="MYP47" s="44"/>
      <c r="MYQ47" s="44"/>
      <c r="MYR47" s="44"/>
      <c r="MYS47" s="44"/>
      <c r="MYT47" s="44"/>
      <c r="MYU47" s="44"/>
      <c r="MYV47" s="44"/>
      <c r="MYW47" s="44"/>
      <c r="MYX47" s="44"/>
      <c r="MYY47" s="44"/>
      <c r="MYZ47" s="44"/>
      <c r="MZA47" s="44"/>
      <c r="MZB47" s="44"/>
      <c r="MZC47" s="44"/>
      <c r="MZD47" s="44"/>
      <c r="MZE47" s="44"/>
      <c r="MZF47" s="44"/>
      <c r="MZG47" s="44"/>
      <c r="MZH47" s="44"/>
      <c r="MZI47" s="44"/>
      <c r="MZJ47" s="44"/>
      <c r="MZK47" s="44"/>
      <c r="MZL47" s="44"/>
      <c r="MZM47" s="44"/>
      <c r="MZN47" s="44"/>
      <c r="MZO47" s="44"/>
      <c r="MZP47" s="44"/>
      <c r="MZQ47" s="44"/>
      <c r="MZR47" s="44"/>
      <c r="MZS47" s="44"/>
      <c r="MZT47" s="44"/>
      <c r="MZU47" s="44"/>
      <c r="MZV47" s="44"/>
      <c r="MZW47" s="44"/>
      <c r="MZX47" s="44"/>
      <c r="MZY47" s="44"/>
      <c r="MZZ47" s="44"/>
      <c r="NAA47" s="44"/>
      <c r="NAB47" s="44"/>
      <c r="NAC47" s="44"/>
      <c r="NAD47" s="44"/>
      <c r="NAE47" s="44"/>
      <c r="NAF47" s="44"/>
      <c r="NAG47" s="44"/>
      <c r="NAH47" s="44"/>
      <c r="NAI47" s="44"/>
      <c r="NAJ47" s="44"/>
      <c r="NAK47" s="44"/>
      <c r="NAL47" s="44"/>
      <c r="NAM47" s="44"/>
      <c r="NAN47" s="44"/>
      <c r="NAO47" s="44"/>
      <c r="NAP47" s="44"/>
      <c r="NAQ47" s="44"/>
      <c r="NAR47" s="44"/>
      <c r="NAS47" s="44"/>
      <c r="NAT47" s="44"/>
      <c r="NAU47" s="44"/>
      <c r="NAV47" s="44"/>
      <c r="NAW47" s="44"/>
      <c r="NAX47" s="44"/>
      <c r="NAY47" s="44"/>
      <c r="NAZ47" s="44"/>
      <c r="NBA47" s="44"/>
      <c r="NBB47" s="44"/>
      <c r="NBC47" s="44"/>
      <c r="NBD47" s="44"/>
      <c r="NBE47" s="44"/>
      <c r="NBF47" s="44"/>
      <c r="NBG47" s="44"/>
      <c r="NBH47" s="44"/>
      <c r="NBI47" s="44"/>
      <c r="NBJ47" s="44"/>
      <c r="NBK47" s="44"/>
      <c r="NBL47" s="44"/>
      <c r="NBM47" s="44"/>
      <c r="NBN47" s="44"/>
      <c r="NBO47" s="44"/>
      <c r="NBP47" s="44"/>
      <c r="NBQ47" s="44"/>
      <c r="NBR47" s="44"/>
      <c r="NBS47" s="44"/>
      <c r="NBT47" s="44"/>
      <c r="NBU47" s="44"/>
      <c r="NBV47" s="44"/>
      <c r="NBW47" s="44"/>
      <c r="NBX47" s="44"/>
      <c r="NBY47" s="44"/>
      <c r="NBZ47" s="44"/>
      <c r="NCA47" s="44"/>
      <c r="NCB47" s="44"/>
      <c r="NCC47" s="44"/>
      <c r="NCD47" s="44"/>
      <c r="NCE47" s="44"/>
      <c r="NCF47" s="44"/>
      <c r="NCG47" s="44"/>
      <c r="NCH47" s="44"/>
      <c r="NCI47" s="44"/>
      <c r="NCJ47" s="44"/>
      <c r="NCK47" s="44"/>
      <c r="NCL47" s="44"/>
      <c r="NCM47" s="44"/>
      <c r="NCN47" s="44"/>
      <c r="NCO47" s="44"/>
      <c r="NCP47" s="44"/>
      <c r="NCQ47" s="44"/>
      <c r="NCR47" s="44"/>
      <c r="NCS47" s="44"/>
      <c r="NCT47" s="44"/>
      <c r="NCU47" s="44"/>
      <c r="NCV47" s="44"/>
      <c r="NCW47" s="44"/>
      <c r="NCX47" s="44"/>
      <c r="NCY47" s="44"/>
      <c r="NCZ47" s="44"/>
      <c r="NDA47" s="44"/>
      <c r="NDB47" s="44"/>
      <c r="NDC47" s="44"/>
      <c r="NDD47" s="44"/>
      <c r="NDE47" s="44"/>
      <c r="NDF47" s="44"/>
      <c r="NDG47" s="44"/>
      <c r="NDH47" s="44"/>
      <c r="NDI47" s="44"/>
      <c r="NDJ47" s="44"/>
      <c r="NDK47" s="44"/>
      <c r="NDL47" s="44"/>
      <c r="NDM47" s="44"/>
      <c r="NDN47" s="44"/>
      <c r="NDO47" s="44"/>
      <c r="NDP47" s="44"/>
      <c r="NDQ47" s="44"/>
      <c r="NDR47" s="44"/>
      <c r="NDS47" s="44"/>
      <c r="NDT47" s="44"/>
      <c r="NDU47" s="44"/>
      <c r="NDV47" s="44"/>
      <c r="NDW47" s="44"/>
      <c r="NDX47" s="44"/>
      <c r="NDY47" s="44"/>
      <c r="NDZ47" s="44"/>
      <c r="NEA47" s="44"/>
      <c r="NEB47" s="44"/>
      <c r="NEC47" s="44"/>
      <c r="NED47" s="44"/>
      <c r="NEE47" s="44"/>
      <c r="NEF47" s="44"/>
      <c r="NEG47" s="44"/>
      <c r="NEH47" s="44"/>
      <c r="NEI47" s="44"/>
      <c r="NEJ47" s="44"/>
      <c r="NEK47" s="44"/>
      <c r="NEL47" s="44"/>
      <c r="NEM47" s="44"/>
      <c r="NEN47" s="44"/>
      <c r="NEO47" s="44"/>
      <c r="NEP47" s="44"/>
      <c r="NEQ47" s="44"/>
      <c r="NER47" s="44"/>
      <c r="NES47" s="44"/>
      <c r="NET47" s="44"/>
      <c r="NEU47" s="44"/>
      <c r="NEV47" s="44"/>
      <c r="NEW47" s="44"/>
      <c r="NEX47" s="44"/>
      <c r="NEY47" s="44"/>
      <c r="NEZ47" s="44"/>
      <c r="NFA47" s="44"/>
      <c r="NFB47" s="44"/>
      <c r="NFC47" s="44"/>
      <c r="NFD47" s="44"/>
      <c r="NFE47" s="44"/>
      <c r="NFF47" s="44"/>
      <c r="NFG47" s="44"/>
      <c r="NFH47" s="44"/>
      <c r="NFI47" s="44"/>
      <c r="NFJ47" s="44"/>
      <c r="NFK47" s="44"/>
      <c r="NFL47" s="44"/>
      <c r="NFM47" s="44"/>
      <c r="NFN47" s="44"/>
      <c r="NFO47" s="44"/>
      <c r="NFP47" s="44"/>
      <c r="NFQ47" s="44"/>
      <c r="NFR47" s="44"/>
      <c r="NFS47" s="44"/>
      <c r="NFT47" s="44"/>
      <c r="NFU47" s="44"/>
      <c r="NFV47" s="44"/>
      <c r="NFW47" s="44"/>
      <c r="NFX47" s="44"/>
      <c r="NFY47" s="44"/>
      <c r="NFZ47" s="44"/>
      <c r="NGA47" s="44"/>
      <c r="NGB47" s="44"/>
      <c r="NGC47" s="44"/>
      <c r="NGD47" s="44"/>
      <c r="NGE47" s="44"/>
      <c r="NGF47" s="44"/>
      <c r="NGG47" s="44"/>
      <c r="NGH47" s="44"/>
      <c r="NGI47" s="44"/>
      <c r="NGJ47" s="44"/>
      <c r="NGK47" s="44"/>
      <c r="NGL47" s="44"/>
      <c r="NGM47" s="44"/>
      <c r="NGN47" s="44"/>
      <c r="NGO47" s="44"/>
      <c r="NGP47" s="44"/>
      <c r="NGQ47" s="44"/>
      <c r="NGR47" s="44"/>
      <c r="NGS47" s="44"/>
      <c r="NGT47" s="44"/>
      <c r="NGU47" s="44"/>
      <c r="NGV47" s="44"/>
      <c r="NGW47" s="44"/>
      <c r="NGX47" s="44"/>
      <c r="NGY47" s="44"/>
      <c r="NGZ47" s="44"/>
      <c r="NHA47" s="44"/>
      <c r="NHB47" s="44"/>
      <c r="NHC47" s="44"/>
      <c r="NHD47" s="44"/>
      <c r="NHE47" s="44"/>
      <c r="NHF47" s="44"/>
      <c r="NHG47" s="44"/>
      <c r="NHH47" s="44"/>
      <c r="NHI47" s="44"/>
      <c r="NHJ47" s="44"/>
      <c r="NHK47" s="44"/>
      <c r="NHL47" s="44"/>
      <c r="NHM47" s="44"/>
      <c r="NHN47" s="44"/>
      <c r="NHO47" s="44"/>
      <c r="NHP47" s="44"/>
      <c r="NHQ47" s="44"/>
      <c r="NHR47" s="44"/>
      <c r="NHS47" s="44"/>
      <c r="NHT47" s="44"/>
      <c r="NHU47" s="44"/>
      <c r="NHV47" s="44"/>
      <c r="NHW47" s="44"/>
      <c r="NHX47" s="44"/>
      <c r="NHY47" s="44"/>
      <c r="NHZ47" s="44"/>
      <c r="NIA47" s="44"/>
      <c r="NIB47" s="44"/>
      <c r="NIC47" s="44"/>
      <c r="NID47" s="44"/>
      <c r="NIE47" s="44"/>
      <c r="NIF47" s="44"/>
      <c r="NIG47" s="44"/>
      <c r="NIH47" s="44"/>
      <c r="NII47" s="44"/>
      <c r="NIJ47" s="44"/>
      <c r="NIK47" s="44"/>
      <c r="NIL47" s="44"/>
      <c r="NIM47" s="44"/>
      <c r="NIN47" s="44"/>
      <c r="NIO47" s="44"/>
      <c r="NIP47" s="44"/>
      <c r="NIQ47" s="44"/>
      <c r="NIR47" s="44"/>
      <c r="NIS47" s="44"/>
      <c r="NIT47" s="44"/>
      <c r="NIU47" s="44"/>
      <c r="NIV47" s="44"/>
      <c r="NIW47" s="44"/>
      <c r="NIX47" s="44"/>
      <c r="NIY47" s="44"/>
      <c r="NIZ47" s="44"/>
      <c r="NJA47" s="44"/>
      <c r="NJB47" s="44"/>
      <c r="NJC47" s="44"/>
      <c r="NJD47" s="44"/>
      <c r="NJE47" s="44"/>
      <c r="NJF47" s="44"/>
      <c r="NJG47" s="44"/>
      <c r="NJH47" s="44"/>
      <c r="NJI47" s="44"/>
      <c r="NJJ47" s="44"/>
      <c r="NJK47" s="44"/>
      <c r="NJL47" s="44"/>
      <c r="NJM47" s="44"/>
      <c r="NJN47" s="44"/>
      <c r="NJO47" s="44"/>
      <c r="NJP47" s="44"/>
      <c r="NJQ47" s="44"/>
      <c r="NJR47" s="44"/>
      <c r="NJS47" s="44"/>
      <c r="NJT47" s="44"/>
      <c r="NJU47" s="44"/>
      <c r="NJV47" s="44"/>
      <c r="NJW47" s="44"/>
      <c r="NJX47" s="44"/>
      <c r="NJY47" s="44"/>
      <c r="NJZ47" s="44"/>
      <c r="NKA47" s="44"/>
      <c r="NKB47" s="44"/>
      <c r="NKC47" s="44"/>
      <c r="NKD47" s="44"/>
      <c r="NKE47" s="44"/>
      <c r="NKF47" s="44"/>
      <c r="NKG47" s="44"/>
      <c r="NKH47" s="44"/>
      <c r="NKI47" s="44"/>
      <c r="NKJ47" s="44"/>
      <c r="NKK47" s="44"/>
      <c r="NKL47" s="44"/>
      <c r="NKM47" s="44"/>
      <c r="NKN47" s="44"/>
      <c r="NKO47" s="44"/>
      <c r="NKP47" s="44"/>
      <c r="NKQ47" s="44"/>
      <c r="NKR47" s="44"/>
      <c r="NKS47" s="44"/>
      <c r="NKT47" s="44"/>
      <c r="NKU47" s="44"/>
      <c r="NKV47" s="44"/>
      <c r="NKW47" s="44"/>
      <c r="NKX47" s="44"/>
      <c r="NKY47" s="44"/>
      <c r="NKZ47" s="44"/>
      <c r="NLA47" s="44"/>
      <c r="NLB47" s="44"/>
      <c r="NLC47" s="44"/>
      <c r="NLD47" s="44"/>
      <c r="NLE47" s="44"/>
      <c r="NLF47" s="44"/>
      <c r="NLG47" s="44"/>
      <c r="NLH47" s="44"/>
      <c r="NLI47" s="44"/>
      <c r="NLJ47" s="44"/>
      <c r="NLK47" s="44"/>
      <c r="NLL47" s="44"/>
      <c r="NLM47" s="44"/>
      <c r="NLN47" s="44"/>
      <c r="NLO47" s="44"/>
      <c r="NLP47" s="44"/>
      <c r="NLQ47" s="44"/>
      <c r="NLR47" s="44"/>
      <c r="NLS47" s="44"/>
      <c r="NLT47" s="44"/>
      <c r="NLU47" s="44"/>
      <c r="NLV47" s="44"/>
      <c r="NLW47" s="44"/>
      <c r="NLX47" s="44"/>
      <c r="NLY47" s="44"/>
      <c r="NLZ47" s="44"/>
      <c r="NMA47" s="44"/>
      <c r="NMB47" s="44"/>
      <c r="NMC47" s="44"/>
      <c r="NMD47" s="44"/>
      <c r="NME47" s="44"/>
      <c r="NMF47" s="44"/>
      <c r="NMG47" s="44"/>
      <c r="NMH47" s="44"/>
      <c r="NMI47" s="44"/>
      <c r="NMJ47" s="44"/>
      <c r="NMK47" s="44"/>
      <c r="NML47" s="44"/>
      <c r="NMM47" s="44"/>
      <c r="NMN47" s="44"/>
      <c r="NMO47" s="44"/>
      <c r="NMP47" s="44"/>
      <c r="NMQ47" s="44"/>
      <c r="NMR47" s="44"/>
      <c r="NMS47" s="44"/>
      <c r="NMT47" s="44"/>
      <c r="NMU47" s="44"/>
      <c r="NMV47" s="44"/>
      <c r="NMW47" s="44"/>
      <c r="NMX47" s="44"/>
      <c r="NMY47" s="44"/>
      <c r="NMZ47" s="44"/>
      <c r="NNA47" s="44"/>
      <c r="NNB47" s="44"/>
      <c r="NNC47" s="44"/>
      <c r="NND47" s="44"/>
      <c r="NNE47" s="44"/>
      <c r="NNF47" s="44"/>
      <c r="NNG47" s="44"/>
      <c r="NNH47" s="44"/>
      <c r="NNI47" s="44"/>
      <c r="NNJ47" s="44"/>
      <c r="NNK47" s="44"/>
      <c r="NNL47" s="44"/>
      <c r="NNM47" s="44"/>
      <c r="NNN47" s="44"/>
      <c r="NNO47" s="44"/>
      <c r="NNP47" s="44"/>
      <c r="NNQ47" s="44"/>
      <c r="NNR47" s="44"/>
      <c r="NNS47" s="44"/>
      <c r="NNT47" s="44"/>
      <c r="NNU47" s="44"/>
      <c r="NNV47" s="44"/>
      <c r="NNW47" s="44"/>
      <c r="NNX47" s="44"/>
      <c r="NNY47" s="44"/>
      <c r="NNZ47" s="44"/>
      <c r="NOA47" s="44"/>
      <c r="NOB47" s="44"/>
      <c r="NOC47" s="44"/>
      <c r="NOD47" s="44"/>
      <c r="NOE47" s="44"/>
      <c r="NOF47" s="44"/>
      <c r="NOG47" s="44"/>
      <c r="NOH47" s="44"/>
      <c r="NOI47" s="44"/>
      <c r="NOJ47" s="44"/>
      <c r="NOK47" s="44"/>
      <c r="NOL47" s="44"/>
      <c r="NOM47" s="44"/>
      <c r="NON47" s="44"/>
      <c r="NOO47" s="44"/>
      <c r="NOP47" s="44"/>
      <c r="NOQ47" s="44"/>
      <c r="NOR47" s="44"/>
      <c r="NOS47" s="44"/>
      <c r="NOT47" s="44"/>
      <c r="NOU47" s="44"/>
      <c r="NOV47" s="44"/>
      <c r="NOW47" s="44"/>
      <c r="NOX47" s="44"/>
      <c r="NOY47" s="44"/>
      <c r="NOZ47" s="44"/>
      <c r="NPA47" s="44"/>
      <c r="NPB47" s="44"/>
      <c r="NPC47" s="44"/>
      <c r="NPD47" s="44"/>
      <c r="NPE47" s="44"/>
      <c r="NPF47" s="44"/>
      <c r="NPG47" s="44"/>
      <c r="NPH47" s="44"/>
      <c r="NPI47" s="44"/>
      <c r="NPJ47" s="44"/>
      <c r="NPK47" s="44"/>
      <c r="NPL47" s="44"/>
      <c r="NPM47" s="44"/>
      <c r="NPN47" s="44"/>
      <c r="NPO47" s="44"/>
      <c r="NPP47" s="44"/>
      <c r="NPQ47" s="44"/>
      <c r="NPR47" s="44"/>
      <c r="NPS47" s="44"/>
      <c r="NPT47" s="44"/>
      <c r="NPU47" s="44"/>
      <c r="NPV47" s="44"/>
      <c r="NPW47" s="44"/>
      <c r="NPX47" s="44"/>
      <c r="NPY47" s="44"/>
      <c r="NPZ47" s="44"/>
      <c r="NQA47" s="44"/>
      <c r="NQB47" s="44"/>
      <c r="NQC47" s="44"/>
      <c r="NQD47" s="44"/>
      <c r="NQE47" s="44"/>
      <c r="NQF47" s="44"/>
      <c r="NQG47" s="44"/>
      <c r="NQH47" s="44"/>
      <c r="NQI47" s="44"/>
      <c r="NQJ47" s="44"/>
      <c r="NQK47" s="44"/>
      <c r="NQL47" s="44"/>
      <c r="NQM47" s="44"/>
      <c r="NQN47" s="44"/>
      <c r="NQO47" s="44"/>
      <c r="NQP47" s="44"/>
      <c r="NQQ47" s="44"/>
      <c r="NQR47" s="44"/>
      <c r="NQS47" s="44"/>
      <c r="NQT47" s="44"/>
      <c r="NQU47" s="44"/>
      <c r="NQV47" s="44"/>
      <c r="NQW47" s="44"/>
      <c r="NQX47" s="44"/>
      <c r="NQY47" s="44"/>
      <c r="NQZ47" s="44"/>
      <c r="NRA47" s="44"/>
      <c r="NRB47" s="44"/>
      <c r="NRC47" s="44"/>
      <c r="NRD47" s="44"/>
      <c r="NRE47" s="44"/>
      <c r="NRF47" s="44"/>
      <c r="NRG47" s="44"/>
      <c r="NRH47" s="44"/>
      <c r="NRI47" s="44"/>
      <c r="NRJ47" s="44"/>
      <c r="NRK47" s="44"/>
      <c r="NRL47" s="44"/>
      <c r="NRM47" s="44"/>
      <c r="NRN47" s="44"/>
      <c r="NRO47" s="44"/>
      <c r="NRP47" s="44"/>
      <c r="NRQ47" s="44"/>
      <c r="NRR47" s="44"/>
      <c r="NRS47" s="44"/>
      <c r="NRT47" s="44"/>
      <c r="NRU47" s="44"/>
      <c r="NRV47" s="44"/>
      <c r="NRW47" s="44"/>
      <c r="NRX47" s="44"/>
      <c r="NRY47" s="44"/>
      <c r="NRZ47" s="44"/>
      <c r="NSA47" s="44"/>
      <c r="NSB47" s="44"/>
      <c r="NSC47" s="44"/>
      <c r="NSD47" s="44"/>
      <c r="NSE47" s="44"/>
      <c r="NSF47" s="44"/>
      <c r="NSG47" s="44"/>
      <c r="NSH47" s="44"/>
      <c r="NSI47" s="44"/>
      <c r="NSJ47" s="44"/>
      <c r="NSK47" s="44"/>
      <c r="NSL47" s="44"/>
      <c r="NSM47" s="44"/>
      <c r="NSN47" s="44"/>
      <c r="NSO47" s="44"/>
      <c r="NSP47" s="44"/>
      <c r="NSQ47" s="44"/>
      <c r="NSR47" s="44"/>
      <c r="NSS47" s="44"/>
      <c r="NST47" s="44"/>
      <c r="NSU47" s="44"/>
      <c r="NSV47" s="44"/>
      <c r="NSW47" s="44"/>
      <c r="NSX47" s="44"/>
      <c r="NSY47" s="44"/>
      <c r="NSZ47" s="44"/>
      <c r="NTA47" s="44"/>
      <c r="NTB47" s="44"/>
      <c r="NTC47" s="44"/>
      <c r="NTD47" s="44"/>
      <c r="NTE47" s="44"/>
      <c r="NTF47" s="44"/>
      <c r="NTG47" s="44"/>
      <c r="NTH47" s="44"/>
      <c r="NTI47" s="44"/>
      <c r="NTJ47" s="44"/>
      <c r="NTK47" s="44"/>
      <c r="NTL47" s="44"/>
      <c r="NTM47" s="44"/>
      <c r="NTN47" s="44"/>
      <c r="NTO47" s="44"/>
      <c r="NTP47" s="44"/>
      <c r="NTQ47" s="44"/>
      <c r="NTR47" s="44"/>
      <c r="NTS47" s="44"/>
      <c r="NTT47" s="44"/>
      <c r="NTU47" s="44"/>
      <c r="NTV47" s="44"/>
      <c r="NTW47" s="44"/>
      <c r="NTX47" s="44"/>
      <c r="NTY47" s="44"/>
      <c r="NTZ47" s="44"/>
      <c r="NUA47" s="44"/>
      <c r="NUB47" s="44"/>
      <c r="NUC47" s="44"/>
      <c r="NUD47" s="44"/>
      <c r="NUE47" s="44"/>
      <c r="NUF47" s="44"/>
      <c r="NUG47" s="44"/>
      <c r="NUH47" s="44"/>
      <c r="NUI47" s="44"/>
      <c r="NUJ47" s="44"/>
      <c r="NUK47" s="44"/>
      <c r="NUL47" s="44"/>
      <c r="NUM47" s="44"/>
      <c r="NUN47" s="44"/>
      <c r="NUO47" s="44"/>
      <c r="NUP47" s="44"/>
      <c r="NUQ47" s="44"/>
      <c r="NUR47" s="44"/>
      <c r="NUS47" s="44"/>
      <c r="NUT47" s="44"/>
      <c r="NUU47" s="44"/>
      <c r="NUV47" s="44"/>
      <c r="NUW47" s="44"/>
      <c r="NUX47" s="44"/>
      <c r="NUY47" s="44"/>
      <c r="NUZ47" s="44"/>
      <c r="NVA47" s="44"/>
      <c r="NVB47" s="44"/>
      <c r="NVC47" s="44"/>
      <c r="NVD47" s="44"/>
      <c r="NVE47" s="44"/>
      <c r="NVF47" s="44"/>
      <c r="NVG47" s="44"/>
      <c r="NVH47" s="44"/>
      <c r="NVI47" s="44"/>
      <c r="NVJ47" s="44"/>
      <c r="NVK47" s="44"/>
      <c r="NVL47" s="44"/>
      <c r="NVM47" s="44"/>
      <c r="NVN47" s="44"/>
      <c r="NVO47" s="44"/>
      <c r="NVP47" s="44"/>
      <c r="NVQ47" s="44"/>
      <c r="NVR47" s="44"/>
      <c r="NVS47" s="44"/>
      <c r="NVT47" s="44"/>
      <c r="NVU47" s="44"/>
      <c r="NVV47" s="44"/>
      <c r="NVW47" s="44"/>
      <c r="NVX47" s="44"/>
      <c r="NVY47" s="44"/>
      <c r="NVZ47" s="44"/>
      <c r="NWA47" s="44"/>
      <c r="NWB47" s="44"/>
      <c r="NWC47" s="44"/>
      <c r="NWD47" s="44"/>
      <c r="NWE47" s="44"/>
      <c r="NWF47" s="44"/>
      <c r="NWG47" s="44"/>
      <c r="NWH47" s="44"/>
      <c r="NWI47" s="44"/>
      <c r="NWJ47" s="44"/>
      <c r="NWK47" s="44"/>
      <c r="NWL47" s="44"/>
      <c r="NWM47" s="44"/>
      <c r="NWN47" s="44"/>
      <c r="NWO47" s="44"/>
      <c r="NWP47" s="44"/>
      <c r="NWQ47" s="44"/>
      <c r="NWR47" s="44"/>
      <c r="NWS47" s="44"/>
      <c r="NWT47" s="44"/>
      <c r="NWU47" s="44"/>
      <c r="NWV47" s="44"/>
      <c r="NWW47" s="44"/>
      <c r="NWX47" s="44"/>
      <c r="NWY47" s="44"/>
      <c r="NWZ47" s="44"/>
      <c r="NXA47" s="44"/>
      <c r="NXB47" s="44"/>
      <c r="NXC47" s="44"/>
      <c r="NXD47" s="44"/>
      <c r="NXE47" s="44"/>
      <c r="NXF47" s="44"/>
      <c r="NXG47" s="44"/>
      <c r="NXH47" s="44"/>
      <c r="NXI47" s="44"/>
      <c r="NXJ47" s="44"/>
      <c r="NXK47" s="44"/>
      <c r="NXL47" s="44"/>
      <c r="NXM47" s="44"/>
      <c r="NXN47" s="44"/>
      <c r="NXO47" s="44"/>
      <c r="NXP47" s="44"/>
      <c r="NXQ47" s="44"/>
      <c r="NXR47" s="44"/>
      <c r="NXS47" s="44"/>
      <c r="NXT47" s="44"/>
      <c r="NXU47" s="44"/>
      <c r="NXV47" s="44"/>
      <c r="NXW47" s="44"/>
      <c r="NXX47" s="44"/>
      <c r="NXY47" s="44"/>
      <c r="NXZ47" s="44"/>
      <c r="NYA47" s="44"/>
      <c r="NYB47" s="44"/>
      <c r="NYC47" s="44"/>
      <c r="NYD47" s="44"/>
      <c r="NYE47" s="44"/>
      <c r="NYF47" s="44"/>
      <c r="NYG47" s="44"/>
      <c r="NYH47" s="44"/>
      <c r="NYI47" s="44"/>
      <c r="NYJ47" s="44"/>
      <c r="NYK47" s="44"/>
      <c r="NYL47" s="44"/>
      <c r="NYM47" s="44"/>
      <c r="NYN47" s="44"/>
      <c r="NYO47" s="44"/>
      <c r="NYP47" s="44"/>
      <c r="NYQ47" s="44"/>
      <c r="NYR47" s="44"/>
      <c r="NYS47" s="44"/>
      <c r="NYT47" s="44"/>
      <c r="NYU47" s="44"/>
      <c r="NYV47" s="44"/>
      <c r="NYW47" s="44"/>
      <c r="NYX47" s="44"/>
      <c r="NYY47" s="44"/>
      <c r="NYZ47" s="44"/>
      <c r="NZA47" s="44"/>
      <c r="NZB47" s="44"/>
      <c r="NZC47" s="44"/>
      <c r="NZD47" s="44"/>
      <c r="NZE47" s="44"/>
      <c r="NZF47" s="44"/>
      <c r="NZG47" s="44"/>
      <c r="NZH47" s="44"/>
      <c r="NZI47" s="44"/>
      <c r="NZJ47" s="44"/>
      <c r="NZK47" s="44"/>
      <c r="NZL47" s="44"/>
      <c r="NZM47" s="44"/>
      <c r="NZN47" s="44"/>
      <c r="NZO47" s="44"/>
      <c r="NZP47" s="44"/>
      <c r="NZQ47" s="44"/>
      <c r="NZR47" s="44"/>
      <c r="NZS47" s="44"/>
      <c r="NZT47" s="44"/>
      <c r="NZU47" s="44"/>
      <c r="NZV47" s="44"/>
      <c r="NZW47" s="44"/>
      <c r="NZX47" s="44"/>
      <c r="NZY47" s="44"/>
      <c r="NZZ47" s="44"/>
      <c r="OAA47" s="44"/>
      <c r="OAB47" s="44"/>
      <c r="OAC47" s="44"/>
      <c r="OAD47" s="44"/>
      <c r="OAE47" s="44"/>
      <c r="OAF47" s="44"/>
      <c r="OAG47" s="44"/>
      <c r="OAH47" s="44"/>
      <c r="OAI47" s="44"/>
      <c r="OAJ47" s="44"/>
      <c r="OAK47" s="44"/>
      <c r="OAL47" s="44"/>
      <c r="OAM47" s="44"/>
      <c r="OAN47" s="44"/>
      <c r="OAO47" s="44"/>
      <c r="OAP47" s="44"/>
      <c r="OAQ47" s="44"/>
      <c r="OAR47" s="44"/>
      <c r="OAS47" s="44"/>
      <c r="OAT47" s="44"/>
      <c r="OAU47" s="44"/>
      <c r="OAV47" s="44"/>
      <c r="OAW47" s="44"/>
      <c r="OAX47" s="44"/>
      <c r="OAY47" s="44"/>
      <c r="OAZ47" s="44"/>
      <c r="OBA47" s="44"/>
      <c r="OBB47" s="44"/>
      <c r="OBC47" s="44"/>
      <c r="OBD47" s="44"/>
      <c r="OBE47" s="44"/>
      <c r="OBF47" s="44"/>
      <c r="OBG47" s="44"/>
      <c r="OBH47" s="44"/>
      <c r="OBI47" s="44"/>
      <c r="OBJ47" s="44"/>
      <c r="OBK47" s="44"/>
      <c r="OBL47" s="44"/>
      <c r="OBM47" s="44"/>
      <c r="OBN47" s="44"/>
      <c r="OBO47" s="44"/>
      <c r="OBP47" s="44"/>
      <c r="OBQ47" s="44"/>
      <c r="OBR47" s="44"/>
      <c r="OBS47" s="44"/>
      <c r="OBT47" s="44"/>
      <c r="OBU47" s="44"/>
      <c r="OBV47" s="44"/>
      <c r="OBW47" s="44"/>
      <c r="OBX47" s="44"/>
      <c r="OBY47" s="44"/>
      <c r="OBZ47" s="44"/>
      <c r="OCA47" s="44"/>
      <c r="OCB47" s="44"/>
      <c r="OCC47" s="44"/>
      <c r="OCD47" s="44"/>
      <c r="OCE47" s="44"/>
      <c r="OCF47" s="44"/>
      <c r="OCG47" s="44"/>
      <c r="OCH47" s="44"/>
      <c r="OCI47" s="44"/>
      <c r="OCJ47" s="44"/>
      <c r="OCK47" s="44"/>
      <c r="OCL47" s="44"/>
      <c r="OCM47" s="44"/>
      <c r="OCN47" s="44"/>
      <c r="OCO47" s="44"/>
      <c r="OCP47" s="44"/>
      <c r="OCQ47" s="44"/>
      <c r="OCR47" s="44"/>
      <c r="OCS47" s="44"/>
      <c r="OCT47" s="44"/>
      <c r="OCU47" s="44"/>
      <c r="OCV47" s="44"/>
      <c r="OCW47" s="44"/>
      <c r="OCX47" s="44"/>
      <c r="OCY47" s="44"/>
      <c r="OCZ47" s="44"/>
      <c r="ODA47" s="44"/>
      <c r="ODB47" s="44"/>
      <c r="ODC47" s="44"/>
      <c r="ODD47" s="44"/>
      <c r="ODE47" s="44"/>
      <c r="ODF47" s="44"/>
      <c r="ODG47" s="44"/>
      <c r="ODH47" s="44"/>
      <c r="ODI47" s="44"/>
      <c r="ODJ47" s="44"/>
      <c r="ODK47" s="44"/>
      <c r="ODL47" s="44"/>
      <c r="ODM47" s="44"/>
      <c r="ODN47" s="44"/>
      <c r="ODO47" s="44"/>
      <c r="ODP47" s="44"/>
      <c r="ODQ47" s="44"/>
      <c r="ODR47" s="44"/>
      <c r="ODS47" s="44"/>
      <c r="ODT47" s="44"/>
      <c r="ODU47" s="44"/>
      <c r="ODV47" s="44"/>
      <c r="ODW47" s="44"/>
      <c r="ODX47" s="44"/>
      <c r="ODY47" s="44"/>
      <c r="ODZ47" s="44"/>
      <c r="OEA47" s="44"/>
      <c r="OEB47" s="44"/>
      <c r="OEC47" s="44"/>
      <c r="OED47" s="44"/>
      <c r="OEE47" s="44"/>
      <c r="OEF47" s="44"/>
      <c r="OEG47" s="44"/>
      <c r="OEH47" s="44"/>
      <c r="OEI47" s="44"/>
      <c r="OEJ47" s="44"/>
      <c r="OEK47" s="44"/>
      <c r="OEL47" s="44"/>
      <c r="OEM47" s="44"/>
      <c r="OEN47" s="44"/>
      <c r="OEO47" s="44"/>
      <c r="OEP47" s="44"/>
      <c r="OEQ47" s="44"/>
      <c r="OER47" s="44"/>
      <c r="OES47" s="44"/>
      <c r="OET47" s="44"/>
      <c r="OEU47" s="44"/>
      <c r="OEV47" s="44"/>
      <c r="OEW47" s="44"/>
      <c r="OEX47" s="44"/>
      <c r="OEY47" s="44"/>
      <c r="OEZ47" s="44"/>
      <c r="OFA47" s="44"/>
      <c r="OFB47" s="44"/>
      <c r="OFC47" s="44"/>
      <c r="OFD47" s="44"/>
      <c r="OFE47" s="44"/>
      <c r="OFF47" s="44"/>
      <c r="OFG47" s="44"/>
      <c r="OFH47" s="44"/>
      <c r="OFI47" s="44"/>
      <c r="OFJ47" s="44"/>
      <c r="OFK47" s="44"/>
      <c r="OFL47" s="44"/>
      <c r="OFM47" s="44"/>
      <c r="OFN47" s="44"/>
      <c r="OFO47" s="44"/>
      <c r="OFP47" s="44"/>
      <c r="OFQ47" s="44"/>
      <c r="OFR47" s="44"/>
      <c r="OFS47" s="44"/>
      <c r="OFT47" s="44"/>
      <c r="OFU47" s="44"/>
      <c r="OFV47" s="44"/>
      <c r="OFW47" s="44"/>
      <c r="OFX47" s="44"/>
      <c r="OFY47" s="44"/>
      <c r="OFZ47" s="44"/>
      <c r="OGA47" s="44"/>
      <c r="OGB47" s="44"/>
      <c r="OGC47" s="44"/>
      <c r="OGD47" s="44"/>
      <c r="OGE47" s="44"/>
      <c r="OGF47" s="44"/>
      <c r="OGG47" s="44"/>
      <c r="OGH47" s="44"/>
      <c r="OGI47" s="44"/>
      <c r="OGJ47" s="44"/>
      <c r="OGK47" s="44"/>
      <c r="OGL47" s="44"/>
      <c r="OGM47" s="44"/>
      <c r="OGN47" s="44"/>
      <c r="OGO47" s="44"/>
      <c r="OGP47" s="44"/>
      <c r="OGQ47" s="44"/>
      <c r="OGR47" s="44"/>
      <c r="OGS47" s="44"/>
      <c r="OGT47" s="44"/>
      <c r="OGU47" s="44"/>
      <c r="OGV47" s="44"/>
      <c r="OGW47" s="44"/>
      <c r="OGX47" s="44"/>
      <c r="OGY47" s="44"/>
      <c r="OGZ47" s="44"/>
      <c r="OHA47" s="44"/>
      <c r="OHB47" s="44"/>
      <c r="OHC47" s="44"/>
      <c r="OHD47" s="44"/>
      <c r="OHE47" s="44"/>
      <c r="OHF47" s="44"/>
      <c r="OHG47" s="44"/>
      <c r="OHH47" s="44"/>
      <c r="OHI47" s="44"/>
      <c r="OHJ47" s="44"/>
      <c r="OHK47" s="44"/>
      <c r="OHL47" s="44"/>
      <c r="OHM47" s="44"/>
      <c r="OHN47" s="44"/>
      <c r="OHO47" s="44"/>
      <c r="OHP47" s="44"/>
      <c r="OHQ47" s="44"/>
      <c r="OHR47" s="44"/>
      <c r="OHS47" s="44"/>
      <c r="OHT47" s="44"/>
      <c r="OHU47" s="44"/>
      <c r="OHV47" s="44"/>
      <c r="OHW47" s="44"/>
      <c r="OHX47" s="44"/>
      <c r="OHY47" s="44"/>
      <c r="OHZ47" s="44"/>
      <c r="OIA47" s="44"/>
      <c r="OIB47" s="44"/>
      <c r="OIC47" s="44"/>
      <c r="OID47" s="44"/>
      <c r="OIE47" s="44"/>
      <c r="OIF47" s="44"/>
      <c r="OIG47" s="44"/>
      <c r="OIH47" s="44"/>
      <c r="OII47" s="44"/>
      <c r="OIJ47" s="44"/>
      <c r="OIK47" s="44"/>
      <c r="OIL47" s="44"/>
      <c r="OIM47" s="44"/>
      <c r="OIN47" s="44"/>
      <c r="OIO47" s="44"/>
      <c r="OIP47" s="44"/>
      <c r="OIQ47" s="44"/>
      <c r="OIR47" s="44"/>
      <c r="OIS47" s="44"/>
      <c r="OIT47" s="44"/>
      <c r="OIU47" s="44"/>
      <c r="OIV47" s="44"/>
      <c r="OIW47" s="44"/>
      <c r="OIX47" s="44"/>
      <c r="OIY47" s="44"/>
      <c r="OIZ47" s="44"/>
      <c r="OJA47" s="44"/>
      <c r="OJB47" s="44"/>
      <c r="OJC47" s="44"/>
      <c r="OJD47" s="44"/>
      <c r="OJE47" s="44"/>
      <c r="OJF47" s="44"/>
      <c r="OJG47" s="44"/>
      <c r="OJH47" s="44"/>
      <c r="OJI47" s="44"/>
      <c r="OJJ47" s="44"/>
      <c r="OJK47" s="44"/>
      <c r="OJL47" s="44"/>
      <c r="OJM47" s="44"/>
      <c r="OJN47" s="44"/>
      <c r="OJO47" s="44"/>
      <c r="OJP47" s="44"/>
      <c r="OJQ47" s="44"/>
      <c r="OJR47" s="44"/>
      <c r="OJS47" s="44"/>
      <c r="OJT47" s="44"/>
      <c r="OJU47" s="44"/>
      <c r="OJV47" s="44"/>
      <c r="OJW47" s="44"/>
      <c r="OJX47" s="44"/>
      <c r="OJY47" s="44"/>
      <c r="OJZ47" s="44"/>
      <c r="OKA47" s="44"/>
      <c r="OKB47" s="44"/>
      <c r="OKC47" s="44"/>
      <c r="OKD47" s="44"/>
      <c r="OKE47" s="44"/>
      <c r="OKF47" s="44"/>
      <c r="OKG47" s="44"/>
      <c r="OKH47" s="44"/>
      <c r="OKI47" s="44"/>
      <c r="OKJ47" s="44"/>
      <c r="OKK47" s="44"/>
      <c r="OKL47" s="44"/>
      <c r="OKM47" s="44"/>
      <c r="OKN47" s="44"/>
      <c r="OKO47" s="44"/>
      <c r="OKP47" s="44"/>
      <c r="OKQ47" s="44"/>
      <c r="OKR47" s="44"/>
      <c r="OKS47" s="44"/>
      <c r="OKT47" s="44"/>
      <c r="OKU47" s="44"/>
      <c r="OKV47" s="44"/>
      <c r="OKW47" s="44"/>
      <c r="OKX47" s="44"/>
      <c r="OKY47" s="44"/>
      <c r="OKZ47" s="44"/>
      <c r="OLA47" s="44"/>
      <c r="OLB47" s="44"/>
      <c r="OLC47" s="44"/>
      <c r="OLD47" s="44"/>
      <c r="OLE47" s="44"/>
      <c r="OLF47" s="44"/>
      <c r="OLG47" s="44"/>
      <c r="OLH47" s="44"/>
      <c r="OLI47" s="44"/>
      <c r="OLJ47" s="44"/>
      <c r="OLK47" s="44"/>
      <c r="OLL47" s="44"/>
      <c r="OLM47" s="44"/>
      <c r="OLN47" s="44"/>
      <c r="OLO47" s="44"/>
      <c r="OLP47" s="44"/>
      <c r="OLQ47" s="44"/>
      <c r="OLR47" s="44"/>
      <c r="OLS47" s="44"/>
      <c r="OLT47" s="44"/>
      <c r="OLU47" s="44"/>
      <c r="OLV47" s="44"/>
      <c r="OLW47" s="44"/>
      <c r="OLX47" s="44"/>
      <c r="OLY47" s="44"/>
      <c r="OLZ47" s="44"/>
      <c r="OMA47" s="44"/>
      <c r="OMB47" s="44"/>
      <c r="OMC47" s="44"/>
      <c r="OMD47" s="44"/>
      <c r="OME47" s="44"/>
      <c r="OMF47" s="44"/>
      <c r="OMG47" s="44"/>
      <c r="OMH47" s="44"/>
      <c r="OMI47" s="44"/>
      <c r="OMJ47" s="44"/>
      <c r="OMK47" s="44"/>
      <c r="OML47" s="44"/>
      <c r="OMM47" s="44"/>
      <c r="OMN47" s="44"/>
      <c r="OMO47" s="44"/>
      <c r="OMP47" s="44"/>
      <c r="OMQ47" s="44"/>
      <c r="OMR47" s="44"/>
      <c r="OMS47" s="44"/>
      <c r="OMT47" s="44"/>
      <c r="OMU47" s="44"/>
      <c r="OMV47" s="44"/>
      <c r="OMW47" s="44"/>
      <c r="OMX47" s="44"/>
      <c r="OMY47" s="44"/>
      <c r="OMZ47" s="44"/>
      <c r="ONA47" s="44"/>
      <c r="ONB47" s="44"/>
      <c r="ONC47" s="44"/>
      <c r="OND47" s="44"/>
      <c r="ONE47" s="44"/>
      <c r="ONF47" s="44"/>
      <c r="ONG47" s="44"/>
      <c r="ONH47" s="44"/>
      <c r="ONI47" s="44"/>
      <c r="ONJ47" s="44"/>
      <c r="ONK47" s="44"/>
      <c r="ONL47" s="44"/>
      <c r="ONM47" s="44"/>
      <c r="ONN47" s="44"/>
      <c r="ONO47" s="44"/>
      <c r="ONP47" s="44"/>
      <c r="ONQ47" s="44"/>
      <c r="ONR47" s="44"/>
      <c r="ONS47" s="44"/>
      <c r="ONT47" s="44"/>
      <c r="ONU47" s="44"/>
      <c r="ONV47" s="44"/>
      <c r="ONW47" s="44"/>
      <c r="ONX47" s="44"/>
      <c r="ONY47" s="44"/>
      <c r="ONZ47" s="44"/>
      <c r="OOA47" s="44"/>
      <c r="OOB47" s="44"/>
      <c r="OOC47" s="44"/>
      <c r="OOD47" s="44"/>
      <c r="OOE47" s="44"/>
      <c r="OOF47" s="44"/>
      <c r="OOG47" s="44"/>
      <c r="OOH47" s="44"/>
      <c r="OOI47" s="44"/>
      <c r="OOJ47" s="44"/>
      <c r="OOK47" s="44"/>
      <c r="OOL47" s="44"/>
      <c r="OOM47" s="44"/>
      <c r="OON47" s="44"/>
      <c r="OOO47" s="44"/>
      <c r="OOP47" s="44"/>
      <c r="OOQ47" s="44"/>
      <c r="OOR47" s="44"/>
      <c r="OOS47" s="44"/>
      <c r="OOT47" s="44"/>
      <c r="OOU47" s="44"/>
      <c r="OOV47" s="44"/>
      <c r="OOW47" s="44"/>
      <c r="OOX47" s="44"/>
      <c r="OOY47" s="44"/>
      <c r="OOZ47" s="44"/>
      <c r="OPA47" s="44"/>
      <c r="OPB47" s="44"/>
      <c r="OPC47" s="44"/>
      <c r="OPD47" s="44"/>
      <c r="OPE47" s="44"/>
      <c r="OPF47" s="44"/>
      <c r="OPG47" s="44"/>
      <c r="OPH47" s="44"/>
      <c r="OPI47" s="44"/>
      <c r="OPJ47" s="44"/>
      <c r="OPK47" s="44"/>
      <c r="OPL47" s="44"/>
      <c r="OPM47" s="44"/>
      <c r="OPN47" s="44"/>
      <c r="OPO47" s="44"/>
      <c r="OPP47" s="44"/>
      <c r="OPQ47" s="44"/>
      <c r="OPR47" s="44"/>
      <c r="OPS47" s="44"/>
      <c r="OPT47" s="44"/>
      <c r="OPU47" s="44"/>
      <c r="OPV47" s="44"/>
      <c r="OPW47" s="44"/>
      <c r="OPX47" s="44"/>
      <c r="OPY47" s="44"/>
      <c r="OPZ47" s="44"/>
      <c r="OQA47" s="44"/>
      <c r="OQB47" s="44"/>
      <c r="OQC47" s="44"/>
      <c r="OQD47" s="44"/>
      <c r="OQE47" s="44"/>
      <c r="OQF47" s="44"/>
      <c r="OQG47" s="44"/>
      <c r="OQH47" s="44"/>
      <c r="OQI47" s="44"/>
      <c r="OQJ47" s="44"/>
      <c r="OQK47" s="44"/>
      <c r="OQL47" s="44"/>
      <c r="OQM47" s="44"/>
      <c r="OQN47" s="44"/>
      <c r="OQO47" s="44"/>
      <c r="OQP47" s="44"/>
      <c r="OQQ47" s="44"/>
      <c r="OQR47" s="44"/>
      <c r="OQS47" s="44"/>
      <c r="OQT47" s="44"/>
      <c r="OQU47" s="44"/>
      <c r="OQV47" s="44"/>
      <c r="OQW47" s="44"/>
      <c r="OQX47" s="44"/>
      <c r="OQY47" s="44"/>
      <c r="OQZ47" s="44"/>
      <c r="ORA47" s="44"/>
      <c r="ORB47" s="44"/>
      <c r="ORC47" s="44"/>
      <c r="ORD47" s="44"/>
      <c r="ORE47" s="44"/>
      <c r="ORF47" s="44"/>
      <c r="ORG47" s="44"/>
      <c r="ORH47" s="44"/>
      <c r="ORI47" s="44"/>
      <c r="ORJ47" s="44"/>
      <c r="ORK47" s="44"/>
      <c r="ORL47" s="44"/>
      <c r="ORM47" s="44"/>
      <c r="ORN47" s="44"/>
      <c r="ORO47" s="44"/>
      <c r="ORP47" s="44"/>
      <c r="ORQ47" s="44"/>
      <c r="ORR47" s="44"/>
      <c r="ORS47" s="44"/>
      <c r="ORT47" s="44"/>
      <c r="ORU47" s="44"/>
      <c r="ORV47" s="44"/>
      <c r="ORW47" s="44"/>
      <c r="ORX47" s="44"/>
      <c r="ORY47" s="44"/>
      <c r="ORZ47" s="44"/>
      <c r="OSA47" s="44"/>
      <c r="OSB47" s="44"/>
      <c r="OSC47" s="44"/>
      <c r="OSD47" s="44"/>
      <c r="OSE47" s="44"/>
      <c r="OSF47" s="44"/>
      <c r="OSG47" s="44"/>
      <c r="OSH47" s="44"/>
      <c r="OSI47" s="44"/>
      <c r="OSJ47" s="44"/>
      <c r="OSK47" s="44"/>
      <c r="OSL47" s="44"/>
      <c r="OSM47" s="44"/>
      <c r="OSN47" s="44"/>
      <c r="OSO47" s="44"/>
      <c r="OSP47" s="44"/>
      <c r="OSQ47" s="44"/>
      <c r="OSR47" s="44"/>
      <c r="OSS47" s="44"/>
      <c r="OST47" s="44"/>
      <c r="OSU47" s="44"/>
      <c r="OSV47" s="44"/>
      <c r="OSW47" s="44"/>
      <c r="OSX47" s="44"/>
      <c r="OSY47" s="44"/>
      <c r="OSZ47" s="44"/>
      <c r="OTA47" s="44"/>
      <c r="OTB47" s="44"/>
      <c r="OTC47" s="44"/>
      <c r="OTD47" s="44"/>
      <c r="OTE47" s="44"/>
      <c r="OTF47" s="44"/>
      <c r="OTG47" s="44"/>
      <c r="OTH47" s="44"/>
      <c r="OTI47" s="44"/>
      <c r="OTJ47" s="44"/>
      <c r="OTK47" s="44"/>
      <c r="OTL47" s="44"/>
      <c r="OTM47" s="44"/>
      <c r="OTN47" s="44"/>
      <c r="OTO47" s="44"/>
      <c r="OTP47" s="44"/>
      <c r="OTQ47" s="44"/>
      <c r="OTR47" s="44"/>
      <c r="OTS47" s="44"/>
      <c r="OTT47" s="44"/>
      <c r="OTU47" s="44"/>
      <c r="OTV47" s="44"/>
      <c r="OTW47" s="44"/>
      <c r="OTX47" s="44"/>
      <c r="OTY47" s="44"/>
      <c r="OTZ47" s="44"/>
      <c r="OUA47" s="44"/>
      <c r="OUB47" s="44"/>
      <c r="OUC47" s="44"/>
      <c r="OUD47" s="44"/>
      <c r="OUE47" s="44"/>
      <c r="OUF47" s="44"/>
      <c r="OUG47" s="44"/>
      <c r="OUH47" s="44"/>
      <c r="OUI47" s="44"/>
      <c r="OUJ47" s="44"/>
      <c r="OUK47" s="44"/>
      <c r="OUL47" s="44"/>
      <c r="OUM47" s="44"/>
      <c r="OUN47" s="44"/>
      <c r="OUO47" s="44"/>
      <c r="OUP47" s="44"/>
      <c r="OUQ47" s="44"/>
      <c r="OUR47" s="44"/>
      <c r="OUS47" s="44"/>
      <c r="OUT47" s="44"/>
      <c r="OUU47" s="44"/>
      <c r="OUV47" s="44"/>
      <c r="OUW47" s="44"/>
      <c r="OUX47" s="44"/>
      <c r="OUY47" s="44"/>
      <c r="OUZ47" s="44"/>
      <c r="OVA47" s="44"/>
      <c r="OVB47" s="44"/>
      <c r="OVC47" s="44"/>
      <c r="OVD47" s="44"/>
      <c r="OVE47" s="44"/>
      <c r="OVF47" s="44"/>
      <c r="OVG47" s="44"/>
      <c r="OVH47" s="44"/>
      <c r="OVI47" s="44"/>
      <c r="OVJ47" s="44"/>
      <c r="OVK47" s="44"/>
      <c r="OVL47" s="44"/>
      <c r="OVM47" s="44"/>
      <c r="OVN47" s="44"/>
      <c r="OVO47" s="44"/>
      <c r="OVP47" s="44"/>
      <c r="OVQ47" s="44"/>
      <c r="OVR47" s="44"/>
      <c r="OVS47" s="44"/>
      <c r="OVT47" s="44"/>
      <c r="OVU47" s="44"/>
      <c r="OVV47" s="44"/>
      <c r="OVW47" s="44"/>
      <c r="OVX47" s="44"/>
      <c r="OVY47" s="44"/>
      <c r="OVZ47" s="44"/>
      <c r="OWA47" s="44"/>
      <c r="OWB47" s="44"/>
      <c r="OWC47" s="44"/>
      <c r="OWD47" s="44"/>
      <c r="OWE47" s="44"/>
      <c r="OWF47" s="44"/>
      <c r="OWG47" s="44"/>
      <c r="OWH47" s="44"/>
      <c r="OWI47" s="44"/>
      <c r="OWJ47" s="44"/>
      <c r="OWK47" s="44"/>
      <c r="OWL47" s="44"/>
      <c r="OWM47" s="44"/>
      <c r="OWN47" s="44"/>
      <c r="OWO47" s="44"/>
      <c r="OWP47" s="44"/>
      <c r="OWQ47" s="44"/>
      <c r="OWR47" s="44"/>
      <c r="OWS47" s="44"/>
      <c r="OWT47" s="44"/>
      <c r="OWU47" s="44"/>
      <c r="OWV47" s="44"/>
      <c r="OWW47" s="44"/>
      <c r="OWX47" s="44"/>
      <c r="OWY47" s="44"/>
      <c r="OWZ47" s="44"/>
      <c r="OXA47" s="44"/>
      <c r="OXB47" s="44"/>
      <c r="OXC47" s="44"/>
      <c r="OXD47" s="44"/>
      <c r="OXE47" s="44"/>
      <c r="OXF47" s="44"/>
      <c r="OXG47" s="44"/>
      <c r="OXH47" s="44"/>
      <c r="OXI47" s="44"/>
      <c r="OXJ47" s="44"/>
      <c r="OXK47" s="44"/>
      <c r="OXL47" s="44"/>
      <c r="OXM47" s="44"/>
      <c r="OXN47" s="44"/>
      <c r="OXO47" s="44"/>
      <c r="OXP47" s="44"/>
      <c r="OXQ47" s="44"/>
      <c r="OXR47" s="44"/>
      <c r="OXS47" s="44"/>
      <c r="OXT47" s="44"/>
      <c r="OXU47" s="44"/>
      <c r="OXV47" s="44"/>
      <c r="OXW47" s="44"/>
      <c r="OXX47" s="44"/>
      <c r="OXY47" s="44"/>
      <c r="OXZ47" s="44"/>
      <c r="OYA47" s="44"/>
      <c r="OYB47" s="44"/>
      <c r="OYC47" s="44"/>
      <c r="OYD47" s="44"/>
      <c r="OYE47" s="44"/>
      <c r="OYF47" s="44"/>
      <c r="OYG47" s="44"/>
      <c r="OYH47" s="44"/>
      <c r="OYI47" s="44"/>
      <c r="OYJ47" s="44"/>
      <c r="OYK47" s="44"/>
      <c r="OYL47" s="44"/>
      <c r="OYM47" s="44"/>
      <c r="OYN47" s="44"/>
      <c r="OYO47" s="44"/>
      <c r="OYP47" s="44"/>
      <c r="OYQ47" s="44"/>
      <c r="OYR47" s="44"/>
      <c r="OYS47" s="44"/>
      <c r="OYT47" s="44"/>
      <c r="OYU47" s="44"/>
      <c r="OYV47" s="44"/>
      <c r="OYW47" s="44"/>
      <c r="OYX47" s="44"/>
      <c r="OYY47" s="44"/>
      <c r="OYZ47" s="44"/>
      <c r="OZA47" s="44"/>
      <c r="OZB47" s="44"/>
      <c r="OZC47" s="44"/>
      <c r="OZD47" s="44"/>
      <c r="OZE47" s="44"/>
      <c r="OZF47" s="44"/>
      <c r="OZG47" s="44"/>
      <c r="OZH47" s="44"/>
      <c r="OZI47" s="44"/>
      <c r="OZJ47" s="44"/>
      <c r="OZK47" s="44"/>
      <c r="OZL47" s="44"/>
      <c r="OZM47" s="44"/>
      <c r="OZN47" s="44"/>
      <c r="OZO47" s="44"/>
      <c r="OZP47" s="44"/>
      <c r="OZQ47" s="44"/>
      <c r="OZR47" s="44"/>
      <c r="OZS47" s="44"/>
      <c r="OZT47" s="44"/>
      <c r="OZU47" s="44"/>
      <c r="OZV47" s="44"/>
      <c r="OZW47" s="44"/>
      <c r="OZX47" s="44"/>
      <c r="OZY47" s="44"/>
      <c r="OZZ47" s="44"/>
      <c r="PAA47" s="44"/>
      <c r="PAB47" s="44"/>
      <c r="PAC47" s="44"/>
      <c r="PAD47" s="44"/>
      <c r="PAE47" s="44"/>
      <c r="PAF47" s="44"/>
      <c r="PAG47" s="44"/>
      <c r="PAH47" s="44"/>
      <c r="PAI47" s="44"/>
      <c r="PAJ47" s="44"/>
      <c r="PAK47" s="44"/>
      <c r="PAL47" s="44"/>
      <c r="PAM47" s="44"/>
      <c r="PAN47" s="44"/>
      <c r="PAO47" s="44"/>
      <c r="PAP47" s="44"/>
      <c r="PAQ47" s="44"/>
      <c r="PAR47" s="44"/>
      <c r="PAS47" s="44"/>
      <c r="PAT47" s="44"/>
      <c r="PAU47" s="44"/>
      <c r="PAV47" s="44"/>
      <c r="PAW47" s="44"/>
      <c r="PAX47" s="44"/>
      <c r="PAY47" s="44"/>
      <c r="PAZ47" s="44"/>
      <c r="PBA47" s="44"/>
      <c r="PBB47" s="44"/>
      <c r="PBC47" s="44"/>
      <c r="PBD47" s="44"/>
      <c r="PBE47" s="44"/>
      <c r="PBF47" s="44"/>
      <c r="PBG47" s="44"/>
      <c r="PBH47" s="44"/>
      <c r="PBI47" s="44"/>
      <c r="PBJ47" s="44"/>
      <c r="PBK47" s="44"/>
      <c r="PBL47" s="44"/>
      <c r="PBM47" s="44"/>
      <c r="PBN47" s="44"/>
      <c r="PBO47" s="44"/>
      <c r="PBP47" s="44"/>
      <c r="PBQ47" s="44"/>
      <c r="PBR47" s="44"/>
      <c r="PBS47" s="44"/>
      <c r="PBT47" s="44"/>
      <c r="PBU47" s="44"/>
      <c r="PBV47" s="44"/>
      <c r="PBW47" s="44"/>
      <c r="PBX47" s="44"/>
      <c r="PBY47" s="44"/>
      <c r="PBZ47" s="44"/>
      <c r="PCA47" s="44"/>
      <c r="PCB47" s="44"/>
      <c r="PCC47" s="44"/>
      <c r="PCD47" s="44"/>
      <c r="PCE47" s="44"/>
      <c r="PCF47" s="44"/>
      <c r="PCG47" s="44"/>
      <c r="PCH47" s="44"/>
      <c r="PCI47" s="44"/>
      <c r="PCJ47" s="44"/>
      <c r="PCK47" s="44"/>
      <c r="PCL47" s="44"/>
      <c r="PCM47" s="44"/>
      <c r="PCN47" s="44"/>
      <c r="PCO47" s="44"/>
      <c r="PCP47" s="44"/>
      <c r="PCQ47" s="44"/>
      <c r="PCR47" s="44"/>
      <c r="PCS47" s="44"/>
      <c r="PCT47" s="44"/>
      <c r="PCU47" s="44"/>
      <c r="PCV47" s="44"/>
      <c r="PCW47" s="44"/>
      <c r="PCX47" s="44"/>
      <c r="PCY47" s="44"/>
      <c r="PCZ47" s="44"/>
      <c r="PDA47" s="44"/>
      <c r="PDB47" s="44"/>
      <c r="PDC47" s="44"/>
      <c r="PDD47" s="44"/>
      <c r="PDE47" s="44"/>
      <c r="PDF47" s="44"/>
      <c r="PDG47" s="44"/>
      <c r="PDH47" s="44"/>
      <c r="PDI47" s="44"/>
      <c r="PDJ47" s="44"/>
      <c r="PDK47" s="44"/>
      <c r="PDL47" s="44"/>
      <c r="PDM47" s="44"/>
      <c r="PDN47" s="44"/>
      <c r="PDO47" s="44"/>
      <c r="PDP47" s="44"/>
      <c r="PDQ47" s="44"/>
      <c r="PDR47" s="44"/>
      <c r="PDS47" s="44"/>
      <c r="PDT47" s="44"/>
      <c r="PDU47" s="44"/>
      <c r="PDV47" s="44"/>
      <c r="PDW47" s="44"/>
      <c r="PDX47" s="44"/>
      <c r="PDY47" s="44"/>
      <c r="PDZ47" s="44"/>
      <c r="PEA47" s="44"/>
      <c r="PEB47" s="44"/>
      <c r="PEC47" s="44"/>
      <c r="PED47" s="44"/>
      <c r="PEE47" s="44"/>
      <c r="PEF47" s="44"/>
      <c r="PEG47" s="44"/>
      <c r="PEH47" s="44"/>
      <c r="PEI47" s="44"/>
      <c r="PEJ47" s="44"/>
      <c r="PEK47" s="44"/>
      <c r="PEL47" s="44"/>
      <c r="PEM47" s="44"/>
      <c r="PEN47" s="44"/>
      <c r="PEO47" s="44"/>
      <c r="PEP47" s="44"/>
      <c r="PEQ47" s="44"/>
      <c r="PER47" s="44"/>
      <c r="PES47" s="44"/>
      <c r="PET47" s="44"/>
      <c r="PEU47" s="44"/>
      <c r="PEV47" s="44"/>
      <c r="PEW47" s="44"/>
      <c r="PEX47" s="44"/>
      <c r="PEY47" s="44"/>
      <c r="PEZ47" s="44"/>
      <c r="PFA47" s="44"/>
      <c r="PFB47" s="44"/>
      <c r="PFC47" s="44"/>
      <c r="PFD47" s="44"/>
      <c r="PFE47" s="44"/>
      <c r="PFF47" s="44"/>
      <c r="PFG47" s="44"/>
      <c r="PFH47" s="44"/>
      <c r="PFI47" s="44"/>
      <c r="PFJ47" s="44"/>
      <c r="PFK47" s="44"/>
      <c r="PFL47" s="44"/>
      <c r="PFM47" s="44"/>
      <c r="PFN47" s="44"/>
      <c r="PFO47" s="44"/>
      <c r="PFP47" s="44"/>
      <c r="PFQ47" s="44"/>
      <c r="PFR47" s="44"/>
      <c r="PFS47" s="44"/>
      <c r="PFT47" s="44"/>
      <c r="PFU47" s="44"/>
      <c r="PFV47" s="44"/>
      <c r="PFW47" s="44"/>
      <c r="PFX47" s="44"/>
      <c r="PFY47" s="44"/>
      <c r="PFZ47" s="44"/>
      <c r="PGA47" s="44"/>
      <c r="PGB47" s="44"/>
      <c r="PGC47" s="44"/>
      <c r="PGD47" s="44"/>
      <c r="PGE47" s="44"/>
      <c r="PGF47" s="44"/>
      <c r="PGG47" s="44"/>
      <c r="PGH47" s="44"/>
      <c r="PGI47" s="44"/>
      <c r="PGJ47" s="44"/>
      <c r="PGK47" s="44"/>
      <c r="PGL47" s="44"/>
      <c r="PGM47" s="44"/>
      <c r="PGN47" s="44"/>
      <c r="PGO47" s="44"/>
      <c r="PGP47" s="44"/>
      <c r="PGQ47" s="44"/>
      <c r="PGR47" s="44"/>
      <c r="PGS47" s="44"/>
      <c r="PGT47" s="44"/>
      <c r="PGU47" s="44"/>
      <c r="PGV47" s="44"/>
      <c r="PGW47" s="44"/>
      <c r="PGX47" s="44"/>
      <c r="PGY47" s="44"/>
      <c r="PGZ47" s="44"/>
      <c r="PHA47" s="44"/>
      <c r="PHB47" s="44"/>
      <c r="PHC47" s="44"/>
      <c r="PHD47" s="44"/>
      <c r="PHE47" s="44"/>
      <c r="PHF47" s="44"/>
      <c r="PHG47" s="44"/>
      <c r="PHH47" s="44"/>
      <c r="PHI47" s="44"/>
      <c r="PHJ47" s="44"/>
      <c r="PHK47" s="44"/>
      <c r="PHL47" s="44"/>
      <c r="PHM47" s="44"/>
      <c r="PHN47" s="44"/>
      <c r="PHO47" s="44"/>
      <c r="PHP47" s="44"/>
      <c r="PHQ47" s="44"/>
      <c r="PHR47" s="44"/>
      <c r="PHS47" s="44"/>
      <c r="PHT47" s="44"/>
      <c r="PHU47" s="44"/>
      <c r="PHV47" s="44"/>
      <c r="PHW47" s="44"/>
      <c r="PHX47" s="44"/>
      <c r="PHY47" s="44"/>
      <c r="PHZ47" s="44"/>
      <c r="PIA47" s="44"/>
      <c r="PIB47" s="44"/>
      <c r="PIC47" s="44"/>
      <c r="PID47" s="44"/>
      <c r="PIE47" s="44"/>
      <c r="PIF47" s="44"/>
      <c r="PIG47" s="44"/>
      <c r="PIH47" s="44"/>
      <c r="PII47" s="44"/>
      <c r="PIJ47" s="44"/>
      <c r="PIK47" s="44"/>
      <c r="PIL47" s="44"/>
      <c r="PIM47" s="44"/>
      <c r="PIN47" s="44"/>
      <c r="PIO47" s="44"/>
      <c r="PIP47" s="44"/>
      <c r="PIQ47" s="44"/>
      <c r="PIR47" s="44"/>
      <c r="PIS47" s="44"/>
      <c r="PIT47" s="44"/>
      <c r="PIU47" s="44"/>
      <c r="PIV47" s="44"/>
      <c r="PIW47" s="44"/>
      <c r="PIX47" s="44"/>
      <c r="PIY47" s="44"/>
      <c r="PIZ47" s="44"/>
      <c r="PJA47" s="44"/>
      <c r="PJB47" s="44"/>
      <c r="PJC47" s="44"/>
      <c r="PJD47" s="44"/>
      <c r="PJE47" s="44"/>
      <c r="PJF47" s="44"/>
      <c r="PJG47" s="44"/>
      <c r="PJH47" s="44"/>
      <c r="PJI47" s="44"/>
      <c r="PJJ47" s="44"/>
      <c r="PJK47" s="44"/>
      <c r="PJL47" s="44"/>
      <c r="PJM47" s="44"/>
      <c r="PJN47" s="44"/>
      <c r="PJO47" s="44"/>
      <c r="PJP47" s="44"/>
      <c r="PJQ47" s="44"/>
      <c r="PJR47" s="44"/>
      <c r="PJS47" s="44"/>
      <c r="PJT47" s="44"/>
      <c r="PJU47" s="44"/>
      <c r="PJV47" s="44"/>
      <c r="PJW47" s="44"/>
      <c r="PJX47" s="44"/>
      <c r="PJY47" s="44"/>
      <c r="PJZ47" s="44"/>
      <c r="PKA47" s="44"/>
      <c r="PKB47" s="44"/>
      <c r="PKC47" s="44"/>
      <c r="PKD47" s="44"/>
      <c r="PKE47" s="44"/>
      <c r="PKF47" s="44"/>
      <c r="PKG47" s="44"/>
      <c r="PKH47" s="44"/>
      <c r="PKI47" s="44"/>
      <c r="PKJ47" s="44"/>
      <c r="PKK47" s="44"/>
      <c r="PKL47" s="44"/>
      <c r="PKM47" s="44"/>
      <c r="PKN47" s="44"/>
      <c r="PKO47" s="44"/>
      <c r="PKP47" s="44"/>
      <c r="PKQ47" s="44"/>
      <c r="PKR47" s="44"/>
      <c r="PKS47" s="44"/>
      <c r="PKT47" s="44"/>
      <c r="PKU47" s="44"/>
      <c r="PKV47" s="44"/>
      <c r="PKW47" s="44"/>
      <c r="PKX47" s="44"/>
      <c r="PKY47" s="44"/>
      <c r="PKZ47" s="44"/>
      <c r="PLA47" s="44"/>
      <c r="PLB47" s="44"/>
      <c r="PLC47" s="44"/>
      <c r="PLD47" s="44"/>
      <c r="PLE47" s="44"/>
      <c r="PLF47" s="44"/>
      <c r="PLG47" s="44"/>
      <c r="PLH47" s="44"/>
      <c r="PLI47" s="44"/>
      <c r="PLJ47" s="44"/>
      <c r="PLK47" s="44"/>
      <c r="PLL47" s="44"/>
      <c r="PLM47" s="44"/>
      <c r="PLN47" s="44"/>
      <c r="PLO47" s="44"/>
      <c r="PLP47" s="44"/>
      <c r="PLQ47" s="44"/>
      <c r="PLR47" s="44"/>
      <c r="PLS47" s="44"/>
      <c r="PLT47" s="44"/>
      <c r="PLU47" s="44"/>
      <c r="PLV47" s="44"/>
      <c r="PLW47" s="44"/>
      <c r="PLX47" s="44"/>
      <c r="PLY47" s="44"/>
      <c r="PLZ47" s="44"/>
      <c r="PMA47" s="44"/>
      <c r="PMB47" s="44"/>
      <c r="PMC47" s="44"/>
      <c r="PMD47" s="44"/>
      <c r="PME47" s="44"/>
      <c r="PMF47" s="44"/>
      <c r="PMG47" s="44"/>
      <c r="PMH47" s="44"/>
      <c r="PMI47" s="44"/>
      <c r="PMJ47" s="44"/>
      <c r="PMK47" s="44"/>
      <c r="PML47" s="44"/>
      <c r="PMM47" s="44"/>
      <c r="PMN47" s="44"/>
      <c r="PMO47" s="44"/>
      <c r="PMP47" s="44"/>
      <c r="PMQ47" s="44"/>
      <c r="PMR47" s="44"/>
      <c r="PMS47" s="44"/>
      <c r="PMT47" s="44"/>
      <c r="PMU47" s="44"/>
      <c r="PMV47" s="44"/>
      <c r="PMW47" s="44"/>
      <c r="PMX47" s="44"/>
      <c r="PMY47" s="44"/>
      <c r="PMZ47" s="44"/>
      <c r="PNA47" s="44"/>
      <c r="PNB47" s="44"/>
      <c r="PNC47" s="44"/>
      <c r="PND47" s="44"/>
      <c r="PNE47" s="44"/>
      <c r="PNF47" s="44"/>
      <c r="PNG47" s="44"/>
      <c r="PNH47" s="44"/>
      <c r="PNI47" s="44"/>
      <c r="PNJ47" s="44"/>
      <c r="PNK47" s="44"/>
      <c r="PNL47" s="44"/>
      <c r="PNM47" s="44"/>
      <c r="PNN47" s="44"/>
      <c r="PNO47" s="44"/>
      <c r="PNP47" s="44"/>
      <c r="PNQ47" s="44"/>
      <c r="PNR47" s="44"/>
      <c r="PNS47" s="44"/>
      <c r="PNT47" s="44"/>
      <c r="PNU47" s="44"/>
      <c r="PNV47" s="44"/>
      <c r="PNW47" s="44"/>
      <c r="PNX47" s="44"/>
      <c r="PNY47" s="44"/>
      <c r="PNZ47" s="44"/>
      <c r="POA47" s="44"/>
      <c r="POB47" s="44"/>
      <c r="POC47" s="44"/>
      <c r="POD47" s="44"/>
      <c r="POE47" s="44"/>
      <c r="POF47" s="44"/>
      <c r="POG47" s="44"/>
      <c r="POH47" s="44"/>
      <c r="POI47" s="44"/>
      <c r="POJ47" s="44"/>
      <c r="POK47" s="44"/>
      <c r="POL47" s="44"/>
      <c r="POM47" s="44"/>
      <c r="PON47" s="44"/>
      <c r="POO47" s="44"/>
      <c r="POP47" s="44"/>
      <c r="POQ47" s="44"/>
      <c r="POR47" s="44"/>
      <c r="POS47" s="44"/>
      <c r="POT47" s="44"/>
      <c r="POU47" s="44"/>
      <c r="POV47" s="44"/>
      <c r="POW47" s="44"/>
      <c r="POX47" s="44"/>
      <c r="POY47" s="44"/>
      <c r="POZ47" s="44"/>
      <c r="PPA47" s="44"/>
      <c r="PPB47" s="44"/>
      <c r="PPC47" s="44"/>
      <c r="PPD47" s="44"/>
      <c r="PPE47" s="44"/>
      <c r="PPF47" s="44"/>
      <c r="PPG47" s="44"/>
      <c r="PPH47" s="44"/>
      <c r="PPI47" s="44"/>
      <c r="PPJ47" s="44"/>
      <c r="PPK47" s="44"/>
      <c r="PPL47" s="44"/>
      <c r="PPM47" s="44"/>
      <c r="PPN47" s="44"/>
      <c r="PPO47" s="44"/>
      <c r="PPP47" s="44"/>
      <c r="PPQ47" s="44"/>
      <c r="PPR47" s="44"/>
      <c r="PPS47" s="44"/>
      <c r="PPT47" s="44"/>
      <c r="PPU47" s="44"/>
      <c r="PPV47" s="44"/>
      <c r="PPW47" s="44"/>
      <c r="PPX47" s="44"/>
      <c r="PPY47" s="44"/>
      <c r="PPZ47" s="44"/>
      <c r="PQA47" s="44"/>
      <c r="PQB47" s="44"/>
      <c r="PQC47" s="44"/>
      <c r="PQD47" s="44"/>
      <c r="PQE47" s="44"/>
      <c r="PQF47" s="44"/>
      <c r="PQG47" s="44"/>
      <c r="PQH47" s="44"/>
      <c r="PQI47" s="44"/>
      <c r="PQJ47" s="44"/>
      <c r="PQK47" s="44"/>
      <c r="PQL47" s="44"/>
      <c r="PQM47" s="44"/>
      <c r="PQN47" s="44"/>
      <c r="PQO47" s="44"/>
      <c r="PQP47" s="44"/>
      <c r="PQQ47" s="44"/>
      <c r="PQR47" s="44"/>
      <c r="PQS47" s="44"/>
      <c r="PQT47" s="44"/>
      <c r="PQU47" s="44"/>
      <c r="PQV47" s="44"/>
      <c r="PQW47" s="44"/>
      <c r="PQX47" s="44"/>
      <c r="PQY47" s="44"/>
      <c r="PQZ47" s="44"/>
      <c r="PRA47" s="44"/>
      <c r="PRB47" s="44"/>
      <c r="PRC47" s="44"/>
      <c r="PRD47" s="44"/>
      <c r="PRE47" s="44"/>
      <c r="PRF47" s="44"/>
      <c r="PRG47" s="44"/>
      <c r="PRH47" s="44"/>
      <c r="PRI47" s="44"/>
      <c r="PRJ47" s="44"/>
      <c r="PRK47" s="44"/>
      <c r="PRL47" s="44"/>
      <c r="PRM47" s="44"/>
      <c r="PRN47" s="44"/>
      <c r="PRO47" s="44"/>
      <c r="PRP47" s="44"/>
      <c r="PRQ47" s="44"/>
      <c r="PRR47" s="44"/>
      <c r="PRS47" s="44"/>
      <c r="PRT47" s="44"/>
      <c r="PRU47" s="44"/>
      <c r="PRV47" s="44"/>
      <c r="PRW47" s="44"/>
      <c r="PRX47" s="44"/>
      <c r="PRY47" s="44"/>
      <c r="PRZ47" s="44"/>
      <c r="PSA47" s="44"/>
      <c r="PSB47" s="44"/>
      <c r="PSC47" s="44"/>
      <c r="PSD47" s="44"/>
      <c r="PSE47" s="44"/>
      <c r="PSF47" s="44"/>
      <c r="PSG47" s="44"/>
      <c r="PSH47" s="44"/>
      <c r="PSI47" s="44"/>
      <c r="PSJ47" s="44"/>
      <c r="PSK47" s="44"/>
      <c r="PSL47" s="44"/>
      <c r="PSM47" s="44"/>
      <c r="PSN47" s="44"/>
      <c r="PSO47" s="44"/>
      <c r="PSP47" s="44"/>
      <c r="PSQ47" s="44"/>
      <c r="PSR47" s="44"/>
      <c r="PSS47" s="44"/>
      <c r="PST47" s="44"/>
      <c r="PSU47" s="44"/>
      <c r="PSV47" s="44"/>
      <c r="PSW47" s="44"/>
      <c r="PSX47" s="44"/>
      <c r="PSY47" s="44"/>
      <c r="PSZ47" s="44"/>
      <c r="PTA47" s="44"/>
      <c r="PTB47" s="44"/>
      <c r="PTC47" s="44"/>
      <c r="PTD47" s="44"/>
      <c r="PTE47" s="44"/>
      <c r="PTF47" s="44"/>
      <c r="PTG47" s="44"/>
      <c r="PTH47" s="44"/>
      <c r="PTI47" s="44"/>
      <c r="PTJ47" s="44"/>
      <c r="PTK47" s="44"/>
      <c r="PTL47" s="44"/>
      <c r="PTM47" s="44"/>
      <c r="PTN47" s="44"/>
      <c r="PTO47" s="44"/>
      <c r="PTP47" s="44"/>
      <c r="PTQ47" s="44"/>
      <c r="PTR47" s="44"/>
      <c r="PTS47" s="44"/>
      <c r="PTT47" s="44"/>
      <c r="PTU47" s="44"/>
      <c r="PTV47" s="44"/>
      <c r="PTW47" s="44"/>
      <c r="PTX47" s="44"/>
      <c r="PTY47" s="44"/>
      <c r="PTZ47" s="44"/>
      <c r="PUA47" s="44"/>
      <c r="PUB47" s="44"/>
      <c r="PUC47" s="44"/>
      <c r="PUD47" s="44"/>
      <c r="PUE47" s="44"/>
      <c r="PUF47" s="44"/>
      <c r="PUG47" s="44"/>
      <c r="PUH47" s="44"/>
      <c r="PUI47" s="44"/>
      <c r="PUJ47" s="44"/>
      <c r="PUK47" s="44"/>
      <c r="PUL47" s="44"/>
      <c r="PUM47" s="44"/>
      <c r="PUN47" s="44"/>
      <c r="PUO47" s="44"/>
      <c r="PUP47" s="44"/>
      <c r="PUQ47" s="44"/>
      <c r="PUR47" s="44"/>
      <c r="PUS47" s="44"/>
      <c r="PUT47" s="44"/>
      <c r="PUU47" s="44"/>
      <c r="PUV47" s="44"/>
      <c r="PUW47" s="44"/>
      <c r="PUX47" s="44"/>
      <c r="PUY47" s="44"/>
      <c r="PUZ47" s="44"/>
      <c r="PVA47" s="44"/>
      <c r="PVB47" s="44"/>
      <c r="PVC47" s="44"/>
      <c r="PVD47" s="44"/>
      <c r="PVE47" s="44"/>
      <c r="PVF47" s="44"/>
      <c r="PVG47" s="44"/>
      <c r="PVH47" s="44"/>
      <c r="PVI47" s="44"/>
      <c r="PVJ47" s="44"/>
      <c r="PVK47" s="44"/>
      <c r="PVL47" s="44"/>
      <c r="PVM47" s="44"/>
      <c r="PVN47" s="44"/>
      <c r="PVO47" s="44"/>
      <c r="PVP47" s="44"/>
      <c r="PVQ47" s="44"/>
      <c r="PVR47" s="44"/>
      <c r="PVS47" s="44"/>
      <c r="PVT47" s="44"/>
      <c r="PVU47" s="44"/>
      <c r="PVV47" s="44"/>
      <c r="PVW47" s="44"/>
      <c r="PVX47" s="44"/>
      <c r="PVY47" s="44"/>
      <c r="PVZ47" s="44"/>
      <c r="PWA47" s="44"/>
      <c r="PWB47" s="44"/>
      <c r="PWC47" s="44"/>
      <c r="PWD47" s="44"/>
      <c r="PWE47" s="44"/>
      <c r="PWF47" s="44"/>
      <c r="PWG47" s="44"/>
      <c r="PWH47" s="44"/>
      <c r="PWI47" s="44"/>
      <c r="PWJ47" s="44"/>
      <c r="PWK47" s="44"/>
      <c r="PWL47" s="44"/>
      <c r="PWM47" s="44"/>
      <c r="PWN47" s="44"/>
      <c r="PWO47" s="44"/>
      <c r="PWP47" s="44"/>
      <c r="PWQ47" s="44"/>
      <c r="PWR47" s="44"/>
      <c r="PWS47" s="44"/>
      <c r="PWT47" s="44"/>
      <c r="PWU47" s="44"/>
      <c r="PWV47" s="44"/>
      <c r="PWW47" s="44"/>
      <c r="PWX47" s="44"/>
      <c r="PWY47" s="44"/>
      <c r="PWZ47" s="44"/>
      <c r="PXA47" s="44"/>
      <c r="PXB47" s="44"/>
      <c r="PXC47" s="44"/>
      <c r="PXD47" s="44"/>
      <c r="PXE47" s="44"/>
      <c r="PXF47" s="44"/>
      <c r="PXG47" s="44"/>
      <c r="PXH47" s="44"/>
      <c r="PXI47" s="44"/>
      <c r="PXJ47" s="44"/>
      <c r="PXK47" s="44"/>
      <c r="PXL47" s="44"/>
      <c r="PXM47" s="44"/>
      <c r="PXN47" s="44"/>
      <c r="PXO47" s="44"/>
      <c r="PXP47" s="44"/>
      <c r="PXQ47" s="44"/>
      <c r="PXR47" s="44"/>
      <c r="PXS47" s="44"/>
      <c r="PXT47" s="44"/>
      <c r="PXU47" s="44"/>
      <c r="PXV47" s="44"/>
      <c r="PXW47" s="44"/>
      <c r="PXX47" s="44"/>
      <c r="PXY47" s="44"/>
      <c r="PXZ47" s="44"/>
      <c r="PYA47" s="44"/>
      <c r="PYB47" s="44"/>
      <c r="PYC47" s="44"/>
      <c r="PYD47" s="44"/>
      <c r="PYE47" s="44"/>
      <c r="PYF47" s="44"/>
      <c r="PYG47" s="44"/>
      <c r="PYH47" s="44"/>
      <c r="PYI47" s="44"/>
      <c r="PYJ47" s="44"/>
      <c r="PYK47" s="44"/>
      <c r="PYL47" s="44"/>
      <c r="PYM47" s="44"/>
      <c r="PYN47" s="44"/>
      <c r="PYO47" s="44"/>
      <c r="PYP47" s="44"/>
      <c r="PYQ47" s="44"/>
      <c r="PYR47" s="44"/>
      <c r="PYS47" s="44"/>
      <c r="PYT47" s="44"/>
      <c r="PYU47" s="44"/>
      <c r="PYV47" s="44"/>
      <c r="PYW47" s="44"/>
      <c r="PYX47" s="44"/>
      <c r="PYY47" s="44"/>
      <c r="PYZ47" s="44"/>
      <c r="PZA47" s="44"/>
      <c r="PZB47" s="44"/>
      <c r="PZC47" s="44"/>
      <c r="PZD47" s="44"/>
      <c r="PZE47" s="44"/>
      <c r="PZF47" s="44"/>
      <c r="PZG47" s="44"/>
      <c r="PZH47" s="44"/>
      <c r="PZI47" s="44"/>
      <c r="PZJ47" s="44"/>
      <c r="PZK47" s="44"/>
      <c r="PZL47" s="44"/>
      <c r="PZM47" s="44"/>
      <c r="PZN47" s="44"/>
      <c r="PZO47" s="44"/>
      <c r="PZP47" s="44"/>
      <c r="PZQ47" s="44"/>
      <c r="PZR47" s="44"/>
      <c r="PZS47" s="44"/>
      <c r="PZT47" s="44"/>
      <c r="PZU47" s="44"/>
      <c r="PZV47" s="44"/>
      <c r="PZW47" s="44"/>
      <c r="PZX47" s="44"/>
      <c r="PZY47" s="44"/>
      <c r="PZZ47" s="44"/>
      <c r="QAA47" s="44"/>
      <c r="QAB47" s="44"/>
      <c r="QAC47" s="44"/>
      <c r="QAD47" s="44"/>
      <c r="QAE47" s="44"/>
      <c r="QAF47" s="44"/>
      <c r="QAG47" s="44"/>
      <c r="QAH47" s="44"/>
      <c r="QAI47" s="44"/>
      <c r="QAJ47" s="44"/>
      <c r="QAK47" s="44"/>
      <c r="QAL47" s="44"/>
      <c r="QAM47" s="44"/>
      <c r="QAN47" s="44"/>
      <c r="QAO47" s="44"/>
      <c r="QAP47" s="44"/>
      <c r="QAQ47" s="44"/>
      <c r="QAR47" s="44"/>
      <c r="QAS47" s="44"/>
      <c r="QAT47" s="44"/>
      <c r="QAU47" s="44"/>
      <c r="QAV47" s="44"/>
      <c r="QAW47" s="44"/>
      <c r="QAX47" s="44"/>
      <c r="QAY47" s="44"/>
      <c r="QAZ47" s="44"/>
      <c r="QBA47" s="44"/>
      <c r="QBB47" s="44"/>
      <c r="QBC47" s="44"/>
      <c r="QBD47" s="44"/>
      <c r="QBE47" s="44"/>
      <c r="QBF47" s="44"/>
      <c r="QBG47" s="44"/>
      <c r="QBH47" s="44"/>
      <c r="QBI47" s="44"/>
      <c r="QBJ47" s="44"/>
      <c r="QBK47" s="44"/>
      <c r="QBL47" s="44"/>
      <c r="QBM47" s="44"/>
      <c r="QBN47" s="44"/>
      <c r="QBO47" s="44"/>
      <c r="QBP47" s="44"/>
      <c r="QBQ47" s="44"/>
      <c r="QBR47" s="44"/>
      <c r="QBS47" s="44"/>
      <c r="QBT47" s="44"/>
      <c r="QBU47" s="44"/>
      <c r="QBV47" s="44"/>
      <c r="QBW47" s="44"/>
      <c r="QBX47" s="44"/>
      <c r="QBY47" s="44"/>
      <c r="QBZ47" s="44"/>
      <c r="QCA47" s="44"/>
      <c r="QCB47" s="44"/>
      <c r="QCC47" s="44"/>
      <c r="QCD47" s="44"/>
      <c r="QCE47" s="44"/>
      <c r="QCF47" s="44"/>
      <c r="QCG47" s="44"/>
      <c r="QCH47" s="44"/>
      <c r="QCI47" s="44"/>
      <c r="QCJ47" s="44"/>
      <c r="QCK47" s="44"/>
      <c r="QCL47" s="44"/>
      <c r="QCM47" s="44"/>
      <c r="QCN47" s="44"/>
      <c r="QCO47" s="44"/>
      <c r="QCP47" s="44"/>
      <c r="QCQ47" s="44"/>
      <c r="QCR47" s="44"/>
      <c r="QCS47" s="44"/>
      <c r="QCT47" s="44"/>
      <c r="QCU47" s="44"/>
      <c r="QCV47" s="44"/>
      <c r="QCW47" s="44"/>
      <c r="QCX47" s="44"/>
      <c r="QCY47" s="44"/>
      <c r="QCZ47" s="44"/>
      <c r="QDA47" s="44"/>
      <c r="QDB47" s="44"/>
      <c r="QDC47" s="44"/>
      <c r="QDD47" s="44"/>
      <c r="QDE47" s="44"/>
      <c r="QDF47" s="44"/>
      <c r="QDG47" s="44"/>
      <c r="QDH47" s="44"/>
      <c r="QDI47" s="44"/>
      <c r="QDJ47" s="44"/>
      <c r="QDK47" s="44"/>
      <c r="QDL47" s="44"/>
      <c r="QDM47" s="44"/>
      <c r="QDN47" s="44"/>
      <c r="QDO47" s="44"/>
      <c r="QDP47" s="44"/>
      <c r="QDQ47" s="44"/>
      <c r="QDR47" s="44"/>
      <c r="QDS47" s="44"/>
      <c r="QDT47" s="44"/>
      <c r="QDU47" s="44"/>
      <c r="QDV47" s="44"/>
      <c r="QDW47" s="44"/>
      <c r="QDX47" s="44"/>
      <c r="QDY47" s="44"/>
      <c r="QDZ47" s="44"/>
      <c r="QEA47" s="44"/>
      <c r="QEB47" s="44"/>
      <c r="QEC47" s="44"/>
      <c r="QED47" s="44"/>
      <c r="QEE47" s="44"/>
      <c r="QEF47" s="44"/>
      <c r="QEG47" s="44"/>
      <c r="QEH47" s="44"/>
      <c r="QEI47" s="44"/>
      <c r="QEJ47" s="44"/>
      <c r="QEK47" s="44"/>
      <c r="QEL47" s="44"/>
      <c r="QEM47" s="44"/>
      <c r="QEN47" s="44"/>
      <c r="QEO47" s="44"/>
      <c r="QEP47" s="44"/>
      <c r="QEQ47" s="44"/>
      <c r="QER47" s="44"/>
      <c r="QES47" s="44"/>
      <c r="QET47" s="44"/>
      <c r="QEU47" s="44"/>
      <c r="QEV47" s="44"/>
      <c r="QEW47" s="44"/>
      <c r="QEX47" s="44"/>
      <c r="QEY47" s="44"/>
      <c r="QEZ47" s="44"/>
      <c r="QFA47" s="44"/>
      <c r="QFB47" s="44"/>
      <c r="QFC47" s="44"/>
      <c r="QFD47" s="44"/>
      <c r="QFE47" s="44"/>
      <c r="QFF47" s="44"/>
      <c r="QFG47" s="44"/>
      <c r="QFH47" s="44"/>
      <c r="QFI47" s="44"/>
      <c r="QFJ47" s="44"/>
      <c r="QFK47" s="44"/>
      <c r="QFL47" s="44"/>
      <c r="QFM47" s="44"/>
      <c r="QFN47" s="44"/>
      <c r="QFO47" s="44"/>
      <c r="QFP47" s="44"/>
      <c r="QFQ47" s="44"/>
      <c r="QFR47" s="44"/>
      <c r="QFS47" s="44"/>
      <c r="QFT47" s="44"/>
      <c r="QFU47" s="44"/>
      <c r="QFV47" s="44"/>
      <c r="QFW47" s="44"/>
      <c r="QFX47" s="44"/>
      <c r="QFY47" s="44"/>
      <c r="QFZ47" s="44"/>
      <c r="QGA47" s="44"/>
      <c r="QGB47" s="44"/>
      <c r="QGC47" s="44"/>
      <c r="QGD47" s="44"/>
      <c r="QGE47" s="44"/>
      <c r="QGF47" s="44"/>
      <c r="QGG47" s="44"/>
      <c r="QGH47" s="44"/>
      <c r="QGI47" s="44"/>
      <c r="QGJ47" s="44"/>
      <c r="QGK47" s="44"/>
      <c r="QGL47" s="44"/>
      <c r="QGM47" s="44"/>
      <c r="QGN47" s="44"/>
      <c r="QGO47" s="44"/>
      <c r="QGP47" s="44"/>
      <c r="QGQ47" s="44"/>
      <c r="QGR47" s="44"/>
      <c r="QGS47" s="44"/>
      <c r="QGT47" s="44"/>
      <c r="QGU47" s="44"/>
      <c r="QGV47" s="44"/>
      <c r="QGW47" s="44"/>
      <c r="QGX47" s="44"/>
      <c r="QGY47" s="44"/>
      <c r="QGZ47" s="44"/>
      <c r="QHA47" s="44"/>
      <c r="QHB47" s="44"/>
      <c r="QHC47" s="44"/>
      <c r="QHD47" s="44"/>
      <c r="QHE47" s="44"/>
      <c r="QHF47" s="44"/>
      <c r="QHG47" s="44"/>
      <c r="QHH47" s="44"/>
      <c r="QHI47" s="44"/>
      <c r="QHJ47" s="44"/>
      <c r="QHK47" s="44"/>
      <c r="QHL47" s="44"/>
      <c r="QHM47" s="44"/>
      <c r="QHN47" s="44"/>
      <c r="QHO47" s="44"/>
      <c r="QHP47" s="44"/>
      <c r="QHQ47" s="44"/>
      <c r="QHR47" s="44"/>
      <c r="QHS47" s="44"/>
      <c r="QHT47" s="44"/>
      <c r="QHU47" s="44"/>
      <c r="QHV47" s="44"/>
      <c r="QHW47" s="44"/>
      <c r="QHX47" s="44"/>
      <c r="QHY47" s="44"/>
      <c r="QHZ47" s="44"/>
      <c r="QIA47" s="44"/>
      <c r="QIB47" s="44"/>
      <c r="QIC47" s="44"/>
      <c r="QID47" s="44"/>
      <c r="QIE47" s="44"/>
      <c r="QIF47" s="44"/>
      <c r="QIG47" s="44"/>
      <c r="QIH47" s="44"/>
      <c r="QII47" s="44"/>
      <c r="QIJ47" s="44"/>
      <c r="QIK47" s="44"/>
      <c r="QIL47" s="44"/>
      <c r="QIM47" s="44"/>
      <c r="QIN47" s="44"/>
      <c r="QIO47" s="44"/>
      <c r="QIP47" s="44"/>
      <c r="QIQ47" s="44"/>
      <c r="QIR47" s="44"/>
      <c r="QIS47" s="44"/>
      <c r="QIT47" s="44"/>
      <c r="QIU47" s="44"/>
      <c r="QIV47" s="44"/>
      <c r="QIW47" s="44"/>
      <c r="QIX47" s="44"/>
      <c r="QIY47" s="44"/>
      <c r="QIZ47" s="44"/>
      <c r="QJA47" s="44"/>
      <c r="QJB47" s="44"/>
      <c r="QJC47" s="44"/>
      <c r="QJD47" s="44"/>
      <c r="QJE47" s="44"/>
      <c r="QJF47" s="44"/>
      <c r="QJG47" s="44"/>
      <c r="QJH47" s="44"/>
      <c r="QJI47" s="44"/>
      <c r="QJJ47" s="44"/>
      <c r="QJK47" s="44"/>
      <c r="QJL47" s="44"/>
      <c r="QJM47" s="44"/>
      <c r="QJN47" s="44"/>
      <c r="QJO47" s="44"/>
      <c r="QJP47" s="44"/>
      <c r="QJQ47" s="44"/>
      <c r="QJR47" s="44"/>
      <c r="QJS47" s="44"/>
      <c r="QJT47" s="44"/>
      <c r="QJU47" s="44"/>
      <c r="QJV47" s="44"/>
      <c r="QJW47" s="44"/>
      <c r="QJX47" s="44"/>
      <c r="QJY47" s="44"/>
      <c r="QJZ47" s="44"/>
      <c r="QKA47" s="44"/>
      <c r="QKB47" s="44"/>
      <c r="QKC47" s="44"/>
      <c r="QKD47" s="44"/>
      <c r="QKE47" s="44"/>
      <c r="QKF47" s="44"/>
      <c r="QKG47" s="44"/>
      <c r="QKH47" s="44"/>
      <c r="QKI47" s="44"/>
      <c r="QKJ47" s="44"/>
      <c r="QKK47" s="44"/>
      <c r="QKL47" s="44"/>
      <c r="QKM47" s="44"/>
      <c r="QKN47" s="44"/>
      <c r="QKO47" s="44"/>
      <c r="QKP47" s="44"/>
      <c r="QKQ47" s="44"/>
      <c r="QKR47" s="44"/>
      <c r="QKS47" s="44"/>
      <c r="QKT47" s="44"/>
      <c r="QKU47" s="44"/>
      <c r="QKV47" s="44"/>
      <c r="QKW47" s="44"/>
      <c r="QKX47" s="44"/>
      <c r="QKY47" s="44"/>
      <c r="QKZ47" s="44"/>
      <c r="QLA47" s="44"/>
      <c r="QLB47" s="44"/>
      <c r="QLC47" s="44"/>
      <c r="QLD47" s="44"/>
      <c r="QLE47" s="44"/>
      <c r="QLF47" s="44"/>
      <c r="QLG47" s="44"/>
      <c r="QLH47" s="44"/>
      <c r="QLI47" s="44"/>
      <c r="QLJ47" s="44"/>
      <c r="QLK47" s="44"/>
      <c r="QLL47" s="44"/>
      <c r="QLM47" s="44"/>
      <c r="QLN47" s="44"/>
      <c r="QLO47" s="44"/>
      <c r="QLP47" s="44"/>
      <c r="QLQ47" s="44"/>
      <c r="QLR47" s="44"/>
      <c r="QLS47" s="44"/>
      <c r="QLT47" s="44"/>
      <c r="QLU47" s="44"/>
      <c r="QLV47" s="44"/>
      <c r="QLW47" s="44"/>
      <c r="QLX47" s="44"/>
      <c r="QLY47" s="44"/>
      <c r="QLZ47" s="44"/>
      <c r="QMA47" s="44"/>
      <c r="QMB47" s="44"/>
      <c r="QMC47" s="44"/>
      <c r="QMD47" s="44"/>
      <c r="QME47" s="44"/>
      <c r="QMF47" s="44"/>
      <c r="QMG47" s="44"/>
      <c r="QMH47" s="44"/>
      <c r="QMI47" s="44"/>
      <c r="QMJ47" s="44"/>
      <c r="QMK47" s="44"/>
      <c r="QML47" s="44"/>
      <c r="QMM47" s="44"/>
      <c r="QMN47" s="44"/>
      <c r="QMO47" s="44"/>
      <c r="QMP47" s="44"/>
      <c r="QMQ47" s="44"/>
      <c r="QMR47" s="44"/>
      <c r="QMS47" s="44"/>
      <c r="QMT47" s="44"/>
      <c r="QMU47" s="44"/>
      <c r="QMV47" s="44"/>
      <c r="QMW47" s="44"/>
      <c r="QMX47" s="44"/>
      <c r="QMY47" s="44"/>
      <c r="QMZ47" s="44"/>
      <c r="QNA47" s="44"/>
      <c r="QNB47" s="44"/>
      <c r="QNC47" s="44"/>
      <c r="QND47" s="44"/>
      <c r="QNE47" s="44"/>
      <c r="QNF47" s="44"/>
      <c r="QNG47" s="44"/>
      <c r="QNH47" s="44"/>
      <c r="QNI47" s="44"/>
      <c r="QNJ47" s="44"/>
      <c r="QNK47" s="44"/>
      <c r="QNL47" s="44"/>
      <c r="QNM47" s="44"/>
      <c r="QNN47" s="44"/>
      <c r="QNO47" s="44"/>
      <c r="QNP47" s="44"/>
      <c r="QNQ47" s="44"/>
      <c r="QNR47" s="44"/>
      <c r="QNS47" s="44"/>
      <c r="QNT47" s="44"/>
      <c r="QNU47" s="44"/>
      <c r="QNV47" s="44"/>
      <c r="QNW47" s="44"/>
      <c r="QNX47" s="44"/>
      <c r="QNY47" s="44"/>
      <c r="QNZ47" s="44"/>
      <c r="QOA47" s="44"/>
      <c r="QOB47" s="44"/>
      <c r="QOC47" s="44"/>
      <c r="QOD47" s="44"/>
      <c r="QOE47" s="44"/>
      <c r="QOF47" s="44"/>
      <c r="QOG47" s="44"/>
      <c r="QOH47" s="44"/>
      <c r="QOI47" s="44"/>
      <c r="QOJ47" s="44"/>
      <c r="QOK47" s="44"/>
      <c r="QOL47" s="44"/>
      <c r="QOM47" s="44"/>
      <c r="QON47" s="44"/>
      <c r="QOO47" s="44"/>
      <c r="QOP47" s="44"/>
      <c r="QOQ47" s="44"/>
      <c r="QOR47" s="44"/>
      <c r="QOS47" s="44"/>
      <c r="QOT47" s="44"/>
      <c r="QOU47" s="44"/>
      <c r="QOV47" s="44"/>
      <c r="QOW47" s="44"/>
      <c r="QOX47" s="44"/>
      <c r="QOY47" s="44"/>
      <c r="QOZ47" s="44"/>
      <c r="QPA47" s="44"/>
      <c r="QPB47" s="44"/>
      <c r="QPC47" s="44"/>
      <c r="QPD47" s="44"/>
      <c r="QPE47" s="44"/>
      <c r="QPF47" s="44"/>
      <c r="QPG47" s="44"/>
      <c r="QPH47" s="44"/>
      <c r="QPI47" s="44"/>
      <c r="QPJ47" s="44"/>
      <c r="QPK47" s="44"/>
      <c r="QPL47" s="44"/>
      <c r="QPM47" s="44"/>
      <c r="QPN47" s="44"/>
      <c r="QPO47" s="44"/>
      <c r="QPP47" s="44"/>
      <c r="QPQ47" s="44"/>
      <c r="QPR47" s="44"/>
      <c r="QPS47" s="44"/>
      <c r="QPT47" s="44"/>
      <c r="QPU47" s="44"/>
      <c r="QPV47" s="44"/>
      <c r="QPW47" s="44"/>
      <c r="QPX47" s="44"/>
      <c r="QPY47" s="44"/>
      <c r="QPZ47" s="44"/>
      <c r="QQA47" s="44"/>
      <c r="QQB47" s="44"/>
      <c r="QQC47" s="44"/>
      <c r="QQD47" s="44"/>
      <c r="QQE47" s="44"/>
      <c r="QQF47" s="44"/>
      <c r="QQG47" s="44"/>
      <c r="QQH47" s="44"/>
      <c r="QQI47" s="44"/>
      <c r="QQJ47" s="44"/>
      <c r="QQK47" s="44"/>
      <c r="QQL47" s="44"/>
      <c r="QQM47" s="44"/>
      <c r="QQN47" s="44"/>
      <c r="QQO47" s="44"/>
      <c r="QQP47" s="44"/>
      <c r="QQQ47" s="44"/>
      <c r="QQR47" s="44"/>
      <c r="QQS47" s="44"/>
      <c r="QQT47" s="44"/>
      <c r="QQU47" s="44"/>
      <c r="QQV47" s="44"/>
      <c r="QQW47" s="44"/>
      <c r="QQX47" s="44"/>
      <c r="QQY47" s="44"/>
      <c r="QQZ47" s="44"/>
      <c r="QRA47" s="44"/>
      <c r="QRB47" s="44"/>
      <c r="QRC47" s="44"/>
      <c r="QRD47" s="44"/>
      <c r="QRE47" s="44"/>
      <c r="QRF47" s="44"/>
      <c r="QRG47" s="44"/>
      <c r="QRH47" s="44"/>
      <c r="QRI47" s="44"/>
      <c r="QRJ47" s="44"/>
      <c r="QRK47" s="44"/>
      <c r="QRL47" s="44"/>
      <c r="QRM47" s="44"/>
      <c r="QRN47" s="44"/>
      <c r="QRO47" s="44"/>
      <c r="QRP47" s="44"/>
      <c r="QRQ47" s="44"/>
      <c r="QRR47" s="44"/>
      <c r="QRS47" s="44"/>
      <c r="QRT47" s="44"/>
      <c r="QRU47" s="44"/>
      <c r="QRV47" s="44"/>
      <c r="QRW47" s="44"/>
      <c r="QRX47" s="44"/>
      <c r="QRY47" s="44"/>
      <c r="QRZ47" s="44"/>
      <c r="QSA47" s="44"/>
      <c r="QSB47" s="44"/>
      <c r="QSC47" s="44"/>
      <c r="QSD47" s="44"/>
      <c r="QSE47" s="44"/>
      <c r="QSF47" s="44"/>
      <c r="QSG47" s="44"/>
      <c r="QSH47" s="44"/>
      <c r="QSI47" s="44"/>
      <c r="QSJ47" s="44"/>
      <c r="QSK47" s="44"/>
      <c r="QSL47" s="44"/>
      <c r="QSM47" s="44"/>
      <c r="QSN47" s="44"/>
      <c r="QSO47" s="44"/>
      <c r="QSP47" s="44"/>
      <c r="QSQ47" s="44"/>
      <c r="QSR47" s="44"/>
      <c r="QSS47" s="44"/>
      <c r="QST47" s="44"/>
      <c r="QSU47" s="44"/>
      <c r="QSV47" s="44"/>
      <c r="QSW47" s="44"/>
      <c r="QSX47" s="44"/>
      <c r="QSY47" s="44"/>
      <c r="QSZ47" s="44"/>
      <c r="QTA47" s="44"/>
      <c r="QTB47" s="44"/>
      <c r="QTC47" s="44"/>
      <c r="QTD47" s="44"/>
      <c r="QTE47" s="44"/>
      <c r="QTF47" s="44"/>
      <c r="QTG47" s="44"/>
      <c r="QTH47" s="44"/>
      <c r="QTI47" s="44"/>
      <c r="QTJ47" s="44"/>
      <c r="QTK47" s="44"/>
      <c r="QTL47" s="44"/>
      <c r="QTM47" s="44"/>
      <c r="QTN47" s="44"/>
      <c r="QTO47" s="44"/>
      <c r="QTP47" s="44"/>
      <c r="QTQ47" s="44"/>
      <c r="QTR47" s="44"/>
      <c r="QTS47" s="44"/>
      <c r="QTT47" s="44"/>
      <c r="QTU47" s="44"/>
      <c r="QTV47" s="44"/>
      <c r="QTW47" s="44"/>
      <c r="QTX47" s="44"/>
      <c r="QTY47" s="44"/>
      <c r="QTZ47" s="44"/>
      <c r="QUA47" s="44"/>
      <c r="QUB47" s="44"/>
      <c r="QUC47" s="44"/>
      <c r="QUD47" s="44"/>
      <c r="QUE47" s="44"/>
      <c r="QUF47" s="44"/>
      <c r="QUG47" s="44"/>
      <c r="QUH47" s="44"/>
      <c r="QUI47" s="44"/>
      <c r="QUJ47" s="44"/>
      <c r="QUK47" s="44"/>
      <c r="QUL47" s="44"/>
      <c r="QUM47" s="44"/>
      <c r="QUN47" s="44"/>
      <c r="QUO47" s="44"/>
      <c r="QUP47" s="44"/>
      <c r="QUQ47" s="44"/>
      <c r="QUR47" s="44"/>
      <c r="QUS47" s="44"/>
      <c r="QUT47" s="44"/>
      <c r="QUU47" s="44"/>
      <c r="QUV47" s="44"/>
      <c r="QUW47" s="44"/>
      <c r="QUX47" s="44"/>
      <c r="QUY47" s="44"/>
      <c r="QUZ47" s="44"/>
      <c r="QVA47" s="44"/>
      <c r="QVB47" s="44"/>
      <c r="QVC47" s="44"/>
      <c r="QVD47" s="44"/>
      <c r="QVE47" s="44"/>
      <c r="QVF47" s="44"/>
      <c r="QVG47" s="44"/>
      <c r="QVH47" s="44"/>
      <c r="QVI47" s="44"/>
      <c r="QVJ47" s="44"/>
      <c r="QVK47" s="44"/>
      <c r="QVL47" s="44"/>
      <c r="QVM47" s="44"/>
      <c r="QVN47" s="44"/>
      <c r="QVO47" s="44"/>
      <c r="QVP47" s="44"/>
      <c r="QVQ47" s="44"/>
      <c r="QVR47" s="44"/>
      <c r="QVS47" s="44"/>
      <c r="QVT47" s="44"/>
      <c r="QVU47" s="44"/>
      <c r="QVV47" s="44"/>
      <c r="QVW47" s="44"/>
      <c r="QVX47" s="44"/>
      <c r="QVY47" s="44"/>
      <c r="QVZ47" s="44"/>
      <c r="QWA47" s="44"/>
      <c r="QWB47" s="44"/>
      <c r="QWC47" s="44"/>
      <c r="QWD47" s="44"/>
      <c r="QWE47" s="44"/>
      <c r="QWF47" s="44"/>
      <c r="QWG47" s="44"/>
      <c r="QWH47" s="44"/>
      <c r="QWI47" s="44"/>
      <c r="QWJ47" s="44"/>
      <c r="QWK47" s="44"/>
      <c r="QWL47" s="44"/>
      <c r="QWM47" s="44"/>
      <c r="QWN47" s="44"/>
      <c r="QWO47" s="44"/>
      <c r="QWP47" s="44"/>
      <c r="QWQ47" s="44"/>
      <c r="QWR47" s="44"/>
      <c r="QWS47" s="44"/>
      <c r="QWT47" s="44"/>
      <c r="QWU47" s="44"/>
      <c r="QWV47" s="44"/>
      <c r="QWW47" s="44"/>
      <c r="QWX47" s="44"/>
      <c r="QWY47" s="44"/>
      <c r="QWZ47" s="44"/>
      <c r="QXA47" s="44"/>
      <c r="QXB47" s="44"/>
      <c r="QXC47" s="44"/>
      <c r="QXD47" s="44"/>
      <c r="QXE47" s="44"/>
      <c r="QXF47" s="44"/>
      <c r="QXG47" s="44"/>
      <c r="QXH47" s="44"/>
      <c r="QXI47" s="44"/>
      <c r="QXJ47" s="44"/>
      <c r="QXK47" s="44"/>
      <c r="QXL47" s="44"/>
      <c r="QXM47" s="44"/>
      <c r="QXN47" s="44"/>
      <c r="QXO47" s="44"/>
      <c r="QXP47" s="44"/>
      <c r="QXQ47" s="44"/>
      <c r="QXR47" s="44"/>
      <c r="QXS47" s="44"/>
      <c r="QXT47" s="44"/>
      <c r="QXU47" s="44"/>
      <c r="QXV47" s="44"/>
      <c r="QXW47" s="44"/>
      <c r="QXX47" s="44"/>
      <c r="QXY47" s="44"/>
      <c r="QXZ47" s="44"/>
      <c r="QYA47" s="44"/>
      <c r="QYB47" s="44"/>
      <c r="QYC47" s="44"/>
      <c r="QYD47" s="44"/>
      <c r="QYE47" s="44"/>
      <c r="QYF47" s="44"/>
      <c r="QYG47" s="44"/>
      <c r="QYH47" s="44"/>
      <c r="QYI47" s="44"/>
      <c r="QYJ47" s="44"/>
      <c r="QYK47" s="44"/>
      <c r="QYL47" s="44"/>
      <c r="QYM47" s="44"/>
      <c r="QYN47" s="44"/>
      <c r="QYO47" s="44"/>
      <c r="QYP47" s="44"/>
      <c r="QYQ47" s="44"/>
      <c r="QYR47" s="44"/>
      <c r="QYS47" s="44"/>
      <c r="QYT47" s="44"/>
      <c r="QYU47" s="44"/>
      <c r="QYV47" s="44"/>
      <c r="QYW47" s="44"/>
      <c r="QYX47" s="44"/>
      <c r="QYY47" s="44"/>
      <c r="QYZ47" s="44"/>
      <c r="QZA47" s="44"/>
      <c r="QZB47" s="44"/>
      <c r="QZC47" s="44"/>
      <c r="QZD47" s="44"/>
      <c r="QZE47" s="44"/>
      <c r="QZF47" s="44"/>
      <c r="QZG47" s="44"/>
      <c r="QZH47" s="44"/>
      <c r="QZI47" s="44"/>
      <c r="QZJ47" s="44"/>
      <c r="QZK47" s="44"/>
      <c r="QZL47" s="44"/>
      <c r="QZM47" s="44"/>
      <c r="QZN47" s="44"/>
      <c r="QZO47" s="44"/>
      <c r="QZP47" s="44"/>
      <c r="QZQ47" s="44"/>
      <c r="QZR47" s="44"/>
      <c r="QZS47" s="44"/>
      <c r="QZT47" s="44"/>
      <c r="QZU47" s="44"/>
      <c r="QZV47" s="44"/>
      <c r="QZW47" s="44"/>
      <c r="QZX47" s="44"/>
      <c r="QZY47" s="44"/>
      <c r="QZZ47" s="44"/>
      <c r="RAA47" s="44"/>
      <c r="RAB47" s="44"/>
      <c r="RAC47" s="44"/>
      <c r="RAD47" s="44"/>
      <c r="RAE47" s="44"/>
      <c r="RAF47" s="44"/>
      <c r="RAG47" s="44"/>
      <c r="RAH47" s="44"/>
      <c r="RAI47" s="44"/>
      <c r="RAJ47" s="44"/>
      <c r="RAK47" s="44"/>
      <c r="RAL47" s="44"/>
      <c r="RAM47" s="44"/>
      <c r="RAN47" s="44"/>
      <c r="RAO47" s="44"/>
      <c r="RAP47" s="44"/>
      <c r="RAQ47" s="44"/>
      <c r="RAR47" s="44"/>
      <c r="RAS47" s="44"/>
      <c r="RAT47" s="44"/>
      <c r="RAU47" s="44"/>
      <c r="RAV47" s="44"/>
      <c r="RAW47" s="44"/>
      <c r="RAX47" s="44"/>
      <c r="RAY47" s="44"/>
      <c r="RAZ47" s="44"/>
      <c r="RBA47" s="44"/>
      <c r="RBB47" s="44"/>
      <c r="RBC47" s="44"/>
      <c r="RBD47" s="44"/>
      <c r="RBE47" s="44"/>
      <c r="RBF47" s="44"/>
      <c r="RBG47" s="44"/>
      <c r="RBH47" s="44"/>
      <c r="RBI47" s="44"/>
      <c r="RBJ47" s="44"/>
      <c r="RBK47" s="44"/>
      <c r="RBL47" s="44"/>
      <c r="RBM47" s="44"/>
      <c r="RBN47" s="44"/>
      <c r="RBO47" s="44"/>
      <c r="RBP47" s="44"/>
      <c r="RBQ47" s="44"/>
      <c r="RBR47" s="44"/>
      <c r="RBS47" s="44"/>
      <c r="RBT47" s="44"/>
      <c r="RBU47" s="44"/>
      <c r="RBV47" s="44"/>
      <c r="RBW47" s="44"/>
      <c r="RBX47" s="44"/>
      <c r="RBY47" s="44"/>
      <c r="RBZ47" s="44"/>
      <c r="RCA47" s="44"/>
      <c r="RCB47" s="44"/>
      <c r="RCC47" s="44"/>
      <c r="RCD47" s="44"/>
      <c r="RCE47" s="44"/>
      <c r="RCF47" s="44"/>
      <c r="RCG47" s="44"/>
      <c r="RCH47" s="44"/>
      <c r="RCI47" s="44"/>
      <c r="RCJ47" s="44"/>
      <c r="RCK47" s="44"/>
      <c r="RCL47" s="44"/>
      <c r="RCM47" s="44"/>
      <c r="RCN47" s="44"/>
      <c r="RCO47" s="44"/>
      <c r="RCP47" s="44"/>
      <c r="RCQ47" s="44"/>
      <c r="RCR47" s="44"/>
      <c r="RCS47" s="44"/>
      <c r="RCT47" s="44"/>
      <c r="RCU47" s="44"/>
      <c r="RCV47" s="44"/>
      <c r="RCW47" s="44"/>
      <c r="RCX47" s="44"/>
      <c r="RCY47" s="44"/>
      <c r="RCZ47" s="44"/>
      <c r="RDA47" s="44"/>
      <c r="RDB47" s="44"/>
      <c r="RDC47" s="44"/>
      <c r="RDD47" s="44"/>
      <c r="RDE47" s="44"/>
      <c r="RDF47" s="44"/>
      <c r="RDG47" s="44"/>
      <c r="RDH47" s="44"/>
      <c r="RDI47" s="44"/>
      <c r="RDJ47" s="44"/>
      <c r="RDK47" s="44"/>
      <c r="RDL47" s="44"/>
      <c r="RDM47" s="44"/>
      <c r="RDN47" s="44"/>
      <c r="RDO47" s="44"/>
      <c r="RDP47" s="44"/>
      <c r="RDQ47" s="44"/>
      <c r="RDR47" s="44"/>
      <c r="RDS47" s="44"/>
      <c r="RDT47" s="44"/>
      <c r="RDU47" s="44"/>
      <c r="RDV47" s="44"/>
      <c r="RDW47" s="44"/>
      <c r="RDX47" s="44"/>
      <c r="RDY47" s="44"/>
      <c r="RDZ47" s="44"/>
      <c r="REA47" s="44"/>
      <c r="REB47" s="44"/>
      <c r="REC47" s="44"/>
      <c r="RED47" s="44"/>
      <c r="REE47" s="44"/>
      <c r="REF47" s="44"/>
      <c r="REG47" s="44"/>
      <c r="REH47" s="44"/>
      <c r="REI47" s="44"/>
      <c r="REJ47" s="44"/>
      <c r="REK47" s="44"/>
      <c r="REL47" s="44"/>
      <c r="REM47" s="44"/>
      <c r="REN47" s="44"/>
      <c r="REO47" s="44"/>
      <c r="REP47" s="44"/>
      <c r="REQ47" s="44"/>
      <c r="RER47" s="44"/>
      <c r="RES47" s="44"/>
      <c r="RET47" s="44"/>
      <c r="REU47" s="44"/>
      <c r="REV47" s="44"/>
      <c r="REW47" s="44"/>
      <c r="REX47" s="44"/>
      <c r="REY47" s="44"/>
      <c r="REZ47" s="44"/>
      <c r="RFA47" s="44"/>
      <c r="RFB47" s="44"/>
      <c r="RFC47" s="44"/>
      <c r="RFD47" s="44"/>
      <c r="RFE47" s="44"/>
      <c r="RFF47" s="44"/>
      <c r="RFG47" s="44"/>
      <c r="RFH47" s="44"/>
      <c r="RFI47" s="44"/>
      <c r="RFJ47" s="44"/>
      <c r="RFK47" s="44"/>
      <c r="RFL47" s="44"/>
      <c r="RFM47" s="44"/>
      <c r="RFN47" s="44"/>
      <c r="RFO47" s="44"/>
      <c r="RFP47" s="44"/>
      <c r="RFQ47" s="44"/>
      <c r="RFR47" s="44"/>
      <c r="RFS47" s="44"/>
      <c r="RFT47" s="44"/>
      <c r="RFU47" s="44"/>
      <c r="RFV47" s="44"/>
      <c r="RFW47" s="44"/>
      <c r="RFX47" s="44"/>
      <c r="RFY47" s="44"/>
      <c r="RFZ47" s="44"/>
      <c r="RGA47" s="44"/>
      <c r="RGB47" s="44"/>
      <c r="RGC47" s="44"/>
      <c r="RGD47" s="44"/>
      <c r="RGE47" s="44"/>
      <c r="RGF47" s="44"/>
      <c r="RGG47" s="44"/>
      <c r="RGH47" s="44"/>
      <c r="RGI47" s="44"/>
      <c r="RGJ47" s="44"/>
      <c r="RGK47" s="44"/>
      <c r="RGL47" s="44"/>
      <c r="RGM47" s="44"/>
      <c r="RGN47" s="44"/>
      <c r="RGO47" s="44"/>
      <c r="RGP47" s="44"/>
      <c r="RGQ47" s="44"/>
      <c r="RGR47" s="44"/>
      <c r="RGS47" s="44"/>
      <c r="RGT47" s="44"/>
      <c r="RGU47" s="44"/>
      <c r="RGV47" s="44"/>
      <c r="RGW47" s="44"/>
      <c r="RGX47" s="44"/>
      <c r="RGY47" s="44"/>
      <c r="RGZ47" s="44"/>
      <c r="RHA47" s="44"/>
      <c r="RHB47" s="44"/>
      <c r="RHC47" s="44"/>
      <c r="RHD47" s="44"/>
      <c r="RHE47" s="44"/>
      <c r="RHF47" s="44"/>
      <c r="RHG47" s="44"/>
      <c r="RHH47" s="44"/>
      <c r="RHI47" s="44"/>
      <c r="RHJ47" s="44"/>
      <c r="RHK47" s="44"/>
      <c r="RHL47" s="44"/>
      <c r="RHM47" s="44"/>
      <c r="RHN47" s="44"/>
      <c r="RHO47" s="44"/>
      <c r="RHP47" s="44"/>
      <c r="RHQ47" s="44"/>
      <c r="RHR47" s="44"/>
      <c r="RHS47" s="44"/>
      <c r="RHT47" s="44"/>
      <c r="RHU47" s="44"/>
      <c r="RHV47" s="44"/>
      <c r="RHW47" s="44"/>
      <c r="RHX47" s="44"/>
      <c r="RHY47" s="44"/>
      <c r="RHZ47" s="44"/>
      <c r="RIA47" s="44"/>
      <c r="RIB47" s="44"/>
      <c r="RIC47" s="44"/>
      <c r="RID47" s="44"/>
      <c r="RIE47" s="44"/>
      <c r="RIF47" s="44"/>
      <c r="RIG47" s="44"/>
      <c r="RIH47" s="44"/>
      <c r="RII47" s="44"/>
      <c r="RIJ47" s="44"/>
      <c r="RIK47" s="44"/>
      <c r="RIL47" s="44"/>
      <c r="RIM47" s="44"/>
      <c r="RIN47" s="44"/>
      <c r="RIO47" s="44"/>
      <c r="RIP47" s="44"/>
      <c r="RIQ47" s="44"/>
      <c r="RIR47" s="44"/>
      <c r="RIS47" s="44"/>
      <c r="RIT47" s="44"/>
      <c r="RIU47" s="44"/>
      <c r="RIV47" s="44"/>
      <c r="RIW47" s="44"/>
      <c r="RIX47" s="44"/>
      <c r="RIY47" s="44"/>
      <c r="RIZ47" s="44"/>
      <c r="RJA47" s="44"/>
      <c r="RJB47" s="44"/>
      <c r="RJC47" s="44"/>
      <c r="RJD47" s="44"/>
      <c r="RJE47" s="44"/>
      <c r="RJF47" s="44"/>
      <c r="RJG47" s="44"/>
      <c r="RJH47" s="44"/>
      <c r="RJI47" s="44"/>
      <c r="RJJ47" s="44"/>
      <c r="RJK47" s="44"/>
      <c r="RJL47" s="44"/>
      <c r="RJM47" s="44"/>
      <c r="RJN47" s="44"/>
      <c r="RJO47" s="44"/>
      <c r="RJP47" s="44"/>
      <c r="RJQ47" s="44"/>
      <c r="RJR47" s="44"/>
      <c r="RJS47" s="44"/>
      <c r="RJT47" s="44"/>
      <c r="RJU47" s="44"/>
      <c r="RJV47" s="44"/>
      <c r="RJW47" s="44"/>
      <c r="RJX47" s="44"/>
      <c r="RJY47" s="44"/>
      <c r="RJZ47" s="44"/>
      <c r="RKA47" s="44"/>
      <c r="RKB47" s="44"/>
      <c r="RKC47" s="44"/>
      <c r="RKD47" s="44"/>
      <c r="RKE47" s="44"/>
      <c r="RKF47" s="44"/>
      <c r="RKG47" s="44"/>
      <c r="RKH47" s="44"/>
      <c r="RKI47" s="44"/>
      <c r="RKJ47" s="44"/>
      <c r="RKK47" s="44"/>
      <c r="RKL47" s="44"/>
      <c r="RKM47" s="44"/>
      <c r="RKN47" s="44"/>
      <c r="RKO47" s="44"/>
      <c r="RKP47" s="44"/>
      <c r="RKQ47" s="44"/>
      <c r="RKR47" s="44"/>
      <c r="RKS47" s="44"/>
      <c r="RKT47" s="44"/>
      <c r="RKU47" s="44"/>
      <c r="RKV47" s="44"/>
      <c r="RKW47" s="44"/>
      <c r="RKX47" s="44"/>
      <c r="RKY47" s="44"/>
      <c r="RKZ47" s="44"/>
      <c r="RLA47" s="44"/>
      <c r="RLB47" s="44"/>
      <c r="RLC47" s="44"/>
      <c r="RLD47" s="44"/>
      <c r="RLE47" s="44"/>
      <c r="RLF47" s="44"/>
      <c r="RLG47" s="44"/>
      <c r="RLH47" s="44"/>
      <c r="RLI47" s="44"/>
      <c r="RLJ47" s="44"/>
      <c r="RLK47" s="44"/>
      <c r="RLL47" s="44"/>
      <c r="RLM47" s="44"/>
      <c r="RLN47" s="44"/>
      <c r="RLO47" s="44"/>
      <c r="RLP47" s="44"/>
      <c r="RLQ47" s="44"/>
      <c r="RLR47" s="44"/>
      <c r="RLS47" s="44"/>
      <c r="RLT47" s="44"/>
      <c r="RLU47" s="44"/>
      <c r="RLV47" s="44"/>
      <c r="RLW47" s="44"/>
      <c r="RLX47" s="44"/>
      <c r="RLY47" s="44"/>
      <c r="RLZ47" s="44"/>
      <c r="RMA47" s="44"/>
      <c r="RMB47" s="44"/>
      <c r="RMC47" s="44"/>
      <c r="RMD47" s="44"/>
      <c r="RME47" s="44"/>
      <c r="RMF47" s="44"/>
      <c r="RMG47" s="44"/>
      <c r="RMH47" s="44"/>
      <c r="RMI47" s="44"/>
      <c r="RMJ47" s="44"/>
      <c r="RMK47" s="44"/>
      <c r="RML47" s="44"/>
      <c r="RMM47" s="44"/>
      <c r="RMN47" s="44"/>
      <c r="RMO47" s="44"/>
      <c r="RMP47" s="44"/>
      <c r="RMQ47" s="44"/>
      <c r="RMR47" s="44"/>
      <c r="RMS47" s="44"/>
      <c r="RMT47" s="44"/>
      <c r="RMU47" s="44"/>
      <c r="RMV47" s="44"/>
      <c r="RMW47" s="44"/>
      <c r="RMX47" s="44"/>
      <c r="RMY47" s="44"/>
      <c r="RMZ47" s="44"/>
      <c r="RNA47" s="44"/>
      <c r="RNB47" s="44"/>
      <c r="RNC47" s="44"/>
      <c r="RND47" s="44"/>
      <c r="RNE47" s="44"/>
      <c r="RNF47" s="44"/>
      <c r="RNG47" s="44"/>
      <c r="RNH47" s="44"/>
      <c r="RNI47" s="44"/>
      <c r="RNJ47" s="44"/>
      <c r="RNK47" s="44"/>
      <c r="RNL47" s="44"/>
      <c r="RNM47" s="44"/>
      <c r="RNN47" s="44"/>
      <c r="RNO47" s="44"/>
      <c r="RNP47" s="44"/>
      <c r="RNQ47" s="44"/>
      <c r="RNR47" s="44"/>
      <c r="RNS47" s="44"/>
      <c r="RNT47" s="44"/>
      <c r="RNU47" s="44"/>
      <c r="RNV47" s="44"/>
      <c r="RNW47" s="44"/>
      <c r="RNX47" s="44"/>
      <c r="RNY47" s="44"/>
      <c r="RNZ47" s="44"/>
      <c r="ROA47" s="44"/>
      <c r="ROB47" s="44"/>
      <c r="ROC47" s="44"/>
      <c r="ROD47" s="44"/>
      <c r="ROE47" s="44"/>
      <c r="ROF47" s="44"/>
      <c r="ROG47" s="44"/>
      <c r="ROH47" s="44"/>
      <c r="ROI47" s="44"/>
      <c r="ROJ47" s="44"/>
      <c r="ROK47" s="44"/>
      <c r="ROL47" s="44"/>
      <c r="ROM47" s="44"/>
      <c r="RON47" s="44"/>
      <c r="ROO47" s="44"/>
      <c r="ROP47" s="44"/>
      <c r="ROQ47" s="44"/>
      <c r="ROR47" s="44"/>
      <c r="ROS47" s="44"/>
      <c r="ROT47" s="44"/>
      <c r="ROU47" s="44"/>
      <c r="ROV47" s="44"/>
      <c r="ROW47" s="44"/>
      <c r="ROX47" s="44"/>
      <c r="ROY47" s="44"/>
      <c r="ROZ47" s="44"/>
      <c r="RPA47" s="44"/>
      <c r="RPB47" s="44"/>
      <c r="RPC47" s="44"/>
      <c r="RPD47" s="44"/>
      <c r="RPE47" s="44"/>
      <c r="RPF47" s="44"/>
      <c r="RPG47" s="44"/>
      <c r="RPH47" s="44"/>
      <c r="RPI47" s="44"/>
      <c r="RPJ47" s="44"/>
      <c r="RPK47" s="44"/>
      <c r="RPL47" s="44"/>
      <c r="RPM47" s="44"/>
      <c r="RPN47" s="44"/>
      <c r="RPO47" s="44"/>
      <c r="RPP47" s="44"/>
      <c r="RPQ47" s="44"/>
      <c r="RPR47" s="44"/>
      <c r="RPS47" s="44"/>
      <c r="RPT47" s="44"/>
      <c r="RPU47" s="44"/>
      <c r="RPV47" s="44"/>
      <c r="RPW47" s="44"/>
      <c r="RPX47" s="44"/>
      <c r="RPY47" s="44"/>
      <c r="RPZ47" s="44"/>
      <c r="RQA47" s="44"/>
      <c r="RQB47" s="44"/>
      <c r="RQC47" s="44"/>
      <c r="RQD47" s="44"/>
      <c r="RQE47" s="44"/>
      <c r="RQF47" s="44"/>
      <c r="RQG47" s="44"/>
      <c r="RQH47" s="44"/>
      <c r="RQI47" s="44"/>
      <c r="RQJ47" s="44"/>
      <c r="RQK47" s="44"/>
      <c r="RQL47" s="44"/>
      <c r="RQM47" s="44"/>
      <c r="RQN47" s="44"/>
      <c r="RQO47" s="44"/>
      <c r="RQP47" s="44"/>
      <c r="RQQ47" s="44"/>
      <c r="RQR47" s="44"/>
      <c r="RQS47" s="44"/>
      <c r="RQT47" s="44"/>
      <c r="RQU47" s="44"/>
      <c r="RQV47" s="44"/>
      <c r="RQW47" s="44"/>
      <c r="RQX47" s="44"/>
      <c r="RQY47" s="44"/>
      <c r="RQZ47" s="44"/>
      <c r="RRA47" s="44"/>
      <c r="RRB47" s="44"/>
      <c r="RRC47" s="44"/>
      <c r="RRD47" s="44"/>
      <c r="RRE47" s="44"/>
      <c r="RRF47" s="44"/>
      <c r="RRG47" s="44"/>
      <c r="RRH47" s="44"/>
      <c r="RRI47" s="44"/>
      <c r="RRJ47" s="44"/>
      <c r="RRK47" s="44"/>
      <c r="RRL47" s="44"/>
      <c r="RRM47" s="44"/>
      <c r="RRN47" s="44"/>
      <c r="RRO47" s="44"/>
      <c r="RRP47" s="44"/>
      <c r="RRQ47" s="44"/>
      <c r="RRR47" s="44"/>
      <c r="RRS47" s="44"/>
      <c r="RRT47" s="44"/>
      <c r="RRU47" s="44"/>
      <c r="RRV47" s="44"/>
      <c r="RRW47" s="44"/>
      <c r="RRX47" s="44"/>
      <c r="RRY47" s="44"/>
      <c r="RRZ47" s="44"/>
      <c r="RSA47" s="44"/>
      <c r="RSB47" s="44"/>
      <c r="RSC47" s="44"/>
      <c r="RSD47" s="44"/>
      <c r="RSE47" s="44"/>
      <c r="RSF47" s="44"/>
      <c r="RSG47" s="44"/>
      <c r="RSH47" s="44"/>
      <c r="RSI47" s="44"/>
      <c r="RSJ47" s="44"/>
      <c r="RSK47" s="44"/>
      <c r="RSL47" s="44"/>
      <c r="RSM47" s="44"/>
      <c r="RSN47" s="44"/>
      <c r="RSO47" s="44"/>
      <c r="RSP47" s="44"/>
      <c r="RSQ47" s="44"/>
      <c r="RSR47" s="44"/>
      <c r="RSS47" s="44"/>
      <c r="RST47" s="44"/>
      <c r="RSU47" s="44"/>
      <c r="RSV47" s="44"/>
      <c r="RSW47" s="44"/>
      <c r="RSX47" s="44"/>
      <c r="RSY47" s="44"/>
      <c r="RSZ47" s="44"/>
      <c r="RTA47" s="44"/>
      <c r="RTB47" s="44"/>
      <c r="RTC47" s="44"/>
      <c r="RTD47" s="44"/>
      <c r="RTE47" s="44"/>
      <c r="RTF47" s="44"/>
      <c r="RTG47" s="44"/>
      <c r="RTH47" s="44"/>
      <c r="RTI47" s="44"/>
      <c r="RTJ47" s="44"/>
      <c r="RTK47" s="44"/>
      <c r="RTL47" s="44"/>
      <c r="RTM47" s="44"/>
      <c r="RTN47" s="44"/>
      <c r="RTO47" s="44"/>
      <c r="RTP47" s="44"/>
      <c r="RTQ47" s="44"/>
      <c r="RTR47" s="44"/>
      <c r="RTS47" s="44"/>
      <c r="RTT47" s="44"/>
      <c r="RTU47" s="44"/>
      <c r="RTV47" s="44"/>
      <c r="RTW47" s="44"/>
      <c r="RTX47" s="44"/>
      <c r="RTY47" s="44"/>
      <c r="RTZ47" s="44"/>
      <c r="RUA47" s="44"/>
      <c r="RUB47" s="44"/>
      <c r="RUC47" s="44"/>
      <c r="RUD47" s="44"/>
      <c r="RUE47" s="44"/>
      <c r="RUF47" s="44"/>
      <c r="RUG47" s="44"/>
      <c r="RUH47" s="44"/>
      <c r="RUI47" s="44"/>
      <c r="RUJ47" s="44"/>
      <c r="RUK47" s="44"/>
      <c r="RUL47" s="44"/>
      <c r="RUM47" s="44"/>
      <c r="RUN47" s="44"/>
      <c r="RUO47" s="44"/>
      <c r="RUP47" s="44"/>
      <c r="RUQ47" s="44"/>
      <c r="RUR47" s="44"/>
      <c r="RUS47" s="44"/>
      <c r="RUT47" s="44"/>
      <c r="RUU47" s="44"/>
      <c r="RUV47" s="44"/>
      <c r="RUW47" s="44"/>
      <c r="RUX47" s="44"/>
      <c r="RUY47" s="44"/>
      <c r="RUZ47" s="44"/>
      <c r="RVA47" s="44"/>
      <c r="RVB47" s="44"/>
      <c r="RVC47" s="44"/>
      <c r="RVD47" s="44"/>
      <c r="RVE47" s="44"/>
      <c r="RVF47" s="44"/>
      <c r="RVG47" s="44"/>
      <c r="RVH47" s="44"/>
      <c r="RVI47" s="44"/>
      <c r="RVJ47" s="44"/>
      <c r="RVK47" s="44"/>
      <c r="RVL47" s="44"/>
      <c r="RVM47" s="44"/>
      <c r="RVN47" s="44"/>
      <c r="RVO47" s="44"/>
      <c r="RVP47" s="44"/>
      <c r="RVQ47" s="44"/>
      <c r="RVR47" s="44"/>
      <c r="RVS47" s="44"/>
      <c r="RVT47" s="44"/>
      <c r="RVU47" s="44"/>
      <c r="RVV47" s="44"/>
      <c r="RVW47" s="44"/>
      <c r="RVX47" s="44"/>
      <c r="RVY47" s="44"/>
      <c r="RVZ47" s="44"/>
      <c r="RWA47" s="44"/>
      <c r="RWB47" s="44"/>
      <c r="RWC47" s="44"/>
      <c r="RWD47" s="44"/>
      <c r="RWE47" s="44"/>
      <c r="RWF47" s="44"/>
      <c r="RWG47" s="44"/>
      <c r="RWH47" s="44"/>
      <c r="RWI47" s="44"/>
      <c r="RWJ47" s="44"/>
      <c r="RWK47" s="44"/>
      <c r="RWL47" s="44"/>
      <c r="RWM47" s="44"/>
      <c r="RWN47" s="44"/>
      <c r="RWO47" s="44"/>
      <c r="RWP47" s="44"/>
      <c r="RWQ47" s="44"/>
      <c r="RWR47" s="44"/>
      <c r="RWS47" s="44"/>
      <c r="RWT47" s="44"/>
      <c r="RWU47" s="44"/>
      <c r="RWV47" s="44"/>
      <c r="RWW47" s="44"/>
      <c r="RWX47" s="44"/>
      <c r="RWY47" s="44"/>
      <c r="RWZ47" s="44"/>
      <c r="RXA47" s="44"/>
      <c r="RXB47" s="44"/>
      <c r="RXC47" s="44"/>
      <c r="RXD47" s="44"/>
      <c r="RXE47" s="44"/>
      <c r="RXF47" s="44"/>
      <c r="RXG47" s="44"/>
      <c r="RXH47" s="44"/>
      <c r="RXI47" s="44"/>
      <c r="RXJ47" s="44"/>
      <c r="RXK47" s="44"/>
      <c r="RXL47" s="44"/>
      <c r="RXM47" s="44"/>
      <c r="RXN47" s="44"/>
      <c r="RXO47" s="44"/>
      <c r="RXP47" s="44"/>
      <c r="RXQ47" s="44"/>
      <c r="RXR47" s="44"/>
      <c r="RXS47" s="44"/>
      <c r="RXT47" s="44"/>
      <c r="RXU47" s="44"/>
      <c r="RXV47" s="44"/>
      <c r="RXW47" s="44"/>
      <c r="RXX47" s="44"/>
      <c r="RXY47" s="44"/>
      <c r="RXZ47" s="44"/>
      <c r="RYA47" s="44"/>
      <c r="RYB47" s="44"/>
      <c r="RYC47" s="44"/>
      <c r="RYD47" s="44"/>
      <c r="RYE47" s="44"/>
      <c r="RYF47" s="44"/>
      <c r="RYG47" s="44"/>
      <c r="RYH47" s="44"/>
      <c r="RYI47" s="44"/>
      <c r="RYJ47" s="44"/>
      <c r="RYK47" s="44"/>
      <c r="RYL47" s="44"/>
      <c r="RYM47" s="44"/>
      <c r="RYN47" s="44"/>
      <c r="RYO47" s="44"/>
      <c r="RYP47" s="44"/>
      <c r="RYQ47" s="44"/>
      <c r="RYR47" s="44"/>
      <c r="RYS47" s="44"/>
      <c r="RYT47" s="44"/>
      <c r="RYU47" s="44"/>
      <c r="RYV47" s="44"/>
      <c r="RYW47" s="44"/>
      <c r="RYX47" s="44"/>
      <c r="RYY47" s="44"/>
      <c r="RYZ47" s="44"/>
      <c r="RZA47" s="44"/>
      <c r="RZB47" s="44"/>
      <c r="RZC47" s="44"/>
      <c r="RZD47" s="44"/>
      <c r="RZE47" s="44"/>
      <c r="RZF47" s="44"/>
      <c r="RZG47" s="44"/>
      <c r="RZH47" s="44"/>
      <c r="RZI47" s="44"/>
      <c r="RZJ47" s="44"/>
      <c r="RZK47" s="44"/>
      <c r="RZL47" s="44"/>
      <c r="RZM47" s="44"/>
      <c r="RZN47" s="44"/>
      <c r="RZO47" s="44"/>
      <c r="RZP47" s="44"/>
      <c r="RZQ47" s="44"/>
      <c r="RZR47" s="44"/>
      <c r="RZS47" s="44"/>
      <c r="RZT47" s="44"/>
      <c r="RZU47" s="44"/>
      <c r="RZV47" s="44"/>
      <c r="RZW47" s="44"/>
      <c r="RZX47" s="44"/>
      <c r="RZY47" s="44"/>
      <c r="RZZ47" s="44"/>
      <c r="SAA47" s="44"/>
      <c r="SAB47" s="44"/>
      <c r="SAC47" s="44"/>
      <c r="SAD47" s="44"/>
      <c r="SAE47" s="44"/>
      <c r="SAF47" s="44"/>
      <c r="SAG47" s="44"/>
      <c r="SAH47" s="44"/>
      <c r="SAI47" s="44"/>
      <c r="SAJ47" s="44"/>
      <c r="SAK47" s="44"/>
      <c r="SAL47" s="44"/>
      <c r="SAM47" s="44"/>
      <c r="SAN47" s="44"/>
      <c r="SAO47" s="44"/>
      <c r="SAP47" s="44"/>
      <c r="SAQ47" s="44"/>
      <c r="SAR47" s="44"/>
      <c r="SAS47" s="44"/>
      <c r="SAT47" s="44"/>
      <c r="SAU47" s="44"/>
      <c r="SAV47" s="44"/>
      <c r="SAW47" s="44"/>
      <c r="SAX47" s="44"/>
      <c r="SAY47" s="44"/>
      <c r="SAZ47" s="44"/>
      <c r="SBA47" s="44"/>
      <c r="SBB47" s="44"/>
      <c r="SBC47" s="44"/>
      <c r="SBD47" s="44"/>
      <c r="SBE47" s="44"/>
      <c r="SBF47" s="44"/>
      <c r="SBG47" s="44"/>
      <c r="SBH47" s="44"/>
      <c r="SBI47" s="44"/>
      <c r="SBJ47" s="44"/>
      <c r="SBK47" s="44"/>
      <c r="SBL47" s="44"/>
      <c r="SBM47" s="44"/>
      <c r="SBN47" s="44"/>
      <c r="SBO47" s="44"/>
      <c r="SBP47" s="44"/>
      <c r="SBQ47" s="44"/>
      <c r="SBR47" s="44"/>
      <c r="SBS47" s="44"/>
      <c r="SBT47" s="44"/>
      <c r="SBU47" s="44"/>
      <c r="SBV47" s="44"/>
      <c r="SBW47" s="44"/>
      <c r="SBX47" s="44"/>
      <c r="SBY47" s="44"/>
      <c r="SBZ47" s="44"/>
      <c r="SCA47" s="44"/>
      <c r="SCB47" s="44"/>
      <c r="SCC47" s="44"/>
      <c r="SCD47" s="44"/>
      <c r="SCE47" s="44"/>
      <c r="SCF47" s="44"/>
      <c r="SCG47" s="44"/>
      <c r="SCH47" s="44"/>
      <c r="SCI47" s="44"/>
      <c r="SCJ47" s="44"/>
      <c r="SCK47" s="44"/>
      <c r="SCL47" s="44"/>
      <c r="SCM47" s="44"/>
      <c r="SCN47" s="44"/>
      <c r="SCO47" s="44"/>
      <c r="SCP47" s="44"/>
      <c r="SCQ47" s="44"/>
      <c r="SCR47" s="44"/>
      <c r="SCS47" s="44"/>
      <c r="SCT47" s="44"/>
      <c r="SCU47" s="44"/>
      <c r="SCV47" s="44"/>
      <c r="SCW47" s="44"/>
      <c r="SCX47" s="44"/>
      <c r="SCY47" s="44"/>
      <c r="SCZ47" s="44"/>
      <c r="SDA47" s="44"/>
      <c r="SDB47" s="44"/>
      <c r="SDC47" s="44"/>
      <c r="SDD47" s="44"/>
      <c r="SDE47" s="44"/>
      <c r="SDF47" s="44"/>
      <c r="SDG47" s="44"/>
      <c r="SDH47" s="44"/>
      <c r="SDI47" s="44"/>
      <c r="SDJ47" s="44"/>
      <c r="SDK47" s="44"/>
      <c r="SDL47" s="44"/>
      <c r="SDM47" s="44"/>
      <c r="SDN47" s="44"/>
      <c r="SDO47" s="44"/>
      <c r="SDP47" s="44"/>
      <c r="SDQ47" s="44"/>
      <c r="SDR47" s="44"/>
      <c r="SDS47" s="44"/>
      <c r="SDT47" s="44"/>
      <c r="SDU47" s="44"/>
      <c r="SDV47" s="44"/>
      <c r="SDW47" s="44"/>
      <c r="SDX47" s="44"/>
      <c r="SDY47" s="44"/>
      <c r="SDZ47" s="44"/>
      <c r="SEA47" s="44"/>
      <c r="SEB47" s="44"/>
      <c r="SEC47" s="44"/>
      <c r="SED47" s="44"/>
      <c r="SEE47" s="44"/>
      <c r="SEF47" s="44"/>
      <c r="SEG47" s="44"/>
      <c r="SEH47" s="44"/>
      <c r="SEI47" s="44"/>
      <c r="SEJ47" s="44"/>
      <c r="SEK47" s="44"/>
      <c r="SEL47" s="44"/>
      <c r="SEM47" s="44"/>
      <c r="SEN47" s="44"/>
      <c r="SEO47" s="44"/>
      <c r="SEP47" s="44"/>
      <c r="SEQ47" s="44"/>
      <c r="SER47" s="44"/>
      <c r="SES47" s="44"/>
      <c r="SET47" s="44"/>
      <c r="SEU47" s="44"/>
      <c r="SEV47" s="44"/>
      <c r="SEW47" s="44"/>
      <c r="SEX47" s="44"/>
      <c r="SEY47" s="44"/>
      <c r="SEZ47" s="44"/>
      <c r="SFA47" s="44"/>
      <c r="SFB47" s="44"/>
      <c r="SFC47" s="44"/>
      <c r="SFD47" s="44"/>
      <c r="SFE47" s="44"/>
      <c r="SFF47" s="44"/>
      <c r="SFG47" s="44"/>
      <c r="SFH47" s="44"/>
      <c r="SFI47" s="44"/>
      <c r="SFJ47" s="44"/>
      <c r="SFK47" s="44"/>
      <c r="SFL47" s="44"/>
      <c r="SFM47" s="44"/>
      <c r="SFN47" s="44"/>
      <c r="SFO47" s="44"/>
      <c r="SFP47" s="44"/>
      <c r="SFQ47" s="44"/>
      <c r="SFR47" s="44"/>
      <c r="SFS47" s="44"/>
      <c r="SFT47" s="44"/>
      <c r="SFU47" s="44"/>
      <c r="SFV47" s="44"/>
      <c r="SFW47" s="44"/>
      <c r="SFX47" s="44"/>
      <c r="SFY47" s="44"/>
      <c r="SFZ47" s="44"/>
      <c r="SGA47" s="44"/>
      <c r="SGB47" s="44"/>
      <c r="SGC47" s="44"/>
      <c r="SGD47" s="44"/>
      <c r="SGE47" s="44"/>
      <c r="SGF47" s="44"/>
      <c r="SGG47" s="44"/>
      <c r="SGH47" s="44"/>
      <c r="SGI47" s="44"/>
      <c r="SGJ47" s="44"/>
      <c r="SGK47" s="44"/>
      <c r="SGL47" s="44"/>
      <c r="SGM47" s="44"/>
      <c r="SGN47" s="44"/>
      <c r="SGO47" s="44"/>
      <c r="SGP47" s="44"/>
      <c r="SGQ47" s="44"/>
      <c r="SGR47" s="44"/>
      <c r="SGS47" s="44"/>
      <c r="SGT47" s="44"/>
      <c r="SGU47" s="44"/>
      <c r="SGV47" s="44"/>
      <c r="SGW47" s="44"/>
      <c r="SGX47" s="44"/>
      <c r="SGY47" s="44"/>
      <c r="SGZ47" s="44"/>
      <c r="SHA47" s="44"/>
      <c r="SHB47" s="44"/>
      <c r="SHC47" s="44"/>
      <c r="SHD47" s="44"/>
      <c r="SHE47" s="44"/>
      <c r="SHF47" s="44"/>
      <c r="SHG47" s="44"/>
      <c r="SHH47" s="44"/>
      <c r="SHI47" s="44"/>
      <c r="SHJ47" s="44"/>
      <c r="SHK47" s="44"/>
      <c r="SHL47" s="44"/>
      <c r="SHM47" s="44"/>
      <c r="SHN47" s="44"/>
      <c r="SHO47" s="44"/>
      <c r="SHP47" s="44"/>
      <c r="SHQ47" s="44"/>
      <c r="SHR47" s="44"/>
      <c r="SHS47" s="44"/>
      <c r="SHT47" s="44"/>
      <c r="SHU47" s="44"/>
      <c r="SHV47" s="44"/>
      <c r="SHW47" s="44"/>
      <c r="SHX47" s="44"/>
      <c r="SHY47" s="44"/>
      <c r="SHZ47" s="44"/>
      <c r="SIA47" s="44"/>
      <c r="SIB47" s="44"/>
      <c r="SIC47" s="44"/>
      <c r="SID47" s="44"/>
      <c r="SIE47" s="44"/>
      <c r="SIF47" s="44"/>
      <c r="SIG47" s="44"/>
      <c r="SIH47" s="44"/>
      <c r="SII47" s="44"/>
      <c r="SIJ47" s="44"/>
      <c r="SIK47" s="44"/>
      <c r="SIL47" s="44"/>
      <c r="SIM47" s="44"/>
      <c r="SIN47" s="44"/>
      <c r="SIO47" s="44"/>
      <c r="SIP47" s="44"/>
      <c r="SIQ47" s="44"/>
      <c r="SIR47" s="44"/>
      <c r="SIS47" s="44"/>
      <c r="SIT47" s="44"/>
      <c r="SIU47" s="44"/>
      <c r="SIV47" s="44"/>
      <c r="SIW47" s="44"/>
      <c r="SIX47" s="44"/>
      <c r="SIY47" s="44"/>
      <c r="SIZ47" s="44"/>
      <c r="SJA47" s="44"/>
      <c r="SJB47" s="44"/>
      <c r="SJC47" s="44"/>
      <c r="SJD47" s="44"/>
      <c r="SJE47" s="44"/>
      <c r="SJF47" s="44"/>
      <c r="SJG47" s="44"/>
      <c r="SJH47" s="44"/>
      <c r="SJI47" s="44"/>
      <c r="SJJ47" s="44"/>
      <c r="SJK47" s="44"/>
      <c r="SJL47" s="44"/>
      <c r="SJM47" s="44"/>
      <c r="SJN47" s="44"/>
      <c r="SJO47" s="44"/>
      <c r="SJP47" s="44"/>
      <c r="SJQ47" s="44"/>
      <c r="SJR47" s="44"/>
      <c r="SJS47" s="44"/>
      <c r="SJT47" s="44"/>
      <c r="SJU47" s="44"/>
      <c r="SJV47" s="44"/>
      <c r="SJW47" s="44"/>
      <c r="SJX47" s="44"/>
      <c r="SJY47" s="44"/>
      <c r="SJZ47" s="44"/>
      <c r="SKA47" s="44"/>
      <c r="SKB47" s="44"/>
      <c r="SKC47" s="44"/>
      <c r="SKD47" s="44"/>
      <c r="SKE47" s="44"/>
      <c r="SKF47" s="44"/>
      <c r="SKG47" s="44"/>
      <c r="SKH47" s="44"/>
      <c r="SKI47" s="44"/>
      <c r="SKJ47" s="44"/>
      <c r="SKK47" s="44"/>
      <c r="SKL47" s="44"/>
      <c r="SKM47" s="44"/>
      <c r="SKN47" s="44"/>
      <c r="SKO47" s="44"/>
      <c r="SKP47" s="44"/>
      <c r="SKQ47" s="44"/>
      <c r="SKR47" s="44"/>
      <c r="SKS47" s="44"/>
      <c r="SKT47" s="44"/>
      <c r="SKU47" s="44"/>
      <c r="SKV47" s="44"/>
      <c r="SKW47" s="44"/>
      <c r="SKX47" s="44"/>
      <c r="SKY47" s="44"/>
      <c r="SKZ47" s="44"/>
      <c r="SLA47" s="44"/>
      <c r="SLB47" s="44"/>
      <c r="SLC47" s="44"/>
      <c r="SLD47" s="44"/>
      <c r="SLE47" s="44"/>
      <c r="SLF47" s="44"/>
      <c r="SLG47" s="44"/>
      <c r="SLH47" s="44"/>
      <c r="SLI47" s="44"/>
      <c r="SLJ47" s="44"/>
      <c r="SLK47" s="44"/>
      <c r="SLL47" s="44"/>
      <c r="SLM47" s="44"/>
      <c r="SLN47" s="44"/>
      <c r="SLO47" s="44"/>
      <c r="SLP47" s="44"/>
      <c r="SLQ47" s="44"/>
      <c r="SLR47" s="44"/>
      <c r="SLS47" s="44"/>
      <c r="SLT47" s="44"/>
      <c r="SLU47" s="44"/>
      <c r="SLV47" s="44"/>
      <c r="SLW47" s="44"/>
      <c r="SLX47" s="44"/>
      <c r="SLY47" s="44"/>
      <c r="SLZ47" s="44"/>
      <c r="SMA47" s="44"/>
      <c r="SMB47" s="44"/>
      <c r="SMC47" s="44"/>
      <c r="SMD47" s="44"/>
      <c r="SME47" s="44"/>
      <c r="SMF47" s="44"/>
      <c r="SMG47" s="44"/>
      <c r="SMH47" s="44"/>
      <c r="SMI47" s="44"/>
      <c r="SMJ47" s="44"/>
      <c r="SMK47" s="44"/>
      <c r="SML47" s="44"/>
      <c r="SMM47" s="44"/>
      <c r="SMN47" s="44"/>
      <c r="SMO47" s="44"/>
      <c r="SMP47" s="44"/>
      <c r="SMQ47" s="44"/>
      <c r="SMR47" s="44"/>
      <c r="SMS47" s="44"/>
      <c r="SMT47" s="44"/>
      <c r="SMU47" s="44"/>
      <c r="SMV47" s="44"/>
      <c r="SMW47" s="44"/>
      <c r="SMX47" s="44"/>
      <c r="SMY47" s="44"/>
      <c r="SMZ47" s="44"/>
      <c r="SNA47" s="44"/>
      <c r="SNB47" s="44"/>
      <c r="SNC47" s="44"/>
      <c r="SND47" s="44"/>
      <c r="SNE47" s="44"/>
      <c r="SNF47" s="44"/>
      <c r="SNG47" s="44"/>
      <c r="SNH47" s="44"/>
      <c r="SNI47" s="44"/>
      <c r="SNJ47" s="44"/>
      <c r="SNK47" s="44"/>
      <c r="SNL47" s="44"/>
      <c r="SNM47" s="44"/>
      <c r="SNN47" s="44"/>
      <c r="SNO47" s="44"/>
      <c r="SNP47" s="44"/>
      <c r="SNQ47" s="44"/>
      <c r="SNR47" s="44"/>
      <c r="SNS47" s="44"/>
      <c r="SNT47" s="44"/>
      <c r="SNU47" s="44"/>
      <c r="SNV47" s="44"/>
      <c r="SNW47" s="44"/>
      <c r="SNX47" s="44"/>
      <c r="SNY47" s="44"/>
      <c r="SNZ47" s="44"/>
      <c r="SOA47" s="44"/>
      <c r="SOB47" s="44"/>
      <c r="SOC47" s="44"/>
      <c r="SOD47" s="44"/>
      <c r="SOE47" s="44"/>
      <c r="SOF47" s="44"/>
      <c r="SOG47" s="44"/>
      <c r="SOH47" s="44"/>
      <c r="SOI47" s="44"/>
      <c r="SOJ47" s="44"/>
      <c r="SOK47" s="44"/>
      <c r="SOL47" s="44"/>
      <c r="SOM47" s="44"/>
      <c r="SON47" s="44"/>
      <c r="SOO47" s="44"/>
      <c r="SOP47" s="44"/>
      <c r="SOQ47" s="44"/>
      <c r="SOR47" s="44"/>
      <c r="SOS47" s="44"/>
      <c r="SOT47" s="44"/>
      <c r="SOU47" s="44"/>
      <c r="SOV47" s="44"/>
      <c r="SOW47" s="44"/>
      <c r="SOX47" s="44"/>
      <c r="SOY47" s="44"/>
      <c r="SOZ47" s="44"/>
      <c r="SPA47" s="44"/>
      <c r="SPB47" s="44"/>
      <c r="SPC47" s="44"/>
      <c r="SPD47" s="44"/>
      <c r="SPE47" s="44"/>
      <c r="SPF47" s="44"/>
      <c r="SPG47" s="44"/>
      <c r="SPH47" s="44"/>
      <c r="SPI47" s="44"/>
      <c r="SPJ47" s="44"/>
      <c r="SPK47" s="44"/>
      <c r="SPL47" s="44"/>
      <c r="SPM47" s="44"/>
      <c r="SPN47" s="44"/>
      <c r="SPO47" s="44"/>
      <c r="SPP47" s="44"/>
      <c r="SPQ47" s="44"/>
      <c r="SPR47" s="44"/>
      <c r="SPS47" s="44"/>
      <c r="SPT47" s="44"/>
      <c r="SPU47" s="44"/>
      <c r="SPV47" s="44"/>
      <c r="SPW47" s="44"/>
      <c r="SPX47" s="44"/>
      <c r="SPY47" s="44"/>
      <c r="SPZ47" s="44"/>
      <c r="SQA47" s="44"/>
      <c r="SQB47" s="44"/>
      <c r="SQC47" s="44"/>
      <c r="SQD47" s="44"/>
      <c r="SQE47" s="44"/>
      <c r="SQF47" s="44"/>
      <c r="SQG47" s="44"/>
      <c r="SQH47" s="44"/>
      <c r="SQI47" s="44"/>
      <c r="SQJ47" s="44"/>
      <c r="SQK47" s="44"/>
      <c r="SQL47" s="44"/>
      <c r="SQM47" s="44"/>
      <c r="SQN47" s="44"/>
      <c r="SQO47" s="44"/>
      <c r="SQP47" s="44"/>
      <c r="SQQ47" s="44"/>
      <c r="SQR47" s="44"/>
      <c r="SQS47" s="44"/>
      <c r="SQT47" s="44"/>
      <c r="SQU47" s="44"/>
      <c r="SQV47" s="44"/>
      <c r="SQW47" s="44"/>
      <c r="SQX47" s="44"/>
      <c r="SQY47" s="44"/>
      <c r="SQZ47" s="44"/>
      <c r="SRA47" s="44"/>
      <c r="SRB47" s="44"/>
      <c r="SRC47" s="44"/>
      <c r="SRD47" s="44"/>
      <c r="SRE47" s="44"/>
      <c r="SRF47" s="44"/>
      <c r="SRG47" s="44"/>
      <c r="SRH47" s="44"/>
      <c r="SRI47" s="44"/>
      <c r="SRJ47" s="44"/>
      <c r="SRK47" s="44"/>
      <c r="SRL47" s="44"/>
      <c r="SRM47" s="44"/>
      <c r="SRN47" s="44"/>
      <c r="SRO47" s="44"/>
      <c r="SRP47" s="44"/>
      <c r="SRQ47" s="44"/>
      <c r="SRR47" s="44"/>
      <c r="SRS47" s="44"/>
      <c r="SRT47" s="44"/>
      <c r="SRU47" s="44"/>
      <c r="SRV47" s="44"/>
      <c r="SRW47" s="44"/>
      <c r="SRX47" s="44"/>
      <c r="SRY47" s="44"/>
      <c r="SRZ47" s="44"/>
      <c r="SSA47" s="44"/>
      <c r="SSB47" s="44"/>
      <c r="SSC47" s="44"/>
      <c r="SSD47" s="44"/>
      <c r="SSE47" s="44"/>
      <c r="SSF47" s="44"/>
      <c r="SSG47" s="44"/>
      <c r="SSH47" s="44"/>
      <c r="SSI47" s="44"/>
      <c r="SSJ47" s="44"/>
      <c r="SSK47" s="44"/>
      <c r="SSL47" s="44"/>
      <c r="SSM47" s="44"/>
      <c r="SSN47" s="44"/>
      <c r="SSO47" s="44"/>
      <c r="SSP47" s="44"/>
      <c r="SSQ47" s="44"/>
      <c r="SSR47" s="44"/>
      <c r="SSS47" s="44"/>
      <c r="SST47" s="44"/>
      <c r="SSU47" s="44"/>
      <c r="SSV47" s="44"/>
      <c r="SSW47" s="44"/>
      <c r="SSX47" s="44"/>
      <c r="SSY47" s="44"/>
      <c r="SSZ47" s="44"/>
      <c r="STA47" s="44"/>
      <c r="STB47" s="44"/>
      <c r="STC47" s="44"/>
      <c r="STD47" s="44"/>
      <c r="STE47" s="44"/>
      <c r="STF47" s="44"/>
      <c r="STG47" s="44"/>
      <c r="STH47" s="44"/>
      <c r="STI47" s="44"/>
      <c r="STJ47" s="44"/>
      <c r="STK47" s="44"/>
      <c r="STL47" s="44"/>
      <c r="STM47" s="44"/>
      <c r="STN47" s="44"/>
      <c r="STO47" s="44"/>
      <c r="STP47" s="44"/>
      <c r="STQ47" s="44"/>
      <c r="STR47" s="44"/>
      <c r="STS47" s="44"/>
      <c r="STT47" s="44"/>
      <c r="STU47" s="44"/>
      <c r="STV47" s="44"/>
      <c r="STW47" s="44"/>
      <c r="STX47" s="44"/>
      <c r="STY47" s="44"/>
      <c r="STZ47" s="44"/>
      <c r="SUA47" s="44"/>
      <c r="SUB47" s="44"/>
      <c r="SUC47" s="44"/>
      <c r="SUD47" s="44"/>
      <c r="SUE47" s="44"/>
      <c r="SUF47" s="44"/>
      <c r="SUG47" s="44"/>
      <c r="SUH47" s="44"/>
      <c r="SUI47" s="44"/>
      <c r="SUJ47" s="44"/>
      <c r="SUK47" s="44"/>
      <c r="SUL47" s="44"/>
      <c r="SUM47" s="44"/>
      <c r="SUN47" s="44"/>
      <c r="SUO47" s="44"/>
      <c r="SUP47" s="44"/>
      <c r="SUQ47" s="44"/>
      <c r="SUR47" s="44"/>
      <c r="SUS47" s="44"/>
      <c r="SUT47" s="44"/>
      <c r="SUU47" s="44"/>
      <c r="SUV47" s="44"/>
      <c r="SUW47" s="44"/>
      <c r="SUX47" s="44"/>
      <c r="SUY47" s="44"/>
      <c r="SUZ47" s="44"/>
      <c r="SVA47" s="44"/>
      <c r="SVB47" s="44"/>
      <c r="SVC47" s="44"/>
      <c r="SVD47" s="44"/>
      <c r="SVE47" s="44"/>
      <c r="SVF47" s="44"/>
      <c r="SVG47" s="44"/>
      <c r="SVH47" s="44"/>
      <c r="SVI47" s="44"/>
      <c r="SVJ47" s="44"/>
      <c r="SVK47" s="44"/>
      <c r="SVL47" s="44"/>
      <c r="SVM47" s="44"/>
      <c r="SVN47" s="44"/>
      <c r="SVO47" s="44"/>
      <c r="SVP47" s="44"/>
      <c r="SVQ47" s="44"/>
      <c r="SVR47" s="44"/>
      <c r="SVS47" s="44"/>
      <c r="SVT47" s="44"/>
      <c r="SVU47" s="44"/>
      <c r="SVV47" s="44"/>
      <c r="SVW47" s="44"/>
      <c r="SVX47" s="44"/>
      <c r="SVY47" s="44"/>
      <c r="SVZ47" s="44"/>
      <c r="SWA47" s="44"/>
      <c r="SWB47" s="44"/>
      <c r="SWC47" s="44"/>
      <c r="SWD47" s="44"/>
      <c r="SWE47" s="44"/>
      <c r="SWF47" s="44"/>
      <c r="SWG47" s="44"/>
      <c r="SWH47" s="44"/>
      <c r="SWI47" s="44"/>
      <c r="SWJ47" s="44"/>
      <c r="SWK47" s="44"/>
      <c r="SWL47" s="44"/>
      <c r="SWM47" s="44"/>
      <c r="SWN47" s="44"/>
      <c r="SWO47" s="44"/>
      <c r="SWP47" s="44"/>
      <c r="SWQ47" s="44"/>
      <c r="SWR47" s="44"/>
      <c r="SWS47" s="44"/>
      <c r="SWT47" s="44"/>
      <c r="SWU47" s="44"/>
      <c r="SWV47" s="44"/>
      <c r="SWW47" s="44"/>
      <c r="SWX47" s="44"/>
      <c r="SWY47" s="44"/>
      <c r="SWZ47" s="44"/>
      <c r="SXA47" s="44"/>
      <c r="SXB47" s="44"/>
      <c r="SXC47" s="44"/>
      <c r="SXD47" s="44"/>
      <c r="SXE47" s="44"/>
      <c r="SXF47" s="44"/>
      <c r="SXG47" s="44"/>
      <c r="SXH47" s="44"/>
      <c r="SXI47" s="44"/>
      <c r="SXJ47" s="44"/>
      <c r="SXK47" s="44"/>
      <c r="SXL47" s="44"/>
      <c r="SXM47" s="44"/>
      <c r="SXN47" s="44"/>
      <c r="SXO47" s="44"/>
      <c r="SXP47" s="44"/>
      <c r="SXQ47" s="44"/>
      <c r="SXR47" s="44"/>
      <c r="SXS47" s="44"/>
      <c r="SXT47" s="44"/>
      <c r="SXU47" s="44"/>
      <c r="SXV47" s="44"/>
      <c r="SXW47" s="44"/>
      <c r="SXX47" s="44"/>
      <c r="SXY47" s="44"/>
      <c r="SXZ47" s="44"/>
      <c r="SYA47" s="44"/>
      <c r="SYB47" s="44"/>
      <c r="SYC47" s="44"/>
      <c r="SYD47" s="44"/>
      <c r="SYE47" s="44"/>
      <c r="SYF47" s="44"/>
      <c r="SYG47" s="44"/>
      <c r="SYH47" s="44"/>
      <c r="SYI47" s="44"/>
      <c r="SYJ47" s="44"/>
      <c r="SYK47" s="44"/>
      <c r="SYL47" s="44"/>
      <c r="SYM47" s="44"/>
      <c r="SYN47" s="44"/>
      <c r="SYO47" s="44"/>
      <c r="SYP47" s="44"/>
      <c r="SYQ47" s="44"/>
      <c r="SYR47" s="44"/>
      <c r="SYS47" s="44"/>
      <c r="SYT47" s="44"/>
      <c r="SYU47" s="44"/>
      <c r="SYV47" s="44"/>
      <c r="SYW47" s="44"/>
      <c r="SYX47" s="44"/>
      <c r="SYY47" s="44"/>
      <c r="SYZ47" s="44"/>
      <c r="SZA47" s="44"/>
      <c r="SZB47" s="44"/>
      <c r="SZC47" s="44"/>
      <c r="SZD47" s="44"/>
      <c r="SZE47" s="44"/>
      <c r="SZF47" s="44"/>
      <c r="SZG47" s="44"/>
      <c r="SZH47" s="44"/>
      <c r="SZI47" s="44"/>
      <c r="SZJ47" s="44"/>
      <c r="SZK47" s="44"/>
      <c r="SZL47" s="44"/>
      <c r="SZM47" s="44"/>
      <c r="SZN47" s="44"/>
      <c r="SZO47" s="44"/>
      <c r="SZP47" s="44"/>
      <c r="SZQ47" s="44"/>
      <c r="SZR47" s="44"/>
      <c r="SZS47" s="44"/>
      <c r="SZT47" s="44"/>
      <c r="SZU47" s="44"/>
      <c r="SZV47" s="44"/>
      <c r="SZW47" s="44"/>
      <c r="SZX47" s="44"/>
      <c r="SZY47" s="44"/>
      <c r="SZZ47" s="44"/>
      <c r="TAA47" s="44"/>
      <c r="TAB47" s="44"/>
      <c r="TAC47" s="44"/>
      <c r="TAD47" s="44"/>
      <c r="TAE47" s="44"/>
      <c r="TAF47" s="44"/>
      <c r="TAG47" s="44"/>
      <c r="TAH47" s="44"/>
      <c r="TAI47" s="44"/>
      <c r="TAJ47" s="44"/>
      <c r="TAK47" s="44"/>
      <c r="TAL47" s="44"/>
      <c r="TAM47" s="44"/>
      <c r="TAN47" s="44"/>
      <c r="TAO47" s="44"/>
      <c r="TAP47" s="44"/>
      <c r="TAQ47" s="44"/>
      <c r="TAR47" s="44"/>
      <c r="TAS47" s="44"/>
      <c r="TAT47" s="44"/>
      <c r="TAU47" s="44"/>
      <c r="TAV47" s="44"/>
      <c r="TAW47" s="44"/>
      <c r="TAX47" s="44"/>
      <c r="TAY47" s="44"/>
      <c r="TAZ47" s="44"/>
      <c r="TBA47" s="44"/>
      <c r="TBB47" s="44"/>
      <c r="TBC47" s="44"/>
      <c r="TBD47" s="44"/>
      <c r="TBE47" s="44"/>
      <c r="TBF47" s="44"/>
      <c r="TBG47" s="44"/>
      <c r="TBH47" s="44"/>
      <c r="TBI47" s="44"/>
      <c r="TBJ47" s="44"/>
      <c r="TBK47" s="44"/>
      <c r="TBL47" s="44"/>
      <c r="TBM47" s="44"/>
      <c r="TBN47" s="44"/>
      <c r="TBO47" s="44"/>
      <c r="TBP47" s="44"/>
      <c r="TBQ47" s="44"/>
      <c r="TBR47" s="44"/>
      <c r="TBS47" s="44"/>
      <c r="TBT47" s="44"/>
      <c r="TBU47" s="44"/>
      <c r="TBV47" s="44"/>
      <c r="TBW47" s="44"/>
      <c r="TBX47" s="44"/>
      <c r="TBY47" s="44"/>
      <c r="TBZ47" s="44"/>
      <c r="TCA47" s="44"/>
      <c r="TCB47" s="44"/>
      <c r="TCC47" s="44"/>
      <c r="TCD47" s="44"/>
      <c r="TCE47" s="44"/>
      <c r="TCF47" s="44"/>
      <c r="TCG47" s="44"/>
      <c r="TCH47" s="44"/>
      <c r="TCI47" s="44"/>
      <c r="TCJ47" s="44"/>
      <c r="TCK47" s="44"/>
      <c r="TCL47" s="44"/>
      <c r="TCM47" s="44"/>
      <c r="TCN47" s="44"/>
      <c r="TCO47" s="44"/>
      <c r="TCP47" s="44"/>
      <c r="TCQ47" s="44"/>
      <c r="TCR47" s="44"/>
      <c r="TCS47" s="44"/>
      <c r="TCT47" s="44"/>
      <c r="TCU47" s="44"/>
      <c r="TCV47" s="44"/>
      <c r="TCW47" s="44"/>
      <c r="TCX47" s="44"/>
      <c r="TCY47" s="44"/>
      <c r="TCZ47" s="44"/>
      <c r="TDA47" s="44"/>
      <c r="TDB47" s="44"/>
      <c r="TDC47" s="44"/>
      <c r="TDD47" s="44"/>
      <c r="TDE47" s="44"/>
      <c r="TDF47" s="44"/>
      <c r="TDG47" s="44"/>
      <c r="TDH47" s="44"/>
      <c r="TDI47" s="44"/>
      <c r="TDJ47" s="44"/>
      <c r="TDK47" s="44"/>
      <c r="TDL47" s="44"/>
      <c r="TDM47" s="44"/>
      <c r="TDN47" s="44"/>
      <c r="TDO47" s="44"/>
      <c r="TDP47" s="44"/>
      <c r="TDQ47" s="44"/>
      <c r="TDR47" s="44"/>
      <c r="TDS47" s="44"/>
      <c r="TDT47" s="44"/>
      <c r="TDU47" s="44"/>
      <c r="TDV47" s="44"/>
      <c r="TDW47" s="44"/>
      <c r="TDX47" s="44"/>
      <c r="TDY47" s="44"/>
      <c r="TDZ47" s="44"/>
      <c r="TEA47" s="44"/>
      <c r="TEB47" s="44"/>
      <c r="TEC47" s="44"/>
      <c r="TED47" s="44"/>
      <c r="TEE47" s="44"/>
      <c r="TEF47" s="44"/>
      <c r="TEG47" s="44"/>
      <c r="TEH47" s="44"/>
      <c r="TEI47" s="44"/>
      <c r="TEJ47" s="44"/>
      <c r="TEK47" s="44"/>
      <c r="TEL47" s="44"/>
      <c r="TEM47" s="44"/>
      <c r="TEN47" s="44"/>
      <c r="TEO47" s="44"/>
      <c r="TEP47" s="44"/>
      <c r="TEQ47" s="44"/>
      <c r="TER47" s="44"/>
      <c r="TES47" s="44"/>
      <c r="TET47" s="44"/>
      <c r="TEU47" s="44"/>
      <c r="TEV47" s="44"/>
      <c r="TEW47" s="44"/>
      <c r="TEX47" s="44"/>
      <c r="TEY47" s="44"/>
      <c r="TEZ47" s="44"/>
      <c r="TFA47" s="44"/>
      <c r="TFB47" s="44"/>
      <c r="TFC47" s="44"/>
      <c r="TFD47" s="44"/>
      <c r="TFE47" s="44"/>
      <c r="TFF47" s="44"/>
      <c r="TFG47" s="44"/>
      <c r="TFH47" s="44"/>
      <c r="TFI47" s="44"/>
      <c r="TFJ47" s="44"/>
      <c r="TFK47" s="44"/>
      <c r="TFL47" s="44"/>
      <c r="TFM47" s="44"/>
      <c r="TFN47" s="44"/>
      <c r="TFO47" s="44"/>
      <c r="TFP47" s="44"/>
      <c r="TFQ47" s="44"/>
      <c r="TFR47" s="44"/>
      <c r="TFS47" s="44"/>
      <c r="TFT47" s="44"/>
      <c r="TFU47" s="44"/>
      <c r="TFV47" s="44"/>
      <c r="TFW47" s="44"/>
      <c r="TFX47" s="44"/>
      <c r="TFY47" s="44"/>
      <c r="TFZ47" s="44"/>
      <c r="TGA47" s="44"/>
      <c r="TGB47" s="44"/>
      <c r="TGC47" s="44"/>
      <c r="TGD47" s="44"/>
      <c r="TGE47" s="44"/>
      <c r="TGF47" s="44"/>
      <c r="TGG47" s="44"/>
      <c r="TGH47" s="44"/>
      <c r="TGI47" s="44"/>
      <c r="TGJ47" s="44"/>
      <c r="TGK47" s="44"/>
      <c r="TGL47" s="44"/>
      <c r="TGM47" s="44"/>
      <c r="TGN47" s="44"/>
      <c r="TGO47" s="44"/>
      <c r="TGP47" s="44"/>
      <c r="TGQ47" s="44"/>
      <c r="TGR47" s="44"/>
      <c r="TGS47" s="44"/>
      <c r="TGT47" s="44"/>
      <c r="TGU47" s="44"/>
      <c r="TGV47" s="44"/>
      <c r="TGW47" s="44"/>
      <c r="TGX47" s="44"/>
      <c r="TGY47" s="44"/>
      <c r="TGZ47" s="44"/>
      <c r="THA47" s="44"/>
      <c r="THB47" s="44"/>
      <c r="THC47" s="44"/>
      <c r="THD47" s="44"/>
      <c r="THE47" s="44"/>
      <c r="THF47" s="44"/>
      <c r="THG47" s="44"/>
      <c r="THH47" s="44"/>
      <c r="THI47" s="44"/>
      <c r="THJ47" s="44"/>
      <c r="THK47" s="44"/>
      <c r="THL47" s="44"/>
      <c r="THM47" s="44"/>
      <c r="THN47" s="44"/>
      <c r="THO47" s="44"/>
      <c r="THP47" s="44"/>
      <c r="THQ47" s="44"/>
      <c r="THR47" s="44"/>
      <c r="THS47" s="44"/>
      <c r="THT47" s="44"/>
      <c r="THU47" s="44"/>
      <c r="THV47" s="44"/>
      <c r="THW47" s="44"/>
      <c r="THX47" s="44"/>
      <c r="THY47" s="44"/>
      <c r="THZ47" s="44"/>
      <c r="TIA47" s="44"/>
      <c r="TIB47" s="44"/>
      <c r="TIC47" s="44"/>
      <c r="TID47" s="44"/>
      <c r="TIE47" s="44"/>
      <c r="TIF47" s="44"/>
      <c r="TIG47" s="44"/>
      <c r="TIH47" s="44"/>
      <c r="TII47" s="44"/>
      <c r="TIJ47" s="44"/>
      <c r="TIK47" s="44"/>
      <c r="TIL47" s="44"/>
      <c r="TIM47" s="44"/>
      <c r="TIN47" s="44"/>
      <c r="TIO47" s="44"/>
      <c r="TIP47" s="44"/>
      <c r="TIQ47" s="44"/>
      <c r="TIR47" s="44"/>
      <c r="TIS47" s="44"/>
      <c r="TIT47" s="44"/>
      <c r="TIU47" s="44"/>
      <c r="TIV47" s="44"/>
      <c r="TIW47" s="44"/>
      <c r="TIX47" s="44"/>
      <c r="TIY47" s="44"/>
      <c r="TIZ47" s="44"/>
      <c r="TJA47" s="44"/>
      <c r="TJB47" s="44"/>
      <c r="TJC47" s="44"/>
      <c r="TJD47" s="44"/>
      <c r="TJE47" s="44"/>
      <c r="TJF47" s="44"/>
      <c r="TJG47" s="44"/>
      <c r="TJH47" s="44"/>
      <c r="TJI47" s="44"/>
      <c r="TJJ47" s="44"/>
      <c r="TJK47" s="44"/>
      <c r="TJL47" s="44"/>
      <c r="TJM47" s="44"/>
      <c r="TJN47" s="44"/>
      <c r="TJO47" s="44"/>
      <c r="TJP47" s="44"/>
      <c r="TJQ47" s="44"/>
      <c r="TJR47" s="44"/>
      <c r="TJS47" s="44"/>
      <c r="TJT47" s="44"/>
      <c r="TJU47" s="44"/>
      <c r="TJV47" s="44"/>
      <c r="TJW47" s="44"/>
      <c r="TJX47" s="44"/>
      <c r="TJY47" s="44"/>
      <c r="TJZ47" s="44"/>
      <c r="TKA47" s="44"/>
      <c r="TKB47" s="44"/>
      <c r="TKC47" s="44"/>
      <c r="TKD47" s="44"/>
      <c r="TKE47" s="44"/>
      <c r="TKF47" s="44"/>
      <c r="TKG47" s="44"/>
      <c r="TKH47" s="44"/>
      <c r="TKI47" s="44"/>
      <c r="TKJ47" s="44"/>
      <c r="TKK47" s="44"/>
      <c r="TKL47" s="44"/>
      <c r="TKM47" s="44"/>
      <c r="TKN47" s="44"/>
      <c r="TKO47" s="44"/>
      <c r="TKP47" s="44"/>
      <c r="TKQ47" s="44"/>
      <c r="TKR47" s="44"/>
      <c r="TKS47" s="44"/>
      <c r="TKT47" s="44"/>
      <c r="TKU47" s="44"/>
      <c r="TKV47" s="44"/>
      <c r="TKW47" s="44"/>
      <c r="TKX47" s="44"/>
      <c r="TKY47" s="44"/>
      <c r="TKZ47" s="44"/>
      <c r="TLA47" s="44"/>
      <c r="TLB47" s="44"/>
      <c r="TLC47" s="44"/>
      <c r="TLD47" s="44"/>
      <c r="TLE47" s="44"/>
      <c r="TLF47" s="44"/>
      <c r="TLG47" s="44"/>
      <c r="TLH47" s="44"/>
      <c r="TLI47" s="44"/>
      <c r="TLJ47" s="44"/>
      <c r="TLK47" s="44"/>
      <c r="TLL47" s="44"/>
      <c r="TLM47" s="44"/>
      <c r="TLN47" s="44"/>
      <c r="TLO47" s="44"/>
      <c r="TLP47" s="44"/>
      <c r="TLQ47" s="44"/>
      <c r="TLR47" s="44"/>
      <c r="TLS47" s="44"/>
      <c r="TLT47" s="44"/>
      <c r="TLU47" s="44"/>
      <c r="TLV47" s="44"/>
      <c r="TLW47" s="44"/>
      <c r="TLX47" s="44"/>
      <c r="TLY47" s="44"/>
      <c r="TLZ47" s="44"/>
      <c r="TMA47" s="44"/>
      <c r="TMB47" s="44"/>
      <c r="TMC47" s="44"/>
      <c r="TMD47" s="44"/>
      <c r="TME47" s="44"/>
      <c r="TMF47" s="44"/>
      <c r="TMG47" s="44"/>
      <c r="TMH47" s="44"/>
      <c r="TMI47" s="44"/>
      <c r="TMJ47" s="44"/>
      <c r="TMK47" s="44"/>
      <c r="TML47" s="44"/>
      <c r="TMM47" s="44"/>
      <c r="TMN47" s="44"/>
      <c r="TMO47" s="44"/>
      <c r="TMP47" s="44"/>
      <c r="TMQ47" s="44"/>
      <c r="TMR47" s="44"/>
      <c r="TMS47" s="44"/>
      <c r="TMT47" s="44"/>
      <c r="TMU47" s="44"/>
      <c r="TMV47" s="44"/>
      <c r="TMW47" s="44"/>
      <c r="TMX47" s="44"/>
      <c r="TMY47" s="44"/>
      <c r="TMZ47" s="44"/>
      <c r="TNA47" s="44"/>
      <c r="TNB47" s="44"/>
      <c r="TNC47" s="44"/>
      <c r="TND47" s="44"/>
      <c r="TNE47" s="44"/>
      <c r="TNF47" s="44"/>
      <c r="TNG47" s="44"/>
      <c r="TNH47" s="44"/>
      <c r="TNI47" s="44"/>
      <c r="TNJ47" s="44"/>
      <c r="TNK47" s="44"/>
      <c r="TNL47" s="44"/>
      <c r="TNM47" s="44"/>
      <c r="TNN47" s="44"/>
      <c r="TNO47" s="44"/>
      <c r="TNP47" s="44"/>
      <c r="TNQ47" s="44"/>
      <c r="TNR47" s="44"/>
      <c r="TNS47" s="44"/>
      <c r="TNT47" s="44"/>
      <c r="TNU47" s="44"/>
      <c r="TNV47" s="44"/>
      <c r="TNW47" s="44"/>
      <c r="TNX47" s="44"/>
      <c r="TNY47" s="44"/>
      <c r="TNZ47" s="44"/>
      <c r="TOA47" s="44"/>
      <c r="TOB47" s="44"/>
      <c r="TOC47" s="44"/>
      <c r="TOD47" s="44"/>
      <c r="TOE47" s="44"/>
      <c r="TOF47" s="44"/>
      <c r="TOG47" s="44"/>
      <c r="TOH47" s="44"/>
      <c r="TOI47" s="44"/>
      <c r="TOJ47" s="44"/>
      <c r="TOK47" s="44"/>
      <c r="TOL47" s="44"/>
      <c r="TOM47" s="44"/>
      <c r="TON47" s="44"/>
      <c r="TOO47" s="44"/>
      <c r="TOP47" s="44"/>
      <c r="TOQ47" s="44"/>
      <c r="TOR47" s="44"/>
      <c r="TOS47" s="44"/>
      <c r="TOT47" s="44"/>
      <c r="TOU47" s="44"/>
      <c r="TOV47" s="44"/>
      <c r="TOW47" s="44"/>
      <c r="TOX47" s="44"/>
      <c r="TOY47" s="44"/>
      <c r="TOZ47" s="44"/>
      <c r="TPA47" s="44"/>
      <c r="TPB47" s="44"/>
      <c r="TPC47" s="44"/>
      <c r="TPD47" s="44"/>
      <c r="TPE47" s="44"/>
      <c r="TPF47" s="44"/>
      <c r="TPG47" s="44"/>
      <c r="TPH47" s="44"/>
      <c r="TPI47" s="44"/>
      <c r="TPJ47" s="44"/>
      <c r="TPK47" s="44"/>
      <c r="TPL47" s="44"/>
      <c r="TPM47" s="44"/>
      <c r="TPN47" s="44"/>
      <c r="TPO47" s="44"/>
      <c r="TPP47" s="44"/>
      <c r="TPQ47" s="44"/>
      <c r="TPR47" s="44"/>
      <c r="TPS47" s="44"/>
      <c r="TPT47" s="44"/>
      <c r="TPU47" s="44"/>
      <c r="TPV47" s="44"/>
      <c r="TPW47" s="44"/>
      <c r="TPX47" s="44"/>
      <c r="TPY47" s="44"/>
      <c r="TPZ47" s="44"/>
      <c r="TQA47" s="44"/>
      <c r="TQB47" s="44"/>
      <c r="TQC47" s="44"/>
      <c r="TQD47" s="44"/>
      <c r="TQE47" s="44"/>
      <c r="TQF47" s="44"/>
      <c r="TQG47" s="44"/>
      <c r="TQH47" s="44"/>
      <c r="TQI47" s="44"/>
      <c r="TQJ47" s="44"/>
      <c r="TQK47" s="44"/>
      <c r="TQL47" s="44"/>
      <c r="TQM47" s="44"/>
      <c r="TQN47" s="44"/>
      <c r="TQO47" s="44"/>
      <c r="TQP47" s="44"/>
      <c r="TQQ47" s="44"/>
      <c r="TQR47" s="44"/>
      <c r="TQS47" s="44"/>
      <c r="TQT47" s="44"/>
      <c r="TQU47" s="44"/>
      <c r="TQV47" s="44"/>
      <c r="TQW47" s="44"/>
      <c r="TQX47" s="44"/>
      <c r="TQY47" s="44"/>
      <c r="TQZ47" s="44"/>
      <c r="TRA47" s="44"/>
      <c r="TRB47" s="44"/>
      <c r="TRC47" s="44"/>
      <c r="TRD47" s="44"/>
      <c r="TRE47" s="44"/>
      <c r="TRF47" s="44"/>
      <c r="TRG47" s="44"/>
      <c r="TRH47" s="44"/>
      <c r="TRI47" s="44"/>
      <c r="TRJ47" s="44"/>
      <c r="TRK47" s="44"/>
      <c r="TRL47" s="44"/>
      <c r="TRM47" s="44"/>
      <c r="TRN47" s="44"/>
      <c r="TRO47" s="44"/>
      <c r="TRP47" s="44"/>
      <c r="TRQ47" s="44"/>
      <c r="TRR47" s="44"/>
      <c r="TRS47" s="44"/>
      <c r="TRT47" s="44"/>
      <c r="TRU47" s="44"/>
      <c r="TRV47" s="44"/>
      <c r="TRW47" s="44"/>
      <c r="TRX47" s="44"/>
      <c r="TRY47" s="44"/>
      <c r="TRZ47" s="44"/>
      <c r="TSA47" s="44"/>
      <c r="TSB47" s="44"/>
      <c r="TSC47" s="44"/>
      <c r="TSD47" s="44"/>
      <c r="TSE47" s="44"/>
      <c r="TSF47" s="44"/>
      <c r="TSG47" s="44"/>
      <c r="TSH47" s="44"/>
      <c r="TSI47" s="44"/>
      <c r="TSJ47" s="44"/>
      <c r="TSK47" s="44"/>
      <c r="TSL47" s="44"/>
      <c r="TSM47" s="44"/>
      <c r="TSN47" s="44"/>
      <c r="TSO47" s="44"/>
      <c r="TSP47" s="44"/>
      <c r="TSQ47" s="44"/>
      <c r="TSR47" s="44"/>
      <c r="TSS47" s="44"/>
      <c r="TST47" s="44"/>
      <c r="TSU47" s="44"/>
      <c r="TSV47" s="44"/>
      <c r="TSW47" s="44"/>
      <c r="TSX47" s="44"/>
      <c r="TSY47" s="44"/>
      <c r="TSZ47" s="44"/>
      <c r="TTA47" s="44"/>
      <c r="TTB47" s="44"/>
      <c r="TTC47" s="44"/>
      <c r="TTD47" s="44"/>
      <c r="TTE47" s="44"/>
      <c r="TTF47" s="44"/>
      <c r="TTG47" s="44"/>
      <c r="TTH47" s="44"/>
      <c r="TTI47" s="44"/>
      <c r="TTJ47" s="44"/>
      <c r="TTK47" s="44"/>
      <c r="TTL47" s="44"/>
      <c r="TTM47" s="44"/>
      <c r="TTN47" s="44"/>
      <c r="TTO47" s="44"/>
      <c r="TTP47" s="44"/>
      <c r="TTQ47" s="44"/>
      <c r="TTR47" s="44"/>
      <c r="TTS47" s="44"/>
      <c r="TTT47" s="44"/>
      <c r="TTU47" s="44"/>
      <c r="TTV47" s="44"/>
      <c r="TTW47" s="44"/>
      <c r="TTX47" s="44"/>
      <c r="TTY47" s="44"/>
      <c r="TTZ47" s="44"/>
      <c r="TUA47" s="44"/>
      <c r="TUB47" s="44"/>
      <c r="TUC47" s="44"/>
      <c r="TUD47" s="44"/>
      <c r="TUE47" s="44"/>
      <c r="TUF47" s="44"/>
      <c r="TUG47" s="44"/>
      <c r="TUH47" s="44"/>
      <c r="TUI47" s="44"/>
      <c r="TUJ47" s="44"/>
      <c r="TUK47" s="44"/>
      <c r="TUL47" s="44"/>
      <c r="TUM47" s="44"/>
      <c r="TUN47" s="44"/>
      <c r="TUO47" s="44"/>
      <c r="TUP47" s="44"/>
      <c r="TUQ47" s="44"/>
      <c r="TUR47" s="44"/>
      <c r="TUS47" s="44"/>
      <c r="TUT47" s="44"/>
      <c r="TUU47" s="44"/>
      <c r="TUV47" s="44"/>
      <c r="TUW47" s="44"/>
      <c r="TUX47" s="44"/>
      <c r="TUY47" s="44"/>
      <c r="TUZ47" s="44"/>
      <c r="TVA47" s="44"/>
      <c r="TVB47" s="44"/>
      <c r="TVC47" s="44"/>
      <c r="TVD47" s="44"/>
      <c r="TVE47" s="44"/>
      <c r="TVF47" s="44"/>
      <c r="TVG47" s="44"/>
      <c r="TVH47" s="44"/>
      <c r="TVI47" s="44"/>
      <c r="TVJ47" s="44"/>
      <c r="TVK47" s="44"/>
      <c r="TVL47" s="44"/>
      <c r="TVM47" s="44"/>
      <c r="TVN47" s="44"/>
      <c r="TVO47" s="44"/>
      <c r="TVP47" s="44"/>
      <c r="TVQ47" s="44"/>
      <c r="TVR47" s="44"/>
      <c r="TVS47" s="44"/>
      <c r="TVT47" s="44"/>
      <c r="TVU47" s="44"/>
      <c r="TVV47" s="44"/>
      <c r="TVW47" s="44"/>
      <c r="TVX47" s="44"/>
      <c r="TVY47" s="44"/>
      <c r="TVZ47" s="44"/>
      <c r="TWA47" s="44"/>
      <c r="TWB47" s="44"/>
      <c r="TWC47" s="44"/>
      <c r="TWD47" s="44"/>
      <c r="TWE47" s="44"/>
      <c r="TWF47" s="44"/>
      <c r="TWG47" s="44"/>
      <c r="TWH47" s="44"/>
      <c r="TWI47" s="44"/>
      <c r="TWJ47" s="44"/>
      <c r="TWK47" s="44"/>
      <c r="TWL47" s="44"/>
      <c r="TWM47" s="44"/>
      <c r="TWN47" s="44"/>
      <c r="TWO47" s="44"/>
      <c r="TWP47" s="44"/>
      <c r="TWQ47" s="44"/>
      <c r="TWR47" s="44"/>
      <c r="TWS47" s="44"/>
      <c r="TWT47" s="44"/>
      <c r="TWU47" s="44"/>
      <c r="TWV47" s="44"/>
      <c r="TWW47" s="44"/>
      <c r="TWX47" s="44"/>
      <c r="TWY47" s="44"/>
      <c r="TWZ47" s="44"/>
      <c r="TXA47" s="44"/>
      <c r="TXB47" s="44"/>
      <c r="TXC47" s="44"/>
      <c r="TXD47" s="44"/>
      <c r="TXE47" s="44"/>
      <c r="TXF47" s="44"/>
      <c r="TXG47" s="44"/>
      <c r="TXH47" s="44"/>
      <c r="TXI47" s="44"/>
      <c r="TXJ47" s="44"/>
      <c r="TXK47" s="44"/>
      <c r="TXL47" s="44"/>
      <c r="TXM47" s="44"/>
      <c r="TXN47" s="44"/>
      <c r="TXO47" s="44"/>
      <c r="TXP47" s="44"/>
      <c r="TXQ47" s="44"/>
      <c r="TXR47" s="44"/>
      <c r="TXS47" s="44"/>
      <c r="TXT47" s="44"/>
      <c r="TXU47" s="44"/>
      <c r="TXV47" s="44"/>
      <c r="TXW47" s="44"/>
      <c r="TXX47" s="44"/>
      <c r="TXY47" s="44"/>
      <c r="TXZ47" s="44"/>
      <c r="TYA47" s="44"/>
      <c r="TYB47" s="44"/>
      <c r="TYC47" s="44"/>
      <c r="TYD47" s="44"/>
      <c r="TYE47" s="44"/>
      <c r="TYF47" s="44"/>
      <c r="TYG47" s="44"/>
      <c r="TYH47" s="44"/>
      <c r="TYI47" s="44"/>
      <c r="TYJ47" s="44"/>
      <c r="TYK47" s="44"/>
      <c r="TYL47" s="44"/>
      <c r="TYM47" s="44"/>
      <c r="TYN47" s="44"/>
      <c r="TYO47" s="44"/>
      <c r="TYP47" s="44"/>
      <c r="TYQ47" s="44"/>
      <c r="TYR47" s="44"/>
      <c r="TYS47" s="44"/>
      <c r="TYT47" s="44"/>
      <c r="TYU47" s="44"/>
      <c r="TYV47" s="44"/>
      <c r="TYW47" s="44"/>
      <c r="TYX47" s="44"/>
      <c r="TYY47" s="44"/>
      <c r="TYZ47" s="44"/>
      <c r="TZA47" s="44"/>
      <c r="TZB47" s="44"/>
      <c r="TZC47" s="44"/>
      <c r="TZD47" s="44"/>
      <c r="TZE47" s="44"/>
      <c r="TZF47" s="44"/>
      <c r="TZG47" s="44"/>
      <c r="TZH47" s="44"/>
      <c r="TZI47" s="44"/>
      <c r="TZJ47" s="44"/>
      <c r="TZK47" s="44"/>
      <c r="TZL47" s="44"/>
      <c r="TZM47" s="44"/>
      <c r="TZN47" s="44"/>
      <c r="TZO47" s="44"/>
      <c r="TZP47" s="44"/>
      <c r="TZQ47" s="44"/>
      <c r="TZR47" s="44"/>
      <c r="TZS47" s="44"/>
      <c r="TZT47" s="44"/>
      <c r="TZU47" s="44"/>
      <c r="TZV47" s="44"/>
      <c r="TZW47" s="44"/>
      <c r="TZX47" s="44"/>
      <c r="TZY47" s="44"/>
      <c r="TZZ47" s="44"/>
      <c r="UAA47" s="44"/>
      <c r="UAB47" s="44"/>
      <c r="UAC47" s="44"/>
      <c r="UAD47" s="44"/>
      <c r="UAE47" s="44"/>
      <c r="UAF47" s="44"/>
      <c r="UAG47" s="44"/>
      <c r="UAH47" s="44"/>
      <c r="UAI47" s="44"/>
      <c r="UAJ47" s="44"/>
      <c r="UAK47" s="44"/>
      <c r="UAL47" s="44"/>
      <c r="UAM47" s="44"/>
      <c r="UAN47" s="44"/>
      <c r="UAO47" s="44"/>
      <c r="UAP47" s="44"/>
      <c r="UAQ47" s="44"/>
      <c r="UAR47" s="44"/>
      <c r="UAS47" s="44"/>
      <c r="UAT47" s="44"/>
      <c r="UAU47" s="44"/>
      <c r="UAV47" s="44"/>
      <c r="UAW47" s="44"/>
      <c r="UAX47" s="44"/>
      <c r="UAY47" s="44"/>
      <c r="UAZ47" s="44"/>
      <c r="UBA47" s="44"/>
      <c r="UBB47" s="44"/>
      <c r="UBC47" s="44"/>
      <c r="UBD47" s="44"/>
      <c r="UBE47" s="44"/>
      <c r="UBF47" s="44"/>
      <c r="UBG47" s="44"/>
      <c r="UBH47" s="44"/>
      <c r="UBI47" s="44"/>
      <c r="UBJ47" s="44"/>
      <c r="UBK47" s="44"/>
      <c r="UBL47" s="44"/>
      <c r="UBM47" s="44"/>
      <c r="UBN47" s="44"/>
      <c r="UBO47" s="44"/>
      <c r="UBP47" s="44"/>
      <c r="UBQ47" s="44"/>
      <c r="UBR47" s="44"/>
      <c r="UBS47" s="44"/>
      <c r="UBT47" s="44"/>
      <c r="UBU47" s="44"/>
      <c r="UBV47" s="44"/>
      <c r="UBW47" s="44"/>
      <c r="UBX47" s="44"/>
      <c r="UBY47" s="44"/>
      <c r="UBZ47" s="44"/>
      <c r="UCA47" s="44"/>
      <c r="UCB47" s="44"/>
      <c r="UCC47" s="44"/>
      <c r="UCD47" s="44"/>
      <c r="UCE47" s="44"/>
      <c r="UCF47" s="44"/>
      <c r="UCG47" s="44"/>
      <c r="UCH47" s="44"/>
      <c r="UCI47" s="44"/>
      <c r="UCJ47" s="44"/>
      <c r="UCK47" s="44"/>
      <c r="UCL47" s="44"/>
      <c r="UCM47" s="44"/>
      <c r="UCN47" s="44"/>
      <c r="UCO47" s="44"/>
      <c r="UCP47" s="44"/>
      <c r="UCQ47" s="44"/>
      <c r="UCR47" s="44"/>
      <c r="UCS47" s="44"/>
      <c r="UCT47" s="44"/>
      <c r="UCU47" s="44"/>
      <c r="UCV47" s="44"/>
      <c r="UCW47" s="44"/>
      <c r="UCX47" s="44"/>
      <c r="UCY47" s="44"/>
      <c r="UCZ47" s="44"/>
      <c r="UDA47" s="44"/>
      <c r="UDB47" s="44"/>
      <c r="UDC47" s="44"/>
      <c r="UDD47" s="44"/>
      <c r="UDE47" s="44"/>
      <c r="UDF47" s="44"/>
      <c r="UDG47" s="44"/>
      <c r="UDH47" s="44"/>
      <c r="UDI47" s="44"/>
      <c r="UDJ47" s="44"/>
      <c r="UDK47" s="44"/>
      <c r="UDL47" s="44"/>
      <c r="UDM47" s="44"/>
      <c r="UDN47" s="44"/>
      <c r="UDO47" s="44"/>
      <c r="UDP47" s="44"/>
      <c r="UDQ47" s="44"/>
      <c r="UDR47" s="44"/>
      <c r="UDS47" s="44"/>
      <c r="UDT47" s="44"/>
      <c r="UDU47" s="44"/>
      <c r="UDV47" s="44"/>
      <c r="UDW47" s="44"/>
      <c r="UDX47" s="44"/>
      <c r="UDY47" s="44"/>
      <c r="UDZ47" s="44"/>
      <c r="UEA47" s="44"/>
      <c r="UEB47" s="44"/>
      <c r="UEC47" s="44"/>
      <c r="UED47" s="44"/>
      <c r="UEE47" s="44"/>
      <c r="UEF47" s="44"/>
      <c r="UEG47" s="44"/>
      <c r="UEH47" s="44"/>
      <c r="UEI47" s="44"/>
      <c r="UEJ47" s="44"/>
      <c r="UEK47" s="44"/>
      <c r="UEL47" s="44"/>
      <c r="UEM47" s="44"/>
      <c r="UEN47" s="44"/>
      <c r="UEO47" s="44"/>
      <c r="UEP47" s="44"/>
      <c r="UEQ47" s="44"/>
      <c r="UER47" s="44"/>
      <c r="UES47" s="44"/>
      <c r="UET47" s="44"/>
      <c r="UEU47" s="44"/>
      <c r="UEV47" s="44"/>
      <c r="UEW47" s="44"/>
      <c r="UEX47" s="44"/>
      <c r="UEY47" s="44"/>
      <c r="UEZ47" s="44"/>
      <c r="UFA47" s="44"/>
      <c r="UFB47" s="44"/>
      <c r="UFC47" s="44"/>
      <c r="UFD47" s="44"/>
      <c r="UFE47" s="44"/>
      <c r="UFF47" s="44"/>
      <c r="UFG47" s="44"/>
      <c r="UFH47" s="44"/>
      <c r="UFI47" s="44"/>
      <c r="UFJ47" s="44"/>
      <c r="UFK47" s="44"/>
      <c r="UFL47" s="44"/>
      <c r="UFM47" s="44"/>
      <c r="UFN47" s="44"/>
      <c r="UFO47" s="44"/>
      <c r="UFP47" s="44"/>
      <c r="UFQ47" s="44"/>
      <c r="UFR47" s="44"/>
      <c r="UFS47" s="44"/>
      <c r="UFT47" s="44"/>
      <c r="UFU47" s="44"/>
      <c r="UFV47" s="44"/>
      <c r="UFW47" s="44"/>
      <c r="UFX47" s="44"/>
      <c r="UFY47" s="44"/>
      <c r="UFZ47" s="44"/>
      <c r="UGA47" s="44"/>
      <c r="UGB47" s="44"/>
      <c r="UGC47" s="44"/>
      <c r="UGD47" s="44"/>
      <c r="UGE47" s="44"/>
      <c r="UGF47" s="44"/>
      <c r="UGG47" s="44"/>
      <c r="UGH47" s="44"/>
      <c r="UGI47" s="44"/>
      <c r="UGJ47" s="44"/>
      <c r="UGK47" s="44"/>
      <c r="UGL47" s="44"/>
      <c r="UGM47" s="44"/>
      <c r="UGN47" s="44"/>
      <c r="UGO47" s="44"/>
      <c r="UGP47" s="44"/>
      <c r="UGQ47" s="44"/>
      <c r="UGR47" s="44"/>
      <c r="UGS47" s="44"/>
      <c r="UGT47" s="44"/>
      <c r="UGU47" s="44"/>
      <c r="UGV47" s="44"/>
      <c r="UGW47" s="44"/>
      <c r="UGX47" s="44"/>
      <c r="UGY47" s="44"/>
      <c r="UGZ47" s="44"/>
      <c r="UHA47" s="44"/>
      <c r="UHB47" s="44"/>
      <c r="UHC47" s="44"/>
      <c r="UHD47" s="44"/>
      <c r="UHE47" s="44"/>
      <c r="UHF47" s="44"/>
      <c r="UHG47" s="44"/>
      <c r="UHH47" s="44"/>
      <c r="UHI47" s="44"/>
      <c r="UHJ47" s="44"/>
      <c r="UHK47" s="44"/>
      <c r="UHL47" s="44"/>
      <c r="UHM47" s="44"/>
      <c r="UHN47" s="44"/>
      <c r="UHO47" s="44"/>
      <c r="UHP47" s="44"/>
      <c r="UHQ47" s="44"/>
      <c r="UHR47" s="44"/>
      <c r="UHS47" s="44"/>
      <c r="UHT47" s="44"/>
      <c r="UHU47" s="44"/>
      <c r="UHV47" s="44"/>
      <c r="UHW47" s="44"/>
      <c r="UHX47" s="44"/>
      <c r="UHY47" s="44"/>
      <c r="UHZ47" s="44"/>
      <c r="UIA47" s="44"/>
      <c r="UIB47" s="44"/>
      <c r="UIC47" s="44"/>
      <c r="UID47" s="44"/>
      <c r="UIE47" s="44"/>
      <c r="UIF47" s="44"/>
      <c r="UIG47" s="44"/>
      <c r="UIH47" s="44"/>
      <c r="UII47" s="44"/>
      <c r="UIJ47" s="44"/>
      <c r="UIK47" s="44"/>
      <c r="UIL47" s="44"/>
      <c r="UIM47" s="44"/>
      <c r="UIN47" s="44"/>
      <c r="UIO47" s="44"/>
      <c r="UIP47" s="44"/>
      <c r="UIQ47" s="44"/>
      <c r="UIR47" s="44"/>
      <c r="UIS47" s="44"/>
      <c r="UIT47" s="44"/>
      <c r="UIU47" s="44"/>
      <c r="UIV47" s="44"/>
      <c r="UIW47" s="44"/>
      <c r="UIX47" s="44"/>
      <c r="UIY47" s="44"/>
      <c r="UIZ47" s="44"/>
      <c r="UJA47" s="44"/>
      <c r="UJB47" s="44"/>
      <c r="UJC47" s="44"/>
      <c r="UJD47" s="44"/>
      <c r="UJE47" s="44"/>
      <c r="UJF47" s="44"/>
      <c r="UJG47" s="44"/>
      <c r="UJH47" s="44"/>
      <c r="UJI47" s="44"/>
      <c r="UJJ47" s="44"/>
      <c r="UJK47" s="44"/>
      <c r="UJL47" s="44"/>
      <c r="UJM47" s="44"/>
      <c r="UJN47" s="44"/>
      <c r="UJO47" s="44"/>
      <c r="UJP47" s="44"/>
      <c r="UJQ47" s="44"/>
      <c r="UJR47" s="44"/>
      <c r="UJS47" s="44"/>
      <c r="UJT47" s="44"/>
      <c r="UJU47" s="44"/>
      <c r="UJV47" s="44"/>
      <c r="UJW47" s="44"/>
      <c r="UJX47" s="44"/>
      <c r="UJY47" s="44"/>
      <c r="UJZ47" s="44"/>
      <c r="UKA47" s="44"/>
      <c r="UKB47" s="44"/>
      <c r="UKC47" s="44"/>
      <c r="UKD47" s="44"/>
      <c r="UKE47" s="44"/>
      <c r="UKF47" s="44"/>
      <c r="UKG47" s="44"/>
      <c r="UKH47" s="44"/>
      <c r="UKI47" s="44"/>
      <c r="UKJ47" s="44"/>
      <c r="UKK47" s="44"/>
      <c r="UKL47" s="44"/>
      <c r="UKM47" s="44"/>
      <c r="UKN47" s="44"/>
      <c r="UKO47" s="44"/>
      <c r="UKP47" s="44"/>
      <c r="UKQ47" s="44"/>
      <c r="UKR47" s="44"/>
      <c r="UKS47" s="44"/>
      <c r="UKT47" s="44"/>
      <c r="UKU47" s="44"/>
      <c r="UKV47" s="44"/>
      <c r="UKW47" s="44"/>
      <c r="UKX47" s="44"/>
      <c r="UKY47" s="44"/>
      <c r="UKZ47" s="44"/>
      <c r="ULA47" s="44"/>
      <c r="ULB47" s="44"/>
      <c r="ULC47" s="44"/>
      <c r="ULD47" s="44"/>
      <c r="ULE47" s="44"/>
      <c r="ULF47" s="44"/>
      <c r="ULG47" s="44"/>
      <c r="ULH47" s="44"/>
      <c r="ULI47" s="44"/>
      <c r="ULJ47" s="44"/>
      <c r="ULK47" s="44"/>
      <c r="ULL47" s="44"/>
      <c r="ULM47" s="44"/>
      <c r="ULN47" s="44"/>
      <c r="ULO47" s="44"/>
      <c r="ULP47" s="44"/>
      <c r="ULQ47" s="44"/>
      <c r="ULR47" s="44"/>
      <c r="ULS47" s="44"/>
      <c r="ULT47" s="44"/>
      <c r="ULU47" s="44"/>
      <c r="ULV47" s="44"/>
      <c r="ULW47" s="44"/>
      <c r="ULX47" s="44"/>
      <c r="ULY47" s="44"/>
      <c r="ULZ47" s="44"/>
      <c r="UMA47" s="44"/>
      <c r="UMB47" s="44"/>
      <c r="UMC47" s="44"/>
      <c r="UMD47" s="44"/>
      <c r="UME47" s="44"/>
      <c r="UMF47" s="44"/>
      <c r="UMG47" s="44"/>
      <c r="UMH47" s="44"/>
      <c r="UMI47" s="44"/>
      <c r="UMJ47" s="44"/>
      <c r="UMK47" s="44"/>
      <c r="UML47" s="44"/>
      <c r="UMM47" s="44"/>
      <c r="UMN47" s="44"/>
      <c r="UMO47" s="44"/>
      <c r="UMP47" s="44"/>
      <c r="UMQ47" s="44"/>
      <c r="UMR47" s="44"/>
      <c r="UMS47" s="44"/>
      <c r="UMT47" s="44"/>
      <c r="UMU47" s="44"/>
      <c r="UMV47" s="44"/>
      <c r="UMW47" s="44"/>
      <c r="UMX47" s="44"/>
      <c r="UMY47" s="44"/>
      <c r="UMZ47" s="44"/>
      <c r="UNA47" s="44"/>
      <c r="UNB47" s="44"/>
      <c r="UNC47" s="44"/>
      <c r="UND47" s="44"/>
      <c r="UNE47" s="44"/>
      <c r="UNF47" s="44"/>
      <c r="UNG47" s="44"/>
      <c r="UNH47" s="44"/>
      <c r="UNI47" s="44"/>
      <c r="UNJ47" s="44"/>
      <c r="UNK47" s="44"/>
      <c r="UNL47" s="44"/>
      <c r="UNM47" s="44"/>
      <c r="UNN47" s="44"/>
      <c r="UNO47" s="44"/>
      <c r="UNP47" s="44"/>
      <c r="UNQ47" s="44"/>
      <c r="UNR47" s="44"/>
      <c r="UNS47" s="44"/>
      <c r="UNT47" s="44"/>
      <c r="UNU47" s="44"/>
      <c r="UNV47" s="44"/>
      <c r="UNW47" s="44"/>
      <c r="UNX47" s="44"/>
      <c r="UNY47" s="44"/>
      <c r="UNZ47" s="44"/>
      <c r="UOA47" s="44"/>
      <c r="UOB47" s="44"/>
      <c r="UOC47" s="44"/>
      <c r="UOD47" s="44"/>
      <c r="UOE47" s="44"/>
      <c r="UOF47" s="44"/>
      <c r="UOG47" s="44"/>
      <c r="UOH47" s="44"/>
      <c r="UOI47" s="44"/>
      <c r="UOJ47" s="44"/>
      <c r="UOK47" s="44"/>
      <c r="UOL47" s="44"/>
      <c r="UOM47" s="44"/>
      <c r="UON47" s="44"/>
      <c r="UOO47" s="44"/>
      <c r="UOP47" s="44"/>
      <c r="UOQ47" s="44"/>
      <c r="UOR47" s="44"/>
      <c r="UOS47" s="44"/>
      <c r="UOT47" s="44"/>
      <c r="UOU47" s="44"/>
      <c r="UOV47" s="44"/>
      <c r="UOW47" s="44"/>
      <c r="UOX47" s="44"/>
      <c r="UOY47" s="44"/>
      <c r="UOZ47" s="44"/>
      <c r="UPA47" s="44"/>
      <c r="UPB47" s="44"/>
      <c r="UPC47" s="44"/>
      <c r="UPD47" s="44"/>
      <c r="UPE47" s="44"/>
      <c r="UPF47" s="44"/>
      <c r="UPG47" s="44"/>
      <c r="UPH47" s="44"/>
      <c r="UPI47" s="44"/>
      <c r="UPJ47" s="44"/>
      <c r="UPK47" s="44"/>
      <c r="UPL47" s="44"/>
      <c r="UPM47" s="44"/>
      <c r="UPN47" s="44"/>
      <c r="UPO47" s="44"/>
      <c r="UPP47" s="44"/>
      <c r="UPQ47" s="44"/>
      <c r="UPR47" s="44"/>
      <c r="UPS47" s="44"/>
      <c r="UPT47" s="44"/>
      <c r="UPU47" s="44"/>
      <c r="UPV47" s="44"/>
      <c r="UPW47" s="44"/>
      <c r="UPX47" s="44"/>
      <c r="UPY47" s="44"/>
      <c r="UPZ47" s="44"/>
      <c r="UQA47" s="44"/>
      <c r="UQB47" s="44"/>
      <c r="UQC47" s="44"/>
      <c r="UQD47" s="44"/>
      <c r="UQE47" s="44"/>
      <c r="UQF47" s="44"/>
      <c r="UQG47" s="44"/>
      <c r="UQH47" s="44"/>
      <c r="UQI47" s="44"/>
      <c r="UQJ47" s="44"/>
      <c r="UQK47" s="44"/>
      <c r="UQL47" s="44"/>
      <c r="UQM47" s="44"/>
      <c r="UQN47" s="44"/>
      <c r="UQO47" s="44"/>
      <c r="UQP47" s="44"/>
      <c r="UQQ47" s="44"/>
      <c r="UQR47" s="44"/>
      <c r="UQS47" s="44"/>
      <c r="UQT47" s="44"/>
      <c r="UQU47" s="44"/>
      <c r="UQV47" s="44"/>
      <c r="UQW47" s="44"/>
      <c r="UQX47" s="44"/>
      <c r="UQY47" s="44"/>
      <c r="UQZ47" s="44"/>
      <c r="URA47" s="44"/>
      <c r="URB47" s="44"/>
      <c r="URC47" s="44"/>
      <c r="URD47" s="44"/>
      <c r="URE47" s="44"/>
      <c r="URF47" s="44"/>
      <c r="URG47" s="44"/>
      <c r="URH47" s="44"/>
      <c r="URI47" s="44"/>
      <c r="URJ47" s="44"/>
      <c r="URK47" s="44"/>
      <c r="URL47" s="44"/>
      <c r="URM47" s="44"/>
      <c r="URN47" s="44"/>
      <c r="URO47" s="44"/>
      <c r="URP47" s="44"/>
      <c r="URQ47" s="44"/>
      <c r="URR47" s="44"/>
      <c r="URS47" s="44"/>
      <c r="URT47" s="44"/>
      <c r="URU47" s="44"/>
      <c r="URV47" s="44"/>
      <c r="URW47" s="44"/>
      <c r="URX47" s="44"/>
      <c r="URY47" s="44"/>
      <c r="URZ47" s="44"/>
      <c r="USA47" s="44"/>
      <c r="USB47" s="44"/>
      <c r="USC47" s="44"/>
      <c r="USD47" s="44"/>
      <c r="USE47" s="44"/>
      <c r="USF47" s="44"/>
      <c r="USG47" s="44"/>
      <c r="USH47" s="44"/>
      <c r="USI47" s="44"/>
      <c r="USJ47" s="44"/>
      <c r="USK47" s="44"/>
      <c r="USL47" s="44"/>
      <c r="USM47" s="44"/>
      <c r="USN47" s="44"/>
      <c r="USO47" s="44"/>
      <c r="USP47" s="44"/>
      <c r="USQ47" s="44"/>
      <c r="USR47" s="44"/>
      <c r="USS47" s="44"/>
      <c r="UST47" s="44"/>
      <c r="USU47" s="44"/>
      <c r="USV47" s="44"/>
      <c r="USW47" s="44"/>
      <c r="USX47" s="44"/>
      <c r="USY47" s="44"/>
      <c r="USZ47" s="44"/>
      <c r="UTA47" s="44"/>
      <c r="UTB47" s="44"/>
      <c r="UTC47" s="44"/>
      <c r="UTD47" s="44"/>
      <c r="UTE47" s="44"/>
      <c r="UTF47" s="44"/>
      <c r="UTG47" s="44"/>
      <c r="UTH47" s="44"/>
      <c r="UTI47" s="44"/>
      <c r="UTJ47" s="44"/>
      <c r="UTK47" s="44"/>
      <c r="UTL47" s="44"/>
      <c r="UTM47" s="44"/>
      <c r="UTN47" s="44"/>
      <c r="UTO47" s="44"/>
      <c r="UTP47" s="44"/>
      <c r="UTQ47" s="44"/>
      <c r="UTR47" s="44"/>
      <c r="UTS47" s="44"/>
      <c r="UTT47" s="44"/>
      <c r="UTU47" s="44"/>
      <c r="UTV47" s="44"/>
      <c r="UTW47" s="44"/>
      <c r="UTX47" s="44"/>
      <c r="UTY47" s="44"/>
      <c r="UTZ47" s="44"/>
      <c r="UUA47" s="44"/>
      <c r="UUB47" s="44"/>
      <c r="UUC47" s="44"/>
      <c r="UUD47" s="44"/>
      <c r="UUE47" s="44"/>
      <c r="UUF47" s="44"/>
      <c r="UUG47" s="44"/>
      <c r="UUH47" s="44"/>
      <c r="UUI47" s="44"/>
      <c r="UUJ47" s="44"/>
      <c r="UUK47" s="44"/>
      <c r="UUL47" s="44"/>
      <c r="UUM47" s="44"/>
      <c r="UUN47" s="44"/>
      <c r="UUO47" s="44"/>
      <c r="UUP47" s="44"/>
      <c r="UUQ47" s="44"/>
      <c r="UUR47" s="44"/>
      <c r="UUS47" s="44"/>
      <c r="UUT47" s="44"/>
      <c r="UUU47" s="44"/>
      <c r="UUV47" s="44"/>
      <c r="UUW47" s="44"/>
      <c r="UUX47" s="44"/>
      <c r="UUY47" s="44"/>
      <c r="UUZ47" s="44"/>
      <c r="UVA47" s="44"/>
      <c r="UVB47" s="44"/>
      <c r="UVC47" s="44"/>
      <c r="UVD47" s="44"/>
      <c r="UVE47" s="44"/>
      <c r="UVF47" s="44"/>
      <c r="UVG47" s="44"/>
      <c r="UVH47" s="44"/>
      <c r="UVI47" s="44"/>
      <c r="UVJ47" s="44"/>
      <c r="UVK47" s="44"/>
      <c r="UVL47" s="44"/>
      <c r="UVM47" s="44"/>
      <c r="UVN47" s="44"/>
      <c r="UVO47" s="44"/>
      <c r="UVP47" s="44"/>
      <c r="UVQ47" s="44"/>
      <c r="UVR47" s="44"/>
      <c r="UVS47" s="44"/>
      <c r="UVT47" s="44"/>
      <c r="UVU47" s="44"/>
      <c r="UVV47" s="44"/>
      <c r="UVW47" s="44"/>
      <c r="UVX47" s="44"/>
      <c r="UVY47" s="44"/>
      <c r="UVZ47" s="44"/>
      <c r="UWA47" s="44"/>
      <c r="UWB47" s="44"/>
      <c r="UWC47" s="44"/>
      <c r="UWD47" s="44"/>
      <c r="UWE47" s="44"/>
      <c r="UWF47" s="44"/>
      <c r="UWG47" s="44"/>
      <c r="UWH47" s="44"/>
      <c r="UWI47" s="44"/>
      <c r="UWJ47" s="44"/>
      <c r="UWK47" s="44"/>
      <c r="UWL47" s="44"/>
      <c r="UWM47" s="44"/>
      <c r="UWN47" s="44"/>
      <c r="UWO47" s="44"/>
      <c r="UWP47" s="44"/>
      <c r="UWQ47" s="44"/>
      <c r="UWR47" s="44"/>
      <c r="UWS47" s="44"/>
      <c r="UWT47" s="44"/>
      <c r="UWU47" s="44"/>
      <c r="UWV47" s="44"/>
      <c r="UWW47" s="44"/>
      <c r="UWX47" s="44"/>
      <c r="UWY47" s="44"/>
      <c r="UWZ47" s="44"/>
      <c r="UXA47" s="44"/>
      <c r="UXB47" s="44"/>
      <c r="UXC47" s="44"/>
      <c r="UXD47" s="44"/>
      <c r="UXE47" s="44"/>
      <c r="UXF47" s="44"/>
      <c r="UXG47" s="44"/>
      <c r="UXH47" s="44"/>
      <c r="UXI47" s="44"/>
      <c r="UXJ47" s="44"/>
      <c r="UXK47" s="44"/>
      <c r="UXL47" s="44"/>
      <c r="UXM47" s="44"/>
      <c r="UXN47" s="44"/>
      <c r="UXO47" s="44"/>
      <c r="UXP47" s="44"/>
      <c r="UXQ47" s="44"/>
      <c r="UXR47" s="44"/>
      <c r="UXS47" s="44"/>
      <c r="UXT47" s="44"/>
      <c r="UXU47" s="44"/>
      <c r="UXV47" s="44"/>
      <c r="UXW47" s="44"/>
      <c r="UXX47" s="44"/>
      <c r="UXY47" s="44"/>
      <c r="UXZ47" s="44"/>
      <c r="UYA47" s="44"/>
      <c r="UYB47" s="44"/>
      <c r="UYC47" s="44"/>
      <c r="UYD47" s="44"/>
      <c r="UYE47" s="44"/>
      <c r="UYF47" s="44"/>
      <c r="UYG47" s="44"/>
      <c r="UYH47" s="44"/>
      <c r="UYI47" s="44"/>
      <c r="UYJ47" s="44"/>
      <c r="UYK47" s="44"/>
      <c r="UYL47" s="44"/>
      <c r="UYM47" s="44"/>
      <c r="UYN47" s="44"/>
      <c r="UYO47" s="44"/>
      <c r="UYP47" s="44"/>
      <c r="UYQ47" s="44"/>
      <c r="UYR47" s="44"/>
      <c r="UYS47" s="44"/>
      <c r="UYT47" s="44"/>
      <c r="UYU47" s="44"/>
      <c r="UYV47" s="44"/>
      <c r="UYW47" s="44"/>
      <c r="UYX47" s="44"/>
      <c r="UYY47" s="44"/>
      <c r="UYZ47" s="44"/>
      <c r="UZA47" s="44"/>
      <c r="UZB47" s="44"/>
      <c r="UZC47" s="44"/>
      <c r="UZD47" s="44"/>
      <c r="UZE47" s="44"/>
      <c r="UZF47" s="44"/>
      <c r="UZG47" s="44"/>
      <c r="UZH47" s="44"/>
      <c r="UZI47" s="44"/>
      <c r="UZJ47" s="44"/>
      <c r="UZK47" s="44"/>
      <c r="UZL47" s="44"/>
      <c r="UZM47" s="44"/>
      <c r="UZN47" s="44"/>
      <c r="UZO47" s="44"/>
      <c r="UZP47" s="44"/>
      <c r="UZQ47" s="44"/>
      <c r="UZR47" s="44"/>
      <c r="UZS47" s="44"/>
      <c r="UZT47" s="44"/>
      <c r="UZU47" s="44"/>
      <c r="UZV47" s="44"/>
      <c r="UZW47" s="44"/>
      <c r="UZX47" s="44"/>
      <c r="UZY47" s="44"/>
      <c r="UZZ47" s="44"/>
      <c r="VAA47" s="44"/>
      <c r="VAB47" s="44"/>
      <c r="VAC47" s="44"/>
      <c r="VAD47" s="44"/>
      <c r="VAE47" s="44"/>
      <c r="VAF47" s="44"/>
      <c r="VAG47" s="44"/>
      <c r="VAH47" s="44"/>
      <c r="VAI47" s="44"/>
      <c r="VAJ47" s="44"/>
      <c r="VAK47" s="44"/>
      <c r="VAL47" s="44"/>
      <c r="VAM47" s="44"/>
      <c r="VAN47" s="44"/>
      <c r="VAO47" s="44"/>
      <c r="VAP47" s="44"/>
      <c r="VAQ47" s="44"/>
      <c r="VAR47" s="44"/>
      <c r="VAS47" s="44"/>
      <c r="VAT47" s="44"/>
      <c r="VAU47" s="44"/>
      <c r="VAV47" s="44"/>
      <c r="VAW47" s="44"/>
      <c r="VAX47" s="44"/>
      <c r="VAY47" s="44"/>
      <c r="VAZ47" s="44"/>
      <c r="VBA47" s="44"/>
      <c r="VBB47" s="44"/>
      <c r="VBC47" s="44"/>
      <c r="VBD47" s="44"/>
      <c r="VBE47" s="44"/>
      <c r="VBF47" s="44"/>
      <c r="VBG47" s="44"/>
      <c r="VBH47" s="44"/>
      <c r="VBI47" s="44"/>
      <c r="VBJ47" s="44"/>
      <c r="VBK47" s="44"/>
      <c r="VBL47" s="44"/>
      <c r="VBM47" s="44"/>
      <c r="VBN47" s="44"/>
      <c r="VBO47" s="44"/>
      <c r="VBP47" s="44"/>
      <c r="VBQ47" s="44"/>
      <c r="VBR47" s="44"/>
      <c r="VBS47" s="44"/>
      <c r="VBT47" s="44"/>
      <c r="VBU47" s="44"/>
      <c r="VBV47" s="44"/>
      <c r="VBW47" s="44"/>
      <c r="VBX47" s="44"/>
      <c r="VBY47" s="44"/>
      <c r="VBZ47" s="44"/>
      <c r="VCA47" s="44"/>
      <c r="VCB47" s="44"/>
      <c r="VCC47" s="44"/>
      <c r="VCD47" s="44"/>
      <c r="VCE47" s="44"/>
      <c r="VCF47" s="44"/>
      <c r="VCG47" s="44"/>
      <c r="VCH47" s="44"/>
      <c r="VCI47" s="44"/>
      <c r="VCJ47" s="44"/>
      <c r="VCK47" s="44"/>
      <c r="VCL47" s="44"/>
      <c r="VCM47" s="44"/>
      <c r="VCN47" s="44"/>
      <c r="VCO47" s="44"/>
      <c r="VCP47" s="44"/>
      <c r="VCQ47" s="44"/>
      <c r="VCR47" s="44"/>
      <c r="VCS47" s="44"/>
      <c r="VCT47" s="44"/>
      <c r="VCU47" s="44"/>
      <c r="VCV47" s="44"/>
      <c r="VCW47" s="44"/>
      <c r="VCX47" s="44"/>
      <c r="VCY47" s="44"/>
      <c r="VCZ47" s="44"/>
      <c r="VDA47" s="44"/>
      <c r="VDB47" s="44"/>
      <c r="VDC47" s="44"/>
      <c r="VDD47" s="44"/>
      <c r="VDE47" s="44"/>
      <c r="VDF47" s="44"/>
      <c r="VDG47" s="44"/>
      <c r="VDH47" s="44"/>
      <c r="VDI47" s="44"/>
      <c r="VDJ47" s="44"/>
      <c r="VDK47" s="44"/>
      <c r="VDL47" s="44"/>
      <c r="VDM47" s="44"/>
      <c r="VDN47" s="44"/>
      <c r="VDO47" s="44"/>
      <c r="VDP47" s="44"/>
      <c r="VDQ47" s="44"/>
      <c r="VDR47" s="44"/>
      <c r="VDS47" s="44"/>
      <c r="VDT47" s="44"/>
      <c r="VDU47" s="44"/>
      <c r="VDV47" s="44"/>
      <c r="VDW47" s="44"/>
      <c r="VDX47" s="44"/>
      <c r="VDY47" s="44"/>
      <c r="VDZ47" s="44"/>
      <c r="VEA47" s="44"/>
      <c r="VEB47" s="44"/>
      <c r="VEC47" s="44"/>
      <c r="VED47" s="44"/>
      <c r="VEE47" s="44"/>
      <c r="VEF47" s="44"/>
      <c r="VEG47" s="44"/>
      <c r="VEH47" s="44"/>
      <c r="VEI47" s="44"/>
      <c r="VEJ47" s="44"/>
      <c r="VEK47" s="44"/>
      <c r="VEL47" s="44"/>
      <c r="VEM47" s="44"/>
      <c r="VEN47" s="44"/>
      <c r="VEO47" s="44"/>
      <c r="VEP47" s="44"/>
      <c r="VEQ47" s="44"/>
      <c r="VER47" s="44"/>
      <c r="VES47" s="44"/>
      <c r="VET47" s="44"/>
      <c r="VEU47" s="44"/>
      <c r="VEV47" s="44"/>
      <c r="VEW47" s="44"/>
      <c r="VEX47" s="44"/>
      <c r="VEY47" s="44"/>
      <c r="VEZ47" s="44"/>
      <c r="VFA47" s="44"/>
      <c r="VFB47" s="44"/>
      <c r="VFC47" s="44"/>
      <c r="VFD47" s="44"/>
      <c r="VFE47" s="44"/>
      <c r="VFF47" s="44"/>
      <c r="VFG47" s="44"/>
      <c r="VFH47" s="44"/>
      <c r="VFI47" s="44"/>
      <c r="VFJ47" s="44"/>
      <c r="VFK47" s="44"/>
      <c r="VFL47" s="44"/>
      <c r="VFM47" s="44"/>
      <c r="VFN47" s="44"/>
      <c r="VFO47" s="44"/>
      <c r="VFP47" s="44"/>
      <c r="VFQ47" s="44"/>
      <c r="VFR47" s="44"/>
      <c r="VFS47" s="44"/>
      <c r="VFT47" s="44"/>
      <c r="VFU47" s="44"/>
      <c r="VFV47" s="44"/>
      <c r="VFW47" s="44"/>
      <c r="VFX47" s="44"/>
      <c r="VFY47" s="44"/>
      <c r="VFZ47" s="44"/>
      <c r="VGA47" s="44"/>
      <c r="VGB47" s="44"/>
      <c r="VGC47" s="44"/>
      <c r="VGD47" s="44"/>
      <c r="VGE47" s="44"/>
      <c r="VGF47" s="44"/>
      <c r="VGG47" s="44"/>
      <c r="VGH47" s="44"/>
      <c r="VGI47" s="44"/>
      <c r="VGJ47" s="44"/>
      <c r="VGK47" s="44"/>
      <c r="VGL47" s="44"/>
      <c r="VGM47" s="44"/>
      <c r="VGN47" s="44"/>
      <c r="VGO47" s="44"/>
      <c r="VGP47" s="44"/>
      <c r="VGQ47" s="44"/>
      <c r="VGR47" s="44"/>
      <c r="VGS47" s="44"/>
      <c r="VGT47" s="44"/>
      <c r="VGU47" s="44"/>
      <c r="VGV47" s="44"/>
      <c r="VGW47" s="44"/>
      <c r="VGX47" s="44"/>
      <c r="VGY47" s="44"/>
      <c r="VGZ47" s="44"/>
      <c r="VHA47" s="44"/>
      <c r="VHB47" s="44"/>
      <c r="VHC47" s="44"/>
      <c r="VHD47" s="44"/>
      <c r="VHE47" s="44"/>
      <c r="VHF47" s="44"/>
      <c r="VHG47" s="44"/>
      <c r="VHH47" s="44"/>
      <c r="VHI47" s="44"/>
      <c r="VHJ47" s="44"/>
      <c r="VHK47" s="44"/>
      <c r="VHL47" s="44"/>
      <c r="VHM47" s="44"/>
      <c r="VHN47" s="44"/>
      <c r="VHO47" s="44"/>
      <c r="VHP47" s="44"/>
      <c r="VHQ47" s="44"/>
      <c r="VHR47" s="44"/>
      <c r="VHS47" s="44"/>
      <c r="VHT47" s="44"/>
      <c r="VHU47" s="44"/>
      <c r="VHV47" s="44"/>
      <c r="VHW47" s="44"/>
      <c r="VHX47" s="44"/>
      <c r="VHY47" s="44"/>
      <c r="VHZ47" s="44"/>
      <c r="VIA47" s="44"/>
      <c r="VIB47" s="44"/>
      <c r="VIC47" s="44"/>
      <c r="VID47" s="44"/>
      <c r="VIE47" s="44"/>
      <c r="VIF47" s="44"/>
      <c r="VIG47" s="44"/>
      <c r="VIH47" s="44"/>
      <c r="VII47" s="44"/>
      <c r="VIJ47" s="44"/>
      <c r="VIK47" s="44"/>
      <c r="VIL47" s="44"/>
      <c r="VIM47" s="44"/>
      <c r="VIN47" s="44"/>
      <c r="VIO47" s="44"/>
      <c r="VIP47" s="44"/>
      <c r="VIQ47" s="44"/>
      <c r="VIR47" s="44"/>
      <c r="VIS47" s="44"/>
      <c r="VIT47" s="44"/>
      <c r="VIU47" s="44"/>
      <c r="VIV47" s="44"/>
      <c r="VIW47" s="44"/>
      <c r="VIX47" s="44"/>
      <c r="VIY47" s="44"/>
      <c r="VIZ47" s="44"/>
      <c r="VJA47" s="44"/>
      <c r="VJB47" s="44"/>
      <c r="VJC47" s="44"/>
      <c r="VJD47" s="44"/>
      <c r="VJE47" s="44"/>
      <c r="VJF47" s="44"/>
      <c r="VJG47" s="44"/>
      <c r="VJH47" s="44"/>
      <c r="VJI47" s="44"/>
      <c r="VJJ47" s="44"/>
      <c r="VJK47" s="44"/>
      <c r="VJL47" s="44"/>
      <c r="VJM47" s="44"/>
      <c r="VJN47" s="44"/>
      <c r="VJO47" s="44"/>
      <c r="VJP47" s="44"/>
      <c r="VJQ47" s="44"/>
      <c r="VJR47" s="44"/>
      <c r="VJS47" s="44"/>
      <c r="VJT47" s="44"/>
      <c r="VJU47" s="44"/>
      <c r="VJV47" s="44"/>
      <c r="VJW47" s="44"/>
      <c r="VJX47" s="44"/>
      <c r="VJY47" s="44"/>
      <c r="VJZ47" s="44"/>
      <c r="VKA47" s="44"/>
      <c r="VKB47" s="44"/>
      <c r="VKC47" s="44"/>
      <c r="VKD47" s="44"/>
      <c r="VKE47" s="44"/>
      <c r="VKF47" s="44"/>
      <c r="VKG47" s="44"/>
      <c r="VKH47" s="44"/>
      <c r="VKI47" s="44"/>
      <c r="VKJ47" s="44"/>
      <c r="VKK47" s="44"/>
      <c r="VKL47" s="44"/>
      <c r="VKM47" s="44"/>
      <c r="VKN47" s="44"/>
      <c r="VKO47" s="44"/>
      <c r="VKP47" s="44"/>
      <c r="VKQ47" s="44"/>
      <c r="VKR47" s="44"/>
      <c r="VKS47" s="44"/>
      <c r="VKT47" s="44"/>
      <c r="VKU47" s="44"/>
      <c r="VKV47" s="44"/>
      <c r="VKW47" s="44"/>
      <c r="VKX47" s="44"/>
      <c r="VKY47" s="44"/>
      <c r="VKZ47" s="44"/>
      <c r="VLA47" s="44"/>
      <c r="VLB47" s="44"/>
      <c r="VLC47" s="44"/>
      <c r="VLD47" s="44"/>
      <c r="VLE47" s="44"/>
      <c r="VLF47" s="44"/>
      <c r="VLG47" s="44"/>
      <c r="VLH47" s="44"/>
      <c r="VLI47" s="44"/>
      <c r="VLJ47" s="44"/>
      <c r="VLK47" s="44"/>
      <c r="VLL47" s="44"/>
      <c r="VLM47" s="44"/>
      <c r="VLN47" s="44"/>
      <c r="VLO47" s="44"/>
      <c r="VLP47" s="44"/>
      <c r="VLQ47" s="44"/>
      <c r="VLR47" s="44"/>
      <c r="VLS47" s="44"/>
      <c r="VLT47" s="44"/>
      <c r="VLU47" s="44"/>
      <c r="VLV47" s="44"/>
      <c r="VLW47" s="44"/>
      <c r="VLX47" s="44"/>
      <c r="VLY47" s="44"/>
      <c r="VLZ47" s="44"/>
      <c r="VMA47" s="44"/>
      <c r="VMB47" s="44"/>
      <c r="VMC47" s="44"/>
      <c r="VMD47" s="44"/>
      <c r="VME47" s="44"/>
      <c r="VMF47" s="44"/>
      <c r="VMG47" s="44"/>
      <c r="VMH47" s="44"/>
      <c r="VMI47" s="44"/>
      <c r="VMJ47" s="44"/>
      <c r="VMK47" s="44"/>
      <c r="VML47" s="44"/>
      <c r="VMM47" s="44"/>
      <c r="VMN47" s="44"/>
      <c r="VMO47" s="44"/>
      <c r="VMP47" s="44"/>
      <c r="VMQ47" s="44"/>
      <c r="VMR47" s="44"/>
      <c r="VMS47" s="44"/>
      <c r="VMT47" s="44"/>
      <c r="VMU47" s="44"/>
      <c r="VMV47" s="44"/>
      <c r="VMW47" s="44"/>
      <c r="VMX47" s="44"/>
      <c r="VMY47" s="44"/>
      <c r="VMZ47" s="44"/>
      <c r="VNA47" s="44"/>
      <c r="VNB47" s="44"/>
      <c r="VNC47" s="44"/>
      <c r="VND47" s="44"/>
      <c r="VNE47" s="44"/>
      <c r="VNF47" s="44"/>
      <c r="VNG47" s="44"/>
      <c r="VNH47" s="44"/>
      <c r="VNI47" s="44"/>
      <c r="VNJ47" s="44"/>
      <c r="VNK47" s="44"/>
      <c r="VNL47" s="44"/>
      <c r="VNM47" s="44"/>
      <c r="VNN47" s="44"/>
      <c r="VNO47" s="44"/>
      <c r="VNP47" s="44"/>
      <c r="VNQ47" s="44"/>
      <c r="VNR47" s="44"/>
      <c r="VNS47" s="44"/>
      <c r="VNT47" s="44"/>
      <c r="VNU47" s="44"/>
      <c r="VNV47" s="44"/>
      <c r="VNW47" s="44"/>
      <c r="VNX47" s="44"/>
      <c r="VNY47" s="44"/>
      <c r="VNZ47" s="44"/>
      <c r="VOA47" s="44"/>
      <c r="VOB47" s="44"/>
      <c r="VOC47" s="44"/>
      <c r="VOD47" s="44"/>
      <c r="VOE47" s="44"/>
      <c r="VOF47" s="44"/>
      <c r="VOG47" s="44"/>
      <c r="VOH47" s="44"/>
      <c r="VOI47" s="44"/>
      <c r="VOJ47" s="44"/>
      <c r="VOK47" s="44"/>
      <c r="VOL47" s="44"/>
      <c r="VOM47" s="44"/>
      <c r="VON47" s="44"/>
      <c r="VOO47" s="44"/>
      <c r="VOP47" s="44"/>
      <c r="VOQ47" s="44"/>
      <c r="VOR47" s="44"/>
      <c r="VOS47" s="44"/>
      <c r="VOT47" s="44"/>
      <c r="VOU47" s="44"/>
      <c r="VOV47" s="44"/>
      <c r="VOW47" s="44"/>
      <c r="VOX47" s="44"/>
      <c r="VOY47" s="44"/>
      <c r="VOZ47" s="44"/>
      <c r="VPA47" s="44"/>
      <c r="VPB47" s="44"/>
      <c r="VPC47" s="44"/>
      <c r="VPD47" s="44"/>
      <c r="VPE47" s="44"/>
      <c r="VPF47" s="44"/>
      <c r="VPG47" s="44"/>
      <c r="VPH47" s="44"/>
      <c r="VPI47" s="44"/>
      <c r="VPJ47" s="44"/>
      <c r="VPK47" s="44"/>
      <c r="VPL47" s="44"/>
      <c r="VPM47" s="44"/>
      <c r="VPN47" s="44"/>
      <c r="VPO47" s="44"/>
      <c r="VPP47" s="44"/>
      <c r="VPQ47" s="44"/>
      <c r="VPR47" s="44"/>
      <c r="VPS47" s="44"/>
      <c r="VPT47" s="44"/>
      <c r="VPU47" s="44"/>
      <c r="VPV47" s="44"/>
      <c r="VPW47" s="44"/>
      <c r="VPX47" s="44"/>
      <c r="VPY47" s="44"/>
      <c r="VPZ47" s="44"/>
      <c r="VQA47" s="44"/>
      <c r="VQB47" s="44"/>
      <c r="VQC47" s="44"/>
      <c r="VQD47" s="44"/>
      <c r="VQE47" s="44"/>
      <c r="VQF47" s="44"/>
      <c r="VQG47" s="44"/>
      <c r="VQH47" s="44"/>
      <c r="VQI47" s="44"/>
      <c r="VQJ47" s="44"/>
      <c r="VQK47" s="44"/>
      <c r="VQL47" s="44"/>
      <c r="VQM47" s="44"/>
      <c r="VQN47" s="44"/>
      <c r="VQO47" s="44"/>
      <c r="VQP47" s="44"/>
      <c r="VQQ47" s="44"/>
      <c r="VQR47" s="44"/>
      <c r="VQS47" s="44"/>
      <c r="VQT47" s="44"/>
      <c r="VQU47" s="44"/>
      <c r="VQV47" s="44"/>
      <c r="VQW47" s="44"/>
      <c r="VQX47" s="44"/>
      <c r="VQY47" s="44"/>
      <c r="VQZ47" s="44"/>
      <c r="VRA47" s="44"/>
      <c r="VRB47" s="44"/>
      <c r="VRC47" s="44"/>
      <c r="VRD47" s="44"/>
      <c r="VRE47" s="44"/>
      <c r="VRF47" s="44"/>
      <c r="VRG47" s="44"/>
      <c r="VRH47" s="44"/>
      <c r="VRI47" s="44"/>
      <c r="VRJ47" s="44"/>
      <c r="VRK47" s="44"/>
      <c r="VRL47" s="44"/>
      <c r="VRM47" s="44"/>
      <c r="VRN47" s="44"/>
      <c r="VRO47" s="44"/>
      <c r="VRP47" s="44"/>
      <c r="VRQ47" s="44"/>
      <c r="VRR47" s="44"/>
      <c r="VRS47" s="44"/>
      <c r="VRT47" s="44"/>
      <c r="VRU47" s="44"/>
      <c r="VRV47" s="44"/>
      <c r="VRW47" s="44"/>
      <c r="VRX47" s="44"/>
      <c r="VRY47" s="44"/>
      <c r="VRZ47" s="44"/>
      <c r="VSA47" s="44"/>
      <c r="VSB47" s="44"/>
      <c r="VSC47" s="44"/>
      <c r="VSD47" s="44"/>
      <c r="VSE47" s="44"/>
      <c r="VSF47" s="44"/>
      <c r="VSG47" s="44"/>
      <c r="VSH47" s="44"/>
      <c r="VSI47" s="44"/>
      <c r="VSJ47" s="44"/>
      <c r="VSK47" s="44"/>
      <c r="VSL47" s="44"/>
      <c r="VSM47" s="44"/>
      <c r="VSN47" s="44"/>
      <c r="VSO47" s="44"/>
      <c r="VSP47" s="44"/>
      <c r="VSQ47" s="44"/>
      <c r="VSR47" s="44"/>
      <c r="VSS47" s="44"/>
      <c r="VST47" s="44"/>
      <c r="VSU47" s="44"/>
      <c r="VSV47" s="44"/>
      <c r="VSW47" s="44"/>
      <c r="VSX47" s="44"/>
      <c r="VSY47" s="44"/>
      <c r="VSZ47" s="44"/>
      <c r="VTA47" s="44"/>
      <c r="VTB47" s="44"/>
      <c r="VTC47" s="44"/>
      <c r="VTD47" s="44"/>
      <c r="VTE47" s="44"/>
      <c r="VTF47" s="44"/>
      <c r="VTG47" s="44"/>
      <c r="VTH47" s="44"/>
      <c r="VTI47" s="44"/>
      <c r="VTJ47" s="44"/>
      <c r="VTK47" s="44"/>
      <c r="VTL47" s="44"/>
      <c r="VTM47" s="44"/>
      <c r="VTN47" s="44"/>
      <c r="VTO47" s="44"/>
      <c r="VTP47" s="44"/>
      <c r="VTQ47" s="44"/>
      <c r="VTR47" s="44"/>
      <c r="VTS47" s="44"/>
      <c r="VTT47" s="44"/>
      <c r="VTU47" s="44"/>
      <c r="VTV47" s="44"/>
      <c r="VTW47" s="44"/>
      <c r="VTX47" s="44"/>
      <c r="VTY47" s="44"/>
      <c r="VTZ47" s="44"/>
      <c r="VUA47" s="44"/>
      <c r="VUB47" s="44"/>
      <c r="VUC47" s="44"/>
      <c r="VUD47" s="44"/>
      <c r="VUE47" s="44"/>
      <c r="VUF47" s="44"/>
      <c r="VUG47" s="44"/>
      <c r="VUH47" s="44"/>
      <c r="VUI47" s="44"/>
      <c r="VUJ47" s="44"/>
      <c r="VUK47" s="44"/>
      <c r="VUL47" s="44"/>
      <c r="VUM47" s="44"/>
      <c r="VUN47" s="44"/>
      <c r="VUO47" s="44"/>
      <c r="VUP47" s="44"/>
      <c r="VUQ47" s="44"/>
      <c r="VUR47" s="44"/>
      <c r="VUS47" s="44"/>
      <c r="VUT47" s="44"/>
      <c r="VUU47" s="44"/>
      <c r="VUV47" s="44"/>
      <c r="VUW47" s="44"/>
      <c r="VUX47" s="44"/>
      <c r="VUY47" s="44"/>
      <c r="VUZ47" s="44"/>
      <c r="VVA47" s="44"/>
      <c r="VVB47" s="44"/>
      <c r="VVC47" s="44"/>
      <c r="VVD47" s="44"/>
      <c r="VVE47" s="44"/>
      <c r="VVF47" s="44"/>
      <c r="VVG47" s="44"/>
      <c r="VVH47" s="44"/>
      <c r="VVI47" s="44"/>
      <c r="VVJ47" s="44"/>
      <c r="VVK47" s="44"/>
      <c r="VVL47" s="44"/>
      <c r="VVM47" s="44"/>
      <c r="VVN47" s="44"/>
      <c r="VVO47" s="44"/>
      <c r="VVP47" s="44"/>
      <c r="VVQ47" s="44"/>
      <c r="VVR47" s="44"/>
      <c r="VVS47" s="44"/>
      <c r="VVT47" s="44"/>
      <c r="VVU47" s="44"/>
      <c r="VVV47" s="44"/>
      <c r="VVW47" s="44"/>
      <c r="VVX47" s="44"/>
      <c r="VVY47" s="44"/>
      <c r="VVZ47" s="44"/>
      <c r="VWA47" s="44"/>
      <c r="VWB47" s="44"/>
      <c r="VWC47" s="44"/>
      <c r="VWD47" s="44"/>
      <c r="VWE47" s="44"/>
      <c r="VWF47" s="44"/>
      <c r="VWG47" s="44"/>
      <c r="VWH47" s="44"/>
      <c r="VWI47" s="44"/>
      <c r="VWJ47" s="44"/>
      <c r="VWK47" s="44"/>
      <c r="VWL47" s="44"/>
      <c r="VWM47" s="44"/>
      <c r="VWN47" s="44"/>
      <c r="VWO47" s="44"/>
      <c r="VWP47" s="44"/>
      <c r="VWQ47" s="44"/>
      <c r="VWR47" s="44"/>
      <c r="VWS47" s="44"/>
      <c r="VWT47" s="44"/>
      <c r="VWU47" s="44"/>
      <c r="VWV47" s="44"/>
      <c r="VWW47" s="44"/>
      <c r="VWX47" s="44"/>
      <c r="VWY47" s="44"/>
      <c r="VWZ47" s="44"/>
      <c r="VXA47" s="44"/>
      <c r="VXB47" s="44"/>
      <c r="VXC47" s="44"/>
      <c r="VXD47" s="44"/>
      <c r="VXE47" s="44"/>
      <c r="VXF47" s="44"/>
      <c r="VXG47" s="44"/>
      <c r="VXH47" s="44"/>
      <c r="VXI47" s="44"/>
      <c r="VXJ47" s="44"/>
      <c r="VXK47" s="44"/>
      <c r="VXL47" s="44"/>
      <c r="VXM47" s="44"/>
      <c r="VXN47" s="44"/>
      <c r="VXO47" s="44"/>
      <c r="VXP47" s="44"/>
      <c r="VXQ47" s="44"/>
      <c r="VXR47" s="44"/>
      <c r="VXS47" s="44"/>
      <c r="VXT47" s="44"/>
      <c r="VXU47" s="44"/>
      <c r="VXV47" s="44"/>
      <c r="VXW47" s="44"/>
      <c r="VXX47" s="44"/>
      <c r="VXY47" s="44"/>
      <c r="VXZ47" s="44"/>
      <c r="VYA47" s="44"/>
      <c r="VYB47" s="44"/>
      <c r="VYC47" s="44"/>
      <c r="VYD47" s="44"/>
      <c r="VYE47" s="44"/>
      <c r="VYF47" s="44"/>
      <c r="VYG47" s="44"/>
      <c r="VYH47" s="44"/>
      <c r="VYI47" s="44"/>
      <c r="VYJ47" s="44"/>
      <c r="VYK47" s="44"/>
      <c r="VYL47" s="44"/>
      <c r="VYM47" s="44"/>
      <c r="VYN47" s="44"/>
      <c r="VYO47" s="44"/>
      <c r="VYP47" s="44"/>
      <c r="VYQ47" s="44"/>
      <c r="VYR47" s="44"/>
      <c r="VYS47" s="44"/>
      <c r="VYT47" s="44"/>
      <c r="VYU47" s="44"/>
      <c r="VYV47" s="44"/>
      <c r="VYW47" s="44"/>
      <c r="VYX47" s="44"/>
      <c r="VYY47" s="44"/>
      <c r="VYZ47" s="44"/>
      <c r="VZA47" s="44"/>
      <c r="VZB47" s="44"/>
      <c r="VZC47" s="44"/>
      <c r="VZD47" s="44"/>
      <c r="VZE47" s="44"/>
      <c r="VZF47" s="44"/>
      <c r="VZG47" s="44"/>
      <c r="VZH47" s="44"/>
      <c r="VZI47" s="44"/>
      <c r="VZJ47" s="44"/>
      <c r="VZK47" s="44"/>
      <c r="VZL47" s="44"/>
      <c r="VZM47" s="44"/>
      <c r="VZN47" s="44"/>
      <c r="VZO47" s="44"/>
      <c r="VZP47" s="44"/>
      <c r="VZQ47" s="44"/>
      <c r="VZR47" s="44"/>
      <c r="VZS47" s="44"/>
      <c r="VZT47" s="44"/>
      <c r="VZU47" s="44"/>
      <c r="VZV47" s="44"/>
      <c r="VZW47" s="44"/>
      <c r="VZX47" s="44"/>
      <c r="VZY47" s="44"/>
      <c r="VZZ47" s="44"/>
      <c r="WAA47" s="44"/>
      <c r="WAB47" s="44"/>
      <c r="WAC47" s="44"/>
      <c r="WAD47" s="44"/>
      <c r="WAE47" s="44"/>
      <c r="WAF47" s="44"/>
      <c r="WAG47" s="44"/>
      <c r="WAH47" s="44"/>
      <c r="WAI47" s="44"/>
      <c r="WAJ47" s="44"/>
      <c r="WAK47" s="44"/>
      <c r="WAL47" s="44"/>
      <c r="WAM47" s="44"/>
      <c r="WAN47" s="44"/>
      <c r="WAO47" s="44"/>
      <c r="WAP47" s="44"/>
      <c r="WAQ47" s="44"/>
      <c r="WAR47" s="44"/>
      <c r="WAS47" s="44"/>
      <c r="WAT47" s="44"/>
      <c r="WAU47" s="44"/>
      <c r="WAV47" s="44"/>
      <c r="WAW47" s="44"/>
      <c r="WAX47" s="44"/>
      <c r="WAY47" s="44"/>
      <c r="WAZ47" s="44"/>
      <c r="WBA47" s="44"/>
      <c r="WBB47" s="44"/>
      <c r="WBC47" s="44"/>
      <c r="WBD47" s="44"/>
      <c r="WBE47" s="44"/>
      <c r="WBF47" s="44"/>
      <c r="WBG47" s="44"/>
      <c r="WBH47" s="44"/>
      <c r="WBI47" s="44"/>
      <c r="WBJ47" s="44"/>
      <c r="WBK47" s="44"/>
      <c r="WBL47" s="44"/>
      <c r="WBM47" s="44"/>
      <c r="WBN47" s="44"/>
      <c r="WBO47" s="44"/>
      <c r="WBP47" s="44"/>
      <c r="WBQ47" s="44"/>
      <c r="WBR47" s="44"/>
      <c r="WBS47" s="44"/>
      <c r="WBT47" s="44"/>
      <c r="WBU47" s="44"/>
      <c r="WBV47" s="44"/>
      <c r="WBW47" s="44"/>
      <c r="WBX47" s="44"/>
      <c r="WBY47" s="44"/>
      <c r="WBZ47" s="44"/>
      <c r="WCA47" s="44"/>
      <c r="WCB47" s="44"/>
      <c r="WCC47" s="44"/>
      <c r="WCD47" s="44"/>
      <c r="WCE47" s="44"/>
      <c r="WCF47" s="44"/>
      <c r="WCG47" s="44"/>
      <c r="WCH47" s="44"/>
      <c r="WCI47" s="44"/>
      <c r="WCJ47" s="44"/>
      <c r="WCK47" s="44"/>
      <c r="WCL47" s="44"/>
      <c r="WCM47" s="44"/>
      <c r="WCN47" s="44"/>
      <c r="WCO47" s="44"/>
      <c r="WCP47" s="44"/>
      <c r="WCQ47" s="44"/>
      <c r="WCR47" s="44"/>
      <c r="WCS47" s="44"/>
      <c r="WCT47" s="44"/>
      <c r="WCU47" s="44"/>
      <c r="WCV47" s="44"/>
      <c r="WCW47" s="44"/>
      <c r="WCX47" s="44"/>
      <c r="WCY47" s="44"/>
      <c r="WCZ47" s="44"/>
      <c r="WDA47" s="44"/>
      <c r="WDB47" s="44"/>
      <c r="WDC47" s="44"/>
      <c r="WDD47" s="44"/>
      <c r="WDE47" s="44"/>
      <c r="WDF47" s="44"/>
      <c r="WDG47" s="44"/>
      <c r="WDH47" s="44"/>
      <c r="WDI47" s="44"/>
      <c r="WDJ47" s="44"/>
      <c r="WDK47" s="44"/>
      <c r="WDL47" s="44"/>
      <c r="WDM47" s="44"/>
      <c r="WDN47" s="44"/>
      <c r="WDO47" s="44"/>
      <c r="WDP47" s="44"/>
      <c r="WDQ47" s="44"/>
      <c r="WDR47" s="44"/>
      <c r="WDS47" s="44"/>
      <c r="WDT47" s="44"/>
      <c r="WDU47" s="44"/>
      <c r="WDV47" s="44"/>
      <c r="WDW47" s="44"/>
      <c r="WDX47" s="44"/>
      <c r="WDY47" s="44"/>
      <c r="WDZ47" s="44"/>
      <c r="WEA47" s="44"/>
      <c r="WEB47" s="44"/>
      <c r="WEC47" s="44"/>
      <c r="WED47" s="44"/>
      <c r="WEE47" s="44"/>
      <c r="WEF47" s="44"/>
      <c r="WEG47" s="44"/>
      <c r="WEH47" s="44"/>
      <c r="WEI47" s="44"/>
      <c r="WEJ47" s="44"/>
      <c r="WEK47" s="44"/>
      <c r="WEL47" s="44"/>
      <c r="WEM47" s="44"/>
      <c r="WEN47" s="44"/>
      <c r="WEO47" s="44"/>
      <c r="WEP47" s="44"/>
      <c r="WEQ47" s="44"/>
      <c r="WER47" s="44"/>
      <c r="WES47" s="44"/>
      <c r="WET47" s="44"/>
      <c r="WEU47" s="44"/>
      <c r="WEV47" s="44"/>
      <c r="WEW47" s="44"/>
      <c r="WEX47" s="44"/>
      <c r="WEY47" s="44"/>
      <c r="WEZ47" s="44"/>
      <c r="WFA47" s="44"/>
      <c r="WFB47" s="44"/>
      <c r="WFC47" s="44"/>
      <c r="WFD47" s="44"/>
      <c r="WFE47" s="44"/>
      <c r="WFF47" s="44"/>
      <c r="WFG47" s="44"/>
      <c r="WFH47" s="44"/>
      <c r="WFI47" s="44"/>
      <c r="WFJ47" s="44"/>
      <c r="WFK47" s="44"/>
      <c r="WFL47" s="44"/>
      <c r="WFM47" s="44"/>
      <c r="WFN47" s="44"/>
      <c r="WFO47" s="44"/>
      <c r="WFP47" s="44"/>
      <c r="WFQ47" s="44"/>
      <c r="WFR47" s="44"/>
      <c r="WFS47" s="44"/>
      <c r="WFT47" s="44"/>
      <c r="WFU47" s="44"/>
      <c r="WFV47" s="44"/>
      <c r="WFW47" s="44"/>
      <c r="WFX47" s="44"/>
      <c r="WFY47" s="44"/>
      <c r="WFZ47" s="44"/>
      <c r="WGA47" s="44"/>
      <c r="WGB47" s="44"/>
      <c r="WGC47" s="44"/>
      <c r="WGD47" s="44"/>
      <c r="WGE47" s="44"/>
      <c r="WGF47" s="44"/>
      <c r="WGG47" s="44"/>
      <c r="WGH47" s="44"/>
      <c r="WGI47" s="44"/>
      <c r="WGJ47" s="44"/>
      <c r="WGK47" s="44"/>
      <c r="WGL47" s="44"/>
      <c r="WGM47" s="44"/>
      <c r="WGN47" s="44"/>
      <c r="WGO47" s="44"/>
      <c r="WGP47" s="44"/>
      <c r="WGQ47" s="44"/>
      <c r="WGR47" s="44"/>
      <c r="WGS47" s="44"/>
      <c r="WGT47" s="44"/>
      <c r="WGU47" s="44"/>
      <c r="WGV47" s="44"/>
      <c r="WGW47" s="44"/>
      <c r="WGX47" s="44"/>
      <c r="WGY47" s="44"/>
      <c r="WGZ47" s="44"/>
      <c r="WHA47" s="44"/>
      <c r="WHB47" s="44"/>
      <c r="WHC47" s="44"/>
      <c r="WHD47" s="44"/>
      <c r="WHE47" s="44"/>
      <c r="WHF47" s="44"/>
      <c r="WHG47" s="44"/>
      <c r="WHH47" s="44"/>
      <c r="WHI47" s="44"/>
      <c r="WHJ47" s="44"/>
      <c r="WHK47" s="44"/>
      <c r="WHL47" s="44"/>
      <c r="WHM47" s="44"/>
      <c r="WHN47" s="44"/>
      <c r="WHO47" s="44"/>
      <c r="WHP47" s="44"/>
      <c r="WHQ47" s="44"/>
      <c r="WHR47" s="44"/>
      <c r="WHS47" s="44"/>
      <c r="WHT47" s="44"/>
      <c r="WHU47" s="44"/>
      <c r="WHV47" s="44"/>
      <c r="WHW47" s="44"/>
      <c r="WHX47" s="44"/>
      <c r="WHY47" s="44"/>
      <c r="WHZ47" s="44"/>
      <c r="WIA47" s="44"/>
      <c r="WIB47" s="44"/>
      <c r="WIC47" s="44"/>
      <c r="WID47" s="44"/>
      <c r="WIE47" s="44"/>
      <c r="WIF47" s="44"/>
      <c r="WIG47" s="44"/>
      <c r="WIH47" s="44"/>
      <c r="WII47" s="44"/>
      <c r="WIJ47" s="44"/>
      <c r="WIK47" s="44"/>
      <c r="WIL47" s="44"/>
      <c r="WIM47" s="44"/>
      <c r="WIN47" s="44"/>
      <c r="WIO47" s="44"/>
      <c r="WIP47" s="44"/>
      <c r="WIQ47" s="44"/>
      <c r="WIR47" s="44"/>
      <c r="WIS47" s="44"/>
      <c r="WIT47" s="44"/>
      <c r="WIU47" s="44"/>
      <c r="WIV47" s="44"/>
      <c r="WIW47" s="44"/>
      <c r="WIX47" s="44"/>
      <c r="WIY47" s="44"/>
      <c r="WIZ47" s="44"/>
      <c r="WJA47" s="44"/>
      <c r="WJB47" s="44"/>
      <c r="WJC47" s="44"/>
      <c r="WJD47" s="44"/>
      <c r="WJE47" s="44"/>
      <c r="WJF47" s="44"/>
      <c r="WJG47" s="44"/>
      <c r="WJH47" s="44"/>
      <c r="WJI47" s="44"/>
      <c r="WJJ47" s="44"/>
      <c r="WJK47" s="44"/>
      <c r="WJL47" s="44"/>
      <c r="WJM47" s="44"/>
      <c r="WJN47" s="44"/>
      <c r="WJO47" s="44"/>
      <c r="WJP47" s="44"/>
      <c r="WJQ47" s="44"/>
      <c r="WJR47" s="44"/>
      <c r="WJS47" s="44"/>
      <c r="WJT47" s="44"/>
      <c r="WJU47" s="44"/>
      <c r="WJV47" s="44"/>
      <c r="WJW47" s="44"/>
      <c r="WJX47" s="44"/>
      <c r="WJY47" s="44"/>
      <c r="WJZ47" s="44"/>
      <c r="WKA47" s="44"/>
      <c r="WKB47" s="44"/>
      <c r="WKC47" s="44"/>
      <c r="WKD47" s="44"/>
      <c r="WKE47" s="44"/>
      <c r="WKF47" s="44"/>
      <c r="WKG47" s="44"/>
      <c r="WKH47" s="44"/>
      <c r="WKI47" s="44"/>
      <c r="WKJ47" s="44"/>
      <c r="WKK47" s="44"/>
      <c r="WKL47" s="44"/>
      <c r="WKM47" s="44"/>
      <c r="WKN47" s="44"/>
      <c r="WKO47" s="44"/>
      <c r="WKP47" s="44"/>
      <c r="WKQ47" s="44"/>
      <c r="WKR47" s="44"/>
      <c r="WKS47" s="44"/>
      <c r="WKT47" s="44"/>
      <c r="WKU47" s="44"/>
      <c r="WKV47" s="44"/>
      <c r="WKW47" s="44"/>
      <c r="WKX47" s="44"/>
      <c r="WKY47" s="44"/>
      <c r="WKZ47" s="44"/>
      <c r="WLA47" s="44"/>
      <c r="WLB47" s="44"/>
      <c r="WLC47" s="44"/>
      <c r="WLD47" s="44"/>
      <c r="WLE47" s="44"/>
      <c r="WLF47" s="44"/>
      <c r="WLG47" s="44"/>
      <c r="WLH47" s="44"/>
      <c r="WLI47" s="44"/>
      <c r="WLJ47" s="44"/>
      <c r="WLK47" s="44"/>
      <c r="WLL47" s="44"/>
      <c r="WLM47" s="44"/>
      <c r="WLN47" s="44"/>
      <c r="WLO47" s="44"/>
      <c r="WLP47" s="44"/>
      <c r="WLQ47" s="44"/>
      <c r="WLR47" s="44"/>
      <c r="WLS47" s="44"/>
      <c r="WLT47" s="44"/>
      <c r="WLU47" s="44"/>
      <c r="WLV47" s="44"/>
      <c r="WLW47" s="44"/>
      <c r="WLX47" s="44"/>
      <c r="WLY47" s="44"/>
      <c r="WLZ47" s="44"/>
      <c r="WMA47" s="44"/>
      <c r="WMB47" s="44"/>
      <c r="WMC47" s="44"/>
      <c r="WMD47" s="44"/>
      <c r="WME47" s="44"/>
      <c r="WMF47" s="44"/>
      <c r="WMG47" s="44"/>
      <c r="WMH47" s="44"/>
      <c r="WMI47" s="44"/>
      <c r="WMJ47" s="44"/>
      <c r="WMK47" s="44"/>
      <c r="WML47" s="44"/>
      <c r="WMM47" s="44"/>
      <c r="WMN47" s="44"/>
      <c r="WMO47" s="44"/>
      <c r="WMP47" s="44"/>
      <c r="WMQ47" s="44"/>
      <c r="WMR47" s="44"/>
      <c r="WMS47" s="44"/>
      <c r="WMT47" s="44"/>
      <c r="WMU47" s="44"/>
      <c r="WMV47" s="44"/>
      <c r="WMW47" s="44"/>
      <c r="WMX47" s="44"/>
      <c r="WMY47" s="44"/>
      <c r="WMZ47" s="44"/>
      <c r="WNA47" s="44"/>
      <c r="WNB47" s="44"/>
      <c r="WNC47" s="44"/>
      <c r="WND47" s="44"/>
      <c r="WNE47" s="44"/>
      <c r="WNF47" s="44"/>
      <c r="WNG47" s="44"/>
      <c r="WNH47" s="44"/>
      <c r="WNI47" s="44"/>
      <c r="WNJ47" s="44"/>
      <c r="WNK47" s="44"/>
      <c r="WNL47" s="44"/>
      <c r="WNM47" s="44"/>
      <c r="WNN47" s="44"/>
      <c r="WNO47" s="44"/>
      <c r="WNP47" s="44"/>
      <c r="WNQ47" s="44"/>
      <c r="WNR47" s="44"/>
      <c r="WNS47" s="44"/>
      <c r="WNT47" s="44"/>
      <c r="WNU47" s="44"/>
      <c r="WNV47" s="44"/>
      <c r="WNW47" s="44"/>
      <c r="WNX47" s="44"/>
      <c r="WNY47" s="44"/>
      <c r="WNZ47" s="44"/>
      <c r="WOA47" s="44"/>
      <c r="WOB47" s="44"/>
      <c r="WOC47" s="44"/>
      <c r="WOD47" s="44"/>
      <c r="WOE47" s="44"/>
      <c r="WOF47" s="44"/>
      <c r="WOG47" s="44"/>
      <c r="WOH47" s="44"/>
      <c r="WOI47" s="44"/>
      <c r="WOJ47" s="44"/>
      <c r="WOK47" s="44"/>
      <c r="WOL47" s="44"/>
      <c r="WOM47" s="44"/>
      <c r="WON47" s="44"/>
      <c r="WOO47" s="44"/>
      <c r="WOP47" s="44"/>
      <c r="WOQ47" s="44"/>
      <c r="WOR47" s="44"/>
      <c r="WOS47" s="44"/>
      <c r="WOT47" s="44"/>
      <c r="WOU47" s="44"/>
      <c r="WOV47" s="44"/>
      <c r="WOW47" s="44"/>
      <c r="WOX47" s="44"/>
      <c r="WOY47" s="44"/>
      <c r="WOZ47" s="44"/>
      <c r="WPA47" s="44"/>
      <c r="WPB47" s="44"/>
      <c r="WPC47" s="44"/>
      <c r="WPD47" s="44"/>
      <c r="WPE47" s="44"/>
      <c r="WPF47" s="44"/>
      <c r="WPG47" s="44"/>
      <c r="WPH47" s="44"/>
      <c r="WPI47" s="44"/>
      <c r="WPJ47" s="44"/>
      <c r="WPK47" s="44"/>
      <c r="WPL47" s="44"/>
      <c r="WPM47" s="44"/>
      <c r="WPN47" s="44"/>
      <c r="WPO47" s="44"/>
      <c r="WPP47" s="44"/>
      <c r="WPQ47" s="44"/>
      <c r="WPR47" s="44"/>
      <c r="WPS47" s="44"/>
      <c r="WPT47" s="44"/>
      <c r="WPU47" s="44"/>
      <c r="WPV47" s="44"/>
      <c r="WPW47" s="44"/>
      <c r="WPX47" s="44"/>
      <c r="WPY47" s="44"/>
      <c r="WPZ47" s="44"/>
      <c r="WQA47" s="44"/>
      <c r="WQB47" s="44"/>
      <c r="WQC47" s="44"/>
      <c r="WQD47" s="44"/>
      <c r="WQE47" s="44"/>
      <c r="WQF47" s="44"/>
      <c r="WQG47" s="44"/>
      <c r="WQH47" s="44"/>
      <c r="WQI47" s="44"/>
      <c r="WQJ47" s="44"/>
      <c r="WQK47" s="44"/>
      <c r="WQL47" s="44"/>
      <c r="WQM47" s="44"/>
      <c r="WQN47" s="44"/>
      <c r="WQO47" s="44"/>
      <c r="WQP47" s="44"/>
      <c r="WQQ47" s="44"/>
      <c r="WQR47" s="44"/>
      <c r="WQS47" s="44"/>
      <c r="WQT47" s="44"/>
      <c r="WQU47" s="44"/>
      <c r="WQV47" s="44"/>
      <c r="WQW47" s="44"/>
      <c r="WQX47" s="44"/>
      <c r="WQY47" s="44"/>
      <c r="WQZ47" s="44"/>
      <c r="WRA47" s="44"/>
      <c r="WRB47" s="44"/>
      <c r="WRC47" s="44"/>
      <c r="WRD47" s="44"/>
      <c r="WRE47" s="44"/>
      <c r="WRF47" s="44"/>
      <c r="WRG47" s="44"/>
      <c r="WRH47" s="44"/>
      <c r="WRI47" s="44"/>
      <c r="WRJ47" s="44"/>
      <c r="WRK47" s="44"/>
      <c r="WRL47" s="44"/>
      <c r="WRM47" s="44"/>
      <c r="WRN47" s="44"/>
      <c r="WRO47" s="44"/>
      <c r="WRP47" s="44"/>
      <c r="WRQ47" s="44"/>
      <c r="WRR47" s="44"/>
      <c r="WRS47" s="44"/>
      <c r="WRT47" s="44"/>
      <c r="WRU47" s="44"/>
      <c r="WRV47" s="44"/>
      <c r="WRW47" s="44"/>
      <c r="WRX47" s="44"/>
      <c r="WRY47" s="44"/>
      <c r="WRZ47" s="44"/>
      <c r="WSA47" s="44"/>
      <c r="WSB47" s="44"/>
      <c r="WSC47" s="44"/>
      <c r="WSD47" s="44"/>
      <c r="WSE47" s="44"/>
      <c r="WSF47" s="44"/>
      <c r="WSG47" s="44"/>
      <c r="WSH47" s="44"/>
      <c r="WSI47" s="44"/>
      <c r="WSJ47" s="44"/>
      <c r="WSK47" s="44"/>
      <c r="WSL47" s="44"/>
      <c r="WSM47" s="44"/>
      <c r="WSN47" s="44"/>
      <c r="WSO47" s="44"/>
      <c r="WSP47" s="44"/>
      <c r="WSQ47" s="44"/>
      <c r="WSR47" s="44"/>
      <c r="WSS47" s="44"/>
      <c r="WST47" s="44"/>
      <c r="WSU47" s="44"/>
      <c r="WSV47" s="44"/>
      <c r="WSW47" s="44"/>
      <c r="WSX47" s="44"/>
      <c r="WSY47" s="44"/>
      <c r="WSZ47" s="44"/>
      <c r="WTA47" s="44"/>
      <c r="WTB47" s="44"/>
      <c r="WTC47" s="44"/>
      <c r="WTD47" s="44"/>
      <c r="WTE47" s="44"/>
      <c r="WTF47" s="44"/>
      <c r="WTG47" s="44"/>
      <c r="WTH47" s="44"/>
      <c r="WTI47" s="44"/>
      <c r="WTJ47" s="44"/>
      <c r="WTK47" s="44"/>
      <c r="WTL47" s="44"/>
      <c r="WTM47" s="44"/>
      <c r="WTN47" s="44"/>
      <c r="WTO47" s="44"/>
      <c r="WTP47" s="44"/>
      <c r="WTQ47" s="44"/>
      <c r="WTR47" s="44"/>
      <c r="WTS47" s="44"/>
      <c r="WTT47" s="44"/>
      <c r="WTU47" s="44"/>
      <c r="WTV47" s="44"/>
      <c r="WTW47" s="44"/>
      <c r="WTX47" s="44"/>
      <c r="WTY47" s="44"/>
      <c r="WTZ47" s="44"/>
      <c r="WUA47" s="44"/>
      <c r="WUB47" s="44"/>
      <c r="WUC47" s="44"/>
      <c r="WUD47" s="44"/>
      <c r="WUE47" s="44"/>
      <c r="WUF47" s="44"/>
      <c r="WUG47" s="44"/>
      <c r="WUH47" s="44"/>
      <c r="WUI47" s="44"/>
      <c r="WUJ47" s="44"/>
      <c r="WUK47" s="44"/>
      <c r="WUL47" s="44"/>
      <c r="WUM47" s="44"/>
      <c r="WUN47" s="44"/>
      <c r="WUO47" s="44"/>
      <c r="WUP47" s="44"/>
      <c r="WUQ47" s="44"/>
      <c r="WUR47" s="44"/>
      <c r="WUS47" s="44"/>
      <c r="WUT47" s="44"/>
      <c r="WUU47" s="44"/>
      <c r="WUV47" s="44"/>
      <c r="WUW47" s="44"/>
      <c r="WUX47" s="44"/>
      <c r="WUY47" s="44"/>
      <c r="WUZ47" s="44"/>
      <c r="WVA47" s="44"/>
      <c r="WVB47" s="44"/>
      <c r="WVC47" s="44"/>
      <c r="WVD47" s="44"/>
      <c r="WVE47" s="44"/>
      <c r="WVF47" s="44"/>
      <c r="WVG47" s="44"/>
      <c r="WVH47" s="44"/>
      <c r="WVI47" s="44"/>
      <c r="WVJ47" s="44"/>
      <c r="WVK47" s="44"/>
      <c r="WVL47" s="44"/>
      <c r="WVM47" s="44"/>
      <c r="WVN47" s="44"/>
      <c r="WVO47" s="44"/>
      <c r="WVP47" s="44"/>
      <c r="WVQ47" s="44"/>
      <c r="WVR47" s="44"/>
      <c r="WVS47" s="44"/>
      <c r="WVT47" s="44"/>
      <c r="WVU47" s="44"/>
      <c r="WVV47" s="44"/>
      <c r="WVW47" s="44"/>
      <c r="WVX47" s="44"/>
      <c r="WVY47" s="44"/>
      <c r="WVZ47" s="44"/>
      <c r="WWA47" s="44"/>
      <c r="WWB47" s="44"/>
      <c r="WWC47" s="44"/>
      <c r="WWD47" s="44"/>
      <c r="WWE47" s="44"/>
      <c r="WWF47" s="44"/>
      <c r="WWG47" s="44"/>
      <c r="WWH47" s="44"/>
      <c r="WWI47" s="44"/>
      <c r="WWJ47" s="44"/>
      <c r="WWK47" s="44"/>
      <c r="WWL47" s="44"/>
      <c r="WWM47" s="44"/>
      <c r="WWN47" s="44"/>
      <c r="WWO47" s="44"/>
      <c r="WWP47" s="44"/>
      <c r="WWQ47" s="44"/>
      <c r="WWR47" s="44"/>
      <c r="WWS47" s="44"/>
      <c r="WWT47" s="44"/>
      <c r="WWU47" s="44"/>
      <c r="WWV47" s="44"/>
      <c r="WWW47" s="44"/>
      <c r="WWX47" s="44"/>
      <c r="WWY47" s="44"/>
      <c r="WWZ47" s="44"/>
      <c r="WXA47" s="44"/>
      <c r="WXB47" s="44"/>
      <c r="WXC47" s="44"/>
      <c r="WXD47" s="44"/>
      <c r="WXE47" s="44"/>
      <c r="WXF47" s="44"/>
      <c r="WXG47" s="44"/>
      <c r="WXH47" s="44"/>
      <c r="WXI47" s="44"/>
      <c r="WXJ47" s="44"/>
      <c r="WXK47" s="44"/>
      <c r="WXL47" s="44"/>
      <c r="WXM47" s="44"/>
      <c r="WXN47" s="44"/>
      <c r="WXO47" s="44"/>
      <c r="WXP47" s="44"/>
      <c r="WXQ47" s="44"/>
      <c r="WXR47" s="44"/>
      <c r="WXS47" s="44"/>
      <c r="WXT47" s="44"/>
      <c r="WXU47" s="44"/>
      <c r="WXV47" s="44"/>
      <c r="WXW47" s="44"/>
      <c r="WXX47" s="44"/>
      <c r="WXY47" s="44"/>
      <c r="WXZ47" s="44"/>
      <c r="WYA47" s="44"/>
      <c r="WYB47" s="44"/>
      <c r="WYC47" s="44"/>
      <c r="WYD47" s="44"/>
      <c r="WYE47" s="44"/>
      <c r="WYF47" s="44"/>
      <c r="WYG47" s="44"/>
      <c r="WYH47" s="44"/>
      <c r="WYI47" s="44"/>
      <c r="WYJ47" s="44"/>
      <c r="WYK47" s="44"/>
      <c r="WYL47" s="44"/>
      <c r="WYM47" s="44"/>
      <c r="WYN47" s="44"/>
      <c r="WYO47" s="44"/>
      <c r="WYP47" s="44"/>
      <c r="WYQ47" s="44"/>
      <c r="WYR47" s="44"/>
      <c r="WYS47" s="44"/>
      <c r="WYT47" s="44"/>
      <c r="WYU47" s="44"/>
      <c r="WYV47" s="44"/>
      <c r="WYW47" s="44"/>
      <c r="WYX47" s="44"/>
      <c r="WYY47" s="44"/>
      <c r="WYZ47" s="44"/>
      <c r="WZA47" s="44"/>
      <c r="WZB47" s="44"/>
      <c r="WZC47" s="44"/>
      <c r="WZD47" s="44"/>
      <c r="WZE47" s="44"/>
      <c r="WZF47" s="44"/>
      <c r="WZG47" s="44"/>
      <c r="WZH47" s="44"/>
      <c r="WZI47" s="44"/>
      <c r="WZJ47" s="44"/>
      <c r="WZK47" s="44"/>
      <c r="WZL47" s="44"/>
      <c r="WZM47" s="44"/>
      <c r="WZN47" s="44"/>
      <c r="WZO47" s="44"/>
      <c r="WZP47" s="44"/>
      <c r="WZQ47" s="44"/>
      <c r="WZR47" s="44"/>
      <c r="WZS47" s="44"/>
      <c r="WZT47" s="44"/>
      <c r="WZU47" s="44"/>
      <c r="WZV47" s="44"/>
      <c r="WZW47" s="44"/>
      <c r="WZX47" s="44"/>
      <c r="WZY47" s="44"/>
      <c r="WZZ47" s="44"/>
      <c r="XAA47" s="44"/>
      <c r="XAB47" s="44"/>
      <c r="XAC47" s="44"/>
      <c r="XAD47" s="44"/>
      <c r="XAE47" s="44"/>
      <c r="XAF47" s="44"/>
      <c r="XAG47" s="44"/>
      <c r="XAH47" s="44"/>
      <c r="XAI47" s="44"/>
      <c r="XAJ47" s="44"/>
      <c r="XAK47" s="44"/>
      <c r="XAL47" s="44"/>
      <c r="XAM47" s="44"/>
      <c r="XAN47" s="44"/>
      <c r="XAO47" s="44"/>
      <c r="XAP47" s="44"/>
      <c r="XAQ47" s="44"/>
      <c r="XAR47" s="44"/>
      <c r="XAS47" s="44"/>
      <c r="XAT47" s="44"/>
      <c r="XAU47" s="44"/>
      <c r="XAV47" s="44"/>
      <c r="XAW47" s="44"/>
      <c r="XAX47" s="44"/>
      <c r="XAY47" s="44"/>
      <c r="XAZ47" s="44"/>
      <c r="XBA47" s="44"/>
      <c r="XBB47" s="44"/>
      <c r="XBC47" s="44"/>
      <c r="XBD47" s="44"/>
      <c r="XBE47" s="44"/>
      <c r="XBF47" s="44"/>
      <c r="XBG47" s="44"/>
      <c r="XBH47" s="44"/>
      <c r="XBI47" s="44"/>
      <c r="XBJ47" s="44"/>
      <c r="XBK47" s="44"/>
      <c r="XBL47" s="44"/>
      <c r="XBM47" s="44"/>
      <c r="XBN47" s="44"/>
      <c r="XBO47" s="44"/>
      <c r="XBP47" s="44"/>
      <c r="XBQ47" s="44"/>
      <c r="XBR47" s="44"/>
      <c r="XBS47" s="44"/>
      <c r="XBT47" s="44"/>
      <c r="XBU47" s="44"/>
      <c r="XBV47" s="44"/>
      <c r="XBW47" s="44"/>
      <c r="XBX47" s="44"/>
      <c r="XBY47" s="44"/>
      <c r="XBZ47" s="44"/>
      <c r="XCA47" s="44"/>
      <c r="XCB47" s="44"/>
      <c r="XCC47" s="44"/>
      <c r="XCD47" s="44"/>
      <c r="XCE47" s="44"/>
      <c r="XCF47" s="44"/>
      <c r="XCG47" s="44"/>
      <c r="XCH47" s="44"/>
      <c r="XCI47" s="44"/>
      <c r="XCJ47" s="44"/>
      <c r="XCK47" s="44"/>
      <c r="XCL47" s="44"/>
      <c r="XCM47" s="44"/>
      <c r="XCN47" s="44"/>
      <c r="XCO47" s="44"/>
      <c r="XCP47" s="44"/>
      <c r="XCQ47" s="44"/>
      <c r="XCR47" s="44"/>
      <c r="XCS47" s="44"/>
      <c r="XCT47" s="44"/>
      <c r="XCU47" s="44"/>
      <c r="XCV47" s="44"/>
      <c r="XCW47" s="44"/>
      <c r="XCX47" s="44"/>
      <c r="XCY47" s="44"/>
      <c r="XCZ47" s="44"/>
      <c r="XDA47" s="44"/>
      <c r="XDB47" s="44"/>
      <c r="XDC47" s="44"/>
      <c r="XDD47" s="44"/>
      <c r="XDE47" s="44"/>
      <c r="XDF47" s="44"/>
      <c r="XDG47" s="44"/>
      <c r="XDH47" s="44"/>
      <c r="XDI47" s="44"/>
      <c r="XDJ47" s="44"/>
      <c r="XDK47" s="44"/>
      <c r="XDL47" s="44"/>
      <c r="XDM47" s="44"/>
      <c r="XDN47" s="44"/>
      <c r="XDO47" s="44"/>
      <c r="XDP47" s="44"/>
      <c r="XDQ47" s="44"/>
      <c r="XDR47" s="44"/>
      <c r="XDS47" s="44"/>
      <c r="XDT47" s="44"/>
      <c r="XDU47" s="44"/>
      <c r="XDV47" s="44"/>
      <c r="XDW47" s="44"/>
      <c r="XDX47" s="44"/>
      <c r="XDY47" s="44"/>
      <c r="XDZ47" s="44"/>
      <c r="XEA47" s="44"/>
      <c r="XEB47" s="44"/>
      <c r="XEC47" s="44"/>
      <c r="XED47" s="44"/>
      <c r="XEE47" s="44"/>
      <c r="XEF47" s="44"/>
      <c r="XEG47" s="44"/>
      <c r="XEH47" s="44"/>
      <c r="XEI47" s="44"/>
      <c r="XEJ47" s="44"/>
      <c r="XEK47" s="44"/>
      <c r="XEL47" s="44"/>
      <c r="XEM47" s="44"/>
      <c r="XEN47" s="44"/>
      <c r="XEO47" s="44"/>
      <c r="XEP47" s="44"/>
      <c r="XEQ47" s="44"/>
      <c r="XER47" s="44"/>
      <c r="XES47" s="44"/>
      <c r="XET47" s="44"/>
      <c r="XEU47" s="44"/>
      <c r="XEV47" s="44"/>
      <c r="XEW47" s="44"/>
      <c r="XEX47" s="44"/>
      <c r="XEY47" s="44"/>
      <c r="XEZ47" s="44"/>
      <c r="XFA47" s="44"/>
      <c r="XFB47" s="44"/>
      <c r="XFC47" s="44"/>
      <c r="XFD47" s="44"/>
    </row>
    <row r="48" spans="2:16384" x14ac:dyDescent="0.25">
      <c r="B48" s="44"/>
      <c r="C48" s="96">
        <v>1</v>
      </c>
      <c r="D48" s="44" t="s">
        <v>639</v>
      </c>
      <c r="E48" s="44"/>
      <c r="F48" s="44"/>
      <c r="G48" s="44"/>
      <c r="H48" s="77" t="s">
        <v>643</v>
      </c>
      <c r="I48" s="44"/>
      <c r="J48" s="631">
        <v>1246830669.3599997</v>
      </c>
      <c r="K48" s="217"/>
      <c r="L48" s="44"/>
      <c r="M48" s="192">
        <v>0</v>
      </c>
      <c r="N48" s="262"/>
      <c r="P48" s="327"/>
      <c r="Q48" s="327"/>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c r="DJ48" s="44"/>
      <c r="DK48" s="44"/>
      <c r="DL48" s="44"/>
      <c r="DM48" s="44"/>
      <c r="DN48" s="44"/>
      <c r="DO48" s="44"/>
      <c r="DP48" s="44"/>
      <c r="DQ48" s="44"/>
      <c r="DR48" s="44"/>
      <c r="DS48" s="44"/>
      <c r="DT48" s="44"/>
      <c r="DU48" s="44"/>
      <c r="DV48" s="44"/>
      <c r="DW48" s="44"/>
      <c r="DX48" s="44"/>
      <c r="DY48" s="44"/>
      <c r="DZ48" s="44"/>
      <c r="EA48" s="44"/>
      <c r="EB48" s="44"/>
      <c r="EC48" s="44"/>
      <c r="ED48" s="44"/>
      <c r="EE48" s="44"/>
      <c r="EF48" s="44"/>
      <c r="EG48" s="44"/>
      <c r="EH48" s="44"/>
      <c r="EI48" s="44"/>
      <c r="EJ48" s="44"/>
      <c r="EK48" s="44"/>
      <c r="EL48" s="44"/>
      <c r="EM48" s="44"/>
      <c r="EN48" s="44"/>
      <c r="EO48" s="44"/>
      <c r="EP48" s="44"/>
      <c r="EQ48" s="44"/>
      <c r="ER48" s="44"/>
      <c r="ES48" s="44"/>
      <c r="ET48" s="44"/>
      <c r="EU48" s="44"/>
      <c r="EV48" s="44"/>
      <c r="EW48" s="44"/>
      <c r="EX48" s="44"/>
      <c r="EY48" s="44"/>
      <c r="EZ48" s="44"/>
      <c r="FA48" s="44"/>
      <c r="FB48" s="44"/>
      <c r="FC48" s="44"/>
      <c r="FD48" s="44"/>
      <c r="FE48" s="44"/>
      <c r="FF48" s="44"/>
      <c r="FG48" s="44"/>
      <c r="FH48" s="44"/>
      <c r="FI48" s="44"/>
      <c r="FJ48" s="44"/>
      <c r="FK48" s="44"/>
      <c r="FL48" s="44"/>
      <c r="FM48" s="44"/>
      <c r="FN48" s="44"/>
      <c r="FO48" s="44"/>
      <c r="FP48" s="44"/>
      <c r="FQ48" s="44"/>
      <c r="FR48" s="44"/>
      <c r="FS48" s="44"/>
      <c r="FT48" s="44"/>
      <c r="FU48" s="44"/>
      <c r="FV48" s="44"/>
      <c r="FW48" s="44"/>
      <c r="FX48" s="44"/>
      <c r="FY48" s="44"/>
      <c r="FZ48" s="44"/>
      <c r="GA48" s="44"/>
      <c r="GB48" s="44"/>
      <c r="GC48" s="44"/>
      <c r="GD48" s="44"/>
      <c r="GE48" s="44"/>
      <c r="GF48" s="44"/>
      <c r="GG48" s="44"/>
      <c r="GH48" s="44"/>
      <c r="GI48" s="44"/>
      <c r="GJ48" s="44"/>
      <c r="GK48" s="44"/>
      <c r="GL48" s="44"/>
      <c r="GM48" s="44"/>
      <c r="GN48" s="44"/>
      <c r="GO48" s="44"/>
      <c r="GP48" s="44"/>
      <c r="GQ48" s="44"/>
      <c r="GR48" s="44"/>
      <c r="GS48" s="44"/>
      <c r="GT48" s="44"/>
      <c r="GU48" s="44"/>
      <c r="GV48" s="44"/>
      <c r="GW48" s="44"/>
      <c r="GX48" s="44"/>
      <c r="GY48" s="44"/>
      <c r="GZ48" s="44"/>
      <c r="HA48" s="44"/>
      <c r="HB48" s="44"/>
      <c r="HC48" s="44"/>
      <c r="HD48" s="44"/>
      <c r="HE48" s="44"/>
      <c r="HF48" s="44"/>
      <c r="HG48" s="44"/>
      <c r="HH48" s="44"/>
      <c r="HI48" s="44"/>
      <c r="HJ48" s="44"/>
      <c r="HK48" s="44"/>
      <c r="HL48" s="44"/>
      <c r="HM48" s="44"/>
      <c r="HN48" s="44"/>
      <c r="HO48" s="44"/>
      <c r="HP48" s="44"/>
      <c r="HQ48" s="44"/>
      <c r="HR48" s="44"/>
      <c r="HS48" s="44"/>
      <c r="HT48" s="44"/>
      <c r="HU48" s="44"/>
      <c r="HV48" s="44"/>
      <c r="HW48" s="44"/>
      <c r="HX48" s="44"/>
      <c r="HY48" s="44"/>
      <c r="HZ48" s="44"/>
      <c r="IA48" s="44"/>
      <c r="IB48" s="44"/>
      <c r="IC48" s="44"/>
      <c r="ID48" s="44"/>
      <c r="IE48" s="44"/>
      <c r="IF48" s="44"/>
      <c r="IG48" s="44"/>
      <c r="IH48" s="44"/>
      <c r="II48" s="44"/>
      <c r="IJ48" s="44"/>
      <c r="IK48" s="44"/>
      <c r="IL48" s="44"/>
      <c r="IM48" s="44"/>
      <c r="IN48" s="44"/>
      <c r="IO48" s="44"/>
      <c r="IP48" s="44"/>
      <c r="IQ48" s="44"/>
      <c r="IR48" s="44"/>
      <c r="IS48" s="44"/>
      <c r="IT48" s="44"/>
      <c r="IU48" s="44"/>
      <c r="IV48" s="44"/>
      <c r="IW48" s="44"/>
      <c r="IX48" s="44"/>
      <c r="IY48" s="44"/>
      <c r="IZ48" s="44"/>
      <c r="JA48" s="44"/>
      <c r="JB48" s="44"/>
      <c r="JC48" s="44"/>
      <c r="JD48" s="44"/>
      <c r="JE48" s="44"/>
      <c r="JF48" s="44"/>
      <c r="JG48" s="44"/>
      <c r="JH48" s="44"/>
      <c r="JI48" s="44"/>
      <c r="JJ48" s="44"/>
      <c r="JK48" s="44"/>
      <c r="JL48" s="44"/>
      <c r="JM48" s="44"/>
      <c r="JN48" s="44"/>
      <c r="JO48" s="44"/>
      <c r="JP48" s="44"/>
      <c r="JQ48" s="44"/>
      <c r="JR48" s="44"/>
      <c r="JS48" s="44"/>
      <c r="JT48" s="44"/>
      <c r="JU48" s="44"/>
      <c r="JV48" s="44"/>
      <c r="JW48" s="44"/>
      <c r="JX48" s="44"/>
      <c r="JY48" s="44"/>
      <c r="JZ48" s="44"/>
      <c r="KA48" s="44"/>
      <c r="KB48" s="44"/>
      <c r="KC48" s="44"/>
      <c r="KD48" s="44"/>
      <c r="KE48" s="44"/>
      <c r="KF48" s="44"/>
      <c r="KG48" s="44"/>
      <c r="KH48" s="44"/>
      <c r="KI48" s="44"/>
      <c r="KJ48" s="44"/>
      <c r="KK48" s="44"/>
      <c r="KL48" s="44"/>
      <c r="KM48" s="44"/>
      <c r="KN48" s="44"/>
      <c r="KO48" s="44"/>
      <c r="KP48" s="44"/>
      <c r="KQ48" s="44"/>
      <c r="KR48" s="44"/>
      <c r="KS48" s="44"/>
      <c r="KT48" s="44"/>
      <c r="KU48" s="44"/>
      <c r="KV48" s="44"/>
      <c r="KW48" s="44"/>
      <c r="KX48" s="44"/>
      <c r="KY48" s="44"/>
      <c r="KZ48" s="44"/>
      <c r="LA48" s="44"/>
      <c r="LB48" s="44"/>
      <c r="LC48" s="44"/>
      <c r="LD48" s="44"/>
      <c r="LE48" s="44"/>
      <c r="LF48" s="44"/>
      <c r="LG48" s="44"/>
      <c r="LH48" s="44"/>
      <c r="LI48" s="44"/>
      <c r="LJ48" s="44"/>
      <c r="LK48" s="44"/>
      <c r="LL48" s="44"/>
      <c r="LM48" s="44"/>
      <c r="LN48" s="44"/>
      <c r="LO48" s="44"/>
      <c r="LP48" s="44"/>
      <c r="LQ48" s="44"/>
      <c r="LR48" s="44"/>
      <c r="LS48" s="44"/>
      <c r="LT48" s="44"/>
      <c r="LU48" s="44"/>
      <c r="LV48" s="44"/>
      <c r="LW48" s="44"/>
      <c r="LX48" s="44"/>
      <c r="LY48" s="44"/>
      <c r="LZ48" s="44"/>
      <c r="MA48" s="44"/>
      <c r="MB48" s="44"/>
      <c r="MC48" s="44"/>
      <c r="MD48" s="44"/>
      <c r="ME48" s="44"/>
      <c r="MF48" s="44"/>
      <c r="MG48" s="44"/>
      <c r="MH48" s="44"/>
      <c r="MI48" s="44"/>
      <c r="MJ48" s="44"/>
      <c r="MK48" s="44"/>
      <c r="ML48" s="44"/>
      <c r="MM48" s="44"/>
      <c r="MN48" s="44"/>
      <c r="MO48" s="44"/>
      <c r="MP48" s="44"/>
      <c r="MQ48" s="44"/>
      <c r="MR48" s="44"/>
      <c r="MS48" s="44"/>
      <c r="MT48" s="44"/>
      <c r="MU48" s="44"/>
      <c r="MV48" s="44"/>
      <c r="MW48" s="44"/>
      <c r="MX48" s="44"/>
      <c r="MY48" s="44"/>
      <c r="MZ48" s="44"/>
      <c r="NA48" s="44"/>
      <c r="NB48" s="44"/>
      <c r="NC48" s="44"/>
      <c r="ND48" s="44"/>
      <c r="NE48" s="44"/>
      <c r="NF48" s="44"/>
      <c r="NG48" s="44"/>
      <c r="NH48" s="44"/>
      <c r="NI48" s="44"/>
      <c r="NJ48" s="44"/>
      <c r="NK48" s="44"/>
      <c r="NL48" s="44"/>
      <c r="NM48" s="44"/>
      <c r="NN48" s="44"/>
      <c r="NO48" s="44"/>
      <c r="NP48" s="44"/>
      <c r="NQ48" s="44"/>
      <c r="NR48" s="44"/>
      <c r="NS48" s="44"/>
      <c r="NT48" s="44"/>
      <c r="NU48" s="44"/>
      <c r="NV48" s="44"/>
      <c r="NW48" s="44"/>
      <c r="NX48" s="44"/>
      <c r="NY48" s="44"/>
      <c r="NZ48" s="44"/>
      <c r="OA48" s="44"/>
      <c r="OB48" s="44"/>
      <c r="OC48" s="44"/>
      <c r="OD48" s="44"/>
      <c r="OE48" s="44"/>
      <c r="OF48" s="44"/>
      <c r="OG48" s="44"/>
      <c r="OH48" s="44"/>
      <c r="OI48" s="44"/>
      <c r="OJ48" s="44"/>
      <c r="OK48" s="44"/>
      <c r="OL48" s="44"/>
      <c r="OM48" s="44"/>
      <c r="ON48" s="44"/>
      <c r="OO48" s="44"/>
      <c r="OP48" s="44"/>
      <c r="OQ48" s="44"/>
      <c r="OR48" s="44"/>
      <c r="OS48" s="44"/>
      <c r="OT48" s="44"/>
      <c r="OU48" s="44"/>
      <c r="OV48" s="44"/>
      <c r="OW48" s="44"/>
      <c r="OX48" s="44"/>
      <c r="OY48" s="44"/>
      <c r="OZ48" s="44"/>
      <c r="PA48" s="44"/>
      <c r="PB48" s="44"/>
      <c r="PC48" s="44"/>
      <c r="PD48" s="44"/>
      <c r="PE48" s="44"/>
      <c r="PF48" s="44"/>
      <c r="PG48" s="44"/>
      <c r="PH48" s="44"/>
      <c r="PI48" s="44"/>
      <c r="PJ48" s="44"/>
      <c r="PK48" s="44"/>
      <c r="PL48" s="44"/>
      <c r="PM48" s="44"/>
      <c r="PN48" s="44"/>
      <c r="PO48" s="44"/>
      <c r="PP48" s="44"/>
      <c r="PQ48" s="44"/>
      <c r="PR48" s="44"/>
      <c r="PS48" s="44"/>
      <c r="PT48" s="44"/>
      <c r="PU48" s="44"/>
      <c r="PV48" s="44"/>
      <c r="PW48" s="44"/>
      <c r="PX48" s="44"/>
      <c r="PY48" s="44"/>
      <c r="PZ48" s="44"/>
      <c r="QA48" s="44"/>
      <c r="QB48" s="44"/>
      <c r="QC48" s="44"/>
      <c r="QD48" s="44"/>
      <c r="QE48" s="44"/>
      <c r="QF48" s="44"/>
      <c r="QG48" s="44"/>
      <c r="QH48" s="44"/>
      <c r="QI48" s="44"/>
      <c r="QJ48" s="44"/>
      <c r="QK48" s="44"/>
      <c r="QL48" s="44"/>
      <c r="QM48" s="44"/>
      <c r="QN48" s="44"/>
      <c r="QO48" s="44"/>
      <c r="QP48" s="44"/>
      <c r="QQ48" s="44"/>
      <c r="QR48" s="44"/>
      <c r="QS48" s="44"/>
      <c r="QT48" s="44"/>
      <c r="QU48" s="44"/>
      <c r="QV48" s="44"/>
      <c r="QW48" s="44"/>
      <c r="QX48" s="44"/>
      <c r="QY48" s="44"/>
      <c r="QZ48" s="44"/>
      <c r="RA48" s="44"/>
      <c r="RB48" s="44"/>
      <c r="RC48" s="44"/>
      <c r="RD48" s="44"/>
      <c r="RE48" s="44"/>
      <c r="RF48" s="44"/>
      <c r="RG48" s="44"/>
      <c r="RH48" s="44"/>
      <c r="RI48" s="44"/>
      <c r="RJ48" s="44"/>
      <c r="RK48" s="44"/>
      <c r="RL48" s="44"/>
      <c r="RM48" s="44"/>
      <c r="RN48" s="44"/>
      <c r="RO48" s="44"/>
      <c r="RP48" s="44"/>
      <c r="RQ48" s="44"/>
      <c r="RR48" s="44"/>
      <c r="RS48" s="44"/>
      <c r="RT48" s="44"/>
      <c r="RU48" s="44"/>
      <c r="RV48" s="44"/>
      <c r="RW48" s="44"/>
      <c r="RX48" s="44"/>
      <c r="RY48" s="44"/>
      <c r="RZ48" s="44"/>
      <c r="SA48" s="44"/>
      <c r="SB48" s="44"/>
      <c r="SC48" s="44"/>
      <c r="SD48" s="44"/>
      <c r="SE48" s="44"/>
      <c r="SF48" s="44"/>
      <c r="SG48" s="44"/>
      <c r="SH48" s="44"/>
      <c r="SI48" s="44"/>
      <c r="SJ48" s="44"/>
      <c r="SK48" s="44"/>
      <c r="SL48" s="44"/>
      <c r="SM48" s="44"/>
      <c r="SN48" s="44"/>
      <c r="SO48" s="44"/>
      <c r="SP48" s="44"/>
      <c r="SQ48" s="44"/>
      <c r="SR48" s="44"/>
      <c r="SS48" s="44"/>
      <c r="ST48" s="44"/>
      <c r="SU48" s="44"/>
      <c r="SV48" s="44"/>
      <c r="SW48" s="44"/>
      <c r="SX48" s="44"/>
      <c r="SY48" s="44"/>
      <c r="SZ48" s="44"/>
      <c r="TA48" s="44"/>
      <c r="TB48" s="44"/>
      <c r="TC48" s="44"/>
      <c r="TD48" s="44"/>
      <c r="TE48" s="44"/>
      <c r="TF48" s="44"/>
      <c r="TG48" s="44"/>
      <c r="TH48" s="44"/>
      <c r="TI48" s="44"/>
      <c r="TJ48" s="44"/>
      <c r="TK48" s="44"/>
      <c r="TL48" s="44"/>
      <c r="TM48" s="44"/>
      <c r="TN48" s="44"/>
      <c r="TO48" s="44"/>
      <c r="TP48" s="44"/>
      <c r="TQ48" s="44"/>
      <c r="TR48" s="44"/>
      <c r="TS48" s="44"/>
      <c r="TT48" s="44"/>
      <c r="TU48" s="44"/>
      <c r="TV48" s="44"/>
      <c r="TW48" s="44"/>
      <c r="TX48" s="44"/>
      <c r="TY48" s="44"/>
      <c r="TZ48" s="44"/>
      <c r="UA48" s="44"/>
      <c r="UB48" s="44"/>
      <c r="UC48" s="44"/>
      <c r="UD48" s="44"/>
      <c r="UE48" s="44"/>
      <c r="UF48" s="44"/>
      <c r="UG48" s="44"/>
      <c r="UH48" s="44"/>
      <c r="UI48" s="44"/>
      <c r="UJ48" s="44"/>
      <c r="UK48" s="44"/>
      <c r="UL48" s="44"/>
      <c r="UM48" s="44"/>
      <c r="UN48" s="44"/>
      <c r="UO48" s="44"/>
      <c r="UP48" s="44"/>
      <c r="UQ48" s="44"/>
      <c r="UR48" s="44"/>
      <c r="US48" s="44"/>
      <c r="UT48" s="44"/>
      <c r="UU48" s="44"/>
      <c r="UV48" s="44"/>
      <c r="UW48" s="44"/>
      <c r="UX48" s="44"/>
      <c r="UY48" s="44"/>
      <c r="UZ48" s="44"/>
      <c r="VA48" s="44"/>
      <c r="VB48" s="44"/>
      <c r="VC48" s="44"/>
      <c r="VD48" s="44"/>
      <c r="VE48" s="44"/>
      <c r="VF48" s="44"/>
      <c r="VG48" s="44"/>
      <c r="VH48" s="44"/>
      <c r="VI48" s="44"/>
      <c r="VJ48" s="44"/>
      <c r="VK48" s="44"/>
      <c r="VL48" s="44"/>
      <c r="VM48" s="44"/>
      <c r="VN48" s="44"/>
      <c r="VO48" s="44"/>
      <c r="VP48" s="44"/>
      <c r="VQ48" s="44"/>
      <c r="VR48" s="44"/>
      <c r="VS48" s="44"/>
      <c r="VT48" s="44"/>
      <c r="VU48" s="44"/>
      <c r="VV48" s="44"/>
      <c r="VW48" s="44"/>
      <c r="VX48" s="44"/>
      <c r="VY48" s="44"/>
      <c r="VZ48" s="44"/>
      <c r="WA48" s="44"/>
      <c r="WB48" s="44"/>
      <c r="WC48" s="44"/>
      <c r="WD48" s="44"/>
      <c r="WE48" s="44"/>
      <c r="WF48" s="44"/>
      <c r="WG48" s="44"/>
      <c r="WH48" s="44"/>
      <c r="WI48" s="44"/>
      <c r="WJ48" s="44"/>
      <c r="WK48" s="44"/>
      <c r="WL48" s="44"/>
      <c r="WM48" s="44"/>
      <c r="WN48" s="44"/>
      <c r="WO48" s="44"/>
      <c r="WP48" s="44"/>
      <c r="WQ48" s="44"/>
      <c r="WR48" s="44"/>
      <c r="WS48" s="44"/>
      <c r="WT48" s="44"/>
      <c r="WU48" s="44"/>
      <c r="WV48" s="44"/>
      <c r="WW48" s="44"/>
      <c r="WX48" s="44"/>
      <c r="WY48" s="44"/>
      <c r="WZ48" s="44"/>
      <c r="XA48" s="44"/>
      <c r="XB48" s="44"/>
      <c r="XC48" s="44"/>
      <c r="XD48" s="44"/>
      <c r="XE48" s="44"/>
      <c r="XF48" s="44"/>
      <c r="XG48" s="44"/>
      <c r="XH48" s="44"/>
      <c r="XI48" s="44"/>
      <c r="XJ48" s="44"/>
      <c r="XK48" s="44"/>
      <c r="XL48" s="44"/>
      <c r="XM48" s="44"/>
      <c r="XN48" s="44"/>
      <c r="XO48" s="44"/>
      <c r="XP48" s="44"/>
      <c r="XQ48" s="44"/>
      <c r="XR48" s="44"/>
      <c r="XS48" s="44"/>
      <c r="XT48" s="44"/>
      <c r="XU48" s="44"/>
      <c r="XV48" s="44"/>
      <c r="XW48" s="44"/>
      <c r="XX48" s="44"/>
      <c r="XY48" s="44"/>
      <c r="XZ48" s="44"/>
      <c r="YA48" s="44"/>
      <c r="YB48" s="44"/>
      <c r="YC48" s="44"/>
      <c r="YD48" s="44"/>
      <c r="YE48" s="44"/>
      <c r="YF48" s="44"/>
      <c r="YG48" s="44"/>
      <c r="YH48" s="44"/>
      <c r="YI48" s="44"/>
      <c r="YJ48" s="44"/>
      <c r="YK48" s="44"/>
      <c r="YL48" s="44"/>
      <c r="YM48" s="44"/>
      <c r="YN48" s="44"/>
      <c r="YO48" s="44"/>
      <c r="YP48" s="44"/>
      <c r="YQ48" s="44"/>
      <c r="YR48" s="44"/>
      <c r="YS48" s="44"/>
      <c r="YT48" s="44"/>
      <c r="YU48" s="44"/>
      <c r="YV48" s="44"/>
      <c r="YW48" s="44"/>
      <c r="YX48" s="44"/>
      <c r="YY48" s="44"/>
      <c r="YZ48" s="44"/>
      <c r="ZA48" s="44"/>
      <c r="ZB48" s="44"/>
      <c r="ZC48" s="44"/>
      <c r="ZD48" s="44"/>
      <c r="ZE48" s="44"/>
      <c r="ZF48" s="44"/>
      <c r="ZG48" s="44"/>
      <c r="ZH48" s="44"/>
      <c r="ZI48" s="44"/>
      <c r="ZJ48" s="44"/>
      <c r="ZK48" s="44"/>
      <c r="ZL48" s="44"/>
      <c r="ZM48" s="44"/>
      <c r="ZN48" s="44"/>
      <c r="ZO48" s="44"/>
      <c r="ZP48" s="44"/>
      <c r="ZQ48" s="44"/>
      <c r="ZR48" s="44"/>
      <c r="ZS48" s="44"/>
      <c r="ZT48" s="44"/>
      <c r="ZU48" s="44"/>
      <c r="ZV48" s="44"/>
      <c r="ZW48" s="44"/>
      <c r="ZX48" s="44"/>
      <c r="ZY48" s="44"/>
      <c r="ZZ48" s="44"/>
      <c r="AAA48" s="44"/>
      <c r="AAB48" s="44"/>
      <c r="AAC48" s="44"/>
      <c r="AAD48" s="44"/>
      <c r="AAE48" s="44"/>
      <c r="AAF48" s="44"/>
      <c r="AAG48" s="44"/>
      <c r="AAH48" s="44"/>
      <c r="AAI48" s="44"/>
      <c r="AAJ48" s="44"/>
      <c r="AAK48" s="44"/>
      <c r="AAL48" s="44"/>
      <c r="AAM48" s="44"/>
      <c r="AAN48" s="44"/>
      <c r="AAO48" s="44"/>
      <c r="AAP48" s="44"/>
      <c r="AAQ48" s="44"/>
      <c r="AAR48" s="44"/>
      <c r="AAS48" s="44"/>
      <c r="AAT48" s="44"/>
      <c r="AAU48" s="44"/>
      <c r="AAV48" s="44"/>
      <c r="AAW48" s="44"/>
      <c r="AAX48" s="44"/>
      <c r="AAY48" s="44"/>
      <c r="AAZ48" s="44"/>
      <c r="ABA48" s="44"/>
      <c r="ABB48" s="44"/>
      <c r="ABC48" s="44"/>
      <c r="ABD48" s="44"/>
      <c r="ABE48" s="44"/>
      <c r="ABF48" s="44"/>
      <c r="ABG48" s="44"/>
      <c r="ABH48" s="44"/>
      <c r="ABI48" s="44"/>
      <c r="ABJ48" s="44"/>
      <c r="ABK48" s="44"/>
      <c r="ABL48" s="44"/>
      <c r="ABM48" s="44"/>
      <c r="ABN48" s="44"/>
      <c r="ABO48" s="44"/>
      <c r="ABP48" s="44"/>
      <c r="ABQ48" s="44"/>
      <c r="ABR48" s="44"/>
      <c r="ABS48" s="44"/>
      <c r="ABT48" s="44"/>
      <c r="ABU48" s="44"/>
      <c r="ABV48" s="44"/>
      <c r="ABW48" s="44"/>
      <c r="ABX48" s="44"/>
      <c r="ABY48" s="44"/>
      <c r="ABZ48" s="44"/>
      <c r="ACA48" s="44"/>
      <c r="ACB48" s="44"/>
      <c r="ACC48" s="44"/>
      <c r="ACD48" s="44"/>
      <c r="ACE48" s="44"/>
      <c r="ACF48" s="44"/>
      <c r="ACG48" s="44"/>
      <c r="ACH48" s="44"/>
      <c r="ACI48" s="44"/>
      <c r="ACJ48" s="44"/>
      <c r="ACK48" s="44"/>
      <c r="ACL48" s="44"/>
      <c r="ACM48" s="44"/>
      <c r="ACN48" s="44"/>
      <c r="ACO48" s="44"/>
      <c r="ACP48" s="44"/>
      <c r="ACQ48" s="44"/>
      <c r="ACR48" s="44"/>
      <c r="ACS48" s="44"/>
      <c r="ACT48" s="44"/>
      <c r="ACU48" s="44"/>
      <c r="ACV48" s="44"/>
      <c r="ACW48" s="44"/>
      <c r="ACX48" s="44"/>
      <c r="ACY48" s="44"/>
      <c r="ACZ48" s="44"/>
      <c r="ADA48" s="44"/>
      <c r="ADB48" s="44"/>
      <c r="ADC48" s="44"/>
      <c r="ADD48" s="44"/>
      <c r="ADE48" s="44"/>
      <c r="ADF48" s="44"/>
      <c r="ADG48" s="44"/>
      <c r="ADH48" s="44"/>
      <c r="ADI48" s="44"/>
      <c r="ADJ48" s="44"/>
      <c r="ADK48" s="44"/>
      <c r="ADL48" s="44"/>
      <c r="ADM48" s="44"/>
      <c r="ADN48" s="44"/>
      <c r="ADO48" s="44"/>
      <c r="ADP48" s="44"/>
      <c r="ADQ48" s="44"/>
      <c r="ADR48" s="44"/>
      <c r="ADS48" s="44"/>
      <c r="ADT48" s="44"/>
      <c r="ADU48" s="44"/>
      <c r="ADV48" s="44"/>
      <c r="ADW48" s="44"/>
      <c r="ADX48" s="44"/>
      <c r="ADY48" s="44"/>
      <c r="ADZ48" s="44"/>
      <c r="AEA48" s="44"/>
      <c r="AEB48" s="44"/>
      <c r="AEC48" s="44"/>
      <c r="AED48" s="44"/>
      <c r="AEE48" s="44"/>
      <c r="AEF48" s="44"/>
      <c r="AEG48" s="44"/>
      <c r="AEH48" s="44"/>
      <c r="AEI48" s="44"/>
      <c r="AEJ48" s="44"/>
      <c r="AEK48" s="44"/>
      <c r="AEL48" s="44"/>
      <c r="AEM48" s="44"/>
      <c r="AEN48" s="44"/>
      <c r="AEO48" s="44"/>
      <c r="AEP48" s="44"/>
      <c r="AEQ48" s="44"/>
      <c r="AER48" s="44"/>
      <c r="AES48" s="44"/>
      <c r="AET48" s="44"/>
      <c r="AEU48" s="44"/>
      <c r="AEV48" s="44"/>
      <c r="AEW48" s="44"/>
      <c r="AEX48" s="44"/>
      <c r="AEY48" s="44"/>
      <c r="AEZ48" s="44"/>
      <c r="AFA48" s="44"/>
      <c r="AFB48" s="44"/>
      <c r="AFC48" s="44"/>
      <c r="AFD48" s="44"/>
      <c r="AFE48" s="44"/>
      <c r="AFF48" s="44"/>
      <c r="AFG48" s="44"/>
      <c r="AFH48" s="44"/>
      <c r="AFI48" s="44"/>
      <c r="AFJ48" s="44"/>
      <c r="AFK48" s="44"/>
      <c r="AFL48" s="44"/>
      <c r="AFM48" s="44"/>
      <c r="AFN48" s="44"/>
      <c r="AFO48" s="44"/>
      <c r="AFP48" s="44"/>
      <c r="AFQ48" s="44"/>
      <c r="AFR48" s="44"/>
      <c r="AFS48" s="44"/>
      <c r="AFT48" s="44"/>
      <c r="AFU48" s="44"/>
      <c r="AFV48" s="44"/>
      <c r="AFW48" s="44"/>
      <c r="AFX48" s="44"/>
      <c r="AFY48" s="44"/>
      <c r="AFZ48" s="44"/>
      <c r="AGA48" s="44"/>
      <c r="AGB48" s="44"/>
      <c r="AGC48" s="44"/>
      <c r="AGD48" s="44"/>
      <c r="AGE48" s="44"/>
      <c r="AGF48" s="44"/>
      <c r="AGG48" s="44"/>
      <c r="AGH48" s="44"/>
      <c r="AGI48" s="44"/>
      <c r="AGJ48" s="44"/>
      <c r="AGK48" s="44"/>
      <c r="AGL48" s="44"/>
      <c r="AGM48" s="44"/>
      <c r="AGN48" s="44"/>
      <c r="AGO48" s="44"/>
      <c r="AGP48" s="44"/>
      <c r="AGQ48" s="44"/>
      <c r="AGR48" s="44"/>
      <c r="AGS48" s="44"/>
      <c r="AGT48" s="44"/>
      <c r="AGU48" s="44"/>
      <c r="AGV48" s="44"/>
      <c r="AGW48" s="44"/>
      <c r="AGX48" s="44"/>
      <c r="AGY48" s="44"/>
      <c r="AGZ48" s="44"/>
      <c r="AHA48" s="44"/>
      <c r="AHB48" s="44"/>
      <c r="AHC48" s="44"/>
      <c r="AHD48" s="44"/>
      <c r="AHE48" s="44"/>
      <c r="AHF48" s="44"/>
      <c r="AHG48" s="44"/>
      <c r="AHH48" s="44"/>
      <c r="AHI48" s="44"/>
      <c r="AHJ48" s="44"/>
      <c r="AHK48" s="44"/>
      <c r="AHL48" s="44"/>
      <c r="AHM48" s="44"/>
      <c r="AHN48" s="44"/>
      <c r="AHO48" s="44"/>
      <c r="AHP48" s="44"/>
      <c r="AHQ48" s="44"/>
      <c r="AHR48" s="44"/>
      <c r="AHS48" s="44"/>
      <c r="AHT48" s="44"/>
      <c r="AHU48" s="44"/>
      <c r="AHV48" s="44"/>
      <c r="AHW48" s="44"/>
      <c r="AHX48" s="44"/>
      <c r="AHY48" s="44"/>
      <c r="AHZ48" s="44"/>
      <c r="AIA48" s="44"/>
      <c r="AIB48" s="44"/>
      <c r="AIC48" s="44"/>
      <c r="AID48" s="44"/>
      <c r="AIE48" s="44"/>
      <c r="AIF48" s="44"/>
      <c r="AIG48" s="44"/>
      <c r="AIH48" s="44"/>
      <c r="AII48" s="44"/>
      <c r="AIJ48" s="44"/>
      <c r="AIK48" s="44"/>
      <c r="AIL48" s="44"/>
      <c r="AIM48" s="44"/>
      <c r="AIN48" s="44"/>
      <c r="AIO48" s="44"/>
      <c r="AIP48" s="44"/>
      <c r="AIQ48" s="44"/>
      <c r="AIR48" s="44"/>
      <c r="AIS48" s="44"/>
      <c r="AIT48" s="44"/>
      <c r="AIU48" s="44"/>
      <c r="AIV48" s="44"/>
      <c r="AIW48" s="44"/>
      <c r="AIX48" s="44"/>
      <c r="AIY48" s="44"/>
      <c r="AIZ48" s="44"/>
      <c r="AJA48" s="44"/>
      <c r="AJB48" s="44"/>
      <c r="AJC48" s="44"/>
      <c r="AJD48" s="44"/>
      <c r="AJE48" s="44"/>
      <c r="AJF48" s="44"/>
      <c r="AJG48" s="44"/>
      <c r="AJH48" s="44"/>
      <c r="AJI48" s="44"/>
      <c r="AJJ48" s="44"/>
      <c r="AJK48" s="44"/>
      <c r="AJL48" s="44"/>
      <c r="AJM48" s="44"/>
      <c r="AJN48" s="44"/>
      <c r="AJO48" s="44"/>
      <c r="AJP48" s="44"/>
      <c r="AJQ48" s="44"/>
      <c r="AJR48" s="44"/>
      <c r="AJS48" s="44"/>
      <c r="AJT48" s="44"/>
      <c r="AJU48" s="44"/>
      <c r="AJV48" s="44"/>
      <c r="AJW48" s="44"/>
      <c r="AJX48" s="44"/>
      <c r="AJY48" s="44"/>
      <c r="AJZ48" s="44"/>
      <c r="AKA48" s="44"/>
      <c r="AKB48" s="44"/>
      <c r="AKC48" s="44"/>
      <c r="AKD48" s="44"/>
      <c r="AKE48" s="44"/>
      <c r="AKF48" s="44"/>
      <c r="AKG48" s="44"/>
      <c r="AKH48" s="44"/>
      <c r="AKI48" s="44"/>
      <c r="AKJ48" s="44"/>
      <c r="AKK48" s="44"/>
      <c r="AKL48" s="44"/>
      <c r="AKM48" s="44"/>
      <c r="AKN48" s="44"/>
      <c r="AKO48" s="44"/>
      <c r="AKP48" s="44"/>
      <c r="AKQ48" s="44"/>
      <c r="AKR48" s="44"/>
      <c r="AKS48" s="44"/>
      <c r="AKT48" s="44"/>
      <c r="AKU48" s="44"/>
      <c r="AKV48" s="44"/>
      <c r="AKW48" s="44"/>
      <c r="AKX48" s="44"/>
      <c r="AKY48" s="44"/>
      <c r="AKZ48" s="44"/>
      <c r="ALA48" s="44"/>
      <c r="ALB48" s="44"/>
      <c r="ALC48" s="44"/>
      <c r="ALD48" s="44"/>
      <c r="ALE48" s="44"/>
      <c r="ALF48" s="44"/>
      <c r="ALG48" s="44"/>
      <c r="ALH48" s="44"/>
      <c r="ALI48" s="44"/>
      <c r="ALJ48" s="44"/>
      <c r="ALK48" s="44"/>
      <c r="ALL48" s="44"/>
      <c r="ALM48" s="44"/>
      <c r="ALN48" s="44"/>
      <c r="ALO48" s="44"/>
      <c r="ALP48" s="44"/>
      <c r="ALQ48" s="44"/>
      <c r="ALR48" s="44"/>
      <c r="ALS48" s="44"/>
      <c r="ALT48" s="44"/>
      <c r="ALU48" s="44"/>
      <c r="ALV48" s="44"/>
      <c r="ALW48" s="44"/>
      <c r="ALX48" s="44"/>
      <c r="ALY48" s="44"/>
      <c r="ALZ48" s="44"/>
      <c r="AMA48" s="44"/>
      <c r="AMB48" s="44"/>
      <c r="AMC48" s="44"/>
      <c r="AMD48" s="44"/>
      <c r="AME48" s="44"/>
      <c r="AMF48" s="44"/>
      <c r="AMG48" s="44"/>
      <c r="AMH48" s="44"/>
      <c r="AMI48" s="44"/>
      <c r="AMJ48" s="44"/>
      <c r="AMK48" s="44"/>
      <c r="AML48" s="44"/>
      <c r="AMM48" s="44"/>
      <c r="AMN48" s="44"/>
      <c r="AMO48" s="44"/>
      <c r="AMP48" s="44"/>
      <c r="AMQ48" s="44"/>
      <c r="AMR48" s="44"/>
      <c r="AMS48" s="44"/>
      <c r="AMT48" s="44"/>
      <c r="AMU48" s="44"/>
      <c r="AMV48" s="44"/>
      <c r="AMW48" s="44"/>
      <c r="AMX48" s="44"/>
      <c r="AMY48" s="44"/>
      <c r="AMZ48" s="44"/>
      <c r="ANA48" s="44"/>
      <c r="ANB48" s="44"/>
      <c r="ANC48" s="44"/>
      <c r="AND48" s="44"/>
      <c r="ANE48" s="44"/>
      <c r="ANF48" s="44"/>
      <c r="ANG48" s="44"/>
      <c r="ANH48" s="44"/>
      <c r="ANI48" s="44"/>
      <c r="ANJ48" s="44"/>
      <c r="ANK48" s="44"/>
      <c r="ANL48" s="44"/>
      <c r="ANM48" s="44"/>
      <c r="ANN48" s="44"/>
      <c r="ANO48" s="44"/>
      <c r="ANP48" s="44"/>
      <c r="ANQ48" s="44"/>
      <c r="ANR48" s="44"/>
      <c r="ANS48" s="44"/>
      <c r="ANT48" s="44"/>
      <c r="ANU48" s="44"/>
      <c r="ANV48" s="44"/>
      <c r="ANW48" s="44"/>
      <c r="ANX48" s="44"/>
      <c r="ANY48" s="44"/>
      <c r="ANZ48" s="44"/>
      <c r="AOA48" s="44"/>
      <c r="AOB48" s="44"/>
      <c r="AOC48" s="44"/>
      <c r="AOD48" s="44"/>
      <c r="AOE48" s="44"/>
      <c r="AOF48" s="44"/>
      <c r="AOG48" s="44"/>
      <c r="AOH48" s="44"/>
      <c r="AOI48" s="44"/>
      <c r="AOJ48" s="44"/>
      <c r="AOK48" s="44"/>
      <c r="AOL48" s="44"/>
      <c r="AOM48" s="44"/>
      <c r="AON48" s="44"/>
      <c r="AOO48" s="44"/>
      <c r="AOP48" s="44"/>
      <c r="AOQ48" s="44"/>
      <c r="AOR48" s="44"/>
      <c r="AOS48" s="44"/>
      <c r="AOT48" s="44"/>
      <c r="AOU48" s="44"/>
      <c r="AOV48" s="44"/>
      <c r="AOW48" s="44"/>
      <c r="AOX48" s="44"/>
      <c r="AOY48" s="44"/>
      <c r="AOZ48" s="44"/>
      <c r="APA48" s="44"/>
      <c r="APB48" s="44"/>
      <c r="APC48" s="44"/>
      <c r="APD48" s="44"/>
      <c r="APE48" s="44"/>
      <c r="APF48" s="44"/>
      <c r="APG48" s="44"/>
      <c r="APH48" s="44"/>
      <c r="API48" s="44"/>
      <c r="APJ48" s="44"/>
      <c r="APK48" s="44"/>
      <c r="APL48" s="44"/>
      <c r="APM48" s="44"/>
      <c r="APN48" s="44"/>
      <c r="APO48" s="44"/>
      <c r="APP48" s="44"/>
      <c r="APQ48" s="44"/>
      <c r="APR48" s="44"/>
      <c r="APS48" s="44"/>
      <c r="APT48" s="44"/>
      <c r="APU48" s="44"/>
      <c r="APV48" s="44"/>
      <c r="APW48" s="44"/>
      <c r="APX48" s="44"/>
      <c r="APY48" s="44"/>
      <c r="APZ48" s="44"/>
      <c r="AQA48" s="44"/>
      <c r="AQB48" s="44"/>
      <c r="AQC48" s="44"/>
      <c r="AQD48" s="44"/>
      <c r="AQE48" s="44"/>
      <c r="AQF48" s="44"/>
      <c r="AQG48" s="44"/>
      <c r="AQH48" s="44"/>
      <c r="AQI48" s="44"/>
      <c r="AQJ48" s="44"/>
      <c r="AQK48" s="44"/>
      <c r="AQL48" s="44"/>
      <c r="AQM48" s="44"/>
      <c r="AQN48" s="44"/>
      <c r="AQO48" s="44"/>
      <c r="AQP48" s="44"/>
      <c r="AQQ48" s="44"/>
      <c r="AQR48" s="44"/>
      <c r="AQS48" s="44"/>
      <c r="AQT48" s="44"/>
      <c r="AQU48" s="44"/>
      <c r="AQV48" s="44"/>
      <c r="AQW48" s="44"/>
      <c r="AQX48" s="44"/>
      <c r="AQY48" s="44"/>
      <c r="AQZ48" s="44"/>
      <c r="ARA48" s="44"/>
      <c r="ARB48" s="44"/>
      <c r="ARC48" s="44"/>
      <c r="ARD48" s="44"/>
      <c r="ARE48" s="44"/>
      <c r="ARF48" s="44"/>
      <c r="ARG48" s="44"/>
      <c r="ARH48" s="44"/>
      <c r="ARI48" s="44"/>
      <c r="ARJ48" s="44"/>
      <c r="ARK48" s="44"/>
      <c r="ARL48" s="44"/>
      <c r="ARM48" s="44"/>
      <c r="ARN48" s="44"/>
      <c r="ARO48" s="44"/>
      <c r="ARP48" s="44"/>
      <c r="ARQ48" s="44"/>
      <c r="ARR48" s="44"/>
      <c r="ARS48" s="44"/>
      <c r="ART48" s="44"/>
      <c r="ARU48" s="44"/>
      <c r="ARV48" s="44"/>
      <c r="ARW48" s="44"/>
      <c r="ARX48" s="44"/>
      <c r="ARY48" s="44"/>
      <c r="ARZ48" s="44"/>
      <c r="ASA48" s="44"/>
      <c r="ASB48" s="44"/>
      <c r="ASC48" s="44"/>
      <c r="ASD48" s="44"/>
      <c r="ASE48" s="44"/>
      <c r="ASF48" s="44"/>
      <c r="ASG48" s="44"/>
      <c r="ASH48" s="44"/>
      <c r="ASI48" s="44"/>
      <c r="ASJ48" s="44"/>
      <c r="ASK48" s="44"/>
      <c r="ASL48" s="44"/>
      <c r="ASM48" s="44"/>
      <c r="ASN48" s="44"/>
      <c r="ASO48" s="44"/>
      <c r="ASP48" s="44"/>
      <c r="ASQ48" s="44"/>
      <c r="ASR48" s="44"/>
      <c r="ASS48" s="44"/>
      <c r="AST48" s="44"/>
      <c r="ASU48" s="44"/>
      <c r="ASV48" s="44"/>
      <c r="ASW48" s="44"/>
      <c r="ASX48" s="44"/>
      <c r="ASY48" s="44"/>
      <c r="ASZ48" s="44"/>
      <c r="ATA48" s="44"/>
      <c r="ATB48" s="44"/>
      <c r="ATC48" s="44"/>
      <c r="ATD48" s="44"/>
      <c r="ATE48" s="44"/>
      <c r="ATF48" s="44"/>
      <c r="ATG48" s="44"/>
      <c r="ATH48" s="44"/>
      <c r="ATI48" s="44"/>
      <c r="ATJ48" s="44"/>
      <c r="ATK48" s="44"/>
      <c r="ATL48" s="44"/>
      <c r="ATM48" s="44"/>
      <c r="ATN48" s="44"/>
      <c r="ATO48" s="44"/>
      <c r="ATP48" s="44"/>
      <c r="ATQ48" s="44"/>
      <c r="ATR48" s="44"/>
      <c r="ATS48" s="44"/>
      <c r="ATT48" s="44"/>
      <c r="ATU48" s="44"/>
      <c r="ATV48" s="44"/>
      <c r="ATW48" s="44"/>
      <c r="ATX48" s="44"/>
      <c r="ATY48" s="44"/>
      <c r="ATZ48" s="44"/>
      <c r="AUA48" s="44"/>
      <c r="AUB48" s="44"/>
      <c r="AUC48" s="44"/>
      <c r="AUD48" s="44"/>
      <c r="AUE48" s="44"/>
      <c r="AUF48" s="44"/>
      <c r="AUG48" s="44"/>
      <c r="AUH48" s="44"/>
      <c r="AUI48" s="44"/>
      <c r="AUJ48" s="44"/>
      <c r="AUK48" s="44"/>
      <c r="AUL48" s="44"/>
      <c r="AUM48" s="44"/>
      <c r="AUN48" s="44"/>
      <c r="AUO48" s="44"/>
      <c r="AUP48" s="44"/>
      <c r="AUQ48" s="44"/>
      <c r="AUR48" s="44"/>
      <c r="AUS48" s="44"/>
      <c r="AUT48" s="44"/>
      <c r="AUU48" s="44"/>
      <c r="AUV48" s="44"/>
      <c r="AUW48" s="44"/>
      <c r="AUX48" s="44"/>
      <c r="AUY48" s="44"/>
      <c r="AUZ48" s="44"/>
      <c r="AVA48" s="44"/>
      <c r="AVB48" s="44"/>
      <c r="AVC48" s="44"/>
      <c r="AVD48" s="44"/>
      <c r="AVE48" s="44"/>
      <c r="AVF48" s="44"/>
      <c r="AVG48" s="44"/>
      <c r="AVH48" s="44"/>
      <c r="AVI48" s="44"/>
      <c r="AVJ48" s="44"/>
      <c r="AVK48" s="44"/>
      <c r="AVL48" s="44"/>
      <c r="AVM48" s="44"/>
      <c r="AVN48" s="44"/>
      <c r="AVO48" s="44"/>
      <c r="AVP48" s="44"/>
      <c r="AVQ48" s="44"/>
      <c r="AVR48" s="44"/>
      <c r="AVS48" s="44"/>
      <c r="AVT48" s="44"/>
      <c r="AVU48" s="44"/>
      <c r="AVV48" s="44"/>
      <c r="AVW48" s="44"/>
      <c r="AVX48" s="44"/>
      <c r="AVY48" s="44"/>
      <c r="AVZ48" s="44"/>
      <c r="AWA48" s="44"/>
      <c r="AWB48" s="44"/>
      <c r="AWC48" s="44"/>
      <c r="AWD48" s="44"/>
      <c r="AWE48" s="44"/>
      <c r="AWF48" s="44"/>
      <c r="AWG48" s="44"/>
      <c r="AWH48" s="44"/>
      <c r="AWI48" s="44"/>
      <c r="AWJ48" s="44"/>
      <c r="AWK48" s="44"/>
      <c r="AWL48" s="44"/>
      <c r="AWM48" s="44"/>
      <c r="AWN48" s="44"/>
      <c r="AWO48" s="44"/>
      <c r="AWP48" s="44"/>
      <c r="AWQ48" s="44"/>
      <c r="AWR48" s="44"/>
      <c r="AWS48" s="44"/>
      <c r="AWT48" s="44"/>
      <c r="AWU48" s="44"/>
      <c r="AWV48" s="44"/>
      <c r="AWW48" s="44"/>
      <c r="AWX48" s="44"/>
      <c r="AWY48" s="44"/>
      <c r="AWZ48" s="44"/>
      <c r="AXA48" s="44"/>
      <c r="AXB48" s="44"/>
      <c r="AXC48" s="44"/>
      <c r="AXD48" s="44"/>
      <c r="AXE48" s="44"/>
      <c r="AXF48" s="44"/>
      <c r="AXG48" s="44"/>
      <c r="AXH48" s="44"/>
      <c r="AXI48" s="44"/>
      <c r="AXJ48" s="44"/>
      <c r="AXK48" s="44"/>
      <c r="AXL48" s="44"/>
      <c r="AXM48" s="44"/>
      <c r="AXN48" s="44"/>
      <c r="AXO48" s="44"/>
      <c r="AXP48" s="44"/>
      <c r="AXQ48" s="44"/>
      <c r="AXR48" s="44"/>
      <c r="AXS48" s="44"/>
      <c r="AXT48" s="44"/>
      <c r="AXU48" s="44"/>
      <c r="AXV48" s="44"/>
      <c r="AXW48" s="44"/>
      <c r="AXX48" s="44"/>
      <c r="AXY48" s="44"/>
      <c r="AXZ48" s="44"/>
      <c r="AYA48" s="44"/>
      <c r="AYB48" s="44"/>
      <c r="AYC48" s="44"/>
      <c r="AYD48" s="44"/>
      <c r="AYE48" s="44"/>
      <c r="AYF48" s="44"/>
      <c r="AYG48" s="44"/>
      <c r="AYH48" s="44"/>
      <c r="AYI48" s="44"/>
      <c r="AYJ48" s="44"/>
      <c r="AYK48" s="44"/>
      <c r="AYL48" s="44"/>
      <c r="AYM48" s="44"/>
      <c r="AYN48" s="44"/>
      <c r="AYO48" s="44"/>
      <c r="AYP48" s="44"/>
      <c r="AYQ48" s="44"/>
      <c r="AYR48" s="44"/>
      <c r="AYS48" s="44"/>
      <c r="AYT48" s="44"/>
      <c r="AYU48" s="44"/>
      <c r="AYV48" s="44"/>
      <c r="AYW48" s="44"/>
      <c r="AYX48" s="44"/>
      <c r="AYY48" s="44"/>
      <c r="AYZ48" s="44"/>
      <c r="AZA48" s="44"/>
      <c r="AZB48" s="44"/>
      <c r="AZC48" s="44"/>
      <c r="AZD48" s="44"/>
      <c r="AZE48" s="44"/>
      <c r="AZF48" s="44"/>
      <c r="AZG48" s="44"/>
      <c r="AZH48" s="44"/>
      <c r="AZI48" s="44"/>
      <c r="AZJ48" s="44"/>
      <c r="AZK48" s="44"/>
      <c r="AZL48" s="44"/>
      <c r="AZM48" s="44"/>
      <c r="AZN48" s="44"/>
      <c r="AZO48" s="44"/>
      <c r="AZP48" s="44"/>
      <c r="AZQ48" s="44"/>
      <c r="AZR48" s="44"/>
      <c r="AZS48" s="44"/>
      <c r="AZT48" s="44"/>
      <c r="AZU48" s="44"/>
      <c r="AZV48" s="44"/>
      <c r="AZW48" s="44"/>
      <c r="AZX48" s="44"/>
      <c r="AZY48" s="44"/>
      <c r="AZZ48" s="44"/>
      <c r="BAA48" s="44"/>
      <c r="BAB48" s="44"/>
      <c r="BAC48" s="44"/>
      <c r="BAD48" s="44"/>
      <c r="BAE48" s="44"/>
      <c r="BAF48" s="44"/>
      <c r="BAG48" s="44"/>
      <c r="BAH48" s="44"/>
      <c r="BAI48" s="44"/>
      <c r="BAJ48" s="44"/>
      <c r="BAK48" s="44"/>
      <c r="BAL48" s="44"/>
      <c r="BAM48" s="44"/>
      <c r="BAN48" s="44"/>
      <c r="BAO48" s="44"/>
      <c r="BAP48" s="44"/>
      <c r="BAQ48" s="44"/>
      <c r="BAR48" s="44"/>
      <c r="BAS48" s="44"/>
      <c r="BAT48" s="44"/>
      <c r="BAU48" s="44"/>
      <c r="BAV48" s="44"/>
      <c r="BAW48" s="44"/>
      <c r="BAX48" s="44"/>
      <c r="BAY48" s="44"/>
      <c r="BAZ48" s="44"/>
      <c r="BBA48" s="44"/>
      <c r="BBB48" s="44"/>
      <c r="BBC48" s="44"/>
      <c r="BBD48" s="44"/>
      <c r="BBE48" s="44"/>
      <c r="BBF48" s="44"/>
      <c r="BBG48" s="44"/>
      <c r="BBH48" s="44"/>
      <c r="BBI48" s="44"/>
      <c r="BBJ48" s="44"/>
      <c r="BBK48" s="44"/>
      <c r="BBL48" s="44"/>
      <c r="BBM48" s="44"/>
      <c r="BBN48" s="44"/>
      <c r="BBO48" s="44"/>
      <c r="BBP48" s="44"/>
      <c r="BBQ48" s="44"/>
      <c r="BBR48" s="44"/>
      <c r="BBS48" s="44"/>
      <c r="BBT48" s="44"/>
      <c r="BBU48" s="44"/>
      <c r="BBV48" s="44"/>
      <c r="BBW48" s="44"/>
      <c r="BBX48" s="44"/>
      <c r="BBY48" s="44"/>
      <c r="BBZ48" s="44"/>
      <c r="BCA48" s="44"/>
      <c r="BCB48" s="44"/>
      <c r="BCC48" s="44"/>
      <c r="BCD48" s="44"/>
      <c r="BCE48" s="44"/>
      <c r="BCF48" s="44"/>
      <c r="BCG48" s="44"/>
      <c r="BCH48" s="44"/>
      <c r="BCI48" s="44"/>
      <c r="BCJ48" s="44"/>
      <c r="BCK48" s="44"/>
      <c r="BCL48" s="44"/>
      <c r="BCM48" s="44"/>
      <c r="BCN48" s="44"/>
      <c r="BCO48" s="44"/>
      <c r="BCP48" s="44"/>
      <c r="BCQ48" s="44"/>
      <c r="BCR48" s="44"/>
      <c r="BCS48" s="44"/>
      <c r="BCT48" s="44"/>
      <c r="BCU48" s="44"/>
      <c r="BCV48" s="44"/>
      <c r="BCW48" s="44"/>
      <c r="BCX48" s="44"/>
      <c r="BCY48" s="44"/>
      <c r="BCZ48" s="44"/>
      <c r="BDA48" s="44"/>
      <c r="BDB48" s="44"/>
      <c r="BDC48" s="44"/>
      <c r="BDD48" s="44"/>
      <c r="BDE48" s="44"/>
      <c r="BDF48" s="44"/>
      <c r="BDG48" s="44"/>
      <c r="BDH48" s="44"/>
      <c r="BDI48" s="44"/>
      <c r="BDJ48" s="44"/>
      <c r="BDK48" s="44"/>
      <c r="BDL48" s="44"/>
      <c r="BDM48" s="44"/>
      <c r="BDN48" s="44"/>
      <c r="BDO48" s="44"/>
      <c r="BDP48" s="44"/>
      <c r="BDQ48" s="44"/>
      <c r="BDR48" s="44"/>
      <c r="BDS48" s="44"/>
      <c r="BDT48" s="44"/>
      <c r="BDU48" s="44"/>
      <c r="BDV48" s="44"/>
      <c r="BDW48" s="44"/>
      <c r="BDX48" s="44"/>
      <c r="BDY48" s="44"/>
      <c r="BDZ48" s="44"/>
      <c r="BEA48" s="44"/>
      <c r="BEB48" s="44"/>
      <c r="BEC48" s="44"/>
      <c r="BED48" s="44"/>
      <c r="BEE48" s="44"/>
      <c r="BEF48" s="44"/>
      <c r="BEG48" s="44"/>
      <c r="BEH48" s="44"/>
      <c r="BEI48" s="44"/>
      <c r="BEJ48" s="44"/>
      <c r="BEK48" s="44"/>
      <c r="BEL48" s="44"/>
      <c r="BEM48" s="44"/>
      <c r="BEN48" s="44"/>
      <c r="BEO48" s="44"/>
      <c r="BEP48" s="44"/>
      <c r="BEQ48" s="44"/>
      <c r="BER48" s="44"/>
      <c r="BES48" s="44"/>
      <c r="BET48" s="44"/>
      <c r="BEU48" s="44"/>
      <c r="BEV48" s="44"/>
      <c r="BEW48" s="44"/>
      <c r="BEX48" s="44"/>
      <c r="BEY48" s="44"/>
      <c r="BEZ48" s="44"/>
      <c r="BFA48" s="44"/>
      <c r="BFB48" s="44"/>
      <c r="BFC48" s="44"/>
      <c r="BFD48" s="44"/>
      <c r="BFE48" s="44"/>
      <c r="BFF48" s="44"/>
      <c r="BFG48" s="44"/>
      <c r="BFH48" s="44"/>
      <c r="BFI48" s="44"/>
      <c r="BFJ48" s="44"/>
      <c r="BFK48" s="44"/>
      <c r="BFL48" s="44"/>
      <c r="BFM48" s="44"/>
      <c r="BFN48" s="44"/>
      <c r="BFO48" s="44"/>
      <c r="BFP48" s="44"/>
      <c r="BFQ48" s="44"/>
      <c r="BFR48" s="44"/>
      <c r="BFS48" s="44"/>
      <c r="BFT48" s="44"/>
      <c r="BFU48" s="44"/>
      <c r="BFV48" s="44"/>
      <c r="BFW48" s="44"/>
      <c r="BFX48" s="44"/>
      <c r="BFY48" s="44"/>
      <c r="BFZ48" s="44"/>
      <c r="BGA48" s="44"/>
      <c r="BGB48" s="44"/>
      <c r="BGC48" s="44"/>
      <c r="BGD48" s="44"/>
      <c r="BGE48" s="44"/>
      <c r="BGF48" s="44"/>
      <c r="BGG48" s="44"/>
      <c r="BGH48" s="44"/>
      <c r="BGI48" s="44"/>
      <c r="BGJ48" s="44"/>
      <c r="BGK48" s="44"/>
      <c r="BGL48" s="44"/>
      <c r="BGM48" s="44"/>
      <c r="BGN48" s="44"/>
      <c r="BGO48" s="44"/>
      <c r="BGP48" s="44"/>
      <c r="BGQ48" s="44"/>
      <c r="BGR48" s="44"/>
      <c r="BGS48" s="44"/>
      <c r="BGT48" s="44"/>
      <c r="BGU48" s="44"/>
      <c r="BGV48" s="44"/>
      <c r="BGW48" s="44"/>
      <c r="BGX48" s="44"/>
      <c r="BGY48" s="44"/>
      <c r="BGZ48" s="44"/>
      <c r="BHA48" s="44"/>
      <c r="BHB48" s="44"/>
      <c r="BHC48" s="44"/>
      <c r="BHD48" s="44"/>
      <c r="BHE48" s="44"/>
      <c r="BHF48" s="44"/>
      <c r="BHG48" s="44"/>
      <c r="BHH48" s="44"/>
      <c r="BHI48" s="44"/>
      <c r="BHJ48" s="44"/>
      <c r="BHK48" s="44"/>
      <c r="BHL48" s="44"/>
      <c r="BHM48" s="44"/>
      <c r="BHN48" s="44"/>
      <c r="BHO48" s="44"/>
      <c r="BHP48" s="44"/>
      <c r="BHQ48" s="44"/>
      <c r="BHR48" s="44"/>
      <c r="BHS48" s="44"/>
      <c r="BHT48" s="44"/>
      <c r="BHU48" s="44"/>
      <c r="BHV48" s="44"/>
      <c r="BHW48" s="44"/>
      <c r="BHX48" s="44"/>
      <c r="BHY48" s="44"/>
      <c r="BHZ48" s="44"/>
      <c r="BIA48" s="44"/>
      <c r="BIB48" s="44"/>
      <c r="BIC48" s="44"/>
      <c r="BID48" s="44"/>
      <c r="BIE48" s="44"/>
      <c r="BIF48" s="44"/>
      <c r="BIG48" s="44"/>
      <c r="BIH48" s="44"/>
      <c r="BII48" s="44"/>
      <c r="BIJ48" s="44"/>
      <c r="BIK48" s="44"/>
      <c r="BIL48" s="44"/>
      <c r="BIM48" s="44"/>
      <c r="BIN48" s="44"/>
      <c r="BIO48" s="44"/>
      <c r="BIP48" s="44"/>
      <c r="BIQ48" s="44"/>
      <c r="BIR48" s="44"/>
      <c r="BIS48" s="44"/>
      <c r="BIT48" s="44"/>
      <c r="BIU48" s="44"/>
      <c r="BIV48" s="44"/>
      <c r="BIW48" s="44"/>
      <c r="BIX48" s="44"/>
      <c r="BIY48" s="44"/>
      <c r="BIZ48" s="44"/>
      <c r="BJA48" s="44"/>
      <c r="BJB48" s="44"/>
      <c r="BJC48" s="44"/>
      <c r="BJD48" s="44"/>
      <c r="BJE48" s="44"/>
      <c r="BJF48" s="44"/>
      <c r="BJG48" s="44"/>
      <c r="BJH48" s="44"/>
      <c r="BJI48" s="44"/>
      <c r="BJJ48" s="44"/>
      <c r="BJK48" s="44"/>
      <c r="BJL48" s="44"/>
      <c r="BJM48" s="44"/>
      <c r="BJN48" s="44"/>
      <c r="BJO48" s="44"/>
      <c r="BJP48" s="44"/>
      <c r="BJQ48" s="44"/>
      <c r="BJR48" s="44"/>
      <c r="BJS48" s="44"/>
      <c r="BJT48" s="44"/>
      <c r="BJU48" s="44"/>
      <c r="BJV48" s="44"/>
      <c r="BJW48" s="44"/>
      <c r="BJX48" s="44"/>
      <c r="BJY48" s="44"/>
      <c r="BJZ48" s="44"/>
      <c r="BKA48" s="44"/>
      <c r="BKB48" s="44"/>
      <c r="BKC48" s="44"/>
      <c r="BKD48" s="44"/>
      <c r="BKE48" s="44"/>
      <c r="BKF48" s="44"/>
      <c r="BKG48" s="44"/>
      <c r="BKH48" s="44"/>
      <c r="BKI48" s="44"/>
      <c r="BKJ48" s="44"/>
      <c r="BKK48" s="44"/>
      <c r="BKL48" s="44"/>
      <c r="BKM48" s="44"/>
      <c r="BKN48" s="44"/>
      <c r="BKO48" s="44"/>
      <c r="BKP48" s="44"/>
      <c r="BKQ48" s="44"/>
      <c r="BKR48" s="44"/>
      <c r="BKS48" s="44"/>
      <c r="BKT48" s="44"/>
      <c r="BKU48" s="44"/>
      <c r="BKV48" s="44"/>
      <c r="BKW48" s="44"/>
      <c r="BKX48" s="44"/>
      <c r="BKY48" s="44"/>
      <c r="BKZ48" s="44"/>
      <c r="BLA48" s="44"/>
      <c r="BLB48" s="44"/>
      <c r="BLC48" s="44"/>
      <c r="BLD48" s="44"/>
      <c r="BLE48" s="44"/>
      <c r="BLF48" s="44"/>
      <c r="BLG48" s="44"/>
      <c r="BLH48" s="44"/>
      <c r="BLI48" s="44"/>
      <c r="BLJ48" s="44"/>
      <c r="BLK48" s="44"/>
      <c r="BLL48" s="44"/>
      <c r="BLM48" s="44"/>
      <c r="BLN48" s="44"/>
      <c r="BLO48" s="44"/>
      <c r="BLP48" s="44"/>
      <c r="BLQ48" s="44"/>
      <c r="BLR48" s="44"/>
      <c r="BLS48" s="44"/>
      <c r="BLT48" s="44"/>
      <c r="BLU48" s="44"/>
      <c r="BLV48" s="44"/>
      <c r="BLW48" s="44"/>
      <c r="BLX48" s="44"/>
      <c r="BLY48" s="44"/>
      <c r="BLZ48" s="44"/>
      <c r="BMA48" s="44"/>
      <c r="BMB48" s="44"/>
      <c r="BMC48" s="44"/>
      <c r="BMD48" s="44"/>
      <c r="BME48" s="44"/>
      <c r="BMF48" s="44"/>
      <c r="BMG48" s="44"/>
      <c r="BMH48" s="44"/>
      <c r="BMI48" s="44"/>
      <c r="BMJ48" s="44"/>
      <c r="BMK48" s="44"/>
      <c r="BML48" s="44"/>
      <c r="BMM48" s="44"/>
      <c r="BMN48" s="44"/>
      <c r="BMO48" s="44"/>
      <c r="BMP48" s="44"/>
      <c r="BMQ48" s="44"/>
      <c r="BMR48" s="44"/>
      <c r="BMS48" s="44"/>
      <c r="BMT48" s="44"/>
      <c r="BMU48" s="44"/>
      <c r="BMV48" s="44"/>
      <c r="BMW48" s="44"/>
      <c r="BMX48" s="44"/>
      <c r="BMY48" s="44"/>
      <c r="BMZ48" s="44"/>
      <c r="BNA48" s="44"/>
      <c r="BNB48" s="44"/>
      <c r="BNC48" s="44"/>
      <c r="BND48" s="44"/>
      <c r="BNE48" s="44"/>
      <c r="BNF48" s="44"/>
      <c r="BNG48" s="44"/>
      <c r="BNH48" s="44"/>
      <c r="BNI48" s="44"/>
      <c r="BNJ48" s="44"/>
      <c r="BNK48" s="44"/>
      <c r="BNL48" s="44"/>
      <c r="BNM48" s="44"/>
      <c r="BNN48" s="44"/>
      <c r="BNO48" s="44"/>
      <c r="BNP48" s="44"/>
      <c r="BNQ48" s="44"/>
      <c r="BNR48" s="44"/>
      <c r="BNS48" s="44"/>
      <c r="BNT48" s="44"/>
      <c r="BNU48" s="44"/>
      <c r="BNV48" s="44"/>
      <c r="BNW48" s="44"/>
      <c r="BNX48" s="44"/>
      <c r="BNY48" s="44"/>
      <c r="BNZ48" s="44"/>
      <c r="BOA48" s="44"/>
      <c r="BOB48" s="44"/>
      <c r="BOC48" s="44"/>
      <c r="BOD48" s="44"/>
      <c r="BOE48" s="44"/>
      <c r="BOF48" s="44"/>
      <c r="BOG48" s="44"/>
      <c r="BOH48" s="44"/>
      <c r="BOI48" s="44"/>
      <c r="BOJ48" s="44"/>
      <c r="BOK48" s="44"/>
      <c r="BOL48" s="44"/>
      <c r="BOM48" s="44"/>
      <c r="BON48" s="44"/>
      <c r="BOO48" s="44"/>
      <c r="BOP48" s="44"/>
      <c r="BOQ48" s="44"/>
      <c r="BOR48" s="44"/>
      <c r="BOS48" s="44"/>
      <c r="BOT48" s="44"/>
      <c r="BOU48" s="44"/>
      <c r="BOV48" s="44"/>
      <c r="BOW48" s="44"/>
      <c r="BOX48" s="44"/>
      <c r="BOY48" s="44"/>
      <c r="BOZ48" s="44"/>
      <c r="BPA48" s="44"/>
      <c r="BPB48" s="44"/>
      <c r="BPC48" s="44"/>
      <c r="BPD48" s="44"/>
      <c r="BPE48" s="44"/>
      <c r="BPF48" s="44"/>
      <c r="BPG48" s="44"/>
      <c r="BPH48" s="44"/>
      <c r="BPI48" s="44"/>
      <c r="BPJ48" s="44"/>
      <c r="BPK48" s="44"/>
      <c r="BPL48" s="44"/>
      <c r="BPM48" s="44"/>
      <c r="BPN48" s="44"/>
      <c r="BPO48" s="44"/>
      <c r="BPP48" s="44"/>
      <c r="BPQ48" s="44"/>
      <c r="BPR48" s="44"/>
      <c r="BPS48" s="44"/>
      <c r="BPT48" s="44"/>
      <c r="BPU48" s="44"/>
      <c r="BPV48" s="44"/>
      <c r="BPW48" s="44"/>
      <c r="BPX48" s="44"/>
      <c r="BPY48" s="44"/>
      <c r="BPZ48" s="44"/>
      <c r="BQA48" s="44"/>
      <c r="BQB48" s="44"/>
      <c r="BQC48" s="44"/>
      <c r="BQD48" s="44"/>
      <c r="BQE48" s="44"/>
      <c r="BQF48" s="44"/>
      <c r="BQG48" s="44"/>
      <c r="BQH48" s="44"/>
      <c r="BQI48" s="44"/>
      <c r="BQJ48" s="44"/>
      <c r="BQK48" s="44"/>
      <c r="BQL48" s="44"/>
      <c r="BQM48" s="44"/>
      <c r="BQN48" s="44"/>
      <c r="BQO48" s="44"/>
      <c r="BQP48" s="44"/>
      <c r="BQQ48" s="44"/>
      <c r="BQR48" s="44"/>
      <c r="BQS48" s="44"/>
      <c r="BQT48" s="44"/>
      <c r="BQU48" s="44"/>
      <c r="BQV48" s="44"/>
      <c r="BQW48" s="44"/>
      <c r="BQX48" s="44"/>
      <c r="BQY48" s="44"/>
      <c r="BQZ48" s="44"/>
      <c r="BRA48" s="44"/>
      <c r="BRB48" s="44"/>
      <c r="BRC48" s="44"/>
      <c r="BRD48" s="44"/>
      <c r="BRE48" s="44"/>
      <c r="BRF48" s="44"/>
      <c r="BRG48" s="44"/>
      <c r="BRH48" s="44"/>
      <c r="BRI48" s="44"/>
      <c r="BRJ48" s="44"/>
      <c r="BRK48" s="44"/>
      <c r="BRL48" s="44"/>
      <c r="BRM48" s="44"/>
      <c r="BRN48" s="44"/>
      <c r="BRO48" s="44"/>
      <c r="BRP48" s="44"/>
      <c r="BRQ48" s="44"/>
      <c r="BRR48" s="44"/>
      <c r="BRS48" s="44"/>
      <c r="BRT48" s="44"/>
      <c r="BRU48" s="44"/>
      <c r="BRV48" s="44"/>
      <c r="BRW48" s="44"/>
      <c r="BRX48" s="44"/>
      <c r="BRY48" s="44"/>
      <c r="BRZ48" s="44"/>
      <c r="BSA48" s="44"/>
      <c r="BSB48" s="44"/>
      <c r="BSC48" s="44"/>
      <c r="BSD48" s="44"/>
      <c r="BSE48" s="44"/>
      <c r="BSF48" s="44"/>
      <c r="BSG48" s="44"/>
      <c r="BSH48" s="44"/>
      <c r="BSI48" s="44"/>
      <c r="BSJ48" s="44"/>
      <c r="BSK48" s="44"/>
      <c r="BSL48" s="44"/>
      <c r="BSM48" s="44"/>
      <c r="BSN48" s="44"/>
      <c r="BSO48" s="44"/>
      <c r="BSP48" s="44"/>
      <c r="BSQ48" s="44"/>
      <c r="BSR48" s="44"/>
      <c r="BSS48" s="44"/>
      <c r="BST48" s="44"/>
      <c r="BSU48" s="44"/>
      <c r="BSV48" s="44"/>
      <c r="BSW48" s="44"/>
      <c r="BSX48" s="44"/>
      <c r="BSY48" s="44"/>
      <c r="BSZ48" s="44"/>
      <c r="BTA48" s="44"/>
      <c r="BTB48" s="44"/>
      <c r="BTC48" s="44"/>
      <c r="BTD48" s="44"/>
      <c r="BTE48" s="44"/>
      <c r="BTF48" s="44"/>
      <c r="BTG48" s="44"/>
      <c r="BTH48" s="44"/>
      <c r="BTI48" s="44"/>
      <c r="BTJ48" s="44"/>
      <c r="BTK48" s="44"/>
      <c r="BTL48" s="44"/>
      <c r="BTM48" s="44"/>
      <c r="BTN48" s="44"/>
      <c r="BTO48" s="44"/>
      <c r="BTP48" s="44"/>
      <c r="BTQ48" s="44"/>
      <c r="BTR48" s="44"/>
      <c r="BTS48" s="44"/>
      <c r="BTT48" s="44"/>
      <c r="BTU48" s="44"/>
      <c r="BTV48" s="44"/>
      <c r="BTW48" s="44"/>
      <c r="BTX48" s="44"/>
      <c r="BTY48" s="44"/>
      <c r="BTZ48" s="44"/>
      <c r="BUA48" s="44"/>
      <c r="BUB48" s="44"/>
      <c r="BUC48" s="44"/>
      <c r="BUD48" s="44"/>
      <c r="BUE48" s="44"/>
      <c r="BUF48" s="44"/>
      <c r="BUG48" s="44"/>
      <c r="BUH48" s="44"/>
      <c r="BUI48" s="44"/>
      <c r="BUJ48" s="44"/>
      <c r="BUK48" s="44"/>
      <c r="BUL48" s="44"/>
      <c r="BUM48" s="44"/>
      <c r="BUN48" s="44"/>
      <c r="BUO48" s="44"/>
      <c r="BUP48" s="44"/>
      <c r="BUQ48" s="44"/>
      <c r="BUR48" s="44"/>
      <c r="BUS48" s="44"/>
      <c r="BUT48" s="44"/>
      <c r="BUU48" s="44"/>
      <c r="BUV48" s="44"/>
      <c r="BUW48" s="44"/>
      <c r="BUX48" s="44"/>
      <c r="BUY48" s="44"/>
      <c r="BUZ48" s="44"/>
      <c r="BVA48" s="44"/>
      <c r="BVB48" s="44"/>
      <c r="BVC48" s="44"/>
      <c r="BVD48" s="44"/>
      <c r="BVE48" s="44"/>
      <c r="BVF48" s="44"/>
      <c r="BVG48" s="44"/>
      <c r="BVH48" s="44"/>
      <c r="BVI48" s="44"/>
      <c r="BVJ48" s="44"/>
      <c r="BVK48" s="44"/>
      <c r="BVL48" s="44"/>
      <c r="BVM48" s="44"/>
      <c r="BVN48" s="44"/>
      <c r="BVO48" s="44"/>
      <c r="BVP48" s="44"/>
      <c r="BVQ48" s="44"/>
      <c r="BVR48" s="44"/>
      <c r="BVS48" s="44"/>
      <c r="BVT48" s="44"/>
      <c r="BVU48" s="44"/>
      <c r="BVV48" s="44"/>
      <c r="BVW48" s="44"/>
      <c r="BVX48" s="44"/>
      <c r="BVY48" s="44"/>
      <c r="BVZ48" s="44"/>
      <c r="BWA48" s="44"/>
      <c r="BWB48" s="44"/>
      <c r="BWC48" s="44"/>
      <c r="BWD48" s="44"/>
      <c r="BWE48" s="44"/>
      <c r="BWF48" s="44"/>
      <c r="BWG48" s="44"/>
      <c r="BWH48" s="44"/>
      <c r="BWI48" s="44"/>
      <c r="BWJ48" s="44"/>
      <c r="BWK48" s="44"/>
      <c r="BWL48" s="44"/>
      <c r="BWM48" s="44"/>
      <c r="BWN48" s="44"/>
      <c r="BWO48" s="44"/>
      <c r="BWP48" s="44"/>
      <c r="BWQ48" s="44"/>
      <c r="BWR48" s="44"/>
      <c r="BWS48" s="44"/>
      <c r="BWT48" s="44"/>
      <c r="BWU48" s="44"/>
      <c r="BWV48" s="44"/>
      <c r="BWW48" s="44"/>
      <c r="BWX48" s="44"/>
      <c r="BWY48" s="44"/>
      <c r="BWZ48" s="44"/>
      <c r="BXA48" s="44"/>
      <c r="BXB48" s="44"/>
      <c r="BXC48" s="44"/>
      <c r="BXD48" s="44"/>
      <c r="BXE48" s="44"/>
      <c r="BXF48" s="44"/>
      <c r="BXG48" s="44"/>
      <c r="BXH48" s="44"/>
      <c r="BXI48" s="44"/>
      <c r="BXJ48" s="44"/>
      <c r="BXK48" s="44"/>
      <c r="BXL48" s="44"/>
      <c r="BXM48" s="44"/>
      <c r="BXN48" s="44"/>
      <c r="BXO48" s="44"/>
      <c r="BXP48" s="44"/>
      <c r="BXQ48" s="44"/>
      <c r="BXR48" s="44"/>
      <c r="BXS48" s="44"/>
      <c r="BXT48" s="44"/>
      <c r="BXU48" s="44"/>
      <c r="BXV48" s="44"/>
      <c r="BXW48" s="44"/>
      <c r="BXX48" s="44"/>
      <c r="BXY48" s="44"/>
      <c r="BXZ48" s="44"/>
      <c r="BYA48" s="44"/>
      <c r="BYB48" s="44"/>
      <c r="BYC48" s="44"/>
      <c r="BYD48" s="44"/>
      <c r="BYE48" s="44"/>
      <c r="BYF48" s="44"/>
      <c r="BYG48" s="44"/>
      <c r="BYH48" s="44"/>
      <c r="BYI48" s="44"/>
      <c r="BYJ48" s="44"/>
      <c r="BYK48" s="44"/>
      <c r="BYL48" s="44"/>
      <c r="BYM48" s="44"/>
      <c r="BYN48" s="44"/>
      <c r="BYO48" s="44"/>
      <c r="BYP48" s="44"/>
      <c r="BYQ48" s="44"/>
      <c r="BYR48" s="44"/>
      <c r="BYS48" s="44"/>
      <c r="BYT48" s="44"/>
      <c r="BYU48" s="44"/>
      <c r="BYV48" s="44"/>
      <c r="BYW48" s="44"/>
      <c r="BYX48" s="44"/>
      <c r="BYY48" s="44"/>
      <c r="BYZ48" s="44"/>
      <c r="BZA48" s="44"/>
      <c r="BZB48" s="44"/>
      <c r="BZC48" s="44"/>
      <c r="BZD48" s="44"/>
      <c r="BZE48" s="44"/>
      <c r="BZF48" s="44"/>
      <c r="BZG48" s="44"/>
      <c r="BZH48" s="44"/>
      <c r="BZI48" s="44"/>
      <c r="BZJ48" s="44"/>
      <c r="BZK48" s="44"/>
      <c r="BZL48" s="44"/>
      <c r="BZM48" s="44"/>
      <c r="BZN48" s="44"/>
      <c r="BZO48" s="44"/>
      <c r="BZP48" s="44"/>
      <c r="BZQ48" s="44"/>
      <c r="BZR48" s="44"/>
      <c r="BZS48" s="44"/>
      <c r="BZT48" s="44"/>
      <c r="BZU48" s="44"/>
      <c r="BZV48" s="44"/>
      <c r="BZW48" s="44"/>
      <c r="BZX48" s="44"/>
      <c r="BZY48" s="44"/>
      <c r="BZZ48" s="44"/>
      <c r="CAA48" s="44"/>
      <c r="CAB48" s="44"/>
      <c r="CAC48" s="44"/>
      <c r="CAD48" s="44"/>
      <c r="CAE48" s="44"/>
      <c r="CAF48" s="44"/>
      <c r="CAG48" s="44"/>
      <c r="CAH48" s="44"/>
      <c r="CAI48" s="44"/>
      <c r="CAJ48" s="44"/>
      <c r="CAK48" s="44"/>
      <c r="CAL48" s="44"/>
      <c r="CAM48" s="44"/>
      <c r="CAN48" s="44"/>
      <c r="CAO48" s="44"/>
      <c r="CAP48" s="44"/>
      <c r="CAQ48" s="44"/>
      <c r="CAR48" s="44"/>
      <c r="CAS48" s="44"/>
      <c r="CAT48" s="44"/>
      <c r="CAU48" s="44"/>
      <c r="CAV48" s="44"/>
      <c r="CAW48" s="44"/>
      <c r="CAX48" s="44"/>
      <c r="CAY48" s="44"/>
      <c r="CAZ48" s="44"/>
      <c r="CBA48" s="44"/>
      <c r="CBB48" s="44"/>
      <c r="CBC48" s="44"/>
      <c r="CBD48" s="44"/>
      <c r="CBE48" s="44"/>
      <c r="CBF48" s="44"/>
      <c r="CBG48" s="44"/>
      <c r="CBH48" s="44"/>
      <c r="CBI48" s="44"/>
      <c r="CBJ48" s="44"/>
      <c r="CBK48" s="44"/>
      <c r="CBL48" s="44"/>
      <c r="CBM48" s="44"/>
      <c r="CBN48" s="44"/>
      <c r="CBO48" s="44"/>
      <c r="CBP48" s="44"/>
      <c r="CBQ48" s="44"/>
      <c r="CBR48" s="44"/>
      <c r="CBS48" s="44"/>
      <c r="CBT48" s="44"/>
      <c r="CBU48" s="44"/>
      <c r="CBV48" s="44"/>
      <c r="CBW48" s="44"/>
      <c r="CBX48" s="44"/>
      <c r="CBY48" s="44"/>
      <c r="CBZ48" s="44"/>
      <c r="CCA48" s="44"/>
      <c r="CCB48" s="44"/>
      <c r="CCC48" s="44"/>
      <c r="CCD48" s="44"/>
      <c r="CCE48" s="44"/>
      <c r="CCF48" s="44"/>
      <c r="CCG48" s="44"/>
      <c r="CCH48" s="44"/>
      <c r="CCI48" s="44"/>
      <c r="CCJ48" s="44"/>
      <c r="CCK48" s="44"/>
      <c r="CCL48" s="44"/>
      <c r="CCM48" s="44"/>
      <c r="CCN48" s="44"/>
      <c r="CCO48" s="44"/>
      <c r="CCP48" s="44"/>
      <c r="CCQ48" s="44"/>
      <c r="CCR48" s="44"/>
      <c r="CCS48" s="44"/>
      <c r="CCT48" s="44"/>
      <c r="CCU48" s="44"/>
      <c r="CCV48" s="44"/>
      <c r="CCW48" s="44"/>
      <c r="CCX48" s="44"/>
      <c r="CCY48" s="44"/>
      <c r="CCZ48" s="44"/>
      <c r="CDA48" s="44"/>
      <c r="CDB48" s="44"/>
      <c r="CDC48" s="44"/>
      <c r="CDD48" s="44"/>
      <c r="CDE48" s="44"/>
      <c r="CDF48" s="44"/>
      <c r="CDG48" s="44"/>
      <c r="CDH48" s="44"/>
      <c r="CDI48" s="44"/>
      <c r="CDJ48" s="44"/>
      <c r="CDK48" s="44"/>
      <c r="CDL48" s="44"/>
      <c r="CDM48" s="44"/>
      <c r="CDN48" s="44"/>
      <c r="CDO48" s="44"/>
      <c r="CDP48" s="44"/>
      <c r="CDQ48" s="44"/>
      <c r="CDR48" s="44"/>
      <c r="CDS48" s="44"/>
      <c r="CDT48" s="44"/>
      <c r="CDU48" s="44"/>
      <c r="CDV48" s="44"/>
      <c r="CDW48" s="44"/>
      <c r="CDX48" s="44"/>
      <c r="CDY48" s="44"/>
      <c r="CDZ48" s="44"/>
      <c r="CEA48" s="44"/>
      <c r="CEB48" s="44"/>
      <c r="CEC48" s="44"/>
      <c r="CED48" s="44"/>
      <c r="CEE48" s="44"/>
      <c r="CEF48" s="44"/>
      <c r="CEG48" s="44"/>
      <c r="CEH48" s="44"/>
      <c r="CEI48" s="44"/>
      <c r="CEJ48" s="44"/>
      <c r="CEK48" s="44"/>
      <c r="CEL48" s="44"/>
      <c r="CEM48" s="44"/>
      <c r="CEN48" s="44"/>
      <c r="CEO48" s="44"/>
      <c r="CEP48" s="44"/>
      <c r="CEQ48" s="44"/>
      <c r="CER48" s="44"/>
      <c r="CES48" s="44"/>
      <c r="CET48" s="44"/>
      <c r="CEU48" s="44"/>
      <c r="CEV48" s="44"/>
      <c r="CEW48" s="44"/>
      <c r="CEX48" s="44"/>
      <c r="CEY48" s="44"/>
      <c r="CEZ48" s="44"/>
      <c r="CFA48" s="44"/>
      <c r="CFB48" s="44"/>
      <c r="CFC48" s="44"/>
      <c r="CFD48" s="44"/>
      <c r="CFE48" s="44"/>
      <c r="CFF48" s="44"/>
      <c r="CFG48" s="44"/>
      <c r="CFH48" s="44"/>
      <c r="CFI48" s="44"/>
      <c r="CFJ48" s="44"/>
      <c r="CFK48" s="44"/>
      <c r="CFL48" s="44"/>
      <c r="CFM48" s="44"/>
      <c r="CFN48" s="44"/>
      <c r="CFO48" s="44"/>
      <c r="CFP48" s="44"/>
      <c r="CFQ48" s="44"/>
      <c r="CFR48" s="44"/>
      <c r="CFS48" s="44"/>
      <c r="CFT48" s="44"/>
      <c r="CFU48" s="44"/>
      <c r="CFV48" s="44"/>
      <c r="CFW48" s="44"/>
      <c r="CFX48" s="44"/>
      <c r="CFY48" s="44"/>
      <c r="CFZ48" s="44"/>
      <c r="CGA48" s="44"/>
      <c r="CGB48" s="44"/>
      <c r="CGC48" s="44"/>
      <c r="CGD48" s="44"/>
      <c r="CGE48" s="44"/>
      <c r="CGF48" s="44"/>
      <c r="CGG48" s="44"/>
      <c r="CGH48" s="44"/>
      <c r="CGI48" s="44"/>
      <c r="CGJ48" s="44"/>
      <c r="CGK48" s="44"/>
      <c r="CGL48" s="44"/>
      <c r="CGM48" s="44"/>
      <c r="CGN48" s="44"/>
      <c r="CGO48" s="44"/>
      <c r="CGP48" s="44"/>
      <c r="CGQ48" s="44"/>
      <c r="CGR48" s="44"/>
      <c r="CGS48" s="44"/>
      <c r="CGT48" s="44"/>
      <c r="CGU48" s="44"/>
      <c r="CGV48" s="44"/>
      <c r="CGW48" s="44"/>
      <c r="CGX48" s="44"/>
      <c r="CGY48" s="44"/>
      <c r="CGZ48" s="44"/>
      <c r="CHA48" s="44"/>
      <c r="CHB48" s="44"/>
      <c r="CHC48" s="44"/>
      <c r="CHD48" s="44"/>
      <c r="CHE48" s="44"/>
      <c r="CHF48" s="44"/>
      <c r="CHG48" s="44"/>
      <c r="CHH48" s="44"/>
      <c r="CHI48" s="44"/>
      <c r="CHJ48" s="44"/>
      <c r="CHK48" s="44"/>
      <c r="CHL48" s="44"/>
      <c r="CHM48" s="44"/>
      <c r="CHN48" s="44"/>
      <c r="CHO48" s="44"/>
      <c r="CHP48" s="44"/>
      <c r="CHQ48" s="44"/>
      <c r="CHR48" s="44"/>
      <c r="CHS48" s="44"/>
      <c r="CHT48" s="44"/>
      <c r="CHU48" s="44"/>
      <c r="CHV48" s="44"/>
      <c r="CHW48" s="44"/>
      <c r="CHX48" s="44"/>
      <c r="CHY48" s="44"/>
      <c r="CHZ48" s="44"/>
      <c r="CIA48" s="44"/>
      <c r="CIB48" s="44"/>
      <c r="CIC48" s="44"/>
      <c r="CID48" s="44"/>
      <c r="CIE48" s="44"/>
      <c r="CIF48" s="44"/>
      <c r="CIG48" s="44"/>
      <c r="CIH48" s="44"/>
      <c r="CII48" s="44"/>
      <c r="CIJ48" s="44"/>
      <c r="CIK48" s="44"/>
      <c r="CIL48" s="44"/>
      <c r="CIM48" s="44"/>
      <c r="CIN48" s="44"/>
      <c r="CIO48" s="44"/>
      <c r="CIP48" s="44"/>
      <c r="CIQ48" s="44"/>
      <c r="CIR48" s="44"/>
      <c r="CIS48" s="44"/>
      <c r="CIT48" s="44"/>
      <c r="CIU48" s="44"/>
      <c r="CIV48" s="44"/>
      <c r="CIW48" s="44"/>
      <c r="CIX48" s="44"/>
      <c r="CIY48" s="44"/>
      <c r="CIZ48" s="44"/>
      <c r="CJA48" s="44"/>
      <c r="CJB48" s="44"/>
      <c r="CJC48" s="44"/>
      <c r="CJD48" s="44"/>
      <c r="CJE48" s="44"/>
      <c r="CJF48" s="44"/>
      <c r="CJG48" s="44"/>
      <c r="CJH48" s="44"/>
      <c r="CJI48" s="44"/>
      <c r="CJJ48" s="44"/>
      <c r="CJK48" s="44"/>
      <c r="CJL48" s="44"/>
      <c r="CJM48" s="44"/>
      <c r="CJN48" s="44"/>
      <c r="CJO48" s="44"/>
      <c r="CJP48" s="44"/>
      <c r="CJQ48" s="44"/>
      <c r="CJR48" s="44"/>
      <c r="CJS48" s="44"/>
      <c r="CJT48" s="44"/>
      <c r="CJU48" s="44"/>
      <c r="CJV48" s="44"/>
      <c r="CJW48" s="44"/>
      <c r="CJX48" s="44"/>
      <c r="CJY48" s="44"/>
      <c r="CJZ48" s="44"/>
      <c r="CKA48" s="44"/>
      <c r="CKB48" s="44"/>
      <c r="CKC48" s="44"/>
      <c r="CKD48" s="44"/>
      <c r="CKE48" s="44"/>
      <c r="CKF48" s="44"/>
      <c r="CKG48" s="44"/>
      <c r="CKH48" s="44"/>
      <c r="CKI48" s="44"/>
      <c r="CKJ48" s="44"/>
      <c r="CKK48" s="44"/>
      <c r="CKL48" s="44"/>
      <c r="CKM48" s="44"/>
      <c r="CKN48" s="44"/>
      <c r="CKO48" s="44"/>
      <c r="CKP48" s="44"/>
      <c r="CKQ48" s="44"/>
      <c r="CKR48" s="44"/>
      <c r="CKS48" s="44"/>
      <c r="CKT48" s="44"/>
      <c r="CKU48" s="44"/>
      <c r="CKV48" s="44"/>
      <c r="CKW48" s="44"/>
      <c r="CKX48" s="44"/>
      <c r="CKY48" s="44"/>
      <c r="CKZ48" s="44"/>
      <c r="CLA48" s="44"/>
      <c r="CLB48" s="44"/>
      <c r="CLC48" s="44"/>
      <c r="CLD48" s="44"/>
      <c r="CLE48" s="44"/>
      <c r="CLF48" s="44"/>
      <c r="CLG48" s="44"/>
      <c r="CLH48" s="44"/>
      <c r="CLI48" s="44"/>
      <c r="CLJ48" s="44"/>
      <c r="CLK48" s="44"/>
      <c r="CLL48" s="44"/>
      <c r="CLM48" s="44"/>
      <c r="CLN48" s="44"/>
      <c r="CLO48" s="44"/>
      <c r="CLP48" s="44"/>
      <c r="CLQ48" s="44"/>
      <c r="CLR48" s="44"/>
      <c r="CLS48" s="44"/>
      <c r="CLT48" s="44"/>
      <c r="CLU48" s="44"/>
      <c r="CLV48" s="44"/>
      <c r="CLW48" s="44"/>
      <c r="CLX48" s="44"/>
      <c r="CLY48" s="44"/>
      <c r="CLZ48" s="44"/>
      <c r="CMA48" s="44"/>
      <c r="CMB48" s="44"/>
      <c r="CMC48" s="44"/>
      <c r="CMD48" s="44"/>
      <c r="CME48" s="44"/>
      <c r="CMF48" s="44"/>
      <c r="CMG48" s="44"/>
      <c r="CMH48" s="44"/>
      <c r="CMI48" s="44"/>
      <c r="CMJ48" s="44"/>
      <c r="CMK48" s="44"/>
      <c r="CML48" s="44"/>
      <c r="CMM48" s="44"/>
      <c r="CMN48" s="44"/>
      <c r="CMO48" s="44"/>
      <c r="CMP48" s="44"/>
      <c r="CMQ48" s="44"/>
      <c r="CMR48" s="44"/>
      <c r="CMS48" s="44"/>
      <c r="CMT48" s="44"/>
      <c r="CMU48" s="44"/>
      <c r="CMV48" s="44"/>
      <c r="CMW48" s="44"/>
      <c r="CMX48" s="44"/>
      <c r="CMY48" s="44"/>
      <c r="CMZ48" s="44"/>
      <c r="CNA48" s="44"/>
      <c r="CNB48" s="44"/>
      <c r="CNC48" s="44"/>
      <c r="CND48" s="44"/>
      <c r="CNE48" s="44"/>
      <c r="CNF48" s="44"/>
      <c r="CNG48" s="44"/>
      <c r="CNH48" s="44"/>
      <c r="CNI48" s="44"/>
      <c r="CNJ48" s="44"/>
      <c r="CNK48" s="44"/>
      <c r="CNL48" s="44"/>
      <c r="CNM48" s="44"/>
      <c r="CNN48" s="44"/>
      <c r="CNO48" s="44"/>
      <c r="CNP48" s="44"/>
      <c r="CNQ48" s="44"/>
      <c r="CNR48" s="44"/>
      <c r="CNS48" s="44"/>
      <c r="CNT48" s="44"/>
      <c r="CNU48" s="44"/>
      <c r="CNV48" s="44"/>
      <c r="CNW48" s="44"/>
      <c r="CNX48" s="44"/>
      <c r="CNY48" s="44"/>
      <c r="CNZ48" s="44"/>
      <c r="COA48" s="44"/>
      <c r="COB48" s="44"/>
      <c r="COC48" s="44"/>
      <c r="COD48" s="44"/>
      <c r="COE48" s="44"/>
      <c r="COF48" s="44"/>
      <c r="COG48" s="44"/>
      <c r="COH48" s="44"/>
      <c r="COI48" s="44"/>
      <c r="COJ48" s="44"/>
      <c r="COK48" s="44"/>
      <c r="COL48" s="44"/>
      <c r="COM48" s="44"/>
      <c r="CON48" s="44"/>
      <c r="COO48" s="44"/>
      <c r="COP48" s="44"/>
      <c r="COQ48" s="44"/>
      <c r="COR48" s="44"/>
      <c r="COS48" s="44"/>
      <c r="COT48" s="44"/>
      <c r="COU48" s="44"/>
      <c r="COV48" s="44"/>
      <c r="COW48" s="44"/>
      <c r="COX48" s="44"/>
      <c r="COY48" s="44"/>
      <c r="COZ48" s="44"/>
      <c r="CPA48" s="44"/>
      <c r="CPB48" s="44"/>
      <c r="CPC48" s="44"/>
      <c r="CPD48" s="44"/>
      <c r="CPE48" s="44"/>
      <c r="CPF48" s="44"/>
      <c r="CPG48" s="44"/>
      <c r="CPH48" s="44"/>
      <c r="CPI48" s="44"/>
      <c r="CPJ48" s="44"/>
      <c r="CPK48" s="44"/>
      <c r="CPL48" s="44"/>
      <c r="CPM48" s="44"/>
      <c r="CPN48" s="44"/>
      <c r="CPO48" s="44"/>
      <c r="CPP48" s="44"/>
      <c r="CPQ48" s="44"/>
      <c r="CPR48" s="44"/>
      <c r="CPS48" s="44"/>
      <c r="CPT48" s="44"/>
      <c r="CPU48" s="44"/>
      <c r="CPV48" s="44"/>
      <c r="CPW48" s="44"/>
      <c r="CPX48" s="44"/>
      <c r="CPY48" s="44"/>
      <c r="CPZ48" s="44"/>
      <c r="CQA48" s="44"/>
      <c r="CQB48" s="44"/>
      <c r="CQC48" s="44"/>
      <c r="CQD48" s="44"/>
      <c r="CQE48" s="44"/>
      <c r="CQF48" s="44"/>
      <c r="CQG48" s="44"/>
      <c r="CQH48" s="44"/>
      <c r="CQI48" s="44"/>
      <c r="CQJ48" s="44"/>
      <c r="CQK48" s="44"/>
      <c r="CQL48" s="44"/>
      <c r="CQM48" s="44"/>
      <c r="CQN48" s="44"/>
      <c r="CQO48" s="44"/>
      <c r="CQP48" s="44"/>
      <c r="CQQ48" s="44"/>
      <c r="CQR48" s="44"/>
      <c r="CQS48" s="44"/>
      <c r="CQT48" s="44"/>
      <c r="CQU48" s="44"/>
      <c r="CQV48" s="44"/>
      <c r="CQW48" s="44"/>
      <c r="CQX48" s="44"/>
      <c r="CQY48" s="44"/>
      <c r="CQZ48" s="44"/>
      <c r="CRA48" s="44"/>
      <c r="CRB48" s="44"/>
      <c r="CRC48" s="44"/>
      <c r="CRD48" s="44"/>
      <c r="CRE48" s="44"/>
      <c r="CRF48" s="44"/>
      <c r="CRG48" s="44"/>
      <c r="CRH48" s="44"/>
      <c r="CRI48" s="44"/>
      <c r="CRJ48" s="44"/>
      <c r="CRK48" s="44"/>
      <c r="CRL48" s="44"/>
      <c r="CRM48" s="44"/>
      <c r="CRN48" s="44"/>
      <c r="CRO48" s="44"/>
      <c r="CRP48" s="44"/>
      <c r="CRQ48" s="44"/>
      <c r="CRR48" s="44"/>
      <c r="CRS48" s="44"/>
      <c r="CRT48" s="44"/>
      <c r="CRU48" s="44"/>
      <c r="CRV48" s="44"/>
      <c r="CRW48" s="44"/>
      <c r="CRX48" s="44"/>
      <c r="CRY48" s="44"/>
      <c r="CRZ48" s="44"/>
      <c r="CSA48" s="44"/>
      <c r="CSB48" s="44"/>
      <c r="CSC48" s="44"/>
      <c r="CSD48" s="44"/>
      <c r="CSE48" s="44"/>
      <c r="CSF48" s="44"/>
      <c r="CSG48" s="44"/>
      <c r="CSH48" s="44"/>
      <c r="CSI48" s="44"/>
      <c r="CSJ48" s="44"/>
      <c r="CSK48" s="44"/>
      <c r="CSL48" s="44"/>
      <c r="CSM48" s="44"/>
      <c r="CSN48" s="44"/>
      <c r="CSO48" s="44"/>
      <c r="CSP48" s="44"/>
      <c r="CSQ48" s="44"/>
      <c r="CSR48" s="44"/>
      <c r="CSS48" s="44"/>
      <c r="CST48" s="44"/>
      <c r="CSU48" s="44"/>
      <c r="CSV48" s="44"/>
      <c r="CSW48" s="44"/>
      <c r="CSX48" s="44"/>
      <c r="CSY48" s="44"/>
      <c r="CSZ48" s="44"/>
      <c r="CTA48" s="44"/>
      <c r="CTB48" s="44"/>
      <c r="CTC48" s="44"/>
      <c r="CTD48" s="44"/>
      <c r="CTE48" s="44"/>
      <c r="CTF48" s="44"/>
      <c r="CTG48" s="44"/>
      <c r="CTH48" s="44"/>
      <c r="CTI48" s="44"/>
      <c r="CTJ48" s="44"/>
      <c r="CTK48" s="44"/>
      <c r="CTL48" s="44"/>
      <c r="CTM48" s="44"/>
      <c r="CTN48" s="44"/>
      <c r="CTO48" s="44"/>
      <c r="CTP48" s="44"/>
      <c r="CTQ48" s="44"/>
      <c r="CTR48" s="44"/>
      <c r="CTS48" s="44"/>
      <c r="CTT48" s="44"/>
      <c r="CTU48" s="44"/>
      <c r="CTV48" s="44"/>
      <c r="CTW48" s="44"/>
      <c r="CTX48" s="44"/>
      <c r="CTY48" s="44"/>
      <c r="CTZ48" s="44"/>
      <c r="CUA48" s="44"/>
      <c r="CUB48" s="44"/>
      <c r="CUC48" s="44"/>
      <c r="CUD48" s="44"/>
      <c r="CUE48" s="44"/>
      <c r="CUF48" s="44"/>
      <c r="CUG48" s="44"/>
      <c r="CUH48" s="44"/>
      <c r="CUI48" s="44"/>
      <c r="CUJ48" s="44"/>
      <c r="CUK48" s="44"/>
      <c r="CUL48" s="44"/>
      <c r="CUM48" s="44"/>
      <c r="CUN48" s="44"/>
      <c r="CUO48" s="44"/>
      <c r="CUP48" s="44"/>
      <c r="CUQ48" s="44"/>
      <c r="CUR48" s="44"/>
      <c r="CUS48" s="44"/>
      <c r="CUT48" s="44"/>
      <c r="CUU48" s="44"/>
      <c r="CUV48" s="44"/>
      <c r="CUW48" s="44"/>
      <c r="CUX48" s="44"/>
      <c r="CUY48" s="44"/>
      <c r="CUZ48" s="44"/>
      <c r="CVA48" s="44"/>
      <c r="CVB48" s="44"/>
      <c r="CVC48" s="44"/>
      <c r="CVD48" s="44"/>
      <c r="CVE48" s="44"/>
      <c r="CVF48" s="44"/>
      <c r="CVG48" s="44"/>
      <c r="CVH48" s="44"/>
      <c r="CVI48" s="44"/>
      <c r="CVJ48" s="44"/>
      <c r="CVK48" s="44"/>
      <c r="CVL48" s="44"/>
      <c r="CVM48" s="44"/>
      <c r="CVN48" s="44"/>
      <c r="CVO48" s="44"/>
      <c r="CVP48" s="44"/>
      <c r="CVQ48" s="44"/>
      <c r="CVR48" s="44"/>
      <c r="CVS48" s="44"/>
      <c r="CVT48" s="44"/>
      <c r="CVU48" s="44"/>
      <c r="CVV48" s="44"/>
      <c r="CVW48" s="44"/>
      <c r="CVX48" s="44"/>
      <c r="CVY48" s="44"/>
      <c r="CVZ48" s="44"/>
      <c r="CWA48" s="44"/>
      <c r="CWB48" s="44"/>
      <c r="CWC48" s="44"/>
      <c r="CWD48" s="44"/>
      <c r="CWE48" s="44"/>
      <c r="CWF48" s="44"/>
      <c r="CWG48" s="44"/>
      <c r="CWH48" s="44"/>
      <c r="CWI48" s="44"/>
      <c r="CWJ48" s="44"/>
      <c r="CWK48" s="44"/>
      <c r="CWL48" s="44"/>
      <c r="CWM48" s="44"/>
      <c r="CWN48" s="44"/>
      <c r="CWO48" s="44"/>
      <c r="CWP48" s="44"/>
      <c r="CWQ48" s="44"/>
      <c r="CWR48" s="44"/>
      <c r="CWS48" s="44"/>
      <c r="CWT48" s="44"/>
      <c r="CWU48" s="44"/>
      <c r="CWV48" s="44"/>
      <c r="CWW48" s="44"/>
      <c r="CWX48" s="44"/>
      <c r="CWY48" s="44"/>
      <c r="CWZ48" s="44"/>
      <c r="CXA48" s="44"/>
      <c r="CXB48" s="44"/>
      <c r="CXC48" s="44"/>
      <c r="CXD48" s="44"/>
      <c r="CXE48" s="44"/>
      <c r="CXF48" s="44"/>
      <c r="CXG48" s="44"/>
      <c r="CXH48" s="44"/>
      <c r="CXI48" s="44"/>
      <c r="CXJ48" s="44"/>
      <c r="CXK48" s="44"/>
      <c r="CXL48" s="44"/>
      <c r="CXM48" s="44"/>
      <c r="CXN48" s="44"/>
      <c r="CXO48" s="44"/>
      <c r="CXP48" s="44"/>
      <c r="CXQ48" s="44"/>
      <c r="CXR48" s="44"/>
      <c r="CXS48" s="44"/>
      <c r="CXT48" s="44"/>
      <c r="CXU48" s="44"/>
      <c r="CXV48" s="44"/>
      <c r="CXW48" s="44"/>
      <c r="CXX48" s="44"/>
      <c r="CXY48" s="44"/>
      <c r="CXZ48" s="44"/>
      <c r="CYA48" s="44"/>
      <c r="CYB48" s="44"/>
      <c r="CYC48" s="44"/>
      <c r="CYD48" s="44"/>
      <c r="CYE48" s="44"/>
      <c r="CYF48" s="44"/>
      <c r="CYG48" s="44"/>
      <c r="CYH48" s="44"/>
      <c r="CYI48" s="44"/>
      <c r="CYJ48" s="44"/>
      <c r="CYK48" s="44"/>
      <c r="CYL48" s="44"/>
      <c r="CYM48" s="44"/>
      <c r="CYN48" s="44"/>
      <c r="CYO48" s="44"/>
      <c r="CYP48" s="44"/>
      <c r="CYQ48" s="44"/>
      <c r="CYR48" s="44"/>
      <c r="CYS48" s="44"/>
      <c r="CYT48" s="44"/>
      <c r="CYU48" s="44"/>
      <c r="CYV48" s="44"/>
      <c r="CYW48" s="44"/>
      <c r="CYX48" s="44"/>
      <c r="CYY48" s="44"/>
      <c r="CYZ48" s="44"/>
      <c r="CZA48" s="44"/>
      <c r="CZB48" s="44"/>
      <c r="CZC48" s="44"/>
      <c r="CZD48" s="44"/>
      <c r="CZE48" s="44"/>
      <c r="CZF48" s="44"/>
      <c r="CZG48" s="44"/>
      <c r="CZH48" s="44"/>
      <c r="CZI48" s="44"/>
      <c r="CZJ48" s="44"/>
      <c r="CZK48" s="44"/>
      <c r="CZL48" s="44"/>
      <c r="CZM48" s="44"/>
      <c r="CZN48" s="44"/>
      <c r="CZO48" s="44"/>
      <c r="CZP48" s="44"/>
      <c r="CZQ48" s="44"/>
      <c r="CZR48" s="44"/>
      <c r="CZS48" s="44"/>
      <c r="CZT48" s="44"/>
      <c r="CZU48" s="44"/>
      <c r="CZV48" s="44"/>
      <c r="CZW48" s="44"/>
      <c r="CZX48" s="44"/>
      <c r="CZY48" s="44"/>
      <c r="CZZ48" s="44"/>
      <c r="DAA48" s="44"/>
      <c r="DAB48" s="44"/>
      <c r="DAC48" s="44"/>
      <c r="DAD48" s="44"/>
      <c r="DAE48" s="44"/>
      <c r="DAF48" s="44"/>
      <c r="DAG48" s="44"/>
      <c r="DAH48" s="44"/>
      <c r="DAI48" s="44"/>
      <c r="DAJ48" s="44"/>
      <c r="DAK48" s="44"/>
      <c r="DAL48" s="44"/>
      <c r="DAM48" s="44"/>
      <c r="DAN48" s="44"/>
      <c r="DAO48" s="44"/>
      <c r="DAP48" s="44"/>
      <c r="DAQ48" s="44"/>
      <c r="DAR48" s="44"/>
      <c r="DAS48" s="44"/>
      <c r="DAT48" s="44"/>
      <c r="DAU48" s="44"/>
      <c r="DAV48" s="44"/>
      <c r="DAW48" s="44"/>
      <c r="DAX48" s="44"/>
      <c r="DAY48" s="44"/>
      <c r="DAZ48" s="44"/>
      <c r="DBA48" s="44"/>
      <c r="DBB48" s="44"/>
      <c r="DBC48" s="44"/>
      <c r="DBD48" s="44"/>
      <c r="DBE48" s="44"/>
      <c r="DBF48" s="44"/>
      <c r="DBG48" s="44"/>
      <c r="DBH48" s="44"/>
      <c r="DBI48" s="44"/>
      <c r="DBJ48" s="44"/>
      <c r="DBK48" s="44"/>
      <c r="DBL48" s="44"/>
      <c r="DBM48" s="44"/>
      <c r="DBN48" s="44"/>
      <c r="DBO48" s="44"/>
      <c r="DBP48" s="44"/>
      <c r="DBQ48" s="44"/>
      <c r="DBR48" s="44"/>
      <c r="DBS48" s="44"/>
      <c r="DBT48" s="44"/>
      <c r="DBU48" s="44"/>
      <c r="DBV48" s="44"/>
      <c r="DBW48" s="44"/>
      <c r="DBX48" s="44"/>
      <c r="DBY48" s="44"/>
      <c r="DBZ48" s="44"/>
      <c r="DCA48" s="44"/>
      <c r="DCB48" s="44"/>
      <c r="DCC48" s="44"/>
      <c r="DCD48" s="44"/>
      <c r="DCE48" s="44"/>
      <c r="DCF48" s="44"/>
      <c r="DCG48" s="44"/>
      <c r="DCH48" s="44"/>
      <c r="DCI48" s="44"/>
      <c r="DCJ48" s="44"/>
      <c r="DCK48" s="44"/>
      <c r="DCL48" s="44"/>
      <c r="DCM48" s="44"/>
      <c r="DCN48" s="44"/>
      <c r="DCO48" s="44"/>
      <c r="DCP48" s="44"/>
      <c r="DCQ48" s="44"/>
      <c r="DCR48" s="44"/>
      <c r="DCS48" s="44"/>
      <c r="DCT48" s="44"/>
      <c r="DCU48" s="44"/>
      <c r="DCV48" s="44"/>
      <c r="DCW48" s="44"/>
      <c r="DCX48" s="44"/>
      <c r="DCY48" s="44"/>
      <c r="DCZ48" s="44"/>
      <c r="DDA48" s="44"/>
      <c r="DDB48" s="44"/>
      <c r="DDC48" s="44"/>
      <c r="DDD48" s="44"/>
      <c r="DDE48" s="44"/>
      <c r="DDF48" s="44"/>
      <c r="DDG48" s="44"/>
      <c r="DDH48" s="44"/>
      <c r="DDI48" s="44"/>
      <c r="DDJ48" s="44"/>
      <c r="DDK48" s="44"/>
      <c r="DDL48" s="44"/>
      <c r="DDM48" s="44"/>
      <c r="DDN48" s="44"/>
      <c r="DDO48" s="44"/>
      <c r="DDP48" s="44"/>
      <c r="DDQ48" s="44"/>
      <c r="DDR48" s="44"/>
      <c r="DDS48" s="44"/>
      <c r="DDT48" s="44"/>
      <c r="DDU48" s="44"/>
      <c r="DDV48" s="44"/>
      <c r="DDW48" s="44"/>
      <c r="DDX48" s="44"/>
      <c r="DDY48" s="44"/>
      <c r="DDZ48" s="44"/>
      <c r="DEA48" s="44"/>
      <c r="DEB48" s="44"/>
      <c r="DEC48" s="44"/>
      <c r="DED48" s="44"/>
      <c r="DEE48" s="44"/>
      <c r="DEF48" s="44"/>
      <c r="DEG48" s="44"/>
      <c r="DEH48" s="44"/>
      <c r="DEI48" s="44"/>
      <c r="DEJ48" s="44"/>
      <c r="DEK48" s="44"/>
      <c r="DEL48" s="44"/>
      <c r="DEM48" s="44"/>
      <c r="DEN48" s="44"/>
      <c r="DEO48" s="44"/>
      <c r="DEP48" s="44"/>
      <c r="DEQ48" s="44"/>
      <c r="DER48" s="44"/>
      <c r="DES48" s="44"/>
      <c r="DET48" s="44"/>
      <c r="DEU48" s="44"/>
      <c r="DEV48" s="44"/>
      <c r="DEW48" s="44"/>
      <c r="DEX48" s="44"/>
      <c r="DEY48" s="44"/>
      <c r="DEZ48" s="44"/>
      <c r="DFA48" s="44"/>
      <c r="DFB48" s="44"/>
      <c r="DFC48" s="44"/>
      <c r="DFD48" s="44"/>
      <c r="DFE48" s="44"/>
      <c r="DFF48" s="44"/>
      <c r="DFG48" s="44"/>
      <c r="DFH48" s="44"/>
      <c r="DFI48" s="44"/>
      <c r="DFJ48" s="44"/>
      <c r="DFK48" s="44"/>
      <c r="DFL48" s="44"/>
      <c r="DFM48" s="44"/>
      <c r="DFN48" s="44"/>
      <c r="DFO48" s="44"/>
      <c r="DFP48" s="44"/>
      <c r="DFQ48" s="44"/>
      <c r="DFR48" s="44"/>
      <c r="DFS48" s="44"/>
      <c r="DFT48" s="44"/>
      <c r="DFU48" s="44"/>
      <c r="DFV48" s="44"/>
      <c r="DFW48" s="44"/>
      <c r="DFX48" s="44"/>
      <c r="DFY48" s="44"/>
      <c r="DFZ48" s="44"/>
      <c r="DGA48" s="44"/>
      <c r="DGB48" s="44"/>
      <c r="DGC48" s="44"/>
      <c r="DGD48" s="44"/>
      <c r="DGE48" s="44"/>
      <c r="DGF48" s="44"/>
      <c r="DGG48" s="44"/>
      <c r="DGH48" s="44"/>
      <c r="DGI48" s="44"/>
      <c r="DGJ48" s="44"/>
      <c r="DGK48" s="44"/>
      <c r="DGL48" s="44"/>
      <c r="DGM48" s="44"/>
      <c r="DGN48" s="44"/>
      <c r="DGO48" s="44"/>
      <c r="DGP48" s="44"/>
      <c r="DGQ48" s="44"/>
      <c r="DGR48" s="44"/>
      <c r="DGS48" s="44"/>
      <c r="DGT48" s="44"/>
      <c r="DGU48" s="44"/>
      <c r="DGV48" s="44"/>
      <c r="DGW48" s="44"/>
      <c r="DGX48" s="44"/>
      <c r="DGY48" s="44"/>
      <c r="DGZ48" s="44"/>
      <c r="DHA48" s="44"/>
      <c r="DHB48" s="44"/>
      <c r="DHC48" s="44"/>
      <c r="DHD48" s="44"/>
      <c r="DHE48" s="44"/>
      <c r="DHF48" s="44"/>
      <c r="DHG48" s="44"/>
      <c r="DHH48" s="44"/>
      <c r="DHI48" s="44"/>
      <c r="DHJ48" s="44"/>
      <c r="DHK48" s="44"/>
      <c r="DHL48" s="44"/>
      <c r="DHM48" s="44"/>
      <c r="DHN48" s="44"/>
      <c r="DHO48" s="44"/>
      <c r="DHP48" s="44"/>
      <c r="DHQ48" s="44"/>
      <c r="DHR48" s="44"/>
      <c r="DHS48" s="44"/>
      <c r="DHT48" s="44"/>
      <c r="DHU48" s="44"/>
      <c r="DHV48" s="44"/>
      <c r="DHW48" s="44"/>
      <c r="DHX48" s="44"/>
      <c r="DHY48" s="44"/>
      <c r="DHZ48" s="44"/>
      <c r="DIA48" s="44"/>
      <c r="DIB48" s="44"/>
      <c r="DIC48" s="44"/>
      <c r="DID48" s="44"/>
      <c r="DIE48" s="44"/>
      <c r="DIF48" s="44"/>
      <c r="DIG48" s="44"/>
      <c r="DIH48" s="44"/>
      <c r="DII48" s="44"/>
      <c r="DIJ48" s="44"/>
      <c r="DIK48" s="44"/>
      <c r="DIL48" s="44"/>
      <c r="DIM48" s="44"/>
      <c r="DIN48" s="44"/>
      <c r="DIO48" s="44"/>
      <c r="DIP48" s="44"/>
      <c r="DIQ48" s="44"/>
      <c r="DIR48" s="44"/>
      <c r="DIS48" s="44"/>
      <c r="DIT48" s="44"/>
      <c r="DIU48" s="44"/>
      <c r="DIV48" s="44"/>
      <c r="DIW48" s="44"/>
      <c r="DIX48" s="44"/>
      <c r="DIY48" s="44"/>
      <c r="DIZ48" s="44"/>
      <c r="DJA48" s="44"/>
      <c r="DJB48" s="44"/>
      <c r="DJC48" s="44"/>
      <c r="DJD48" s="44"/>
      <c r="DJE48" s="44"/>
      <c r="DJF48" s="44"/>
      <c r="DJG48" s="44"/>
      <c r="DJH48" s="44"/>
      <c r="DJI48" s="44"/>
      <c r="DJJ48" s="44"/>
      <c r="DJK48" s="44"/>
      <c r="DJL48" s="44"/>
      <c r="DJM48" s="44"/>
      <c r="DJN48" s="44"/>
      <c r="DJO48" s="44"/>
      <c r="DJP48" s="44"/>
      <c r="DJQ48" s="44"/>
      <c r="DJR48" s="44"/>
      <c r="DJS48" s="44"/>
      <c r="DJT48" s="44"/>
      <c r="DJU48" s="44"/>
      <c r="DJV48" s="44"/>
      <c r="DJW48" s="44"/>
      <c r="DJX48" s="44"/>
      <c r="DJY48" s="44"/>
      <c r="DJZ48" s="44"/>
      <c r="DKA48" s="44"/>
      <c r="DKB48" s="44"/>
      <c r="DKC48" s="44"/>
      <c r="DKD48" s="44"/>
      <c r="DKE48" s="44"/>
      <c r="DKF48" s="44"/>
      <c r="DKG48" s="44"/>
      <c r="DKH48" s="44"/>
      <c r="DKI48" s="44"/>
      <c r="DKJ48" s="44"/>
      <c r="DKK48" s="44"/>
      <c r="DKL48" s="44"/>
      <c r="DKM48" s="44"/>
      <c r="DKN48" s="44"/>
      <c r="DKO48" s="44"/>
      <c r="DKP48" s="44"/>
      <c r="DKQ48" s="44"/>
      <c r="DKR48" s="44"/>
      <c r="DKS48" s="44"/>
      <c r="DKT48" s="44"/>
      <c r="DKU48" s="44"/>
      <c r="DKV48" s="44"/>
      <c r="DKW48" s="44"/>
      <c r="DKX48" s="44"/>
      <c r="DKY48" s="44"/>
      <c r="DKZ48" s="44"/>
      <c r="DLA48" s="44"/>
      <c r="DLB48" s="44"/>
      <c r="DLC48" s="44"/>
      <c r="DLD48" s="44"/>
      <c r="DLE48" s="44"/>
      <c r="DLF48" s="44"/>
      <c r="DLG48" s="44"/>
      <c r="DLH48" s="44"/>
      <c r="DLI48" s="44"/>
      <c r="DLJ48" s="44"/>
      <c r="DLK48" s="44"/>
      <c r="DLL48" s="44"/>
      <c r="DLM48" s="44"/>
      <c r="DLN48" s="44"/>
      <c r="DLO48" s="44"/>
      <c r="DLP48" s="44"/>
      <c r="DLQ48" s="44"/>
      <c r="DLR48" s="44"/>
      <c r="DLS48" s="44"/>
      <c r="DLT48" s="44"/>
      <c r="DLU48" s="44"/>
      <c r="DLV48" s="44"/>
      <c r="DLW48" s="44"/>
      <c r="DLX48" s="44"/>
      <c r="DLY48" s="44"/>
      <c r="DLZ48" s="44"/>
      <c r="DMA48" s="44"/>
      <c r="DMB48" s="44"/>
      <c r="DMC48" s="44"/>
      <c r="DMD48" s="44"/>
      <c r="DME48" s="44"/>
      <c r="DMF48" s="44"/>
      <c r="DMG48" s="44"/>
      <c r="DMH48" s="44"/>
      <c r="DMI48" s="44"/>
      <c r="DMJ48" s="44"/>
      <c r="DMK48" s="44"/>
      <c r="DML48" s="44"/>
      <c r="DMM48" s="44"/>
      <c r="DMN48" s="44"/>
      <c r="DMO48" s="44"/>
      <c r="DMP48" s="44"/>
      <c r="DMQ48" s="44"/>
      <c r="DMR48" s="44"/>
      <c r="DMS48" s="44"/>
      <c r="DMT48" s="44"/>
      <c r="DMU48" s="44"/>
      <c r="DMV48" s="44"/>
      <c r="DMW48" s="44"/>
      <c r="DMX48" s="44"/>
      <c r="DMY48" s="44"/>
      <c r="DMZ48" s="44"/>
      <c r="DNA48" s="44"/>
      <c r="DNB48" s="44"/>
      <c r="DNC48" s="44"/>
      <c r="DND48" s="44"/>
      <c r="DNE48" s="44"/>
      <c r="DNF48" s="44"/>
      <c r="DNG48" s="44"/>
      <c r="DNH48" s="44"/>
      <c r="DNI48" s="44"/>
      <c r="DNJ48" s="44"/>
      <c r="DNK48" s="44"/>
      <c r="DNL48" s="44"/>
      <c r="DNM48" s="44"/>
      <c r="DNN48" s="44"/>
      <c r="DNO48" s="44"/>
      <c r="DNP48" s="44"/>
      <c r="DNQ48" s="44"/>
      <c r="DNR48" s="44"/>
      <c r="DNS48" s="44"/>
      <c r="DNT48" s="44"/>
      <c r="DNU48" s="44"/>
      <c r="DNV48" s="44"/>
      <c r="DNW48" s="44"/>
      <c r="DNX48" s="44"/>
      <c r="DNY48" s="44"/>
      <c r="DNZ48" s="44"/>
      <c r="DOA48" s="44"/>
      <c r="DOB48" s="44"/>
      <c r="DOC48" s="44"/>
      <c r="DOD48" s="44"/>
      <c r="DOE48" s="44"/>
      <c r="DOF48" s="44"/>
      <c r="DOG48" s="44"/>
      <c r="DOH48" s="44"/>
      <c r="DOI48" s="44"/>
      <c r="DOJ48" s="44"/>
      <c r="DOK48" s="44"/>
      <c r="DOL48" s="44"/>
      <c r="DOM48" s="44"/>
      <c r="DON48" s="44"/>
      <c r="DOO48" s="44"/>
      <c r="DOP48" s="44"/>
      <c r="DOQ48" s="44"/>
      <c r="DOR48" s="44"/>
      <c r="DOS48" s="44"/>
      <c r="DOT48" s="44"/>
      <c r="DOU48" s="44"/>
      <c r="DOV48" s="44"/>
      <c r="DOW48" s="44"/>
      <c r="DOX48" s="44"/>
      <c r="DOY48" s="44"/>
      <c r="DOZ48" s="44"/>
      <c r="DPA48" s="44"/>
      <c r="DPB48" s="44"/>
      <c r="DPC48" s="44"/>
      <c r="DPD48" s="44"/>
      <c r="DPE48" s="44"/>
      <c r="DPF48" s="44"/>
      <c r="DPG48" s="44"/>
      <c r="DPH48" s="44"/>
      <c r="DPI48" s="44"/>
      <c r="DPJ48" s="44"/>
      <c r="DPK48" s="44"/>
      <c r="DPL48" s="44"/>
      <c r="DPM48" s="44"/>
      <c r="DPN48" s="44"/>
      <c r="DPO48" s="44"/>
      <c r="DPP48" s="44"/>
      <c r="DPQ48" s="44"/>
      <c r="DPR48" s="44"/>
      <c r="DPS48" s="44"/>
      <c r="DPT48" s="44"/>
      <c r="DPU48" s="44"/>
      <c r="DPV48" s="44"/>
      <c r="DPW48" s="44"/>
      <c r="DPX48" s="44"/>
      <c r="DPY48" s="44"/>
      <c r="DPZ48" s="44"/>
      <c r="DQA48" s="44"/>
      <c r="DQB48" s="44"/>
      <c r="DQC48" s="44"/>
      <c r="DQD48" s="44"/>
      <c r="DQE48" s="44"/>
      <c r="DQF48" s="44"/>
      <c r="DQG48" s="44"/>
      <c r="DQH48" s="44"/>
      <c r="DQI48" s="44"/>
      <c r="DQJ48" s="44"/>
      <c r="DQK48" s="44"/>
      <c r="DQL48" s="44"/>
      <c r="DQM48" s="44"/>
      <c r="DQN48" s="44"/>
      <c r="DQO48" s="44"/>
      <c r="DQP48" s="44"/>
      <c r="DQQ48" s="44"/>
      <c r="DQR48" s="44"/>
      <c r="DQS48" s="44"/>
      <c r="DQT48" s="44"/>
      <c r="DQU48" s="44"/>
      <c r="DQV48" s="44"/>
      <c r="DQW48" s="44"/>
      <c r="DQX48" s="44"/>
      <c r="DQY48" s="44"/>
      <c r="DQZ48" s="44"/>
      <c r="DRA48" s="44"/>
      <c r="DRB48" s="44"/>
      <c r="DRC48" s="44"/>
      <c r="DRD48" s="44"/>
      <c r="DRE48" s="44"/>
      <c r="DRF48" s="44"/>
      <c r="DRG48" s="44"/>
      <c r="DRH48" s="44"/>
      <c r="DRI48" s="44"/>
      <c r="DRJ48" s="44"/>
      <c r="DRK48" s="44"/>
      <c r="DRL48" s="44"/>
      <c r="DRM48" s="44"/>
      <c r="DRN48" s="44"/>
      <c r="DRO48" s="44"/>
      <c r="DRP48" s="44"/>
      <c r="DRQ48" s="44"/>
      <c r="DRR48" s="44"/>
      <c r="DRS48" s="44"/>
      <c r="DRT48" s="44"/>
      <c r="DRU48" s="44"/>
      <c r="DRV48" s="44"/>
      <c r="DRW48" s="44"/>
      <c r="DRX48" s="44"/>
      <c r="DRY48" s="44"/>
      <c r="DRZ48" s="44"/>
      <c r="DSA48" s="44"/>
      <c r="DSB48" s="44"/>
      <c r="DSC48" s="44"/>
      <c r="DSD48" s="44"/>
      <c r="DSE48" s="44"/>
      <c r="DSF48" s="44"/>
      <c r="DSG48" s="44"/>
      <c r="DSH48" s="44"/>
      <c r="DSI48" s="44"/>
      <c r="DSJ48" s="44"/>
      <c r="DSK48" s="44"/>
      <c r="DSL48" s="44"/>
      <c r="DSM48" s="44"/>
      <c r="DSN48" s="44"/>
      <c r="DSO48" s="44"/>
      <c r="DSP48" s="44"/>
      <c r="DSQ48" s="44"/>
      <c r="DSR48" s="44"/>
      <c r="DSS48" s="44"/>
      <c r="DST48" s="44"/>
      <c r="DSU48" s="44"/>
      <c r="DSV48" s="44"/>
      <c r="DSW48" s="44"/>
      <c r="DSX48" s="44"/>
      <c r="DSY48" s="44"/>
      <c r="DSZ48" s="44"/>
      <c r="DTA48" s="44"/>
      <c r="DTB48" s="44"/>
      <c r="DTC48" s="44"/>
      <c r="DTD48" s="44"/>
      <c r="DTE48" s="44"/>
      <c r="DTF48" s="44"/>
      <c r="DTG48" s="44"/>
      <c r="DTH48" s="44"/>
      <c r="DTI48" s="44"/>
      <c r="DTJ48" s="44"/>
      <c r="DTK48" s="44"/>
      <c r="DTL48" s="44"/>
      <c r="DTM48" s="44"/>
      <c r="DTN48" s="44"/>
      <c r="DTO48" s="44"/>
      <c r="DTP48" s="44"/>
      <c r="DTQ48" s="44"/>
      <c r="DTR48" s="44"/>
      <c r="DTS48" s="44"/>
      <c r="DTT48" s="44"/>
      <c r="DTU48" s="44"/>
      <c r="DTV48" s="44"/>
      <c r="DTW48" s="44"/>
      <c r="DTX48" s="44"/>
      <c r="DTY48" s="44"/>
      <c r="DTZ48" s="44"/>
      <c r="DUA48" s="44"/>
      <c r="DUB48" s="44"/>
      <c r="DUC48" s="44"/>
      <c r="DUD48" s="44"/>
      <c r="DUE48" s="44"/>
      <c r="DUF48" s="44"/>
      <c r="DUG48" s="44"/>
      <c r="DUH48" s="44"/>
      <c r="DUI48" s="44"/>
      <c r="DUJ48" s="44"/>
      <c r="DUK48" s="44"/>
      <c r="DUL48" s="44"/>
      <c r="DUM48" s="44"/>
      <c r="DUN48" s="44"/>
      <c r="DUO48" s="44"/>
      <c r="DUP48" s="44"/>
      <c r="DUQ48" s="44"/>
      <c r="DUR48" s="44"/>
      <c r="DUS48" s="44"/>
      <c r="DUT48" s="44"/>
      <c r="DUU48" s="44"/>
      <c r="DUV48" s="44"/>
      <c r="DUW48" s="44"/>
      <c r="DUX48" s="44"/>
      <c r="DUY48" s="44"/>
      <c r="DUZ48" s="44"/>
      <c r="DVA48" s="44"/>
      <c r="DVB48" s="44"/>
      <c r="DVC48" s="44"/>
      <c r="DVD48" s="44"/>
      <c r="DVE48" s="44"/>
      <c r="DVF48" s="44"/>
      <c r="DVG48" s="44"/>
      <c r="DVH48" s="44"/>
      <c r="DVI48" s="44"/>
      <c r="DVJ48" s="44"/>
      <c r="DVK48" s="44"/>
      <c r="DVL48" s="44"/>
      <c r="DVM48" s="44"/>
      <c r="DVN48" s="44"/>
      <c r="DVO48" s="44"/>
      <c r="DVP48" s="44"/>
      <c r="DVQ48" s="44"/>
      <c r="DVR48" s="44"/>
      <c r="DVS48" s="44"/>
      <c r="DVT48" s="44"/>
      <c r="DVU48" s="44"/>
      <c r="DVV48" s="44"/>
      <c r="DVW48" s="44"/>
      <c r="DVX48" s="44"/>
      <c r="DVY48" s="44"/>
      <c r="DVZ48" s="44"/>
      <c r="DWA48" s="44"/>
      <c r="DWB48" s="44"/>
      <c r="DWC48" s="44"/>
      <c r="DWD48" s="44"/>
      <c r="DWE48" s="44"/>
      <c r="DWF48" s="44"/>
      <c r="DWG48" s="44"/>
      <c r="DWH48" s="44"/>
      <c r="DWI48" s="44"/>
      <c r="DWJ48" s="44"/>
      <c r="DWK48" s="44"/>
      <c r="DWL48" s="44"/>
      <c r="DWM48" s="44"/>
      <c r="DWN48" s="44"/>
      <c r="DWO48" s="44"/>
      <c r="DWP48" s="44"/>
      <c r="DWQ48" s="44"/>
      <c r="DWR48" s="44"/>
      <c r="DWS48" s="44"/>
      <c r="DWT48" s="44"/>
      <c r="DWU48" s="44"/>
      <c r="DWV48" s="44"/>
      <c r="DWW48" s="44"/>
      <c r="DWX48" s="44"/>
      <c r="DWY48" s="44"/>
      <c r="DWZ48" s="44"/>
      <c r="DXA48" s="44"/>
      <c r="DXB48" s="44"/>
      <c r="DXC48" s="44"/>
      <c r="DXD48" s="44"/>
      <c r="DXE48" s="44"/>
      <c r="DXF48" s="44"/>
      <c r="DXG48" s="44"/>
      <c r="DXH48" s="44"/>
      <c r="DXI48" s="44"/>
      <c r="DXJ48" s="44"/>
      <c r="DXK48" s="44"/>
      <c r="DXL48" s="44"/>
      <c r="DXM48" s="44"/>
      <c r="DXN48" s="44"/>
      <c r="DXO48" s="44"/>
      <c r="DXP48" s="44"/>
      <c r="DXQ48" s="44"/>
      <c r="DXR48" s="44"/>
      <c r="DXS48" s="44"/>
      <c r="DXT48" s="44"/>
      <c r="DXU48" s="44"/>
      <c r="DXV48" s="44"/>
      <c r="DXW48" s="44"/>
      <c r="DXX48" s="44"/>
      <c r="DXY48" s="44"/>
      <c r="DXZ48" s="44"/>
      <c r="DYA48" s="44"/>
      <c r="DYB48" s="44"/>
      <c r="DYC48" s="44"/>
      <c r="DYD48" s="44"/>
      <c r="DYE48" s="44"/>
      <c r="DYF48" s="44"/>
      <c r="DYG48" s="44"/>
      <c r="DYH48" s="44"/>
      <c r="DYI48" s="44"/>
      <c r="DYJ48" s="44"/>
      <c r="DYK48" s="44"/>
      <c r="DYL48" s="44"/>
      <c r="DYM48" s="44"/>
      <c r="DYN48" s="44"/>
      <c r="DYO48" s="44"/>
      <c r="DYP48" s="44"/>
      <c r="DYQ48" s="44"/>
      <c r="DYR48" s="44"/>
      <c r="DYS48" s="44"/>
      <c r="DYT48" s="44"/>
      <c r="DYU48" s="44"/>
      <c r="DYV48" s="44"/>
      <c r="DYW48" s="44"/>
      <c r="DYX48" s="44"/>
      <c r="DYY48" s="44"/>
      <c r="DYZ48" s="44"/>
      <c r="DZA48" s="44"/>
      <c r="DZB48" s="44"/>
      <c r="DZC48" s="44"/>
      <c r="DZD48" s="44"/>
      <c r="DZE48" s="44"/>
      <c r="DZF48" s="44"/>
      <c r="DZG48" s="44"/>
      <c r="DZH48" s="44"/>
      <c r="DZI48" s="44"/>
      <c r="DZJ48" s="44"/>
      <c r="DZK48" s="44"/>
      <c r="DZL48" s="44"/>
      <c r="DZM48" s="44"/>
      <c r="DZN48" s="44"/>
      <c r="DZO48" s="44"/>
      <c r="DZP48" s="44"/>
      <c r="DZQ48" s="44"/>
      <c r="DZR48" s="44"/>
      <c r="DZS48" s="44"/>
      <c r="DZT48" s="44"/>
      <c r="DZU48" s="44"/>
      <c r="DZV48" s="44"/>
      <c r="DZW48" s="44"/>
      <c r="DZX48" s="44"/>
      <c r="DZY48" s="44"/>
      <c r="DZZ48" s="44"/>
      <c r="EAA48" s="44"/>
      <c r="EAB48" s="44"/>
      <c r="EAC48" s="44"/>
      <c r="EAD48" s="44"/>
      <c r="EAE48" s="44"/>
      <c r="EAF48" s="44"/>
      <c r="EAG48" s="44"/>
      <c r="EAH48" s="44"/>
      <c r="EAI48" s="44"/>
      <c r="EAJ48" s="44"/>
      <c r="EAK48" s="44"/>
      <c r="EAL48" s="44"/>
      <c r="EAM48" s="44"/>
      <c r="EAN48" s="44"/>
      <c r="EAO48" s="44"/>
      <c r="EAP48" s="44"/>
      <c r="EAQ48" s="44"/>
      <c r="EAR48" s="44"/>
      <c r="EAS48" s="44"/>
      <c r="EAT48" s="44"/>
      <c r="EAU48" s="44"/>
      <c r="EAV48" s="44"/>
      <c r="EAW48" s="44"/>
      <c r="EAX48" s="44"/>
      <c r="EAY48" s="44"/>
      <c r="EAZ48" s="44"/>
      <c r="EBA48" s="44"/>
      <c r="EBB48" s="44"/>
      <c r="EBC48" s="44"/>
      <c r="EBD48" s="44"/>
      <c r="EBE48" s="44"/>
      <c r="EBF48" s="44"/>
      <c r="EBG48" s="44"/>
      <c r="EBH48" s="44"/>
      <c r="EBI48" s="44"/>
      <c r="EBJ48" s="44"/>
      <c r="EBK48" s="44"/>
      <c r="EBL48" s="44"/>
      <c r="EBM48" s="44"/>
      <c r="EBN48" s="44"/>
      <c r="EBO48" s="44"/>
      <c r="EBP48" s="44"/>
      <c r="EBQ48" s="44"/>
      <c r="EBR48" s="44"/>
      <c r="EBS48" s="44"/>
      <c r="EBT48" s="44"/>
      <c r="EBU48" s="44"/>
      <c r="EBV48" s="44"/>
      <c r="EBW48" s="44"/>
      <c r="EBX48" s="44"/>
      <c r="EBY48" s="44"/>
      <c r="EBZ48" s="44"/>
      <c r="ECA48" s="44"/>
      <c r="ECB48" s="44"/>
      <c r="ECC48" s="44"/>
      <c r="ECD48" s="44"/>
      <c r="ECE48" s="44"/>
      <c r="ECF48" s="44"/>
      <c r="ECG48" s="44"/>
      <c r="ECH48" s="44"/>
      <c r="ECI48" s="44"/>
      <c r="ECJ48" s="44"/>
      <c r="ECK48" s="44"/>
      <c r="ECL48" s="44"/>
      <c r="ECM48" s="44"/>
      <c r="ECN48" s="44"/>
      <c r="ECO48" s="44"/>
      <c r="ECP48" s="44"/>
      <c r="ECQ48" s="44"/>
      <c r="ECR48" s="44"/>
      <c r="ECS48" s="44"/>
      <c r="ECT48" s="44"/>
      <c r="ECU48" s="44"/>
      <c r="ECV48" s="44"/>
      <c r="ECW48" s="44"/>
      <c r="ECX48" s="44"/>
      <c r="ECY48" s="44"/>
      <c r="ECZ48" s="44"/>
      <c r="EDA48" s="44"/>
      <c r="EDB48" s="44"/>
      <c r="EDC48" s="44"/>
      <c r="EDD48" s="44"/>
      <c r="EDE48" s="44"/>
      <c r="EDF48" s="44"/>
      <c r="EDG48" s="44"/>
      <c r="EDH48" s="44"/>
      <c r="EDI48" s="44"/>
      <c r="EDJ48" s="44"/>
      <c r="EDK48" s="44"/>
      <c r="EDL48" s="44"/>
      <c r="EDM48" s="44"/>
      <c r="EDN48" s="44"/>
      <c r="EDO48" s="44"/>
      <c r="EDP48" s="44"/>
      <c r="EDQ48" s="44"/>
      <c r="EDR48" s="44"/>
      <c r="EDS48" s="44"/>
      <c r="EDT48" s="44"/>
      <c r="EDU48" s="44"/>
      <c r="EDV48" s="44"/>
      <c r="EDW48" s="44"/>
      <c r="EDX48" s="44"/>
      <c r="EDY48" s="44"/>
      <c r="EDZ48" s="44"/>
      <c r="EEA48" s="44"/>
      <c r="EEB48" s="44"/>
      <c r="EEC48" s="44"/>
      <c r="EED48" s="44"/>
      <c r="EEE48" s="44"/>
      <c r="EEF48" s="44"/>
      <c r="EEG48" s="44"/>
      <c r="EEH48" s="44"/>
      <c r="EEI48" s="44"/>
      <c r="EEJ48" s="44"/>
      <c r="EEK48" s="44"/>
      <c r="EEL48" s="44"/>
      <c r="EEM48" s="44"/>
      <c r="EEN48" s="44"/>
      <c r="EEO48" s="44"/>
      <c r="EEP48" s="44"/>
      <c r="EEQ48" s="44"/>
      <c r="EER48" s="44"/>
      <c r="EES48" s="44"/>
      <c r="EET48" s="44"/>
      <c r="EEU48" s="44"/>
      <c r="EEV48" s="44"/>
      <c r="EEW48" s="44"/>
      <c r="EEX48" s="44"/>
      <c r="EEY48" s="44"/>
      <c r="EEZ48" s="44"/>
      <c r="EFA48" s="44"/>
      <c r="EFB48" s="44"/>
      <c r="EFC48" s="44"/>
      <c r="EFD48" s="44"/>
      <c r="EFE48" s="44"/>
      <c r="EFF48" s="44"/>
      <c r="EFG48" s="44"/>
      <c r="EFH48" s="44"/>
      <c r="EFI48" s="44"/>
      <c r="EFJ48" s="44"/>
      <c r="EFK48" s="44"/>
      <c r="EFL48" s="44"/>
      <c r="EFM48" s="44"/>
      <c r="EFN48" s="44"/>
      <c r="EFO48" s="44"/>
      <c r="EFP48" s="44"/>
      <c r="EFQ48" s="44"/>
      <c r="EFR48" s="44"/>
      <c r="EFS48" s="44"/>
      <c r="EFT48" s="44"/>
      <c r="EFU48" s="44"/>
      <c r="EFV48" s="44"/>
      <c r="EFW48" s="44"/>
      <c r="EFX48" s="44"/>
      <c r="EFY48" s="44"/>
      <c r="EFZ48" s="44"/>
      <c r="EGA48" s="44"/>
      <c r="EGB48" s="44"/>
      <c r="EGC48" s="44"/>
      <c r="EGD48" s="44"/>
      <c r="EGE48" s="44"/>
      <c r="EGF48" s="44"/>
      <c r="EGG48" s="44"/>
      <c r="EGH48" s="44"/>
      <c r="EGI48" s="44"/>
      <c r="EGJ48" s="44"/>
      <c r="EGK48" s="44"/>
      <c r="EGL48" s="44"/>
      <c r="EGM48" s="44"/>
      <c r="EGN48" s="44"/>
      <c r="EGO48" s="44"/>
      <c r="EGP48" s="44"/>
      <c r="EGQ48" s="44"/>
      <c r="EGR48" s="44"/>
      <c r="EGS48" s="44"/>
      <c r="EGT48" s="44"/>
      <c r="EGU48" s="44"/>
      <c r="EGV48" s="44"/>
      <c r="EGW48" s="44"/>
      <c r="EGX48" s="44"/>
      <c r="EGY48" s="44"/>
      <c r="EGZ48" s="44"/>
      <c r="EHA48" s="44"/>
      <c r="EHB48" s="44"/>
      <c r="EHC48" s="44"/>
      <c r="EHD48" s="44"/>
      <c r="EHE48" s="44"/>
      <c r="EHF48" s="44"/>
      <c r="EHG48" s="44"/>
      <c r="EHH48" s="44"/>
      <c r="EHI48" s="44"/>
      <c r="EHJ48" s="44"/>
      <c r="EHK48" s="44"/>
      <c r="EHL48" s="44"/>
      <c r="EHM48" s="44"/>
      <c r="EHN48" s="44"/>
      <c r="EHO48" s="44"/>
      <c r="EHP48" s="44"/>
      <c r="EHQ48" s="44"/>
      <c r="EHR48" s="44"/>
      <c r="EHS48" s="44"/>
      <c r="EHT48" s="44"/>
      <c r="EHU48" s="44"/>
      <c r="EHV48" s="44"/>
      <c r="EHW48" s="44"/>
      <c r="EHX48" s="44"/>
      <c r="EHY48" s="44"/>
      <c r="EHZ48" s="44"/>
      <c r="EIA48" s="44"/>
      <c r="EIB48" s="44"/>
      <c r="EIC48" s="44"/>
      <c r="EID48" s="44"/>
      <c r="EIE48" s="44"/>
      <c r="EIF48" s="44"/>
      <c r="EIG48" s="44"/>
      <c r="EIH48" s="44"/>
      <c r="EII48" s="44"/>
      <c r="EIJ48" s="44"/>
      <c r="EIK48" s="44"/>
      <c r="EIL48" s="44"/>
      <c r="EIM48" s="44"/>
      <c r="EIN48" s="44"/>
      <c r="EIO48" s="44"/>
      <c r="EIP48" s="44"/>
      <c r="EIQ48" s="44"/>
      <c r="EIR48" s="44"/>
      <c r="EIS48" s="44"/>
      <c r="EIT48" s="44"/>
      <c r="EIU48" s="44"/>
      <c r="EIV48" s="44"/>
      <c r="EIW48" s="44"/>
      <c r="EIX48" s="44"/>
      <c r="EIY48" s="44"/>
      <c r="EIZ48" s="44"/>
      <c r="EJA48" s="44"/>
      <c r="EJB48" s="44"/>
      <c r="EJC48" s="44"/>
      <c r="EJD48" s="44"/>
      <c r="EJE48" s="44"/>
      <c r="EJF48" s="44"/>
      <c r="EJG48" s="44"/>
      <c r="EJH48" s="44"/>
      <c r="EJI48" s="44"/>
      <c r="EJJ48" s="44"/>
      <c r="EJK48" s="44"/>
      <c r="EJL48" s="44"/>
      <c r="EJM48" s="44"/>
      <c r="EJN48" s="44"/>
      <c r="EJO48" s="44"/>
      <c r="EJP48" s="44"/>
      <c r="EJQ48" s="44"/>
      <c r="EJR48" s="44"/>
      <c r="EJS48" s="44"/>
      <c r="EJT48" s="44"/>
      <c r="EJU48" s="44"/>
      <c r="EJV48" s="44"/>
      <c r="EJW48" s="44"/>
      <c r="EJX48" s="44"/>
      <c r="EJY48" s="44"/>
      <c r="EJZ48" s="44"/>
      <c r="EKA48" s="44"/>
      <c r="EKB48" s="44"/>
      <c r="EKC48" s="44"/>
      <c r="EKD48" s="44"/>
      <c r="EKE48" s="44"/>
      <c r="EKF48" s="44"/>
      <c r="EKG48" s="44"/>
      <c r="EKH48" s="44"/>
      <c r="EKI48" s="44"/>
      <c r="EKJ48" s="44"/>
      <c r="EKK48" s="44"/>
      <c r="EKL48" s="44"/>
      <c r="EKM48" s="44"/>
      <c r="EKN48" s="44"/>
      <c r="EKO48" s="44"/>
      <c r="EKP48" s="44"/>
      <c r="EKQ48" s="44"/>
      <c r="EKR48" s="44"/>
      <c r="EKS48" s="44"/>
      <c r="EKT48" s="44"/>
      <c r="EKU48" s="44"/>
      <c r="EKV48" s="44"/>
      <c r="EKW48" s="44"/>
      <c r="EKX48" s="44"/>
      <c r="EKY48" s="44"/>
      <c r="EKZ48" s="44"/>
      <c r="ELA48" s="44"/>
      <c r="ELB48" s="44"/>
      <c r="ELC48" s="44"/>
      <c r="ELD48" s="44"/>
      <c r="ELE48" s="44"/>
      <c r="ELF48" s="44"/>
      <c r="ELG48" s="44"/>
      <c r="ELH48" s="44"/>
      <c r="ELI48" s="44"/>
      <c r="ELJ48" s="44"/>
      <c r="ELK48" s="44"/>
      <c r="ELL48" s="44"/>
      <c r="ELM48" s="44"/>
      <c r="ELN48" s="44"/>
      <c r="ELO48" s="44"/>
      <c r="ELP48" s="44"/>
      <c r="ELQ48" s="44"/>
      <c r="ELR48" s="44"/>
      <c r="ELS48" s="44"/>
      <c r="ELT48" s="44"/>
      <c r="ELU48" s="44"/>
      <c r="ELV48" s="44"/>
      <c r="ELW48" s="44"/>
      <c r="ELX48" s="44"/>
      <c r="ELY48" s="44"/>
      <c r="ELZ48" s="44"/>
      <c r="EMA48" s="44"/>
      <c r="EMB48" s="44"/>
      <c r="EMC48" s="44"/>
      <c r="EMD48" s="44"/>
      <c r="EME48" s="44"/>
      <c r="EMF48" s="44"/>
      <c r="EMG48" s="44"/>
      <c r="EMH48" s="44"/>
      <c r="EMI48" s="44"/>
      <c r="EMJ48" s="44"/>
      <c r="EMK48" s="44"/>
      <c r="EML48" s="44"/>
      <c r="EMM48" s="44"/>
      <c r="EMN48" s="44"/>
      <c r="EMO48" s="44"/>
      <c r="EMP48" s="44"/>
      <c r="EMQ48" s="44"/>
      <c r="EMR48" s="44"/>
      <c r="EMS48" s="44"/>
      <c r="EMT48" s="44"/>
      <c r="EMU48" s="44"/>
      <c r="EMV48" s="44"/>
      <c r="EMW48" s="44"/>
      <c r="EMX48" s="44"/>
      <c r="EMY48" s="44"/>
      <c r="EMZ48" s="44"/>
      <c r="ENA48" s="44"/>
      <c r="ENB48" s="44"/>
      <c r="ENC48" s="44"/>
      <c r="END48" s="44"/>
      <c r="ENE48" s="44"/>
      <c r="ENF48" s="44"/>
      <c r="ENG48" s="44"/>
      <c r="ENH48" s="44"/>
      <c r="ENI48" s="44"/>
      <c r="ENJ48" s="44"/>
      <c r="ENK48" s="44"/>
      <c r="ENL48" s="44"/>
      <c r="ENM48" s="44"/>
      <c r="ENN48" s="44"/>
      <c r="ENO48" s="44"/>
      <c r="ENP48" s="44"/>
      <c r="ENQ48" s="44"/>
      <c r="ENR48" s="44"/>
      <c r="ENS48" s="44"/>
      <c r="ENT48" s="44"/>
      <c r="ENU48" s="44"/>
      <c r="ENV48" s="44"/>
      <c r="ENW48" s="44"/>
      <c r="ENX48" s="44"/>
      <c r="ENY48" s="44"/>
      <c r="ENZ48" s="44"/>
      <c r="EOA48" s="44"/>
      <c r="EOB48" s="44"/>
      <c r="EOC48" s="44"/>
      <c r="EOD48" s="44"/>
      <c r="EOE48" s="44"/>
      <c r="EOF48" s="44"/>
      <c r="EOG48" s="44"/>
      <c r="EOH48" s="44"/>
      <c r="EOI48" s="44"/>
      <c r="EOJ48" s="44"/>
      <c r="EOK48" s="44"/>
      <c r="EOL48" s="44"/>
      <c r="EOM48" s="44"/>
      <c r="EON48" s="44"/>
      <c r="EOO48" s="44"/>
      <c r="EOP48" s="44"/>
      <c r="EOQ48" s="44"/>
      <c r="EOR48" s="44"/>
      <c r="EOS48" s="44"/>
      <c r="EOT48" s="44"/>
      <c r="EOU48" s="44"/>
      <c r="EOV48" s="44"/>
      <c r="EOW48" s="44"/>
      <c r="EOX48" s="44"/>
      <c r="EOY48" s="44"/>
      <c r="EOZ48" s="44"/>
      <c r="EPA48" s="44"/>
      <c r="EPB48" s="44"/>
      <c r="EPC48" s="44"/>
      <c r="EPD48" s="44"/>
      <c r="EPE48" s="44"/>
      <c r="EPF48" s="44"/>
      <c r="EPG48" s="44"/>
      <c r="EPH48" s="44"/>
      <c r="EPI48" s="44"/>
      <c r="EPJ48" s="44"/>
      <c r="EPK48" s="44"/>
      <c r="EPL48" s="44"/>
      <c r="EPM48" s="44"/>
      <c r="EPN48" s="44"/>
      <c r="EPO48" s="44"/>
      <c r="EPP48" s="44"/>
      <c r="EPQ48" s="44"/>
      <c r="EPR48" s="44"/>
      <c r="EPS48" s="44"/>
      <c r="EPT48" s="44"/>
      <c r="EPU48" s="44"/>
      <c r="EPV48" s="44"/>
      <c r="EPW48" s="44"/>
      <c r="EPX48" s="44"/>
      <c r="EPY48" s="44"/>
      <c r="EPZ48" s="44"/>
      <c r="EQA48" s="44"/>
      <c r="EQB48" s="44"/>
      <c r="EQC48" s="44"/>
      <c r="EQD48" s="44"/>
      <c r="EQE48" s="44"/>
      <c r="EQF48" s="44"/>
      <c r="EQG48" s="44"/>
      <c r="EQH48" s="44"/>
      <c r="EQI48" s="44"/>
      <c r="EQJ48" s="44"/>
      <c r="EQK48" s="44"/>
      <c r="EQL48" s="44"/>
      <c r="EQM48" s="44"/>
      <c r="EQN48" s="44"/>
      <c r="EQO48" s="44"/>
      <c r="EQP48" s="44"/>
      <c r="EQQ48" s="44"/>
      <c r="EQR48" s="44"/>
      <c r="EQS48" s="44"/>
      <c r="EQT48" s="44"/>
      <c r="EQU48" s="44"/>
      <c r="EQV48" s="44"/>
      <c r="EQW48" s="44"/>
      <c r="EQX48" s="44"/>
      <c r="EQY48" s="44"/>
      <c r="EQZ48" s="44"/>
      <c r="ERA48" s="44"/>
      <c r="ERB48" s="44"/>
      <c r="ERC48" s="44"/>
      <c r="ERD48" s="44"/>
      <c r="ERE48" s="44"/>
      <c r="ERF48" s="44"/>
      <c r="ERG48" s="44"/>
      <c r="ERH48" s="44"/>
      <c r="ERI48" s="44"/>
      <c r="ERJ48" s="44"/>
      <c r="ERK48" s="44"/>
      <c r="ERL48" s="44"/>
      <c r="ERM48" s="44"/>
      <c r="ERN48" s="44"/>
      <c r="ERO48" s="44"/>
      <c r="ERP48" s="44"/>
      <c r="ERQ48" s="44"/>
      <c r="ERR48" s="44"/>
      <c r="ERS48" s="44"/>
      <c r="ERT48" s="44"/>
      <c r="ERU48" s="44"/>
      <c r="ERV48" s="44"/>
      <c r="ERW48" s="44"/>
      <c r="ERX48" s="44"/>
      <c r="ERY48" s="44"/>
      <c r="ERZ48" s="44"/>
      <c r="ESA48" s="44"/>
      <c r="ESB48" s="44"/>
      <c r="ESC48" s="44"/>
      <c r="ESD48" s="44"/>
      <c r="ESE48" s="44"/>
      <c r="ESF48" s="44"/>
      <c r="ESG48" s="44"/>
      <c r="ESH48" s="44"/>
      <c r="ESI48" s="44"/>
      <c r="ESJ48" s="44"/>
      <c r="ESK48" s="44"/>
      <c r="ESL48" s="44"/>
      <c r="ESM48" s="44"/>
      <c r="ESN48" s="44"/>
      <c r="ESO48" s="44"/>
      <c r="ESP48" s="44"/>
      <c r="ESQ48" s="44"/>
      <c r="ESR48" s="44"/>
      <c r="ESS48" s="44"/>
      <c r="EST48" s="44"/>
      <c r="ESU48" s="44"/>
      <c r="ESV48" s="44"/>
      <c r="ESW48" s="44"/>
      <c r="ESX48" s="44"/>
      <c r="ESY48" s="44"/>
      <c r="ESZ48" s="44"/>
      <c r="ETA48" s="44"/>
      <c r="ETB48" s="44"/>
      <c r="ETC48" s="44"/>
      <c r="ETD48" s="44"/>
      <c r="ETE48" s="44"/>
      <c r="ETF48" s="44"/>
      <c r="ETG48" s="44"/>
      <c r="ETH48" s="44"/>
      <c r="ETI48" s="44"/>
      <c r="ETJ48" s="44"/>
      <c r="ETK48" s="44"/>
      <c r="ETL48" s="44"/>
      <c r="ETM48" s="44"/>
      <c r="ETN48" s="44"/>
      <c r="ETO48" s="44"/>
      <c r="ETP48" s="44"/>
      <c r="ETQ48" s="44"/>
      <c r="ETR48" s="44"/>
      <c r="ETS48" s="44"/>
      <c r="ETT48" s="44"/>
      <c r="ETU48" s="44"/>
      <c r="ETV48" s="44"/>
      <c r="ETW48" s="44"/>
      <c r="ETX48" s="44"/>
      <c r="ETY48" s="44"/>
      <c r="ETZ48" s="44"/>
      <c r="EUA48" s="44"/>
      <c r="EUB48" s="44"/>
      <c r="EUC48" s="44"/>
      <c r="EUD48" s="44"/>
      <c r="EUE48" s="44"/>
      <c r="EUF48" s="44"/>
      <c r="EUG48" s="44"/>
      <c r="EUH48" s="44"/>
      <c r="EUI48" s="44"/>
      <c r="EUJ48" s="44"/>
      <c r="EUK48" s="44"/>
      <c r="EUL48" s="44"/>
      <c r="EUM48" s="44"/>
      <c r="EUN48" s="44"/>
      <c r="EUO48" s="44"/>
      <c r="EUP48" s="44"/>
      <c r="EUQ48" s="44"/>
      <c r="EUR48" s="44"/>
      <c r="EUS48" s="44"/>
      <c r="EUT48" s="44"/>
      <c r="EUU48" s="44"/>
      <c r="EUV48" s="44"/>
      <c r="EUW48" s="44"/>
      <c r="EUX48" s="44"/>
      <c r="EUY48" s="44"/>
      <c r="EUZ48" s="44"/>
      <c r="EVA48" s="44"/>
      <c r="EVB48" s="44"/>
      <c r="EVC48" s="44"/>
      <c r="EVD48" s="44"/>
      <c r="EVE48" s="44"/>
      <c r="EVF48" s="44"/>
      <c r="EVG48" s="44"/>
      <c r="EVH48" s="44"/>
      <c r="EVI48" s="44"/>
      <c r="EVJ48" s="44"/>
      <c r="EVK48" s="44"/>
      <c r="EVL48" s="44"/>
      <c r="EVM48" s="44"/>
      <c r="EVN48" s="44"/>
      <c r="EVO48" s="44"/>
      <c r="EVP48" s="44"/>
      <c r="EVQ48" s="44"/>
      <c r="EVR48" s="44"/>
      <c r="EVS48" s="44"/>
      <c r="EVT48" s="44"/>
      <c r="EVU48" s="44"/>
      <c r="EVV48" s="44"/>
      <c r="EVW48" s="44"/>
      <c r="EVX48" s="44"/>
      <c r="EVY48" s="44"/>
      <c r="EVZ48" s="44"/>
      <c r="EWA48" s="44"/>
      <c r="EWB48" s="44"/>
      <c r="EWC48" s="44"/>
      <c r="EWD48" s="44"/>
      <c r="EWE48" s="44"/>
      <c r="EWF48" s="44"/>
      <c r="EWG48" s="44"/>
      <c r="EWH48" s="44"/>
      <c r="EWI48" s="44"/>
      <c r="EWJ48" s="44"/>
      <c r="EWK48" s="44"/>
      <c r="EWL48" s="44"/>
      <c r="EWM48" s="44"/>
      <c r="EWN48" s="44"/>
      <c r="EWO48" s="44"/>
      <c r="EWP48" s="44"/>
      <c r="EWQ48" s="44"/>
      <c r="EWR48" s="44"/>
      <c r="EWS48" s="44"/>
      <c r="EWT48" s="44"/>
      <c r="EWU48" s="44"/>
      <c r="EWV48" s="44"/>
      <c r="EWW48" s="44"/>
      <c r="EWX48" s="44"/>
      <c r="EWY48" s="44"/>
      <c r="EWZ48" s="44"/>
      <c r="EXA48" s="44"/>
      <c r="EXB48" s="44"/>
      <c r="EXC48" s="44"/>
      <c r="EXD48" s="44"/>
      <c r="EXE48" s="44"/>
      <c r="EXF48" s="44"/>
      <c r="EXG48" s="44"/>
      <c r="EXH48" s="44"/>
      <c r="EXI48" s="44"/>
      <c r="EXJ48" s="44"/>
      <c r="EXK48" s="44"/>
      <c r="EXL48" s="44"/>
      <c r="EXM48" s="44"/>
      <c r="EXN48" s="44"/>
      <c r="EXO48" s="44"/>
      <c r="EXP48" s="44"/>
      <c r="EXQ48" s="44"/>
      <c r="EXR48" s="44"/>
      <c r="EXS48" s="44"/>
      <c r="EXT48" s="44"/>
      <c r="EXU48" s="44"/>
      <c r="EXV48" s="44"/>
      <c r="EXW48" s="44"/>
      <c r="EXX48" s="44"/>
      <c r="EXY48" s="44"/>
      <c r="EXZ48" s="44"/>
      <c r="EYA48" s="44"/>
      <c r="EYB48" s="44"/>
      <c r="EYC48" s="44"/>
      <c r="EYD48" s="44"/>
      <c r="EYE48" s="44"/>
      <c r="EYF48" s="44"/>
      <c r="EYG48" s="44"/>
      <c r="EYH48" s="44"/>
      <c r="EYI48" s="44"/>
      <c r="EYJ48" s="44"/>
      <c r="EYK48" s="44"/>
      <c r="EYL48" s="44"/>
      <c r="EYM48" s="44"/>
      <c r="EYN48" s="44"/>
      <c r="EYO48" s="44"/>
      <c r="EYP48" s="44"/>
      <c r="EYQ48" s="44"/>
      <c r="EYR48" s="44"/>
      <c r="EYS48" s="44"/>
      <c r="EYT48" s="44"/>
      <c r="EYU48" s="44"/>
      <c r="EYV48" s="44"/>
      <c r="EYW48" s="44"/>
      <c r="EYX48" s="44"/>
      <c r="EYY48" s="44"/>
      <c r="EYZ48" s="44"/>
      <c r="EZA48" s="44"/>
      <c r="EZB48" s="44"/>
      <c r="EZC48" s="44"/>
      <c r="EZD48" s="44"/>
      <c r="EZE48" s="44"/>
      <c r="EZF48" s="44"/>
      <c r="EZG48" s="44"/>
      <c r="EZH48" s="44"/>
      <c r="EZI48" s="44"/>
      <c r="EZJ48" s="44"/>
      <c r="EZK48" s="44"/>
      <c r="EZL48" s="44"/>
      <c r="EZM48" s="44"/>
      <c r="EZN48" s="44"/>
      <c r="EZO48" s="44"/>
      <c r="EZP48" s="44"/>
      <c r="EZQ48" s="44"/>
      <c r="EZR48" s="44"/>
      <c r="EZS48" s="44"/>
      <c r="EZT48" s="44"/>
      <c r="EZU48" s="44"/>
      <c r="EZV48" s="44"/>
      <c r="EZW48" s="44"/>
      <c r="EZX48" s="44"/>
      <c r="EZY48" s="44"/>
      <c r="EZZ48" s="44"/>
      <c r="FAA48" s="44"/>
      <c r="FAB48" s="44"/>
      <c r="FAC48" s="44"/>
      <c r="FAD48" s="44"/>
      <c r="FAE48" s="44"/>
      <c r="FAF48" s="44"/>
      <c r="FAG48" s="44"/>
      <c r="FAH48" s="44"/>
      <c r="FAI48" s="44"/>
      <c r="FAJ48" s="44"/>
      <c r="FAK48" s="44"/>
      <c r="FAL48" s="44"/>
      <c r="FAM48" s="44"/>
      <c r="FAN48" s="44"/>
      <c r="FAO48" s="44"/>
      <c r="FAP48" s="44"/>
      <c r="FAQ48" s="44"/>
      <c r="FAR48" s="44"/>
      <c r="FAS48" s="44"/>
      <c r="FAT48" s="44"/>
      <c r="FAU48" s="44"/>
      <c r="FAV48" s="44"/>
      <c r="FAW48" s="44"/>
      <c r="FAX48" s="44"/>
      <c r="FAY48" s="44"/>
      <c r="FAZ48" s="44"/>
      <c r="FBA48" s="44"/>
      <c r="FBB48" s="44"/>
      <c r="FBC48" s="44"/>
      <c r="FBD48" s="44"/>
      <c r="FBE48" s="44"/>
      <c r="FBF48" s="44"/>
      <c r="FBG48" s="44"/>
      <c r="FBH48" s="44"/>
      <c r="FBI48" s="44"/>
      <c r="FBJ48" s="44"/>
      <c r="FBK48" s="44"/>
      <c r="FBL48" s="44"/>
      <c r="FBM48" s="44"/>
      <c r="FBN48" s="44"/>
      <c r="FBO48" s="44"/>
      <c r="FBP48" s="44"/>
      <c r="FBQ48" s="44"/>
      <c r="FBR48" s="44"/>
      <c r="FBS48" s="44"/>
      <c r="FBT48" s="44"/>
      <c r="FBU48" s="44"/>
      <c r="FBV48" s="44"/>
      <c r="FBW48" s="44"/>
      <c r="FBX48" s="44"/>
      <c r="FBY48" s="44"/>
      <c r="FBZ48" s="44"/>
      <c r="FCA48" s="44"/>
      <c r="FCB48" s="44"/>
      <c r="FCC48" s="44"/>
      <c r="FCD48" s="44"/>
      <c r="FCE48" s="44"/>
      <c r="FCF48" s="44"/>
      <c r="FCG48" s="44"/>
      <c r="FCH48" s="44"/>
      <c r="FCI48" s="44"/>
      <c r="FCJ48" s="44"/>
      <c r="FCK48" s="44"/>
      <c r="FCL48" s="44"/>
      <c r="FCM48" s="44"/>
      <c r="FCN48" s="44"/>
      <c r="FCO48" s="44"/>
      <c r="FCP48" s="44"/>
      <c r="FCQ48" s="44"/>
      <c r="FCR48" s="44"/>
      <c r="FCS48" s="44"/>
      <c r="FCT48" s="44"/>
      <c r="FCU48" s="44"/>
      <c r="FCV48" s="44"/>
      <c r="FCW48" s="44"/>
      <c r="FCX48" s="44"/>
      <c r="FCY48" s="44"/>
      <c r="FCZ48" s="44"/>
      <c r="FDA48" s="44"/>
      <c r="FDB48" s="44"/>
      <c r="FDC48" s="44"/>
      <c r="FDD48" s="44"/>
      <c r="FDE48" s="44"/>
      <c r="FDF48" s="44"/>
      <c r="FDG48" s="44"/>
      <c r="FDH48" s="44"/>
      <c r="FDI48" s="44"/>
      <c r="FDJ48" s="44"/>
      <c r="FDK48" s="44"/>
      <c r="FDL48" s="44"/>
      <c r="FDM48" s="44"/>
      <c r="FDN48" s="44"/>
      <c r="FDO48" s="44"/>
      <c r="FDP48" s="44"/>
      <c r="FDQ48" s="44"/>
      <c r="FDR48" s="44"/>
      <c r="FDS48" s="44"/>
      <c r="FDT48" s="44"/>
      <c r="FDU48" s="44"/>
      <c r="FDV48" s="44"/>
      <c r="FDW48" s="44"/>
      <c r="FDX48" s="44"/>
      <c r="FDY48" s="44"/>
      <c r="FDZ48" s="44"/>
      <c r="FEA48" s="44"/>
      <c r="FEB48" s="44"/>
      <c r="FEC48" s="44"/>
      <c r="FED48" s="44"/>
      <c r="FEE48" s="44"/>
      <c r="FEF48" s="44"/>
      <c r="FEG48" s="44"/>
      <c r="FEH48" s="44"/>
      <c r="FEI48" s="44"/>
      <c r="FEJ48" s="44"/>
      <c r="FEK48" s="44"/>
      <c r="FEL48" s="44"/>
      <c r="FEM48" s="44"/>
      <c r="FEN48" s="44"/>
      <c r="FEO48" s="44"/>
      <c r="FEP48" s="44"/>
      <c r="FEQ48" s="44"/>
      <c r="FER48" s="44"/>
      <c r="FES48" s="44"/>
      <c r="FET48" s="44"/>
      <c r="FEU48" s="44"/>
      <c r="FEV48" s="44"/>
      <c r="FEW48" s="44"/>
      <c r="FEX48" s="44"/>
      <c r="FEY48" s="44"/>
      <c r="FEZ48" s="44"/>
      <c r="FFA48" s="44"/>
      <c r="FFB48" s="44"/>
      <c r="FFC48" s="44"/>
      <c r="FFD48" s="44"/>
      <c r="FFE48" s="44"/>
      <c r="FFF48" s="44"/>
      <c r="FFG48" s="44"/>
      <c r="FFH48" s="44"/>
      <c r="FFI48" s="44"/>
      <c r="FFJ48" s="44"/>
      <c r="FFK48" s="44"/>
      <c r="FFL48" s="44"/>
      <c r="FFM48" s="44"/>
      <c r="FFN48" s="44"/>
      <c r="FFO48" s="44"/>
      <c r="FFP48" s="44"/>
      <c r="FFQ48" s="44"/>
      <c r="FFR48" s="44"/>
      <c r="FFS48" s="44"/>
      <c r="FFT48" s="44"/>
      <c r="FFU48" s="44"/>
      <c r="FFV48" s="44"/>
      <c r="FFW48" s="44"/>
      <c r="FFX48" s="44"/>
      <c r="FFY48" s="44"/>
      <c r="FFZ48" s="44"/>
      <c r="FGA48" s="44"/>
      <c r="FGB48" s="44"/>
      <c r="FGC48" s="44"/>
      <c r="FGD48" s="44"/>
      <c r="FGE48" s="44"/>
      <c r="FGF48" s="44"/>
      <c r="FGG48" s="44"/>
      <c r="FGH48" s="44"/>
      <c r="FGI48" s="44"/>
      <c r="FGJ48" s="44"/>
      <c r="FGK48" s="44"/>
      <c r="FGL48" s="44"/>
      <c r="FGM48" s="44"/>
      <c r="FGN48" s="44"/>
      <c r="FGO48" s="44"/>
      <c r="FGP48" s="44"/>
      <c r="FGQ48" s="44"/>
      <c r="FGR48" s="44"/>
      <c r="FGS48" s="44"/>
      <c r="FGT48" s="44"/>
      <c r="FGU48" s="44"/>
      <c r="FGV48" s="44"/>
      <c r="FGW48" s="44"/>
      <c r="FGX48" s="44"/>
      <c r="FGY48" s="44"/>
      <c r="FGZ48" s="44"/>
      <c r="FHA48" s="44"/>
      <c r="FHB48" s="44"/>
      <c r="FHC48" s="44"/>
      <c r="FHD48" s="44"/>
      <c r="FHE48" s="44"/>
      <c r="FHF48" s="44"/>
      <c r="FHG48" s="44"/>
      <c r="FHH48" s="44"/>
      <c r="FHI48" s="44"/>
      <c r="FHJ48" s="44"/>
      <c r="FHK48" s="44"/>
      <c r="FHL48" s="44"/>
      <c r="FHM48" s="44"/>
      <c r="FHN48" s="44"/>
      <c r="FHO48" s="44"/>
      <c r="FHP48" s="44"/>
      <c r="FHQ48" s="44"/>
      <c r="FHR48" s="44"/>
      <c r="FHS48" s="44"/>
      <c r="FHT48" s="44"/>
      <c r="FHU48" s="44"/>
      <c r="FHV48" s="44"/>
      <c r="FHW48" s="44"/>
      <c r="FHX48" s="44"/>
      <c r="FHY48" s="44"/>
      <c r="FHZ48" s="44"/>
      <c r="FIA48" s="44"/>
      <c r="FIB48" s="44"/>
      <c r="FIC48" s="44"/>
      <c r="FID48" s="44"/>
      <c r="FIE48" s="44"/>
      <c r="FIF48" s="44"/>
      <c r="FIG48" s="44"/>
      <c r="FIH48" s="44"/>
      <c r="FII48" s="44"/>
      <c r="FIJ48" s="44"/>
      <c r="FIK48" s="44"/>
      <c r="FIL48" s="44"/>
      <c r="FIM48" s="44"/>
      <c r="FIN48" s="44"/>
      <c r="FIO48" s="44"/>
      <c r="FIP48" s="44"/>
      <c r="FIQ48" s="44"/>
      <c r="FIR48" s="44"/>
      <c r="FIS48" s="44"/>
      <c r="FIT48" s="44"/>
      <c r="FIU48" s="44"/>
      <c r="FIV48" s="44"/>
      <c r="FIW48" s="44"/>
      <c r="FIX48" s="44"/>
      <c r="FIY48" s="44"/>
      <c r="FIZ48" s="44"/>
      <c r="FJA48" s="44"/>
      <c r="FJB48" s="44"/>
      <c r="FJC48" s="44"/>
      <c r="FJD48" s="44"/>
      <c r="FJE48" s="44"/>
      <c r="FJF48" s="44"/>
      <c r="FJG48" s="44"/>
      <c r="FJH48" s="44"/>
      <c r="FJI48" s="44"/>
      <c r="FJJ48" s="44"/>
      <c r="FJK48" s="44"/>
      <c r="FJL48" s="44"/>
      <c r="FJM48" s="44"/>
      <c r="FJN48" s="44"/>
      <c r="FJO48" s="44"/>
      <c r="FJP48" s="44"/>
      <c r="FJQ48" s="44"/>
      <c r="FJR48" s="44"/>
      <c r="FJS48" s="44"/>
      <c r="FJT48" s="44"/>
      <c r="FJU48" s="44"/>
      <c r="FJV48" s="44"/>
      <c r="FJW48" s="44"/>
      <c r="FJX48" s="44"/>
      <c r="FJY48" s="44"/>
      <c r="FJZ48" s="44"/>
      <c r="FKA48" s="44"/>
      <c r="FKB48" s="44"/>
      <c r="FKC48" s="44"/>
      <c r="FKD48" s="44"/>
      <c r="FKE48" s="44"/>
      <c r="FKF48" s="44"/>
      <c r="FKG48" s="44"/>
      <c r="FKH48" s="44"/>
      <c r="FKI48" s="44"/>
      <c r="FKJ48" s="44"/>
      <c r="FKK48" s="44"/>
      <c r="FKL48" s="44"/>
      <c r="FKM48" s="44"/>
      <c r="FKN48" s="44"/>
      <c r="FKO48" s="44"/>
      <c r="FKP48" s="44"/>
      <c r="FKQ48" s="44"/>
      <c r="FKR48" s="44"/>
      <c r="FKS48" s="44"/>
      <c r="FKT48" s="44"/>
      <c r="FKU48" s="44"/>
      <c r="FKV48" s="44"/>
      <c r="FKW48" s="44"/>
      <c r="FKX48" s="44"/>
      <c r="FKY48" s="44"/>
      <c r="FKZ48" s="44"/>
      <c r="FLA48" s="44"/>
      <c r="FLB48" s="44"/>
      <c r="FLC48" s="44"/>
      <c r="FLD48" s="44"/>
      <c r="FLE48" s="44"/>
      <c r="FLF48" s="44"/>
      <c r="FLG48" s="44"/>
      <c r="FLH48" s="44"/>
      <c r="FLI48" s="44"/>
      <c r="FLJ48" s="44"/>
      <c r="FLK48" s="44"/>
      <c r="FLL48" s="44"/>
      <c r="FLM48" s="44"/>
      <c r="FLN48" s="44"/>
      <c r="FLO48" s="44"/>
      <c r="FLP48" s="44"/>
      <c r="FLQ48" s="44"/>
      <c r="FLR48" s="44"/>
      <c r="FLS48" s="44"/>
      <c r="FLT48" s="44"/>
      <c r="FLU48" s="44"/>
      <c r="FLV48" s="44"/>
      <c r="FLW48" s="44"/>
      <c r="FLX48" s="44"/>
      <c r="FLY48" s="44"/>
      <c r="FLZ48" s="44"/>
      <c r="FMA48" s="44"/>
      <c r="FMB48" s="44"/>
      <c r="FMC48" s="44"/>
      <c r="FMD48" s="44"/>
      <c r="FME48" s="44"/>
      <c r="FMF48" s="44"/>
      <c r="FMG48" s="44"/>
      <c r="FMH48" s="44"/>
      <c r="FMI48" s="44"/>
      <c r="FMJ48" s="44"/>
      <c r="FMK48" s="44"/>
      <c r="FML48" s="44"/>
      <c r="FMM48" s="44"/>
      <c r="FMN48" s="44"/>
      <c r="FMO48" s="44"/>
      <c r="FMP48" s="44"/>
      <c r="FMQ48" s="44"/>
      <c r="FMR48" s="44"/>
      <c r="FMS48" s="44"/>
      <c r="FMT48" s="44"/>
      <c r="FMU48" s="44"/>
      <c r="FMV48" s="44"/>
      <c r="FMW48" s="44"/>
      <c r="FMX48" s="44"/>
      <c r="FMY48" s="44"/>
      <c r="FMZ48" s="44"/>
      <c r="FNA48" s="44"/>
      <c r="FNB48" s="44"/>
      <c r="FNC48" s="44"/>
      <c r="FND48" s="44"/>
      <c r="FNE48" s="44"/>
      <c r="FNF48" s="44"/>
      <c r="FNG48" s="44"/>
      <c r="FNH48" s="44"/>
      <c r="FNI48" s="44"/>
      <c r="FNJ48" s="44"/>
      <c r="FNK48" s="44"/>
      <c r="FNL48" s="44"/>
      <c r="FNM48" s="44"/>
      <c r="FNN48" s="44"/>
      <c r="FNO48" s="44"/>
      <c r="FNP48" s="44"/>
      <c r="FNQ48" s="44"/>
      <c r="FNR48" s="44"/>
      <c r="FNS48" s="44"/>
      <c r="FNT48" s="44"/>
      <c r="FNU48" s="44"/>
      <c r="FNV48" s="44"/>
      <c r="FNW48" s="44"/>
      <c r="FNX48" s="44"/>
      <c r="FNY48" s="44"/>
      <c r="FNZ48" s="44"/>
      <c r="FOA48" s="44"/>
      <c r="FOB48" s="44"/>
      <c r="FOC48" s="44"/>
      <c r="FOD48" s="44"/>
      <c r="FOE48" s="44"/>
      <c r="FOF48" s="44"/>
      <c r="FOG48" s="44"/>
      <c r="FOH48" s="44"/>
      <c r="FOI48" s="44"/>
      <c r="FOJ48" s="44"/>
      <c r="FOK48" s="44"/>
      <c r="FOL48" s="44"/>
      <c r="FOM48" s="44"/>
      <c r="FON48" s="44"/>
      <c r="FOO48" s="44"/>
      <c r="FOP48" s="44"/>
      <c r="FOQ48" s="44"/>
      <c r="FOR48" s="44"/>
      <c r="FOS48" s="44"/>
      <c r="FOT48" s="44"/>
      <c r="FOU48" s="44"/>
      <c r="FOV48" s="44"/>
      <c r="FOW48" s="44"/>
      <c r="FOX48" s="44"/>
      <c r="FOY48" s="44"/>
      <c r="FOZ48" s="44"/>
      <c r="FPA48" s="44"/>
      <c r="FPB48" s="44"/>
      <c r="FPC48" s="44"/>
      <c r="FPD48" s="44"/>
      <c r="FPE48" s="44"/>
      <c r="FPF48" s="44"/>
      <c r="FPG48" s="44"/>
      <c r="FPH48" s="44"/>
      <c r="FPI48" s="44"/>
      <c r="FPJ48" s="44"/>
      <c r="FPK48" s="44"/>
      <c r="FPL48" s="44"/>
      <c r="FPM48" s="44"/>
      <c r="FPN48" s="44"/>
      <c r="FPO48" s="44"/>
      <c r="FPP48" s="44"/>
      <c r="FPQ48" s="44"/>
      <c r="FPR48" s="44"/>
      <c r="FPS48" s="44"/>
      <c r="FPT48" s="44"/>
      <c r="FPU48" s="44"/>
      <c r="FPV48" s="44"/>
      <c r="FPW48" s="44"/>
      <c r="FPX48" s="44"/>
      <c r="FPY48" s="44"/>
      <c r="FPZ48" s="44"/>
      <c r="FQA48" s="44"/>
      <c r="FQB48" s="44"/>
      <c r="FQC48" s="44"/>
      <c r="FQD48" s="44"/>
      <c r="FQE48" s="44"/>
      <c r="FQF48" s="44"/>
      <c r="FQG48" s="44"/>
      <c r="FQH48" s="44"/>
      <c r="FQI48" s="44"/>
      <c r="FQJ48" s="44"/>
      <c r="FQK48" s="44"/>
      <c r="FQL48" s="44"/>
      <c r="FQM48" s="44"/>
      <c r="FQN48" s="44"/>
      <c r="FQO48" s="44"/>
      <c r="FQP48" s="44"/>
      <c r="FQQ48" s="44"/>
      <c r="FQR48" s="44"/>
      <c r="FQS48" s="44"/>
      <c r="FQT48" s="44"/>
      <c r="FQU48" s="44"/>
      <c r="FQV48" s="44"/>
      <c r="FQW48" s="44"/>
      <c r="FQX48" s="44"/>
      <c r="FQY48" s="44"/>
      <c r="FQZ48" s="44"/>
      <c r="FRA48" s="44"/>
      <c r="FRB48" s="44"/>
      <c r="FRC48" s="44"/>
      <c r="FRD48" s="44"/>
      <c r="FRE48" s="44"/>
      <c r="FRF48" s="44"/>
      <c r="FRG48" s="44"/>
      <c r="FRH48" s="44"/>
      <c r="FRI48" s="44"/>
      <c r="FRJ48" s="44"/>
      <c r="FRK48" s="44"/>
      <c r="FRL48" s="44"/>
      <c r="FRM48" s="44"/>
      <c r="FRN48" s="44"/>
      <c r="FRO48" s="44"/>
      <c r="FRP48" s="44"/>
      <c r="FRQ48" s="44"/>
      <c r="FRR48" s="44"/>
      <c r="FRS48" s="44"/>
      <c r="FRT48" s="44"/>
      <c r="FRU48" s="44"/>
      <c r="FRV48" s="44"/>
      <c r="FRW48" s="44"/>
      <c r="FRX48" s="44"/>
      <c r="FRY48" s="44"/>
      <c r="FRZ48" s="44"/>
      <c r="FSA48" s="44"/>
      <c r="FSB48" s="44"/>
      <c r="FSC48" s="44"/>
      <c r="FSD48" s="44"/>
      <c r="FSE48" s="44"/>
      <c r="FSF48" s="44"/>
      <c r="FSG48" s="44"/>
      <c r="FSH48" s="44"/>
      <c r="FSI48" s="44"/>
      <c r="FSJ48" s="44"/>
      <c r="FSK48" s="44"/>
      <c r="FSL48" s="44"/>
      <c r="FSM48" s="44"/>
      <c r="FSN48" s="44"/>
      <c r="FSO48" s="44"/>
      <c r="FSP48" s="44"/>
      <c r="FSQ48" s="44"/>
      <c r="FSR48" s="44"/>
      <c r="FSS48" s="44"/>
      <c r="FST48" s="44"/>
      <c r="FSU48" s="44"/>
      <c r="FSV48" s="44"/>
      <c r="FSW48" s="44"/>
      <c r="FSX48" s="44"/>
      <c r="FSY48" s="44"/>
      <c r="FSZ48" s="44"/>
      <c r="FTA48" s="44"/>
      <c r="FTB48" s="44"/>
      <c r="FTC48" s="44"/>
      <c r="FTD48" s="44"/>
      <c r="FTE48" s="44"/>
      <c r="FTF48" s="44"/>
      <c r="FTG48" s="44"/>
      <c r="FTH48" s="44"/>
      <c r="FTI48" s="44"/>
      <c r="FTJ48" s="44"/>
      <c r="FTK48" s="44"/>
      <c r="FTL48" s="44"/>
      <c r="FTM48" s="44"/>
      <c r="FTN48" s="44"/>
      <c r="FTO48" s="44"/>
      <c r="FTP48" s="44"/>
      <c r="FTQ48" s="44"/>
      <c r="FTR48" s="44"/>
      <c r="FTS48" s="44"/>
      <c r="FTT48" s="44"/>
      <c r="FTU48" s="44"/>
      <c r="FTV48" s="44"/>
      <c r="FTW48" s="44"/>
      <c r="FTX48" s="44"/>
      <c r="FTY48" s="44"/>
      <c r="FTZ48" s="44"/>
      <c r="FUA48" s="44"/>
      <c r="FUB48" s="44"/>
      <c r="FUC48" s="44"/>
      <c r="FUD48" s="44"/>
      <c r="FUE48" s="44"/>
      <c r="FUF48" s="44"/>
      <c r="FUG48" s="44"/>
      <c r="FUH48" s="44"/>
      <c r="FUI48" s="44"/>
      <c r="FUJ48" s="44"/>
      <c r="FUK48" s="44"/>
      <c r="FUL48" s="44"/>
      <c r="FUM48" s="44"/>
      <c r="FUN48" s="44"/>
      <c r="FUO48" s="44"/>
      <c r="FUP48" s="44"/>
      <c r="FUQ48" s="44"/>
      <c r="FUR48" s="44"/>
      <c r="FUS48" s="44"/>
      <c r="FUT48" s="44"/>
      <c r="FUU48" s="44"/>
      <c r="FUV48" s="44"/>
      <c r="FUW48" s="44"/>
      <c r="FUX48" s="44"/>
      <c r="FUY48" s="44"/>
      <c r="FUZ48" s="44"/>
      <c r="FVA48" s="44"/>
      <c r="FVB48" s="44"/>
      <c r="FVC48" s="44"/>
      <c r="FVD48" s="44"/>
      <c r="FVE48" s="44"/>
      <c r="FVF48" s="44"/>
      <c r="FVG48" s="44"/>
      <c r="FVH48" s="44"/>
      <c r="FVI48" s="44"/>
      <c r="FVJ48" s="44"/>
      <c r="FVK48" s="44"/>
      <c r="FVL48" s="44"/>
      <c r="FVM48" s="44"/>
      <c r="FVN48" s="44"/>
      <c r="FVO48" s="44"/>
      <c r="FVP48" s="44"/>
      <c r="FVQ48" s="44"/>
      <c r="FVR48" s="44"/>
      <c r="FVS48" s="44"/>
      <c r="FVT48" s="44"/>
      <c r="FVU48" s="44"/>
      <c r="FVV48" s="44"/>
      <c r="FVW48" s="44"/>
      <c r="FVX48" s="44"/>
      <c r="FVY48" s="44"/>
      <c r="FVZ48" s="44"/>
      <c r="FWA48" s="44"/>
      <c r="FWB48" s="44"/>
      <c r="FWC48" s="44"/>
      <c r="FWD48" s="44"/>
      <c r="FWE48" s="44"/>
      <c r="FWF48" s="44"/>
      <c r="FWG48" s="44"/>
      <c r="FWH48" s="44"/>
      <c r="FWI48" s="44"/>
      <c r="FWJ48" s="44"/>
      <c r="FWK48" s="44"/>
      <c r="FWL48" s="44"/>
      <c r="FWM48" s="44"/>
      <c r="FWN48" s="44"/>
      <c r="FWO48" s="44"/>
      <c r="FWP48" s="44"/>
      <c r="FWQ48" s="44"/>
      <c r="FWR48" s="44"/>
      <c r="FWS48" s="44"/>
      <c r="FWT48" s="44"/>
      <c r="FWU48" s="44"/>
      <c r="FWV48" s="44"/>
      <c r="FWW48" s="44"/>
      <c r="FWX48" s="44"/>
      <c r="FWY48" s="44"/>
      <c r="FWZ48" s="44"/>
      <c r="FXA48" s="44"/>
      <c r="FXB48" s="44"/>
      <c r="FXC48" s="44"/>
      <c r="FXD48" s="44"/>
      <c r="FXE48" s="44"/>
      <c r="FXF48" s="44"/>
      <c r="FXG48" s="44"/>
      <c r="FXH48" s="44"/>
      <c r="FXI48" s="44"/>
      <c r="FXJ48" s="44"/>
      <c r="FXK48" s="44"/>
      <c r="FXL48" s="44"/>
      <c r="FXM48" s="44"/>
      <c r="FXN48" s="44"/>
      <c r="FXO48" s="44"/>
      <c r="FXP48" s="44"/>
      <c r="FXQ48" s="44"/>
      <c r="FXR48" s="44"/>
      <c r="FXS48" s="44"/>
      <c r="FXT48" s="44"/>
      <c r="FXU48" s="44"/>
      <c r="FXV48" s="44"/>
      <c r="FXW48" s="44"/>
      <c r="FXX48" s="44"/>
      <c r="FXY48" s="44"/>
      <c r="FXZ48" s="44"/>
      <c r="FYA48" s="44"/>
      <c r="FYB48" s="44"/>
      <c r="FYC48" s="44"/>
      <c r="FYD48" s="44"/>
      <c r="FYE48" s="44"/>
      <c r="FYF48" s="44"/>
      <c r="FYG48" s="44"/>
      <c r="FYH48" s="44"/>
      <c r="FYI48" s="44"/>
      <c r="FYJ48" s="44"/>
      <c r="FYK48" s="44"/>
      <c r="FYL48" s="44"/>
      <c r="FYM48" s="44"/>
      <c r="FYN48" s="44"/>
      <c r="FYO48" s="44"/>
      <c r="FYP48" s="44"/>
      <c r="FYQ48" s="44"/>
      <c r="FYR48" s="44"/>
      <c r="FYS48" s="44"/>
      <c r="FYT48" s="44"/>
      <c r="FYU48" s="44"/>
      <c r="FYV48" s="44"/>
      <c r="FYW48" s="44"/>
      <c r="FYX48" s="44"/>
      <c r="FYY48" s="44"/>
      <c r="FYZ48" s="44"/>
      <c r="FZA48" s="44"/>
      <c r="FZB48" s="44"/>
      <c r="FZC48" s="44"/>
      <c r="FZD48" s="44"/>
      <c r="FZE48" s="44"/>
      <c r="FZF48" s="44"/>
      <c r="FZG48" s="44"/>
      <c r="FZH48" s="44"/>
      <c r="FZI48" s="44"/>
      <c r="FZJ48" s="44"/>
      <c r="FZK48" s="44"/>
      <c r="FZL48" s="44"/>
      <c r="FZM48" s="44"/>
      <c r="FZN48" s="44"/>
      <c r="FZO48" s="44"/>
      <c r="FZP48" s="44"/>
      <c r="FZQ48" s="44"/>
      <c r="FZR48" s="44"/>
      <c r="FZS48" s="44"/>
      <c r="FZT48" s="44"/>
      <c r="FZU48" s="44"/>
      <c r="FZV48" s="44"/>
      <c r="FZW48" s="44"/>
      <c r="FZX48" s="44"/>
      <c r="FZY48" s="44"/>
      <c r="FZZ48" s="44"/>
      <c r="GAA48" s="44"/>
      <c r="GAB48" s="44"/>
      <c r="GAC48" s="44"/>
      <c r="GAD48" s="44"/>
      <c r="GAE48" s="44"/>
      <c r="GAF48" s="44"/>
      <c r="GAG48" s="44"/>
      <c r="GAH48" s="44"/>
      <c r="GAI48" s="44"/>
      <c r="GAJ48" s="44"/>
      <c r="GAK48" s="44"/>
      <c r="GAL48" s="44"/>
      <c r="GAM48" s="44"/>
      <c r="GAN48" s="44"/>
      <c r="GAO48" s="44"/>
      <c r="GAP48" s="44"/>
      <c r="GAQ48" s="44"/>
      <c r="GAR48" s="44"/>
      <c r="GAS48" s="44"/>
      <c r="GAT48" s="44"/>
      <c r="GAU48" s="44"/>
      <c r="GAV48" s="44"/>
      <c r="GAW48" s="44"/>
      <c r="GAX48" s="44"/>
      <c r="GAY48" s="44"/>
      <c r="GAZ48" s="44"/>
      <c r="GBA48" s="44"/>
      <c r="GBB48" s="44"/>
      <c r="GBC48" s="44"/>
      <c r="GBD48" s="44"/>
      <c r="GBE48" s="44"/>
      <c r="GBF48" s="44"/>
      <c r="GBG48" s="44"/>
      <c r="GBH48" s="44"/>
      <c r="GBI48" s="44"/>
      <c r="GBJ48" s="44"/>
      <c r="GBK48" s="44"/>
      <c r="GBL48" s="44"/>
      <c r="GBM48" s="44"/>
      <c r="GBN48" s="44"/>
      <c r="GBO48" s="44"/>
      <c r="GBP48" s="44"/>
      <c r="GBQ48" s="44"/>
      <c r="GBR48" s="44"/>
      <c r="GBS48" s="44"/>
      <c r="GBT48" s="44"/>
      <c r="GBU48" s="44"/>
      <c r="GBV48" s="44"/>
      <c r="GBW48" s="44"/>
      <c r="GBX48" s="44"/>
      <c r="GBY48" s="44"/>
      <c r="GBZ48" s="44"/>
      <c r="GCA48" s="44"/>
      <c r="GCB48" s="44"/>
      <c r="GCC48" s="44"/>
      <c r="GCD48" s="44"/>
      <c r="GCE48" s="44"/>
      <c r="GCF48" s="44"/>
      <c r="GCG48" s="44"/>
      <c r="GCH48" s="44"/>
      <c r="GCI48" s="44"/>
      <c r="GCJ48" s="44"/>
      <c r="GCK48" s="44"/>
      <c r="GCL48" s="44"/>
      <c r="GCM48" s="44"/>
      <c r="GCN48" s="44"/>
      <c r="GCO48" s="44"/>
      <c r="GCP48" s="44"/>
      <c r="GCQ48" s="44"/>
      <c r="GCR48" s="44"/>
      <c r="GCS48" s="44"/>
      <c r="GCT48" s="44"/>
      <c r="GCU48" s="44"/>
      <c r="GCV48" s="44"/>
      <c r="GCW48" s="44"/>
      <c r="GCX48" s="44"/>
      <c r="GCY48" s="44"/>
      <c r="GCZ48" s="44"/>
      <c r="GDA48" s="44"/>
      <c r="GDB48" s="44"/>
      <c r="GDC48" s="44"/>
      <c r="GDD48" s="44"/>
      <c r="GDE48" s="44"/>
      <c r="GDF48" s="44"/>
      <c r="GDG48" s="44"/>
      <c r="GDH48" s="44"/>
      <c r="GDI48" s="44"/>
      <c r="GDJ48" s="44"/>
      <c r="GDK48" s="44"/>
      <c r="GDL48" s="44"/>
      <c r="GDM48" s="44"/>
      <c r="GDN48" s="44"/>
      <c r="GDO48" s="44"/>
      <c r="GDP48" s="44"/>
      <c r="GDQ48" s="44"/>
      <c r="GDR48" s="44"/>
      <c r="GDS48" s="44"/>
      <c r="GDT48" s="44"/>
      <c r="GDU48" s="44"/>
      <c r="GDV48" s="44"/>
      <c r="GDW48" s="44"/>
      <c r="GDX48" s="44"/>
      <c r="GDY48" s="44"/>
      <c r="GDZ48" s="44"/>
      <c r="GEA48" s="44"/>
      <c r="GEB48" s="44"/>
      <c r="GEC48" s="44"/>
      <c r="GED48" s="44"/>
      <c r="GEE48" s="44"/>
      <c r="GEF48" s="44"/>
      <c r="GEG48" s="44"/>
      <c r="GEH48" s="44"/>
      <c r="GEI48" s="44"/>
      <c r="GEJ48" s="44"/>
      <c r="GEK48" s="44"/>
      <c r="GEL48" s="44"/>
      <c r="GEM48" s="44"/>
      <c r="GEN48" s="44"/>
      <c r="GEO48" s="44"/>
      <c r="GEP48" s="44"/>
      <c r="GEQ48" s="44"/>
      <c r="GER48" s="44"/>
      <c r="GES48" s="44"/>
      <c r="GET48" s="44"/>
      <c r="GEU48" s="44"/>
      <c r="GEV48" s="44"/>
      <c r="GEW48" s="44"/>
      <c r="GEX48" s="44"/>
      <c r="GEY48" s="44"/>
      <c r="GEZ48" s="44"/>
      <c r="GFA48" s="44"/>
      <c r="GFB48" s="44"/>
      <c r="GFC48" s="44"/>
      <c r="GFD48" s="44"/>
      <c r="GFE48" s="44"/>
      <c r="GFF48" s="44"/>
      <c r="GFG48" s="44"/>
      <c r="GFH48" s="44"/>
      <c r="GFI48" s="44"/>
      <c r="GFJ48" s="44"/>
      <c r="GFK48" s="44"/>
      <c r="GFL48" s="44"/>
      <c r="GFM48" s="44"/>
      <c r="GFN48" s="44"/>
      <c r="GFO48" s="44"/>
      <c r="GFP48" s="44"/>
      <c r="GFQ48" s="44"/>
      <c r="GFR48" s="44"/>
      <c r="GFS48" s="44"/>
      <c r="GFT48" s="44"/>
      <c r="GFU48" s="44"/>
      <c r="GFV48" s="44"/>
      <c r="GFW48" s="44"/>
      <c r="GFX48" s="44"/>
      <c r="GFY48" s="44"/>
      <c r="GFZ48" s="44"/>
      <c r="GGA48" s="44"/>
      <c r="GGB48" s="44"/>
      <c r="GGC48" s="44"/>
      <c r="GGD48" s="44"/>
      <c r="GGE48" s="44"/>
      <c r="GGF48" s="44"/>
      <c r="GGG48" s="44"/>
      <c r="GGH48" s="44"/>
      <c r="GGI48" s="44"/>
      <c r="GGJ48" s="44"/>
      <c r="GGK48" s="44"/>
      <c r="GGL48" s="44"/>
      <c r="GGM48" s="44"/>
      <c r="GGN48" s="44"/>
      <c r="GGO48" s="44"/>
      <c r="GGP48" s="44"/>
      <c r="GGQ48" s="44"/>
      <c r="GGR48" s="44"/>
      <c r="GGS48" s="44"/>
      <c r="GGT48" s="44"/>
      <c r="GGU48" s="44"/>
      <c r="GGV48" s="44"/>
      <c r="GGW48" s="44"/>
      <c r="GGX48" s="44"/>
      <c r="GGY48" s="44"/>
      <c r="GGZ48" s="44"/>
      <c r="GHA48" s="44"/>
      <c r="GHB48" s="44"/>
      <c r="GHC48" s="44"/>
      <c r="GHD48" s="44"/>
      <c r="GHE48" s="44"/>
      <c r="GHF48" s="44"/>
      <c r="GHG48" s="44"/>
      <c r="GHH48" s="44"/>
      <c r="GHI48" s="44"/>
      <c r="GHJ48" s="44"/>
      <c r="GHK48" s="44"/>
      <c r="GHL48" s="44"/>
      <c r="GHM48" s="44"/>
      <c r="GHN48" s="44"/>
      <c r="GHO48" s="44"/>
      <c r="GHP48" s="44"/>
      <c r="GHQ48" s="44"/>
      <c r="GHR48" s="44"/>
      <c r="GHS48" s="44"/>
      <c r="GHT48" s="44"/>
      <c r="GHU48" s="44"/>
      <c r="GHV48" s="44"/>
      <c r="GHW48" s="44"/>
      <c r="GHX48" s="44"/>
      <c r="GHY48" s="44"/>
      <c r="GHZ48" s="44"/>
      <c r="GIA48" s="44"/>
      <c r="GIB48" s="44"/>
      <c r="GIC48" s="44"/>
      <c r="GID48" s="44"/>
      <c r="GIE48" s="44"/>
      <c r="GIF48" s="44"/>
      <c r="GIG48" s="44"/>
      <c r="GIH48" s="44"/>
      <c r="GII48" s="44"/>
      <c r="GIJ48" s="44"/>
      <c r="GIK48" s="44"/>
      <c r="GIL48" s="44"/>
      <c r="GIM48" s="44"/>
      <c r="GIN48" s="44"/>
      <c r="GIO48" s="44"/>
      <c r="GIP48" s="44"/>
      <c r="GIQ48" s="44"/>
      <c r="GIR48" s="44"/>
      <c r="GIS48" s="44"/>
      <c r="GIT48" s="44"/>
      <c r="GIU48" s="44"/>
      <c r="GIV48" s="44"/>
      <c r="GIW48" s="44"/>
      <c r="GIX48" s="44"/>
      <c r="GIY48" s="44"/>
      <c r="GIZ48" s="44"/>
      <c r="GJA48" s="44"/>
      <c r="GJB48" s="44"/>
      <c r="GJC48" s="44"/>
      <c r="GJD48" s="44"/>
      <c r="GJE48" s="44"/>
      <c r="GJF48" s="44"/>
      <c r="GJG48" s="44"/>
      <c r="GJH48" s="44"/>
      <c r="GJI48" s="44"/>
      <c r="GJJ48" s="44"/>
      <c r="GJK48" s="44"/>
      <c r="GJL48" s="44"/>
      <c r="GJM48" s="44"/>
      <c r="GJN48" s="44"/>
      <c r="GJO48" s="44"/>
      <c r="GJP48" s="44"/>
      <c r="GJQ48" s="44"/>
      <c r="GJR48" s="44"/>
      <c r="GJS48" s="44"/>
      <c r="GJT48" s="44"/>
      <c r="GJU48" s="44"/>
      <c r="GJV48" s="44"/>
      <c r="GJW48" s="44"/>
      <c r="GJX48" s="44"/>
      <c r="GJY48" s="44"/>
      <c r="GJZ48" s="44"/>
      <c r="GKA48" s="44"/>
      <c r="GKB48" s="44"/>
      <c r="GKC48" s="44"/>
      <c r="GKD48" s="44"/>
      <c r="GKE48" s="44"/>
      <c r="GKF48" s="44"/>
      <c r="GKG48" s="44"/>
      <c r="GKH48" s="44"/>
      <c r="GKI48" s="44"/>
      <c r="GKJ48" s="44"/>
      <c r="GKK48" s="44"/>
      <c r="GKL48" s="44"/>
      <c r="GKM48" s="44"/>
      <c r="GKN48" s="44"/>
      <c r="GKO48" s="44"/>
      <c r="GKP48" s="44"/>
      <c r="GKQ48" s="44"/>
      <c r="GKR48" s="44"/>
      <c r="GKS48" s="44"/>
      <c r="GKT48" s="44"/>
      <c r="GKU48" s="44"/>
      <c r="GKV48" s="44"/>
      <c r="GKW48" s="44"/>
      <c r="GKX48" s="44"/>
      <c r="GKY48" s="44"/>
      <c r="GKZ48" s="44"/>
      <c r="GLA48" s="44"/>
      <c r="GLB48" s="44"/>
      <c r="GLC48" s="44"/>
      <c r="GLD48" s="44"/>
      <c r="GLE48" s="44"/>
      <c r="GLF48" s="44"/>
      <c r="GLG48" s="44"/>
      <c r="GLH48" s="44"/>
      <c r="GLI48" s="44"/>
      <c r="GLJ48" s="44"/>
      <c r="GLK48" s="44"/>
      <c r="GLL48" s="44"/>
      <c r="GLM48" s="44"/>
      <c r="GLN48" s="44"/>
      <c r="GLO48" s="44"/>
      <c r="GLP48" s="44"/>
      <c r="GLQ48" s="44"/>
      <c r="GLR48" s="44"/>
      <c r="GLS48" s="44"/>
      <c r="GLT48" s="44"/>
      <c r="GLU48" s="44"/>
      <c r="GLV48" s="44"/>
      <c r="GLW48" s="44"/>
      <c r="GLX48" s="44"/>
      <c r="GLY48" s="44"/>
      <c r="GLZ48" s="44"/>
      <c r="GMA48" s="44"/>
      <c r="GMB48" s="44"/>
      <c r="GMC48" s="44"/>
      <c r="GMD48" s="44"/>
      <c r="GME48" s="44"/>
      <c r="GMF48" s="44"/>
      <c r="GMG48" s="44"/>
      <c r="GMH48" s="44"/>
      <c r="GMI48" s="44"/>
      <c r="GMJ48" s="44"/>
      <c r="GMK48" s="44"/>
      <c r="GML48" s="44"/>
      <c r="GMM48" s="44"/>
      <c r="GMN48" s="44"/>
      <c r="GMO48" s="44"/>
      <c r="GMP48" s="44"/>
      <c r="GMQ48" s="44"/>
      <c r="GMR48" s="44"/>
      <c r="GMS48" s="44"/>
      <c r="GMT48" s="44"/>
      <c r="GMU48" s="44"/>
      <c r="GMV48" s="44"/>
      <c r="GMW48" s="44"/>
      <c r="GMX48" s="44"/>
      <c r="GMY48" s="44"/>
      <c r="GMZ48" s="44"/>
      <c r="GNA48" s="44"/>
      <c r="GNB48" s="44"/>
      <c r="GNC48" s="44"/>
      <c r="GND48" s="44"/>
      <c r="GNE48" s="44"/>
      <c r="GNF48" s="44"/>
      <c r="GNG48" s="44"/>
      <c r="GNH48" s="44"/>
      <c r="GNI48" s="44"/>
      <c r="GNJ48" s="44"/>
      <c r="GNK48" s="44"/>
      <c r="GNL48" s="44"/>
      <c r="GNM48" s="44"/>
      <c r="GNN48" s="44"/>
      <c r="GNO48" s="44"/>
      <c r="GNP48" s="44"/>
      <c r="GNQ48" s="44"/>
      <c r="GNR48" s="44"/>
      <c r="GNS48" s="44"/>
      <c r="GNT48" s="44"/>
      <c r="GNU48" s="44"/>
      <c r="GNV48" s="44"/>
      <c r="GNW48" s="44"/>
      <c r="GNX48" s="44"/>
      <c r="GNY48" s="44"/>
      <c r="GNZ48" s="44"/>
      <c r="GOA48" s="44"/>
      <c r="GOB48" s="44"/>
      <c r="GOC48" s="44"/>
      <c r="GOD48" s="44"/>
      <c r="GOE48" s="44"/>
      <c r="GOF48" s="44"/>
      <c r="GOG48" s="44"/>
      <c r="GOH48" s="44"/>
      <c r="GOI48" s="44"/>
      <c r="GOJ48" s="44"/>
      <c r="GOK48" s="44"/>
      <c r="GOL48" s="44"/>
      <c r="GOM48" s="44"/>
      <c r="GON48" s="44"/>
      <c r="GOO48" s="44"/>
      <c r="GOP48" s="44"/>
      <c r="GOQ48" s="44"/>
      <c r="GOR48" s="44"/>
      <c r="GOS48" s="44"/>
      <c r="GOT48" s="44"/>
      <c r="GOU48" s="44"/>
      <c r="GOV48" s="44"/>
      <c r="GOW48" s="44"/>
      <c r="GOX48" s="44"/>
      <c r="GOY48" s="44"/>
      <c r="GOZ48" s="44"/>
      <c r="GPA48" s="44"/>
      <c r="GPB48" s="44"/>
      <c r="GPC48" s="44"/>
      <c r="GPD48" s="44"/>
      <c r="GPE48" s="44"/>
      <c r="GPF48" s="44"/>
      <c r="GPG48" s="44"/>
      <c r="GPH48" s="44"/>
      <c r="GPI48" s="44"/>
      <c r="GPJ48" s="44"/>
      <c r="GPK48" s="44"/>
      <c r="GPL48" s="44"/>
      <c r="GPM48" s="44"/>
      <c r="GPN48" s="44"/>
      <c r="GPO48" s="44"/>
      <c r="GPP48" s="44"/>
      <c r="GPQ48" s="44"/>
      <c r="GPR48" s="44"/>
      <c r="GPS48" s="44"/>
      <c r="GPT48" s="44"/>
      <c r="GPU48" s="44"/>
      <c r="GPV48" s="44"/>
      <c r="GPW48" s="44"/>
      <c r="GPX48" s="44"/>
      <c r="GPY48" s="44"/>
      <c r="GPZ48" s="44"/>
      <c r="GQA48" s="44"/>
      <c r="GQB48" s="44"/>
      <c r="GQC48" s="44"/>
      <c r="GQD48" s="44"/>
      <c r="GQE48" s="44"/>
      <c r="GQF48" s="44"/>
      <c r="GQG48" s="44"/>
      <c r="GQH48" s="44"/>
      <c r="GQI48" s="44"/>
      <c r="GQJ48" s="44"/>
      <c r="GQK48" s="44"/>
      <c r="GQL48" s="44"/>
      <c r="GQM48" s="44"/>
      <c r="GQN48" s="44"/>
      <c r="GQO48" s="44"/>
      <c r="GQP48" s="44"/>
      <c r="GQQ48" s="44"/>
      <c r="GQR48" s="44"/>
      <c r="GQS48" s="44"/>
      <c r="GQT48" s="44"/>
      <c r="GQU48" s="44"/>
      <c r="GQV48" s="44"/>
      <c r="GQW48" s="44"/>
      <c r="GQX48" s="44"/>
      <c r="GQY48" s="44"/>
      <c r="GQZ48" s="44"/>
      <c r="GRA48" s="44"/>
      <c r="GRB48" s="44"/>
      <c r="GRC48" s="44"/>
      <c r="GRD48" s="44"/>
      <c r="GRE48" s="44"/>
      <c r="GRF48" s="44"/>
      <c r="GRG48" s="44"/>
      <c r="GRH48" s="44"/>
      <c r="GRI48" s="44"/>
      <c r="GRJ48" s="44"/>
      <c r="GRK48" s="44"/>
      <c r="GRL48" s="44"/>
      <c r="GRM48" s="44"/>
      <c r="GRN48" s="44"/>
      <c r="GRO48" s="44"/>
      <c r="GRP48" s="44"/>
      <c r="GRQ48" s="44"/>
      <c r="GRR48" s="44"/>
      <c r="GRS48" s="44"/>
      <c r="GRT48" s="44"/>
      <c r="GRU48" s="44"/>
      <c r="GRV48" s="44"/>
      <c r="GRW48" s="44"/>
      <c r="GRX48" s="44"/>
      <c r="GRY48" s="44"/>
      <c r="GRZ48" s="44"/>
      <c r="GSA48" s="44"/>
      <c r="GSB48" s="44"/>
      <c r="GSC48" s="44"/>
      <c r="GSD48" s="44"/>
      <c r="GSE48" s="44"/>
      <c r="GSF48" s="44"/>
      <c r="GSG48" s="44"/>
      <c r="GSH48" s="44"/>
      <c r="GSI48" s="44"/>
      <c r="GSJ48" s="44"/>
      <c r="GSK48" s="44"/>
      <c r="GSL48" s="44"/>
      <c r="GSM48" s="44"/>
      <c r="GSN48" s="44"/>
      <c r="GSO48" s="44"/>
      <c r="GSP48" s="44"/>
      <c r="GSQ48" s="44"/>
      <c r="GSR48" s="44"/>
      <c r="GSS48" s="44"/>
      <c r="GST48" s="44"/>
      <c r="GSU48" s="44"/>
      <c r="GSV48" s="44"/>
      <c r="GSW48" s="44"/>
      <c r="GSX48" s="44"/>
      <c r="GSY48" s="44"/>
      <c r="GSZ48" s="44"/>
      <c r="GTA48" s="44"/>
      <c r="GTB48" s="44"/>
      <c r="GTC48" s="44"/>
      <c r="GTD48" s="44"/>
      <c r="GTE48" s="44"/>
      <c r="GTF48" s="44"/>
      <c r="GTG48" s="44"/>
      <c r="GTH48" s="44"/>
      <c r="GTI48" s="44"/>
      <c r="GTJ48" s="44"/>
      <c r="GTK48" s="44"/>
      <c r="GTL48" s="44"/>
      <c r="GTM48" s="44"/>
      <c r="GTN48" s="44"/>
      <c r="GTO48" s="44"/>
      <c r="GTP48" s="44"/>
      <c r="GTQ48" s="44"/>
      <c r="GTR48" s="44"/>
      <c r="GTS48" s="44"/>
      <c r="GTT48" s="44"/>
      <c r="GTU48" s="44"/>
      <c r="GTV48" s="44"/>
      <c r="GTW48" s="44"/>
      <c r="GTX48" s="44"/>
      <c r="GTY48" s="44"/>
      <c r="GTZ48" s="44"/>
      <c r="GUA48" s="44"/>
      <c r="GUB48" s="44"/>
      <c r="GUC48" s="44"/>
      <c r="GUD48" s="44"/>
      <c r="GUE48" s="44"/>
      <c r="GUF48" s="44"/>
      <c r="GUG48" s="44"/>
      <c r="GUH48" s="44"/>
      <c r="GUI48" s="44"/>
      <c r="GUJ48" s="44"/>
      <c r="GUK48" s="44"/>
      <c r="GUL48" s="44"/>
      <c r="GUM48" s="44"/>
      <c r="GUN48" s="44"/>
      <c r="GUO48" s="44"/>
      <c r="GUP48" s="44"/>
      <c r="GUQ48" s="44"/>
      <c r="GUR48" s="44"/>
      <c r="GUS48" s="44"/>
      <c r="GUT48" s="44"/>
      <c r="GUU48" s="44"/>
      <c r="GUV48" s="44"/>
      <c r="GUW48" s="44"/>
      <c r="GUX48" s="44"/>
      <c r="GUY48" s="44"/>
      <c r="GUZ48" s="44"/>
      <c r="GVA48" s="44"/>
      <c r="GVB48" s="44"/>
      <c r="GVC48" s="44"/>
      <c r="GVD48" s="44"/>
      <c r="GVE48" s="44"/>
      <c r="GVF48" s="44"/>
      <c r="GVG48" s="44"/>
      <c r="GVH48" s="44"/>
      <c r="GVI48" s="44"/>
      <c r="GVJ48" s="44"/>
      <c r="GVK48" s="44"/>
      <c r="GVL48" s="44"/>
      <c r="GVM48" s="44"/>
      <c r="GVN48" s="44"/>
      <c r="GVO48" s="44"/>
      <c r="GVP48" s="44"/>
      <c r="GVQ48" s="44"/>
      <c r="GVR48" s="44"/>
      <c r="GVS48" s="44"/>
      <c r="GVT48" s="44"/>
      <c r="GVU48" s="44"/>
      <c r="GVV48" s="44"/>
      <c r="GVW48" s="44"/>
      <c r="GVX48" s="44"/>
      <c r="GVY48" s="44"/>
      <c r="GVZ48" s="44"/>
      <c r="GWA48" s="44"/>
      <c r="GWB48" s="44"/>
      <c r="GWC48" s="44"/>
      <c r="GWD48" s="44"/>
      <c r="GWE48" s="44"/>
      <c r="GWF48" s="44"/>
      <c r="GWG48" s="44"/>
      <c r="GWH48" s="44"/>
      <c r="GWI48" s="44"/>
      <c r="GWJ48" s="44"/>
      <c r="GWK48" s="44"/>
      <c r="GWL48" s="44"/>
      <c r="GWM48" s="44"/>
      <c r="GWN48" s="44"/>
      <c r="GWO48" s="44"/>
      <c r="GWP48" s="44"/>
      <c r="GWQ48" s="44"/>
      <c r="GWR48" s="44"/>
      <c r="GWS48" s="44"/>
      <c r="GWT48" s="44"/>
      <c r="GWU48" s="44"/>
      <c r="GWV48" s="44"/>
      <c r="GWW48" s="44"/>
      <c r="GWX48" s="44"/>
      <c r="GWY48" s="44"/>
      <c r="GWZ48" s="44"/>
      <c r="GXA48" s="44"/>
      <c r="GXB48" s="44"/>
      <c r="GXC48" s="44"/>
      <c r="GXD48" s="44"/>
      <c r="GXE48" s="44"/>
      <c r="GXF48" s="44"/>
      <c r="GXG48" s="44"/>
      <c r="GXH48" s="44"/>
      <c r="GXI48" s="44"/>
      <c r="GXJ48" s="44"/>
      <c r="GXK48" s="44"/>
      <c r="GXL48" s="44"/>
      <c r="GXM48" s="44"/>
      <c r="GXN48" s="44"/>
      <c r="GXO48" s="44"/>
      <c r="GXP48" s="44"/>
      <c r="GXQ48" s="44"/>
      <c r="GXR48" s="44"/>
      <c r="GXS48" s="44"/>
      <c r="GXT48" s="44"/>
      <c r="GXU48" s="44"/>
      <c r="GXV48" s="44"/>
      <c r="GXW48" s="44"/>
      <c r="GXX48" s="44"/>
      <c r="GXY48" s="44"/>
      <c r="GXZ48" s="44"/>
      <c r="GYA48" s="44"/>
      <c r="GYB48" s="44"/>
      <c r="GYC48" s="44"/>
      <c r="GYD48" s="44"/>
      <c r="GYE48" s="44"/>
      <c r="GYF48" s="44"/>
      <c r="GYG48" s="44"/>
      <c r="GYH48" s="44"/>
      <c r="GYI48" s="44"/>
      <c r="GYJ48" s="44"/>
      <c r="GYK48" s="44"/>
      <c r="GYL48" s="44"/>
      <c r="GYM48" s="44"/>
      <c r="GYN48" s="44"/>
      <c r="GYO48" s="44"/>
      <c r="GYP48" s="44"/>
      <c r="GYQ48" s="44"/>
      <c r="GYR48" s="44"/>
      <c r="GYS48" s="44"/>
      <c r="GYT48" s="44"/>
      <c r="GYU48" s="44"/>
      <c r="GYV48" s="44"/>
      <c r="GYW48" s="44"/>
      <c r="GYX48" s="44"/>
      <c r="GYY48" s="44"/>
      <c r="GYZ48" s="44"/>
      <c r="GZA48" s="44"/>
      <c r="GZB48" s="44"/>
      <c r="GZC48" s="44"/>
      <c r="GZD48" s="44"/>
      <c r="GZE48" s="44"/>
      <c r="GZF48" s="44"/>
      <c r="GZG48" s="44"/>
      <c r="GZH48" s="44"/>
      <c r="GZI48" s="44"/>
      <c r="GZJ48" s="44"/>
      <c r="GZK48" s="44"/>
      <c r="GZL48" s="44"/>
      <c r="GZM48" s="44"/>
      <c r="GZN48" s="44"/>
      <c r="GZO48" s="44"/>
      <c r="GZP48" s="44"/>
      <c r="GZQ48" s="44"/>
      <c r="GZR48" s="44"/>
      <c r="GZS48" s="44"/>
      <c r="GZT48" s="44"/>
      <c r="GZU48" s="44"/>
      <c r="GZV48" s="44"/>
      <c r="GZW48" s="44"/>
      <c r="GZX48" s="44"/>
      <c r="GZY48" s="44"/>
      <c r="GZZ48" s="44"/>
      <c r="HAA48" s="44"/>
      <c r="HAB48" s="44"/>
      <c r="HAC48" s="44"/>
      <c r="HAD48" s="44"/>
      <c r="HAE48" s="44"/>
      <c r="HAF48" s="44"/>
      <c r="HAG48" s="44"/>
      <c r="HAH48" s="44"/>
      <c r="HAI48" s="44"/>
      <c r="HAJ48" s="44"/>
      <c r="HAK48" s="44"/>
      <c r="HAL48" s="44"/>
      <c r="HAM48" s="44"/>
      <c r="HAN48" s="44"/>
      <c r="HAO48" s="44"/>
      <c r="HAP48" s="44"/>
      <c r="HAQ48" s="44"/>
      <c r="HAR48" s="44"/>
      <c r="HAS48" s="44"/>
      <c r="HAT48" s="44"/>
      <c r="HAU48" s="44"/>
      <c r="HAV48" s="44"/>
      <c r="HAW48" s="44"/>
      <c r="HAX48" s="44"/>
      <c r="HAY48" s="44"/>
      <c r="HAZ48" s="44"/>
      <c r="HBA48" s="44"/>
      <c r="HBB48" s="44"/>
      <c r="HBC48" s="44"/>
      <c r="HBD48" s="44"/>
      <c r="HBE48" s="44"/>
      <c r="HBF48" s="44"/>
      <c r="HBG48" s="44"/>
      <c r="HBH48" s="44"/>
      <c r="HBI48" s="44"/>
      <c r="HBJ48" s="44"/>
      <c r="HBK48" s="44"/>
      <c r="HBL48" s="44"/>
      <c r="HBM48" s="44"/>
      <c r="HBN48" s="44"/>
      <c r="HBO48" s="44"/>
      <c r="HBP48" s="44"/>
      <c r="HBQ48" s="44"/>
      <c r="HBR48" s="44"/>
      <c r="HBS48" s="44"/>
      <c r="HBT48" s="44"/>
      <c r="HBU48" s="44"/>
      <c r="HBV48" s="44"/>
      <c r="HBW48" s="44"/>
      <c r="HBX48" s="44"/>
      <c r="HBY48" s="44"/>
      <c r="HBZ48" s="44"/>
      <c r="HCA48" s="44"/>
      <c r="HCB48" s="44"/>
      <c r="HCC48" s="44"/>
      <c r="HCD48" s="44"/>
      <c r="HCE48" s="44"/>
      <c r="HCF48" s="44"/>
      <c r="HCG48" s="44"/>
      <c r="HCH48" s="44"/>
      <c r="HCI48" s="44"/>
      <c r="HCJ48" s="44"/>
      <c r="HCK48" s="44"/>
      <c r="HCL48" s="44"/>
      <c r="HCM48" s="44"/>
      <c r="HCN48" s="44"/>
      <c r="HCO48" s="44"/>
      <c r="HCP48" s="44"/>
      <c r="HCQ48" s="44"/>
      <c r="HCR48" s="44"/>
      <c r="HCS48" s="44"/>
      <c r="HCT48" s="44"/>
      <c r="HCU48" s="44"/>
      <c r="HCV48" s="44"/>
      <c r="HCW48" s="44"/>
      <c r="HCX48" s="44"/>
      <c r="HCY48" s="44"/>
      <c r="HCZ48" s="44"/>
      <c r="HDA48" s="44"/>
      <c r="HDB48" s="44"/>
      <c r="HDC48" s="44"/>
      <c r="HDD48" s="44"/>
      <c r="HDE48" s="44"/>
      <c r="HDF48" s="44"/>
      <c r="HDG48" s="44"/>
      <c r="HDH48" s="44"/>
      <c r="HDI48" s="44"/>
      <c r="HDJ48" s="44"/>
      <c r="HDK48" s="44"/>
      <c r="HDL48" s="44"/>
      <c r="HDM48" s="44"/>
      <c r="HDN48" s="44"/>
      <c r="HDO48" s="44"/>
      <c r="HDP48" s="44"/>
      <c r="HDQ48" s="44"/>
      <c r="HDR48" s="44"/>
      <c r="HDS48" s="44"/>
      <c r="HDT48" s="44"/>
      <c r="HDU48" s="44"/>
      <c r="HDV48" s="44"/>
      <c r="HDW48" s="44"/>
      <c r="HDX48" s="44"/>
      <c r="HDY48" s="44"/>
      <c r="HDZ48" s="44"/>
      <c r="HEA48" s="44"/>
      <c r="HEB48" s="44"/>
      <c r="HEC48" s="44"/>
      <c r="HED48" s="44"/>
      <c r="HEE48" s="44"/>
      <c r="HEF48" s="44"/>
      <c r="HEG48" s="44"/>
      <c r="HEH48" s="44"/>
      <c r="HEI48" s="44"/>
      <c r="HEJ48" s="44"/>
      <c r="HEK48" s="44"/>
      <c r="HEL48" s="44"/>
      <c r="HEM48" s="44"/>
      <c r="HEN48" s="44"/>
      <c r="HEO48" s="44"/>
      <c r="HEP48" s="44"/>
      <c r="HEQ48" s="44"/>
      <c r="HER48" s="44"/>
      <c r="HES48" s="44"/>
      <c r="HET48" s="44"/>
      <c r="HEU48" s="44"/>
      <c r="HEV48" s="44"/>
      <c r="HEW48" s="44"/>
      <c r="HEX48" s="44"/>
      <c r="HEY48" s="44"/>
      <c r="HEZ48" s="44"/>
      <c r="HFA48" s="44"/>
      <c r="HFB48" s="44"/>
      <c r="HFC48" s="44"/>
      <c r="HFD48" s="44"/>
      <c r="HFE48" s="44"/>
      <c r="HFF48" s="44"/>
      <c r="HFG48" s="44"/>
      <c r="HFH48" s="44"/>
      <c r="HFI48" s="44"/>
      <c r="HFJ48" s="44"/>
      <c r="HFK48" s="44"/>
      <c r="HFL48" s="44"/>
      <c r="HFM48" s="44"/>
      <c r="HFN48" s="44"/>
      <c r="HFO48" s="44"/>
      <c r="HFP48" s="44"/>
      <c r="HFQ48" s="44"/>
      <c r="HFR48" s="44"/>
      <c r="HFS48" s="44"/>
      <c r="HFT48" s="44"/>
      <c r="HFU48" s="44"/>
      <c r="HFV48" s="44"/>
      <c r="HFW48" s="44"/>
      <c r="HFX48" s="44"/>
      <c r="HFY48" s="44"/>
      <c r="HFZ48" s="44"/>
      <c r="HGA48" s="44"/>
      <c r="HGB48" s="44"/>
      <c r="HGC48" s="44"/>
      <c r="HGD48" s="44"/>
      <c r="HGE48" s="44"/>
      <c r="HGF48" s="44"/>
      <c r="HGG48" s="44"/>
      <c r="HGH48" s="44"/>
      <c r="HGI48" s="44"/>
      <c r="HGJ48" s="44"/>
      <c r="HGK48" s="44"/>
      <c r="HGL48" s="44"/>
      <c r="HGM48" s="44"/>
      <c r="HGN48" s="44"/>
      <c r="HGO48" s="44"/>
      <c r="HGP48" s="44"/>
      <c r="HGQ48" s="44"/>
      <c r="HGR48" s="44"/>
      <c r="HGS48" s="44"/>
      <c r="HGT48" s="44"/>
      <c r="HGU48" s="44"/>
      <c r="HGV48" s="44"/>
      <c r="HGW48" s="44"/>
      <c r="HGX48" s="44"/>
      <c r="HGY48" s="44"/>
      <c r="HGZ48" s="44"/>
      <c r="HHA48" s="44"/>
      <c r="HHB48" s="44"/>
      <c r="HHC48" s="44"/>
      <c r="HHD48" s="44"/>
      <c r="HHE48" s="44"/>
      <c r="HHF48" s="44"/>
      <c r="HHG48" s="44"/>
      <c r="HHH48" s="44"/>
      <c r="HHI48" s="44"/>
      <c r="HHJ48" s="44"/>
      <c r="HHK48" s="44"/>
      <c r="HHL48" s="44"/>
      <c r="HHM48" s="44"/>
      <c r="HHN48" s="44"/>
      <c r="HHO48" s="44"/>
      <c r="HHP48" s="44"/>
      <c r="HHQ48" s="44"/>
      <c r="HHR48" s="44"/>
      <c r="HHS48" s="44"/>
      <c r="HHT48" s="44"/>
      <c r="HHU48" s="44"/>
      <c r="HHV48" s="44"/>
      <c r="HHW48" s="44"/>
      <c r="HHX48" s="44"/>
      <c r="HHY48" s="44"/>
      <c r="HHZ48" s="44"/>
      <c r="HIA48" s="44"/>
      <c r="HIB48" s="44"/>
      <c r="HIC48" s="44"/>
      <c r="HID48" s="44"/>
      <c r="HIE48" s="44"/>
      <c r="HIF48" s="44"/>
      <c r="HIG48" s="44"/>
      <c r="HIH48" s="44"/>
      <c r="HII48" s="44"/>
      <c r="HIJ48" s="44"/>
      <c r="HIK48" s="44"/>
      <c r="HIL48" s="44"/>
      <c r="HIM48" s="44"/>
      <c r="HIN48" s="44"/>
      <c r="HIO48" s="44"/>
      <c r="HIP48" s="44"/>
      <c r="HIQ48" s="44"/>
      <c r="HIR48" s="44"/>
      <c r="HIS48" s="44"/>
      <c r="HIT48" s="44"/>
      <c r="HIU48" s="44"/>
      <c r="HIV48" s="44"/>
      <c r="HIW48" s="44"/>
      <c r="HIX48" s="44"/>
      <c r="HIY48" s="44"/>
      <c r="HIZ48" s="44"/>
      <c r="HJA48" s="44"/>
      <c r="HJB48" s="44"/>
      <c r="HJC48" s="44"/>
      <c r="HJD48" s="44"/>
      <c r="HJE48" s="44"/>
      <c r="HJF48" s="44"/>
      <c r="HJG48" s="44"/>
      <c r="HJH48" s="44"/>
      <c r="HJI48" s="44"/>
      <c r="HJJ48" s="44"/>
      <c r="HJK48" s="44"/>
      <c r="HJL48" s="44"/>
      <c r="HJM48" s="44"/>
      <c r="HJN48" s="44"/>
      <c r="HJO48" s="44"/>
      <c r="HJP48" s="44"/>
      <c r="HJQ48" s="44"/>
      <c r="HJR48" s="44"/>
      <c r="HJS48" s="44"/>
      <c r="HJT48" s="44"/>
      <c r="HJU48" s="44"/>
      <c r="HJV48" s="44"/>
      <c r="HJW48" s="44"/>
      <c r="HJX48" s="44"/>
      <c r="HJY48" s="44"/>
      <c r="HJZ48" s="44"/>
      <c r="HKA48" s="44"/>
      <c r="HKB48" s="44"/>
      <c r="HKC48" s="44"/>
      <c r="HKD48" s="44"/>
      <c r="HKE48" s="44"/>
      <c r="HKF48" s="44"/>
      <c r="HKG48" s="44"/>
      <c r="HKH48" s="44"/>
      <c r="HKI48" s="44"/>
      <c r="HKJ48" s="44"/>
      <c r="HKK48" s="44"/>
      <c r="HKL48" s="44"/>
      <c r="HKM48" s="44"/>
      <c r="HKN48" s="44"/>
      <c r="HKO48" s="44"/>
      <c r="HKP48" s="44"/>
      <c r="HKQ48" s="44"/>
      <c r="HKR48" s="44"/>
      <c r="HKS48" s="44"/>
      <c r="HKT48" s="44"/>
      <c r="HKU48" s="44"/>
      <c r="HKV48" s="44"/>
      <c r="HKW48" s="44"/>
      <c r="HKX48" s="44"/>
      <c r="HKY48" s="44"/>
      <c r="HKZ48" s="44"/>
      <c r="HLA48" s="44"/>
      <c r="HLB48" s="44"/>
      <c r="HLC48" s="44"/>
      <c r="HLD48" s="44"/>
      <c r="HLE48" s="44"/>
      <c r="HLF48" s="44"/>
      <c r="HLG48" s="44"/>
      <c r="HLH48" s="44"/>
      <c r="HLI48" s="44"/>
      <c r="HLJ48" s="44"/>
      <c r="HLK48" s="44"/>
      <c r="HLL48" s="44"/>
      <c r="HLM48" s="44"/>
      <c r="HLN48" s="44"/>
      <c r="HLO48" s="44"/>
      <c r="HLP48" s="44"/>
      <c r="HLQ48" s="44"/>
      <c r="HLR48" s="44"/>
      <c r="HLS48" s="44"/>
      <c r="HLT48" s="44"/>
      <c r="HLU48" s="44"/>
      <c r="HLV48" s="44"/>
      <c r="HLW48" s="44"/>
      <c r="HLX48" s="44"/>
      <c r="HLY48" s="44"/>
      <c r="HLZ48" s="44"/>
      <c r="HMA48" s="44"/>
      <c r="HMB48" s="44"/>
      <c r="HMC48" s="44"/>
      <c r="HMD48" s="44"/>
      <c r="HME48" s="44"/>
      <c r="HMF48" s="44"/>
      <c r="HMG48" s="44"/>
      <c r="HMH48" s="44"/>
      <c r="HMI48" s="44"/>
      <c r="HMJ48" s="44"/>
      <c r="HMK48" s="44"/>
      <c r="HML48" s="44"/>
      <c r="HMM48" s="44"/>
      <c r="HMN48" s="44"/>
      <c r="HMO48" s="44"/>
      <c r="HMP48" s="44"/>
      <c r="HMQ48" s="44"/>
      <c r="HMR48" s="44"/>
      <c r="HMS48" s="44"/>
      <c r="HMT48" s="44"/>
      <c r="HMU48" s="44"/>
      <c r="HMV48" s="44"/>
      <c r="HMW48" s="44"/>
      <c r="HMX48" s="44"/>
      <c r="HMY48" s="44"/>
      <c r="HMZ48" s="44"/>
      <c r="HNA48" s="44"/>
      <c r="HNB48" s="44"/>
      <c r="HNC48" s="44"/>
      <c r="HND48" s="44"/>
      <c r="HNE48" s="44"/>
      <c r="HNF48" s="44"/>
      <c r="HNG48" s="44"/>
      <c r="HNH48" s="44"/>
      <c r="HNI48" s="44"/>
      <c r="HNJ48" s="44"/>
      <c r="HNK48" s="44"/>
      <c r="HNL48" s="44"/>
      <c r="HNM48" s="44"/>
      <c r="HNN48" s="44"/>
      <c r="HNO48" s="44"/>
      <c r="HNP48" s="44"/>
      <c r="HNQ48" s="44"/>
      <c r="HNR48" s="44"/>
      <c r="HNS48" s="44"/>
      <c r="HNT48" s="44"/>
      <c r="HNU48" s="44"/>
      <c r="HNV48" s="44"/>
      <c r="HNW48" s="44"/>
      <c r="HNX48" s="44"/>
      <c r="HNY48" s="44"/>
      <c r="HNZ48" s="44"/>
      <c r="HOA48" s="44"/>
      <c r="HOB48" s="44"/>
      <c r="HOC48" s="44"/>
      <c r="HOD48" s="44"/>
      <c r="HOE48" s="44"/>
      <c r="HOF48" s="44"/>
      <c r="HOG48" s="44"/>
      <c r="HOH48" s="44"/>
      <c r="HOI48" s="44"/>
      <c r="HOJ48" s="44"/>
      <c r="HOK48" s="44"/>
      <c r="HOL48" s="44"/>
      <c r="HOM48" s="44"/>
      <c r="HON48" s="44"/>
      <c r="HOO48" s="44"/>
      <c r="HOP48" s="44"/>
      <c r="HOQ48" s="44"/>
      <c r="HOR48" s="44"/>
      <c r="HOS48" s="44"/>
      <c r="HOT48" s="44"/>
      <c r="HOU48" s="44"/>
      <c r="HOV48" s="44"/>
      <c r="HOW48" s="44"/>
      <c r="HOX48" s="44"/>
      <c r="HOY48" s="44"/>
      <c r="HOZ48" s="44"/>
      <c r="HPA48" s="44"/>
      <c r="HPB48" s="44"/>
      <c r="HPC48" s="44"/>
      <c r="HPD48" s="44"/>
      <c r="HPE48" s="44"/>
      <c r="HPF48" s="44"/>
      <c r="HPG48" s="44"/>
      <c r="HPH48" s="44"/>
      <c r="HPI48" s="44"/>
      <c r="HPJ48" s="44"/>
      <c r="HPK48" s="44"/>
      <c r="HPL48" s="44"/>
      <c r="HPM48" s="44"/>
      <c r="HPN48" s="44"/>
      <c r="HPO48" s="44"/>
      <c r="HPP48" s="44"/>
      <c r="HPQ48" s="44"/>
      <c r="HPR48" s="44"/>
      <c r="HPS48" s="44"/>
      <c r="HPT48" s="44"/>
      <c r="HPU48" s="44"/>
      <c r="HPV48" s="44"/>
      <c r="HPW48" s="44"/>
      <c r="HPX48" s="44"/>
      <c r="HPY48" s="44"/>
      <c r="HPZ48" s="44"/>
      <c r="HQA48" s="44"/>
      <c r="HQB48" s="44"/>
      <c r="HQC48" s="44"/>
      <c r="HQD48" s="44"/>
      <c r="HQE48" s="44"/>
      <c r="HQF48" s="44"/>
      <c r="HQG48" s="44"/>
      <c r="HQH48" s="44"/>
      <c r="HQI48" s="44"/>
      <c r="HQJ48" s="44"/>
      <c r="HQK48" s="44"/>
      <c r="HQL48" s="44"/>
      <c r="HQM48" s="44"/>
      <c r="HQN48" s="44"/>
      <c r="HQO48" s="44"/>
      <c r="HQP48" s="44"/>
      <c r="HQQ48" s="44"/>
      <c r="HQR48" s="44"/>
      <c r="HQS48" s="44"/>
      <c r="HQT48" s="44"/>
      <c r="HQU48" s="44"/>
      <c r="HQV48" s="44"/>
      <c r="HQW48" s="44"/>
      <c r="HQX48" s="44"/>
      <c r="HQY48" s="44"/>
      <c r="HQZ48" s="44"/>
      <c r="HRA48" s="44"/>
      <c r="HRB48" s="44"/>
      <c r="HRC48" s="44"/>
      <c r="HRD48" s="44"/>
      <c r="HRE48" s="44"/>
      <c r="HRF48" s="44"/>
      <c r="HRG48" s="44"/>
      <c r="HRH48" s="44"/>
      <c r="HRI48" s="44"/>
      <c r="HRJ48" s="44"/>
      <c r="HRK48" s="44"/>
      <c r="HRL48" s="44"/>
      <c r="HRM48" s="44"/>
      <c r="HRN48" s="44"/>
      <c r="HRO48" s="44"/>
      <c r="HRP48" s="44"/>
      <c r="HRQ48" s="44"/>
      <c r="HRR48" s="44"/>
      <c r="HRS48" s="44"/>
      <c r="HRT48" s="44"/>
      <c r="HRU48" s="44"/>
      <c r="HRV48" s="44"/>
      <c r="HRW48" s="44"/>
      <c r="HRX48" s="44"/>
      <c r="HRY48" s="44"/>
      <c r="HRZ48" s="44"/>
      <c r="HSA48" s="44"/>
      <c r="HSB48" s="44"/>
      <c r="HSC48" s="44"/>
      <c r="HSD48" s="44"/>
      <c r="HSE48" s="44"/>
      <c r="HSF48" s="44"/>
      <c r="HSG48" s="44"/>
      <c r="HSH48" s="44"/>
      <c r="HSI48" s="44"/>
      <c r="HSJ48" s="44"/>
      <c r="HSK48" s="44"/>
      <c r="HSL48" s="44"/>
      <c r="HSM48" s="44"/>
      <c r="HSN48" s="44"/>
      <c r="HSO48" s="44"/>
      <c r="HSP48" s="44"/>
      <c r="HSQ48" s="44"/>
      <c r="HSR48" s="44"/>
      <c r="HSS48" s="44"/>
      <c r="HST48" s="44"/>
      <c r="HSU48" s="44"/>
      <c r="HSV48" s="44"/>
      <c r="HSW48" s="44"/>
      <c r="HSX48" s="44"/>
      <c r="HSY48" s="44"/>
      <c r="HSZ48" s="44"/>
      <c r="HTA48" s="44"/>
      <c r="HTB48" s="44"/>
      <c r="HTC48" s="44"/>
      <c r="HTD48" s="44"/>
      <c r="HTE48" s="44"/>
      <c r="HTF48" s="44"/>
      <c r="HTG48" s="44"/>
      <c r="HTH48" s="44"/>
      <c r="HTI48" s="44"/>
      <c r="HTJ48" s="44"/>
      <c r="HTK48" s="44"/>
      <c r="HTL48" s="44"/>
      <c r="HTM48" s="44"/>
      <c r="HTN48" s="44"/>
      <c r="HTO48" s="44"/>
      <c r="HTP48" s="44"/>
      <c r="HTQ48" s="44"/>
      <c r="HTR48" s="44"/>
      <c r="HTS48" s="44"/>
      <c r="HTT48" s="44"/>
      <c r="HTU48" s="44"/>
      <c r="HTV48" s="44"/>
      <c r="HTW48" s="44"/>
      <c r="HTX48" s="44"/>
      <c r="HTY48" s="44"/>
      <c r="HTZ48" s="44"/>
      <c r="HUA48" s="44"/>
      <c r="HUB48" s="44"/>
      <c r="HUC48" s="44"/>
      <c r="HUD48" s="44"/>
      <c r="HUE48" s="44"/>
      <c r="HUF48" s="44"/>
      <c r="HUG48" s="44"/>
      <c r="HUH48" s="44"/>
      <c r="HUI48" s="44"/>
      <c r="HUJ48" s="44"/>
      <c r="HUK48" s="44"/>
      <c r="HUL48" s="44"/>
      <c r="HUM48" s="44"/>
      <c r="HUN48" s="44"/>
      <c r="HUO48" s="44"/>
      <c r="HUP48" s="44"/>
      <c r="HUQ48" s="44"/>
      <c r="HUR48" s="44"/>
      <c r="HUS48" s="44"/>
      <c r="HUT48" s="44"/>
      <c r="HUU48" s="44"/>
      <c r="HUV48" s="44"/>
      <c r="HUW48" s="44"/>
      <c r="HUX48" s="44"/>
      <c r="HUY48" s="44"/>
      <c r="HUZ48" s="44"/>
      <c r="HVA48" s="44"/>
      <c r="HVB48" s="44"/>
      <c r="HVC48" s="44"/>
      <c r="HVD48" s="44"/>
      <c r="HVE48" s="44"/>
      <c r="HVF48" s="44"/>
      <c r="HVG48" s="44"/>
      <c r="HVH48" s="44"/>
      <c r="HVI48" s="44"/>
      <c r="HVJ48" s="44"/>
      <c r="HVK48" s="44"/>
      <c r="HVL48" s="44"/>
      <c r="HVM48" s="44"/>
      <c r="HVN48" s="44"/>
      <c r="HVO48" s="44"/>
      <c r="HVP48" s="44"/>
      <c r="HVQ48" s="44"/>
      <c r="HVR48" s="44"/>
      <c r="HVS48" s="44"/>
      <c r="HVT48" s="44"/>
      <c r="HVU48" s="44"/>
      <c r="HVV48" s="44"/>
      <c r="HVW48" s="44"/>
      <c r="HVX48" s="44"/>
      <c r="HVY48" s="44"/>
      <c r="HVZ48" s="44"/>
      <c r="HWA48" s="44"/>
      <c r="HWB48" s="44"/>
      <c r="HWC48" s="44"/>
      <c r="HWD48" s="44"/>
      <c r="HWE48" s="44"/>
      <c r="HWF48" s="44"/>
      <c r="HWG48" s="44"/>
      <c r="HWH48" s="44"/>
      <c r="HWI48" s="44"/>
      <c r="HWJ48" s="44"/>
      <c r="HWK48" s="44"/>
      <c r="HWL48" s="44"/>
      <c r="HWM48" s="44"/>
      <c r="HWN48" s="44"/>
      <c r="HWO48" s="44"/>
      <c r="HWP48" s="44"/>
      <c r="HWQ48" s="44"/>
      <c r="HWR48" s="44"/>
      <c r="HWS48" s="44"/>
      <c r="HWT48" s="44"/>
      <c r="HWU48" s="44"/>
      <c r="HWV48" s="44"/>
      <c r="HWW48" s="44"/>
      <c r="HWX48" s="44"/>
      <c r="HWY48" s="44"/>
      <c r="HWZ48" s="44"/>
      <c r="HXA48" s="44"/>
      <c r="HXB48" s="44"/>
      <c r="HXC48" s="44"/>
      <c r="HXD48" s="44"/>
      <c r="HXE48" s="44"/>
      <c r="HXF48" s="44"/>
      <c r="HXG48" s="44"/>
      <c r="HXH48" s="44"/>
      <c r="HXI48" s="44"/>
      <c r="HXJ48" s="44"/>
      <c r="HXK48" s="44"/>
      <c r="HXL48" s="44"/>
      <c r="HXM48" s="44"/>
      <c r="HXN48" s="44"/>
      <c r="HXO48" s="44"/>
      <c r="HXP48" s="44"/>
      <c r="HXQ48" s="44"/>
      <c r="HXR48" s="44"/>
      <c r="HXS48" s="44"/>
      <c r="HXT48" s="44"/>
      <c r="HXU48" s="44"/>
      <c r="HXV48" s="44"/>
      <c r="HXW48" s="44"/>
      <c r="HXX48" s="44"/>
      <c r="HXY48" s="44"/>
      <c r="HXZ48" s="44"/>
      <c r="HYA48" s="44"/>
      <c r="HYB48" s="44"/>
      <c r="HYC48" s="44"/>
      <c r="HYD48" s="44"/>
      <c r="HYE48" s="44"/>
      <c r="HYF48" s="44"/>
      <c r="HYG48" s="44"/>
      <c r="HYH48" s="44"/>
      <c r="HYI48" s="44"/>
      <c r="HYJ48" s="44"/>
      <c r="HYK48" s="44"/>
      <c r="HYL48" s="44"/>
      <c r="HYM48" s="44"/>
      <c r="HYN48" s="44"/>
      <c r="HYO48" s="44"/>
      <c r="HYP48" s="44"/>
      <c r="HYQ48" s="44"/>
      <c r="HYR48" s="44"/>
      <c r="HYS48" s="44"/>
      <c r="HYT48" s="44"/>
      <c r="HYU48" s="44"/>
      <c r="HYV48" s="44"/>
      <c r="HYW48" s="44"/>
      <c r="HYX48" s="44"/>
      <c r="HYY48" s="44"/>
      <c r="HYZ48" s="44"/>
      <c r="HZA48" s="44"/>
      <c r="HZB48" s="44"/>
      <c r="HZC48" s="44"/>
      <c r="HZD48" s="44"/>
      <c r="HZE48" s="44"/>
      <c r="HZF48" s="44"/>
      <c r="HZG48" s="44"/>
      <c r="HZH48" s="44"/>
      <c r="HZI48" s="44"/>
      <c r="HZJ48" s="44"/>
      <c r="HZK48" s="44"/>
      <c r="HZL48" s="44"/>
      <c r="HZM48" s="44"/>
      <c r="HZN48" s="44"/>
      <c r="HZO48" s="44"/>
      <c r="HZP48" s="44"/>
      <c r="HZQ48" s="44"/>
      <c r="HZR48" s="44"/>
      <c r="HZS48" s="44"/>
      <c r="HZT48" s="44"/>
      <c r="HZU48" s="44"/>
      <c r="HZV48" s="44"/>
      <c r="HZW48" s="44"/>
      <c r="HZX48" s="44"/>
      <c r="HZY48" s="44"/>
      <c r="HZZ48" s="44"/>
      <c r="IAA48" s="44"/>
      <c r="IAB48" s="44"/>
      <c r="IAC48" s="44"/>
      <c r="IAD48" s="44"/>
      <c r="IAE48" s="44"/>
      <c r="IAF48" s="44"/>
      <c r="IAG48" s="44"/>
      <c r="IAH48" s="44"/>
      <c r="IAI48" s="44"/>
      <c r="IAJ48" s="44"/>
      <c r="IAK48" s="44"/>
      <c r="IAL48" s="44"/>
      <c r="IAM48" s="44"/>
      <c r="IAN48" s="44"/>
      <c r="IAO48" s="44"/>
      <c r="IAP48" s="44"/>
      <c r="IAQ48" s="44"/>
      <c r="IAR48" s="44"/>
      <c r="IAS48" s="44"/>
      <c r="IAT48" s="44"/>
      <c r="IAU48" s="44"/>
      <c r="IAV48" s="44"/>
      <c r="IAW48" s="44"/>
      <c r="IAX48" s="44"/>
      <c r="IAY48" s="44"/>
      <c r="IAZ48" s="44"/>
      <c r="IBA48" s="44"/>
      <c r="IBB48" s="44"/>
      <c r="IBC48" s="44"/>
      <c r="IBD48" s="44"/>
      <c r="IBE48" s="44"/>
      <c r="IBF48" s="44"/>
      <c r="IBG48" s="44"/>
      <c r="IBH48" s="44"/>
      <c r="IBI48" s="44"/>
      <c r="IBJ48" s="44"/>
      <c r="IBK48" s="44"/>
      <c r="IBL48" s="44"/>
      <c r="IBM48" s="44"/>
      <c r="IBN48" s="44"/>
      <c r="IBO48" s="44"/>
      <c r="IBP48" s="44"/>
      <c r="IBQ48" s="44"/>
      <c r="IBR48" s="44"/>
      <c r="IBS48" s="44"/>
      <c r="IBT48" s="44"/>
      <c r="IBU48" s="44"/>
      <c r="IBV48" s="44"/>
      <c r="IBW48" s="44"/>
      <c r="IBX48" s="44"/>
      <c r="IBY48" s="44"/>
      <c r="IBZ48" s="44"/>
      <c r="ICA48" s="44"/>
      <c r="ICB48" s="44"/>
      <c r="ICC48" s="44"/>
      <c r="ICD48" s="44"/>
      <c r="ICE48" s="44"/>
      <c r="ICF48" s="44"/>
      <c r="ICG48" s="44"/>
      <c r="ICH48" s="44"/>
      <c r="ICI48" s="44"/>
      <c r="ICJ48" s="44"/>
      <c r="ICK48" s="44"/>
      <c r="ICL48" s="44"/>
      <c r="ICM48" s="44"/>
      <c r="ICN48" s="44"/>
      <c r="ICO48" s="44"/>
      <c r="ICP48" s="44"/>
      <c r="ICQ48" s="44"/>
      <c r="ICR48" s="44"/>
      <c r="ICS48" s="44"/>
      <c r="ICT48" s="44"/>
      <c r="ICU48" s="44"/>
      <c r="ICV48" s="44"/>
      <c r="ICW48" s="44"/>
      <c r="ICX48" s="44"/>
      <c r="ICY48" s="44"/>
      <c r="ICZ48" s="44"/>
      <c r="IDA48" s="44"/>
      <c r="IDB48" s="44"/>
      <c r="IDC48" s="44"/>
      <c r="IDD48" s="44"/>
      <c r="IDE48" s="44"/>
      <c r="IDF48" s="44"/>
      <c r="IDG48" s="44"/>
      <c r="IDH48" s="44"/>
      <c r="IDI48" s="44"/>
      <c r="IDJ48" s="44"/>
      <c r="IDK48" s="44"/>
      <c r="IDL48" s="44"/>
      <c r="IDM48" s="44"/>
      <c r="IDN48" s="44"/>
      <c r="IDO48" s="44"/>
      <c r="IDP48" s="44"/>
      <c r="IDQ48" s="44"/>
      <c r="IDR48" s="44"/>
      <c r="IDS48" s="44"/>
      <c r="IDT48" s="44"/>
      <c r="IDU48" s="44"/>
      <c r="IDV48" s="44"/>
      <c r="IDW48" s="44"/>
      <c r="IDX48" s="44"/>
      <c r="IDY48" s="44"/>
      <c r="IDZ48" s="44"/>
      <c r="IEA48" s="44"/>
      <c r="IEB48" s="44"/>
      <c r="IEC48" s="44"/>
      <c r="IED48" s="44"/>
      <c r="IEE48" s="44"/>
      <c r="IEF48" s="44"/>
      <c r="IEG48" s="44"/>
      <c r="IEH48" s="44"/>
      <c r="IEI48" s="44"/>
      <c r="IEJ48" s="44"/>
      <c r="IEK48" s="44"/>
      <c r="IEL48" s="44"/>
      <c r="IEM48" s="44"/>
      <c r="IEN48" s="44"/>
      <c r="IEO48" s="44"/>
      <c r="IEP48" s="44"/>
      <c r="IEQ48" s="44"/>
      <c r="IER48" s="44"/>
      <c r="IES48" s="44"/>
      <c r="IET48" s="44"/>
      <c r="IEU48" s="44"/>
      <c r="IEV48" s="44"/>
      <c r="IEW48" s="44"/>
      <c r="IEX48" s="44"/>
      <c r="IEY48" s="44"/>
      <c r="IEZ48" s="44"/>
      <c r="IFA48" s="44"/>
      <c r="IFB48" s="44"/>
      <c r="IFC48" s="44"/>
      <c r="IFD48" s="44"/>
      <c r="IFE48" s="44"/>
      <c r="IFF48" s="44"/>
      <c r="IFG48" s="44"/>
      <c r="IFH48" s="44"/>
      <c r="IFI48" s="44"/>
      <c r="IFJ48" s="44"/>
      <c r="IFK48" s="44"/>
      <c r="IFL48" s="44"/>
      <c r="IFM48" s="44"/>
      <c r="IFN48" s="44"/>
      <c r="IFO48" s="44"/>
      <c r="IFP48" s="44"/>
      <c r="IFQ48" s="44"/>
      <c r="IFR48" s="44"/>
      <c r="IFS48" s="44"/>
      <c r="IFT48" s="44"/>
      <c r="IFU48" s="44"/>
      <c r="IFV48" s="44"/>
      <c r="IFW48" s="44"/>
      <c r="IFX48" s="44"/>
      <c r="IFY48" s="44"/>
      <c r="IFZ48" s="44"/>
      <c r="IGA48" s="44"/>
      <c r="IGB48" s="44"/>
      <c r="IGC48" s="44"/>
      <c r="IGD48" s="44"/>
      <c r="IGE48" s="44"/>
      <c r="IGF48" s="44"/>
      <c r="IGG48" s="44"/>
      <c r="IGH48" s="44"/>
      <c r="IGI48" s="44"/>
      <c r="IGJ48" s="44"/>
      <c r="IGK48" s="44"/>
      <c r="IGL48" s="44"/>
      <c r="IGM48" s="44"/>
      <c r="IGN48" s="44"/>
      <c r="IGO48" s="44"/>
      <c r="IGP48" s="44"/>
      <c r="IGQ48" s="44"/>
      <c r="IGR48" s="44"/>
      <c r="IGS48" s="44"/>
      <c r="IGT48" s="44"/>
      <c r="IGU48" s="44"/>
      <c r="IGV48" s="44"/>
      <c r="IGW48" s="44"/>
      <c r="IGX48" s="44"/>
      <c r="IGY48" s="44"/>
      <c r="IGZ48" s="44"/>
      <c r="IHA48" s="44"/>
      <c r="IHB48" s="44"/>
      <c r="IHC48" s="44"/>
      <c r="IHD48" s="44"/>
      <c r="IHE48" s="44"/>
      <c r="IHF48" s="44"/>
      <c r="IHG48" s="44"/>
      <c r="IHH48" s="44"/>
      <c r="IHI48" s="44"/>
      <c r="IHJ48" s="44"/>
      <c r="IHK48" s="44"/>
      <c r="IHL48" s="44"/>
      <c r="IHM48" s="44"/>
      <c r="IHN48" s="44"/>
      <c r="IHO48" s="44"/>
      <c r="IHP48" s="44"/>
      <c r="IHQ48" s="44"/>
      <c r="IHR48" s="44"/>
      <c r="IHS48" s="44"/>
      <c r="IHT48" s="44"/>
      <c r="IHU48" s="44"/>
      <c r="IHV48" s="44"/>
      <c r="IHW48" s="44"/>
      <c r="IHX48" s="44"/>
      <c r="IHY48" s="44"/>
      <c r="IHZ48" s="44"/>
      <c r="IIA48" s="44"/>
      <c r="IIB48" s="44"/>
      <c r="IIC48" s="44"/>
      <c r="IID48" s="44"/>
      <c r="IIE48" s="44"/>
      <c r="IIF48" s="44"/>
      <c r="IIG48" s="44"/>
      <c r="IIH48" s="44"/>
      <c r="III48" s="44"/>
      <c r="IIJ48" s="44"/>
      <c r="IIK48" s="44"/>
      <c r="IIL48" s="44"/>
      <c r="IIM48" s="44"/>
      <c r="IIN48" s="44"/>
      <c r="IIO48" s="44"/>
      <c r="IIP48" s="44"/>
      <c r="IIQ48" s="44"/>
      <c r="IIR48" s="44"/>
      <c r="IIS48" s="44"/>
      <c r="IIT48" s="44"/>
      <c r="IIU48" s="44"/>
      <c r="IIV48" s="44"/>
      <c r="IIW48" s="44"/>
      <c r="IIX48" s="44"/>
      <c r="IIY48" s="44"/>
      <c r="IIZ48" s="44"/>
      <c r="IJA48" s="44"/>
      <c r="IJB48" s="44"/>
      <c r="IJC48" s="44"/>
      <c r="IJD48" s="44"/>
      <c r="IJE48" s="44"/>
      <c r="IJF48" s="44"/>
      <c r="IJG48" s="44"/>
      <c r="IJH48" s="44"/>
      <c r="IJI48" s="44"/>
      <c r="IJJ48" s="44"/>
      <c r="IJK48" s="44"/>
      <c r="IJL48" s="44"/>
      <c r="IJM48" s="44"/>
      <c r="IJN48" s="44"/>
      <c r="IJO48" s="44"/>
      <c r="IJP48" s="44"/>
      <c r="IJQ48" s="44"/>
      <c r="IJR48" s="44"/>
      <c r="IJS48" s="44"/>
      <c r="IJT48" s="44"/>
      <c r="IJU48" s="44"/>
      <c r="IJV48" s="44"/>
      <c r="IJW48" s="44"/>
      <c r="IJX48" s="44"/>
      <c r="IJY48" s="44"/>
      <c r="IJZ48" s="44"/>
      <c r="IKA48" s="44"/>
      <c r="IKB48" s="44"/>
      <c r="IKC48" s="44"/>
      <c r="IKD48" s="44"/>
      <c r="IKE48" s="44"/>
      <c r="IKF48" s="44"/>
      <c r="IKG48" s="44"/>
      <c r="IKH48" s="44"/>
      <c r="IKI48" s="44"/>
      <c r="IKJ48" s="44"/>
      <c r="IKK48" s="44"/>
      <c r="IKL48" s="44"/>
      <c r="IKM48" s="44"/>
      <c r="IKN48" s="44"/>
      <c r="IKO48" s="44"/>
      <c r="IKP48" s="44"/>
      <c r="IKQ48" s="44"/>
      <c r="IKR48" s="44"/>
      <c r="IKS48" s="44"/>
      <c r="IKT48" s="44"/>
      <c r="IKU48" s="44"/>
      <c r="IKV48" s="44"/>
      <c r="IKW48" s="44"/>
      <c r="IKX48" s="44"/>
      <c r="IKY48" s="44"/>
      <c r="IKZ48" s="44"/>
      <c r="ILA48" s="44"/>
      <c r="ILB48" s="44"/>
      <c r="ILC48" s="44"/>
      <c r="ILD48" s="44"/>
      <c r="ILE48" s="44"/>
      <c r="ILF48" s="44"/>
      <c r="ILG48" s="44"/>
      <c r="ILH48" s="44"/>
      <c r="ILI48" s="44"/>
      <c r="ILJ48" s="44"/>
      <c r="ILK48" s="44"/>
      <c r="ILL48" s="44"/>
      <c r="ILM48" s="44"/>
      <c r="ILN48" s="44"/>
      <c r="ILO48" s="44"/>
      <c r="ILP48" s="44"/>
      <c r="ILQ48" s="44"/>
      <c r="ILR48" s="44"/>
      <c r="ILS48" s="44"/>
      <c r="ILT48" s="44"/>
      <c r="ILU48" s="44"/>
      <c r="ILV48" s="44"/>
      <c r="ILW48" s="44"/>
      <c r="ILX48" s="44"/>
      <c r="ILY48" s="44"/>
      <c r="ILZ48" s="44"/>
      <c r="IMA48" s="44"/>
      <c r="IMB48" s="44"/>
      <c r="IMC48" s="44"/>
      <c r="IMD48" s="44"/>
      <c r="IME48" s="44"/>
      <c r="IMF48" s="44"/>
      <c r="IMG48" s="44"/>
      <c r="IMH48" s="44"/>
      <c r="IMI48" s="44"/>
      <c r="IMJ48" s="44"/>
      <c r="IMK48" s="44"/>
      <c r="IML48" s="44"/>
      <c r="IMM48" s="44"/>
      <c r="IMN48" s="44"/>
      <c r="IMO48" s="44"/>
      <c r="IMP48" s="44"/>
      <c r="IMQ48" s="44"/>
      <c r="IMR48" s="44"/>
      <c r="IMS48" s="44"/>
      <c r="IMT48" s="44"/>
      <c r="IMU48" s="44"/>
      <c r="IMV48" s="44"/>
      <c r="IMW48" s="44"/>
      <c r="IMX48" s="44"/>
      <c r="IMY48" s="44"/>
      <c r="IMZ48" s="44"/>
      <c r="INA48" s="44"/>
      <c r="INB48" s="44"/>
      <c r="INC48" s="44"/>
      <c r="IND48" s="44"/>
      <c r="INE48" s="44"/>
      <c r="INF48" s="44"/>
      <c r="ING48" s="44"/>
      <c r="INH48" s="44"/>
      <c r="INI48" s="44"/>
      <c r="INJ48" s="44"/>
      <c r="INK48" s="44"/>
      <c r="INL48" s="44"/>
      <c r="INM48" s="44"/>
      <c r="INN48" s="44"/>
      <c r="INO48" s="44"/>
      <c r="INP48" s="44"/>
      <c r="INQ48" s="44"/>
      <c r="INR48" s="44"/>
      <c r="INS48" s="44"/>
      <c r="INT48" s="44"/>
      <c r="INU48" s="44"/>
      <c r="INV48" s="44"/>
      <c r="INW48" s="44"/>
      <c r="INX48" s="44"/>
      <c r="INY48" s="44"/>
      <c r="INZ48" s="44"/>
      <c r="IOA48" s="44"/>
      <c r="IOB48" s="44"/>
      <c r="IOC48" s="44"/>
      <c r="IOD48" s="44"/>
      <c r="IOE48" s="44"/>
      <c r="IOF48" s="44"/>
      <c r="IOG48" s="44"/>
      <c r="IOH48" s="44"/>
      <c r="IOI48" s="44"/>
      <c r="IOJ48" s="44"/>
      <c r="IOK48" s="44"/>
      <c r="IOL48" s="44"/>
      <c r="IOM48" s="44"/>
      <c r="ION48" s="44"/>
      <c r="IOO48" s="44"/>
      <c r="IOP48" s="44"/>
      <c r="IOQ48" s="44"/>
      <c r="IOR48" s="44"/>
      <c r="IOS48" s="44"/>
      <c r="IOT48" s="44"/>
      <c r="IOU48" s="44"/>
      <c r="IOV48" s="44"/>
      <c r="IOW48" s="44"/>
      <c r="IOX48" s="44"/>
      <c r="IOY48" s="44"/>
      <c r="IOZ48" s="44"/>
      <c r="IPA48" s="44"/>
      <c r="IPB48" s="44"/>
      <c r="IPC48" s="44"/>
      <c r="IPD48" s="44"/>
      <c r="IPE48" s="44"/>
      <c r="IPF48" s="44"/>
      <c r="IPG48" s="44"/>
      <c r="IPH48" s="44"/>
      <c r="IPI48" s="44"/>
      <c r="IPJ48" s="44"/>
      <c r="IPK48" s="44"/>
      <c r="IPL48" s="44"/>
      <c r="IPM48" s="44"/>
      <c r="IPN48" s="44"/>
      <c r="IPO48" s="44"/>
      <c r="IPP48" s="44"/>
      <c r="IPQ48" s="44"/>
      <c r="IPR48" s="44"/>
      <c r="IPS48" s="44"/>
      <c r="IPT48" s="44"/>
      <c r="IPU48" s="44"/>
      <c r="IPV48" s="44"/>
      <c r="IPW48" s="44"/>
      <c r="IPX48" s="44"/>
      <c r="IPY48" s="44"/>
      <c r="IPZ48" s="44"/>
      <c r="IQA48" s="44"/>
      <c r="IQB48" s="44"/>
      <c r="IQC48" s="44"/>
      <c r="IQD48" s="44"/>
      <c r="IQE48" s="44"/>
      <c r="IQF48" s="44"/>
      <c r="IQG48" s="44"/>
      <c r="IQH48" s="44"/>
      <c r="IQI48" s="44"/>
      <c r="IQJ48" s="44"/>
      <c r="IQK48" s="44"/>
      <c r="IQL48" s="44"/>
      <c r="IQM48" s="44"/>
      <c r="IQN48" s="44"/>
      <c r="IQO48" s="44"/>
      <c r="IQP48" s="44"/>
      <c r="IQQ48" s="44"/>
      <c r="IQR48" s="44"/>
      <c r="IQS48" s="44"/>
      <c r="IQT48" s="44"/>
      <c r="IQU48" s="44"/>
      <c r="IQV48" s="44"/>
      <c r="IQW48" s="44"/>
      <c r="IQX48" s="44"/>
      <c r="IQY48" s="44"/>
      <c r="IQZ48" s="44"/>
      <c r="IRA48" s="44"/>
      <c r="IRB48" s="44"/>
      <c r="IRC48" s="44"/>
      <c r="IRD48" s="44"/>
      <c r="IRE48" s="44"/>
      <c r="IRF48" s="44"/>
      <c r="IRG48" s="44"/>
      <c r="IRH48" s="44"/>
      <c r="IRI48" s="44"/>
      <c r="IRJ48" s="44"/>
      <c r="IRK48" s="44"/>
      <c r="IRL48" s="44"/>
      <c r="IRM48" s="44"/>
      <c r="IRN48" s="44"/>
      <c r="IRO48" s="44"/>
      <c r="IRP48" s="44"/>
      <c r="IRQ48" s="44"/>
      <c r="IRR48" s="44"/>
      <c r="IRS48" s="44"/>
      <c r="IRT48" s="44"/>
      <c r="IRU48" s="44"/>
      <c r="IRV48" s="44"/>
      <c r="IRW48" s="44"/>
      <c r="IRX48" s="44"/>
      <c r="IRY48" s="44"/>
      <c r="IRZ48" s="44"/>
      <c r="ISA48" s="44"/>
      <c r="ISB48" s="44"/>
      <c r="ISC48" s="44"/>
      <c r="ISD48" s="44"/>
      <c r="ISE48" s="44"/>
      <c r="ISF48" s="44"/>
      <c r="ISG48" s="44"/>
      <c r="ISH48" s="44"/>
      <c r="ISI48" s="44"/>
      <c r="ISJ48" s="44"/>
      <c r="ISK48" s="44"/>
      <c r="ISL48" s="44"/>
      <c r="ISM48" s="44"/>
      <c r="ISN48" s="44"/>
      <c r="ISO48" s="44"/>
      <c r="ISP48" s="44"/>
      <c r="ISQ48" s="44"/>
      <c r="ISR48" s="44"/>
      <c r="ISS48" s="44"/>
      <c r="IST48" s="44"/>
      <c r="ISU48" s="44"/>
      <c r="ISV48" s="44"/>
      <c r="ISW48" s="44"/>
      <c r="ISX48" s="44"/>
      <c r="ISY48" s="44"/>
      <c r="ISZ48" s="44"/>
      <c r="ITA48" s="44"/>
      <c r="ITB48" s="44"/>
      <c r="ITC48" s="44"/>
      <c r="ITD48" s="44"/>
      <c r="ITE48" s="44"/>
      <c r="ITF48" s="44"/>
      <c r="ITG48" s="44"/>
      <c r="ITH48" s="44"/>
      <c r="ITI48" s="44"/>
      <c r="ITJ48" s="44"/>
      <c r="ITK48" s="44"/>
      <c r="ITL48" s="44"/>
      <c r="ITM48" s="44"/>
      <c r="ITN48" s="44"/>
      <c r="ITO48" s="44"/>
      <c r="ITP48" s="44"/>
      <c r="ITQ48" s="44"/>
      <c r="ITR48" s="44"/>
      <c r="ITS48" s="44"/>
      <c r="ITT48" s="44"/>
      <c r="ITU48" s="44"/>
      <c r="ITV48" s="44"/>
      <c r="ITW48" s="44"/>
      <c r="ITX48" s="44"/>
      <c r="ITY48" s="44"/>
      <c r="ITZ48" s="44"/>
      <c r="IUA48" s="44"/>
      <c r="IUB48" s="44"/>
      <c r="IUC48" s="44"/>
      <c r="IUD48" s="44"/>
      <c r="IUE48" s="44"/>
      <c r="IUF48" s="44"/>
      <c r="IUG48" s="44"/>
      <c r="IUH48" s="44"/>
      <c r="IUI48" s="44"/>
      <c r="IUJ48" s="44"/>
      <c r="IUK48" s="44"/>
      <c r="IUL48" s="44"/>
      <c r="IUM48" s="44"/>
      <c r="IUN48" s="44"/>
      <c r="IUO48" s="44"/>
      <c r="IUP48" s="44"/>
      <c r="IUQ48" s="44"/>
      <c r="IUR48" s="44"/>
      <c r="IUS48" s="44"/>
      <c r="IUT48" s="44"/>
      <c r="IUU48" s="44"/>
      <c r="IUV48" s="44"/>
      <c r="IUW48" s="44"/>
      <c r="IUX48" s="44"/>
      <c r="IUY48" s="44"/>
      <c r="IUZ48" s="44"/>
      <c r="IVA48" s="44"/>
      <c r="IVB48" s="44"/>
      <c r="IVC48" s="44"/>
      <c r="IVD48" s="44"/>
      <c r="IVE48" s="44"/>
      <c r="IVF48" s="44"/>
      <c r="IVG48" s="44"/>
      <c r="IVH48" s="44"/>
      <c r="IVI48" s="44"/>
      <c r="IVJ48" s="44"/>
      <c r="IVK48" s="44"/>
      <c r="IVL48" s="44"/>
      <c r="IVM48" s="44"/>
      <c r="IVN48" s="44"/>
      <c r="IVO48" s="44"/>
      <c r="IVP48" s="44"/>
      <c r="IVQ48" s="44"/>
      <c r="IVR48" s="44"/>
      <c r="IVS48" s="44"/>
      <c r="IVT48" s="44"/>
      <c r="IVU48" s="44"/>
      <c r="IVV48" s="44"/>
      <c r="IVW48" s="44"/>
      <c r="IVX48" s="44"/>
      <c r="IVY48" s="44"/>
      <c r="IVZ48" s="44"/>
      <c r="IWA48" s="44"/>
      <c r="IWB48" s="44"/>
      <c r="IWC48" s="44"/>
      <c r="IWD48" s="44"/>
      <c r="IWE48" s="44"/>
      <c r="IWF48" s="44"/>
      <c r="IWG48" s="44"/>
      <c r="IWH48" s="44"/>
      <c r="IWI48" s="44"/>
      <c r="IWJ48" s="44"/>
      <c r="IWK48" s="44"/>
      <c r="IWL48" s="44"/>
      <c r="IWM48" s="44"/>
      <c r="IWN48" s="44"/>
      <c r="IWO48" s="44"/>
      <c r="IWP48" s="44"/>
      <c r="IWQ48" s="44"/>
      <c r="IWR48" s="44"/>
      <c r="IWS48" s="44"/>
      <c r="IWT48" s="44"/>
      <c r="IWU48" s="44"/>
      <c r="IWV48" s="44"/>
      <c r="IWW48" s="44"/>
      <c r="IWX48" s="44"/>
      <c r="IWY48" s="44"/>
      <c r="IWZ48" s="44"/>
      <c r="IXA48" s="44"/>
      <c r="IXB48" s="44"/>
      <c r="IXC48" s="44"/>
      <c r="IXD48" s="44"/>
      <c r="IXE48" s="44"/>
      <c r="IXF48" s="44"/>
      <c r="IXG48" s="44"/>
      <c r="IXH48" s="44"/>
      <c r="IXI48" s="44"/>
      <c r="IXJ48" s="44"/>
      <c r="IXK48" s="44"/>
      <c r="IXL48" s="44"/>
      <c r="IXM48" s="44"/>
      <c r="IXN48" s="44"/>
      <c r="IXO48" s="44"/>
      <c r="IXP48" s="44"/>
      <c r="IXQ48" s="44"/>
      <c r="IXR48" s="44"/>
      <c r="IXS48" s="44"/>
      <c r="IXT48" s="44"/>
      <c r="IXU48" s="44"/>
      <c r="IXV48" s="44"/>
      <c r="IXW48" s="44"/>
      <c r="IXX48" s="44"/>
      <c r="IXY48" s="44"/>
      <c r="IXZ48" s="44"/>
      <c r="IYA48" s="44"/>
      <c r="IYB48" s="44"/>
      <c r="IYC48" s="44"/>
      <c r="IYD48" s="44"/>
      <c r="IYE48" s="44"/>
      <c r="IYF48" s="44"/>
      <c r="IYG48" s="44"/>
      <c r="IYH48" s="44"/>
      <c r="IYI48" s="44"/>
      <c r="IYJ48" s="44"/>
      <c r="IYK48" s="44"/>
      <c r="IYL48" s="44"/>
      <c r="IYM48" s="44"/>
      <c r="IYN48" s="44"/>
      <c r="IYO48" s="44"/>
      <c r="IYP48" s="44"/>
      <c r="IYQ48" s="44"/>
      <c r="IYR48" s="44"/>
      <c r="IYS48" s="44"/>
      <c r="IYT48" s="44"/>
      <c r="IYU48" s="44"/>
      <c r="IYV48" s="44"/>
      <c r="IYW48" s="44"/>
      <c r="IYX48" s="44"/>
      <c r="IYY48" s="44"/>
      <c r="IYZ48" s="44"/>
      <c r="IZA48" s="44"/>
      <c r="IZB48" s="44"/>
      <c r="IZC48" s="44"/>
      <c r="IZD48" s="44"/>
      <c r="IZE48" s="44"/>
      <c r="IZF48" s="44"/>
      <c r="IZG48" s="44"/>
      <c r="IZH48" s="44"/>
      <c r="IZI48" s="44"/>
      <c r="IZJ48" s="44"/>
      <c r="IZK48" s="44"/>
      <c r="IZL48" s="44"/>
      <c r="IZM48" s="44"/>
      <c r="IZN48" s="44"/>
      <c r="IZO48" s="44"/>
      <c r="IZP48" s="44"/>
      <c r="IZQ48" s="44"/>
      <c r="IZR48" s="44"/>
      <c r="IZS48" s="44"/>
      <c r="IZT48" s="44"/>
      <c r="IZU48" s="44"/>
      <c r="IZV48" s="44"/>
      <c r="IZW48" s="44"/>
      <c r="IZX48" s="44"/>
      <c r="IZY48" s="44"/>
      <c r="IZZ48" s="44"/>
      <c r="JAA48" s="44"/>
      <c r="JAB48" s="44"/>
      <c r="JAC48" s="44"/>
      <c r="JAD48" s="44"/>
      <c r="JAE48" s="44"/>
      <c r="JAF48" s="44"/>
      <c r="JAG48" s="44"/>
      <c r="JAH48" s="44"/>
      <c r="JAI48" s="44"/>
      <c r="JAJ48" s="44"/>
      <c r="JAK48" s="44"/>
      <c r="JAL48" s="44"/>
      <c r="JAM48" s="44"/>
      <c r="JAN48" s="44"/>
      <c r="JAO48" s="44"/>
      <c r="JAP48" s="44"/>
      <c r="JAQ48" s="44"/>
      <c r="JAR48" s="44"/>
      <c r="JAS48" s="44"/>
      <c r="JAT48" s="44"/>
      <c r="JAU48" s="44"/>
      <c r="JAV48" s="44"/>
      <c r="JAW48" s="44"/>
      <c r="JAX48" s="44"/>
      <c r="JAY48" s="44"/>
      <c r="JAZ48" s="44"/>
      <c r="JBA48" s="44"/>
      <c r="JBB48" s="44"/>
      <c r="JBC48" s="44"/>
      <c r="JBD48" s="44"/>
      <c r="JBE48" s="44"/>
      <c r="JBF48" s="44"/>
      <c r="JBG48" s="44"/>
      <c r="JBH48" s="44"/>
      <c r="JBI48" s="44"/>
      <c r="JBJ48" s="44"/>
      <c r="JBK48" s="44"/>
      <c r="JBL48" s="44"/>
      <c r="JBM48" s="44"/>
      <c r="JBN48" s="44"/>
      <c r="JBO48" s="44"/>
      <c r="JBP48" s="44"/>
      <c r="JBQ48" s="44"/>
      <c r="JBR48" s="44"/>
      <c r="JBS48" s="44"/>
      <c r="JBT48" s="44"/>
      <c r="JBU48" s="44"/>
      <c r="JBV48" s="44"/>
      <c r="JBW48" s="44"/>
      <c r="JBX48" s="44"/>
      <c r="JBY48" s="44"/>
      <c r="JBZ48" s="44"/>
      <c r="JCA48" s="44"/>
      <c r="JCB48" s="44"/>
      <c r="JCC48" s="44"/>
      <c r="JCD48" s="44"/>
      <c r="JCE48" s="44"/>
      <c r="JCF48" s="44"/>
      <c r="JCG48" s="44"/>
      <c r="JCH48" s="44"/>
      <c r="JCI48" s="44"/>
      <c r="JCJ48" s="44"/>
      <c r="JCK48" s="44"/>
      <c r="JCL48" s="44"/>
      <c r="JCM48" s="44"/>
      <c r="JCN48" s="44"/>
      <c r="JCO48" s="44"/>
      <c r="JCP48" s="44"/>
      <c r="JCQ48" s="44"/>
      <c r="JCR48" s="44"/>
      <c r="JCS48" s="44"/>
      <c r="JCT48" s="44"/>
      <c r="JCU48" s="44"/>
      <c r="JCV48" s="44"/>
      <c r="JCW48" s="44"/>
      <c r="JCX48" s="44"/>
      <c r="JCY48" s="44"/>
      <c r="JCZ48" s="44"/>
      <c r="JDA48" s="44"/>
      <c r="JDB48" s="44"/>
      <c r="JDC48" s="44"/>
      <c r="JDD48" s="44"/>
      <c r="JDE48" s="44"/>
      <c r="JDF48" s="44"/>
      <c r="JDG48" s="44"/>
      <c r="JDH48" s="44"/>
      <c r="JDI48" s="44"/>
      <c r="JDJ48" s="44"/>
      <c r="JDK48" s="44"/>
      <c r="JDL48" s="44"/>
      <c r="JDM48" s="44"/>
      <c r="JDN48" s="44"/>
      <c r="JDO48" s="44"/>
      <c r="JDP48" s="44"/>
      <c r="JDQ48" s="44"/>
      <c r="JDR48" s="44"/>
      <c r="JDS48" s="44"/>
      <c r="JDT48" s="44"/>
      <c r="JDU48" s="44"/>
      <c r="JDV48" s="44"/>
      <c r="JDW48" s="44"/>
      <c r="JDX48" s="44"/>
      <c r="JDY48" s="44"/>
      <c r="JDZ48" s="44"/>
      <c r="JEA48" s="44"/>
      <c r="JEB48" s="44"/>
      <c r="JEC48" s="44"/>
      <c r="JED48" s="44"/>
      <c r="JEE48" s="44"/>
      <c r="JEF48" s="44"/>
      <c r="JEG48" s="44"/>
      <c r="JEH48" s="44"/>
      <c r="JEI48" s="44"/>
      <c r="JEJ48" s="44"/>
      <c r="JEK48" s="44"/>
      <c r="JEL48" s="44"/>
      <c r="JEM48" s="44"/>
      <c r="JEN48" s="44"/>
      <c r="JEO48" s="44"/>
      <c r="JEP48" s="44"/>
      <c r="JEQ48" s="44"/>
      <c r="JER48" s="44"/>
      <c r="JES48" s="44"/>
      <c r="JET48" s="44"/>
      <c r="JEU48" s="44"/>
      <c r="JEV48" s="44"/>
      <c r="JEW48" s="44"/>
      <c r="JEX48" s="44"/>
      <c r="JEY48" s="44"/>
      <c r="JEZ48" s="44"/>
      <c r="JFA48" s="44"/>
      <c r="JFB48" s="44"/>
      <c r="JFC48" s="44"/>
      <c r="JFD48" s="44"/>
      <c r="JFE48" s="44"/>
      <c r="JFF48" s="44"/>
      <c r="JFG48" s="44"/>
      <c r="JFH48" s="44"/>
      <c r="JFI48" s="44"/>
      <c r="JFJ48" s="44"/>
      <c r="JFK48" s="44"/>
      <c r="JFL48" s="44"/>
      <c r="JFM48" s="44"/>
      <c r="JFN48" s="44"/>
      <c r="JFO48" s="44"/>
      <c r="JFP48" s="44"/>
      <c r="JFQ48" s="44"/>
      <c r="JFR48" s="44"/>
      <c r="JFS48" s="44"/>
      <c r="JFT48" s="44"/>
      <c r="JFU48" s="44"/>
      <c r="JFV48" s="44"/>
      <c r="JFW48" s="44"/>
      <c r="JFX48" s="44"/>
      <c r="JFY48" s="44"/>
      <c r="JFZ48" s="44"/>
      <c r="JGA48" s="44"/>
      <c r="JGB48" s="44"/>
      <c r="JGC48" s="44"/>
      <c r="JGD48" s="44"/>
      <c r="JGE48" s="44"/>
      <c r="JGF48" s="44"/>
      <c r="JGG48" s="44"/>
      <c r="JGH48" s="44"/>
      <c r="JGI48" s="44"/>
      <c r="JGJ48" s="44"/>
      <c r="JGK48" s="44"/>
      <c r="JGL48" s="44"/>
      <c r="JGM48" s="44"/>
      <c r="JGN48" s="44"/>
      <c r="JGO48" s="44"/>
      <c r="JGP48" s="44"/>
      <c r="JGQ48" s="44"/>
      <c r="JGR48" s="44"/>
      <c r="JGS48" s="44"/>
      <c r="JGT48" s="44"/>
      <c r="JGU48" s="44"/>
      <c r="JGV48" s="44"/>
      <c r="JGW48" s="44"/>
      <c r="JGX48" s="44"/>
      <c r="JGY48" s="44"/>
      <c r="JGZ48" s="44"/>
      <c r="JHA48" s="44"/>
      <c r="JHB48" s="44"/>
      <c r="JHC48" s="44"/>
      <c r="JHD48" s="44"/>
      <c r="JHE48" s="44"/>
      <c r="JHF48" s="44"/>
      <c r="JHG48" s="44"/>
      <c r="JHH48" s="44"/>
      <c r="JHI48" s="44"/>
      <c r="JHJ48" s="44"/>
      <c r="JHK48" s="44"/>
      <c r="JHL48" s="44"/>
      <c r="JHM48" s="44"/>
      <c r="JHN48" s="44"/>
      <c r="JHO48" s="44"/>
      <c r="JHP48" s="44"/>
      <c r="JHQ48" s="44"/>
      <c r="JHR48" s="44"/>
      <c r="JHS48" s="44"/>
      <c r="JHT48" s="44"/>
      <c r="JHU48" s="44"/>
      <c r="JHV48" s="44"/>
      <c r="JHW48" s="44"/>
      <c r="JHX48" s="44"/>
      <c r="JHY48" s="44"/>
      <c r="JHZ48" s="44"/>
      <c r="JIA48" s="44"/>
      <c r="JIB48" s="44"/>
      <c r="JIC48" s="44"/>
      <c r="JID48" s="44"/>
      <c r="JIE48" s="44"/>
      <c r="JIF48" s="44"/>
      <c r="JIG48" s="44"/>
      <c r="JIH48" s="44"/>
      <c r="JII48" s="44"/>
      <c r="JIJ48" s="44"/>
      <c r="JIK48" s="44"/>
      <c r="JIL48" s="44"/>
      <c r="JIM48" s="44"/>
      <c r="JIN48" s="44"/>
      <c r="JIO48" s="44"/>
      <c r="JIP48" s="44"/>
      <c r="JIQ48" s="44"/>
      <c r="JIR48" s="44"/>
      <c r="JIS48" s="44"/>
      <c r="JIT48" s="44"/>
      <c r="JIU48" s="44"/>
      <c r="JIV48" s="44"/>
      <c r="JIW48" s="44"/>
      <c r="JIX48" s="44"/>
      <c r="JIY48" s="44"/>
      <c r="JIZ48" s="44"/>
      <c r="JJA48" s="44"/>
      <c r="JJB48" s="44"/>
      <c r="JJC48" s="44"/>
      <c r="JJD48" s="44"/>
      <c r="JJE48" s="44"/>
      <c r="JJF48" s="44"/>
      <c r="JJG48" s="44"/>
      <c r="JJH48" s="44"/>
      <c r="JJI48" s="44"/>
      <c r="JJJ48" s="44"/>
      <c r="JJK48" s="44"/>
      <c r="JJL48" s="44"/>
      <c r="JJM48" s="44"/>
      <c r="JJN48" s="44"/>
      <c r="JJO48" s="44"/>
      <c r="JJP48" s="44"/>
      <c r="JJQ48" s="44"/>
      <c r="JJR48" s="44"/>
      <c r="JJS48" s="44"/>
      <c r="JJT48" s="44"/>
      <c r="JJU48" s="44"/>
      <c r="JJV48" s="44"/>
      <c r="JJW48" s="44"/>
      <c r="JJX48" s="44"/>
      <c r="JJY48" s="44"/>
      <c r="JJZ48" s="44"/>
      <c r="JKA48" s="44"/>
      <c r="JKB48" s="44"/>
      <c r="JKC48" s="44"/>
      <c r="JKD48" s="44"/>
      <c r="JKE48" s="44"/>
      <c r="JKF48" s="44"/>
      <c r="JKG48" s="44"/>
      <c r="JKH48" s="44"/>
      <c r="JKI48" s="44"/>
      <c r="JKJ48" s="44"/>
      <c r="JKK48" s="44"/>
      <c r="JKL48" s="44"/>
      <c r="JKM48" s="44"/>
      <c r="JKN48" s="44"/>
      <c r="JKO48" s="44"/>
      <c r="JKP48" s="44"/>
      <c r="JKQ48" s="44"/>
      <c r="JKR48" s="44"/>
      <c r="JKS48" s="44"/>
      <c r="JKT48" s="44"/>
      <c r="JKU48" s="44"/>
      <c r="JKV48" s="44"/>
      <c r="JKW48" s="44"/>
      <c r="JKX48" s="44"/>
      <c r="JKY48" s="44"/>
      <c r="JKZ48" s="44"/>
      <c r="JLA48" s="44"/>
      <c r="JLB48" s="44"/>
      <c r="JLC48" s="44"/>
      <c r="JLD48" s="44"/>
      <c r="JLE48" s="44"/>
      <c r="JLF48" s="44"/>
      <c r="JLG48" s="44"/>
      <c r="JLH48" s="44"/>
      <c r="JLI48" s="44"/>
      <c r="JLJ48" s="44"/>
      <c r="JLK48" s="44"/>
      <c r="JLL48" s="44"/>
      <c r="JLM48" s="44"/>
      <c r="JLN48" s="44"/>
      <c r="JLO48" s="44"/>
      <c r="JLP48" s="44"/>
      <c r="JLQ48" s="44"/>
      <c r="JLR48" s="44"/>
      <c r="JLS48" s="44"/>
      <c r="JLT48" s="44"/>
      <c r="JLU48" s="44"/>
      <c r="JLV48" s="44"/>
      <c r="JLW48" s="44"/>
      <c r="JLX48" s="44"/>
      <c r="JLY48" s="44"/>
      <c r="JLZ48" s="44"/>
      <c r="JMA48" s="44"/>
      <c r="JMB48" s="44"/>
      <c r="JMC48" s="44"/>
      <c r="JMD48" s="44"/>
      <c r="JME48" s="44"/>
      <c r="JMF48" s="44"/>
      <c r="JMG48" s="44"/>
      <c r="JMH48" s="44"/>
      <c r="JMI48" s="44"/>
      <c r="JMJ48" s="44"/>
      <c r="JMK48" s="44"/>
      <c r="JML48" s="44"/>
      <c r="JMM48" s="44"/>
      <c r="JMN48" s="44"/>
      <c r="JMO48" s="44"/>
      <c r="JMP48" s="44"/>
      <c r="JMQ48" s="44"/>
      <c r="JMR48" s="44"/>
      <c r="JMS48" s="44"/>
      <c r="JMT48" s="44"/>
      <c r="JMU48" s="44"/>
      <c r="JMV48" s="44"/>
      <c r="JMW48" s="44"/>
      <c r="JMX48" s="44"/>
      <c r="JMY48" s="44"/>
      <c r="JMZ48" s="44"/>
      <c r="JNA48" s="44"/>
      <c r="JNB48" s="44"/>
      <c r="JNC48" s="44"/>
      <c r="JND48" s="44"/>
      <c r="JNE48" s="44"/>
      <c r="JNF48" s="44"/>
      <c r="JNG48" s="44"/>
      <c r="JNH48" s="44"/>
      <c r="JNI48" s="44"/>
      <c r="JNJ48" s="44"/>
      <c r="JNK48" s="44"/>
      <c r="JNL48" s="44"/>
      <c r="JNM48" s="44"/>
      <c r="JNN48" s="44"/>
      <c r="JNO48" s="44"/>
      <c r="JNP48" s="44"/>
      <c r="JNQ48" s="44"/>
      <c r="JNR48" s="44"/>
      <c r="JNS48" s="44"/>
      <c r="JNT48" s="44"/>
      <c r="JNU48" s="44"/>
      <c r="JNV48" s="44"/>
      <c r="JNW48" s="44"/>
      <c r="JNX48" s="44"/>
      <c r="JNY48" s="44"/>
      <c r="JNZ48" s="44"/>
      <c r="JOA48" s="44"/>
      <c r="JOB48" s="44"/>
      <c r="JOC48" s="44"/>
      <c r="JOD48" s="44"/>
      <c r="JOE48" s="44"/>
      <c r="JOF48" s="44"/>
      <c r="JOG48" s="44"/>
      <c r="JOH48" s="44"/>
      <c r="JOI48" s="44"/>
      <c r="JOJ48" s="44"/>
      <c r="JOK48" s="44"/>
      <c r="JOL48" s="44"/>
      <c r="JOM48" s="44"/>
      <c r="JON48" s="44"/>
      <c r="JOO48" s="44"/>
      <c r="JOP48" s="44"/>
      <c r="JOQ48" s="44"/>
      <c r="JOR48" s="44"/>
      <c r="JOS48" s="44"/>
      <c r="JOT48" s="44"/>
      <c r="JOU48" s="44"/>
      <c r="JOV48" s="44"/>
      <c r="JOW48" s="44"/>
      <c r="JOX48" s="44"/>
      <c r="JOY48" s="44"/>
      <c r="JOZ48" s="44"/>
      <c r="JPA48" s="44"/>
      <c r="JPB48" s="44"/>
      <c r="JPC48" s="44"/>
      <c r="JPD48" s="44"/>
      <c r="JPE48" s="44"/>
      <c r="JPF48" s="44"/>
      <c r="JPG48" s="44"/>
      <c r="JPH48" s="44"/>
      <c r="JPI48" s="44"/>
      <c r="JPJ48" s="44"/>
      <c r="JPK48" s="44"/>
      <c r="JPL48" s="44"/>
      <c r="JPM48" s="44"/>
      <c r="JPN48" s="44"/>
      <c r="JPO48" s="44"/>
      <c r="JPP48" s="44"/>
      <c r="JPQ48" s="44"/>
      <c r="JPR48" s="44"/>
      <c r="JPS48" s="44"/>
      <c r="JPT48" s="44"/>
      <c r="JPU48" s="44"/>
      <c r="JPV48" s="44"/>
      <c r="JPW48" s="44"/>
      <c r="JPX48" s="44"/>
      <c r="JPY48" s="44"/>
      <c r="JPZ48" s="44"/>
      <c r="JQA48" s="44"/>
      <c r="JQB48" s="44"/>
      <c r="JQC48" s="44"/>
      <c r="JQD48" s="44"/>
      <c r="JQE48" s="44"/>
      <c r="JQF48" s="44"/>
      <c r="JQG48" s="44"/>
      <c r="JQH48" s="44"/>
      <c r="JQI48" s="44"/>
      <c r="JQJ48" s="44"/>
      <c r="JQK48" s="44"/>
      <c r="JQL48" s="44"/>
      <c r="JQM48" s="44"/>
      <c r="JQN48" s="44"/>
      <c r="JQO48" s="44"/>
      <c r="JQP48" s="44"/>
      <c r="JQQ48" s="44"/>
      <c r="JQR48" s="44"/>
      <c r="JQS48" s="44"/>
      <c r="JQT48" s="44"/>
      <c r="JQU48" s="44"/>
      <c r="JQV48" s="44"/>
      <c r="JQW48" s="44"/>
      <c r="JQX48" s="44"/>
      <c r="JQY48" s="44"/>
      <c r="JQZ48" s="44"/>
      <c r="JRA48" s="44"/>
      <c r="JRB48" s="44"/>
      <c r="JRC48" s="44"/>
      <c r="JRD48" s="44"/>
      <c r="JRE48" s="44"/>
      <c r="JRF48" s="44"/>
      <c r="JRG48" s="44"/>
      <c r="JRH48" s="44"/>
      <c r="JRI48" s="44"/>
      <c r="JRJ48" s="44"/>
      <c r="JRK48" s="44"/>
      <c r="JRL48" s="44"/>
      <c r="JRM48" s="44"/>
      <c r="JRN48" s="44"/>
      <c r="JRO48" s="44"/>
      <c r="JRP48" s="44"/>
      <c r="JRQ48" s="44"/>
      <c r="JRR48" s="44"/>
      <c r="JRS48" s="44"/>
      <c r="JRT48" s="44"/>
      <c r="JRU48" s="44"/>
      <c r="JRV48" s="44"/>
      <c r="JRW48" s="44"/>
      <c r="JRX48" s="44"/>
      <c r="JRY48" s="44"/>
      <c r="JRZ48" s="44"/>
      <c r="JSA48" s="44"/>
      <c r="JSB48" s="44"/>
      <c r="JSC48" s="44"/>
      <c r="JSD48" s="44"/>
      <c r="JSE48" s="44"/>
      <c r="JSF48" s="44"/>
      <c r="JSG48" s="44"/>
      <c r="JSH48" s="44"/>
      <c r="JSI48" s="44"/>
      <c r="JSJ48" s="44"/>
      <c r="JSK48" s="44"/>
      <c r="JSL48" s="44"/>
      <c r="JSM48" s="44"/>
      <c r="JSN48" s="44"/>
      <c r="JSO48" s="44"/>
      <c r="JSP48" s="44"/>
      <c r="JSQ48" s="44"/>
      <c r="JSR48" s="44"/>
      <c r="JSS48" s="44"/>
      <c r="JST48" s="44"/>
      <c r="JSU48" s="44"/>
      <c r="JSV48" s="44"/>
      <c r="JSW48" s="44"/>
      <c r="JSX48" s="44"/>
      <c r="JSY48" s="44"/>
      <c r="JSZ48" s="44"/>
      <c r="JTA48" s="44"/>
      <c r="JTB48" s="44"/>
      <c r="JTC48" s="44"/>
      <c r="JTD48" s="44"/>
      <c r="JTE48" s="44"/>
      <c r="JTF48" s="44"/>
      <c r="JTG48" s="44"/>
      <c r="JTH48" s="44"/>
      <c r="JTI48" s="44"/>
      <c r="JTJ48" s="44"/>
      <c r="JTK48" s="44"/>
      <c r="JTL48" s="44"/>
      <c r="JTM48" s="44"/>
      <c r="JTN48" s="44"/>
      <c r="JTO48" s="44"/>
      <c r="JTP48" s="44"/>
      <c r="JTQ48" s="44"/>
      <c r="JTR48" s="44"/>
      <c r="JTS48" s="44"/>
      <c r="JTT48" s="44"/>
      <c r="JTU48" s="44"/>
      <c r="JTV48" s="44"/>
      <c r="JTW48" s="44"/>
      <c r="JTX48" s="44"/>
      <c r="JTY48" s="44"/>
      <c r="JTZ48" s="44"/>
      <c r="JUA48" s="44"/>
      <c r="JUB48" s="44"/>
      <c r="JUC48" s="44"/>
      <c r="JUD48" s="44"/>
      <c r="JUE48" s="44"/>
      <c r="JUF48" s="44"/>
      <c r="JUG48" s="44"/>
      <c r="JUH48" s="44"/>
      <c r="JUI48" s="44"/>
      <c r="JUJ48" s="44"/>
      <c r="JUK48" s="44"/>
      <c r="JUL48" s="44"/>
      <c r="JUM48" s="44"/>
      <c r="JUN48" s="44"/>
      <c r="JUO48" s="44"/>
      <c r="JUP48" s="44"/>
      <c r="JUQ48" s="44"/>
      <c r="JUR48" s="44"/>
      <c r="JUS48" s="44"/>
      <c r="JUT48" s="44"/>
      <c r="JUU48" s="44"/>
      <c r="JUV48" s="44"/>
      <c r="JUW48" s="44"/>
      <c r="JUX48" s="44"/>
      <c r="JUY48" s="44"/>
      <c r="JUZ48" s="44"/>
      <c r="JVA48" s="44"/>
      <c r="JVB48" s="44"/>
      <c r="JVC48" s="44"/>
      <c r="JVD48" s="44"/>
      <c r="JVE48" s="44"/>
      <c r="JVF48" s="44"/>
      <c r="JVG48" s="44"/>
      <c r="JVH48" s="44"/>
      <c r="JVI48" s="44"/>
      <c r="JVJ48" s="44"/>
      <c r="JVK48" s="44"/>
      <c r="JVL48" s="44"/>
      <c r="JVM48" s="44"/>
      <c r="JVN48" s="44"/>
      <c r="JVO48" s="44"/>
      <c r="JVP48" s="44"/>
      <c r="JVQ48" s="44"/>
      <c r="JVR48" s="44"/>
      <c r="JVS48" s="44"/>
      <c r="JVT48" s="44"/>
      <c r="JVU48" s="44"/>
      <c r="JVV48" s="44"/>
      <c r="JVW48" s="44"/>
      <c r="JVX48" s="44"/>
      <c r="JVY48" s="44"/>
      <c r="JVZ48" s="44"/>
      <c r="JWA48" s="44"/>
      <c r="JWB48" s="44"/>
      <c r="JWC48" s="44"/>
      <c r="JWD48" s="44"/>
      <c r="JWE48" s="44"/>
      <c r="JWF48" s="44"/>
      <c r="JWG48" s="44"/>
      <c r="JWH48" s="44"/>
      <c r="JWI48" s="44"/>
      <c r="JWJ48" s="44"/>
      <c r="JWK48" s="44"/>
      <c r="JWL48" s="44"/>
      <c r="JWM48" s="44"/>
      <c r="JWN48" s="44"/>
      <c r="JWO48" s="44"/>
      <c r="JWP48" s="44"/>
      <c r="JWQ48" s="44"/>
      <c r="JWR48" s="44"/>
      <c r="JWS48" s="44"/>
      <c r="JWT48" s="44"/>
      <c r="JWU48" s="44"/>
      <c r="JWV48" s="44"/>
      <c r="JWW48" s="44"/>
      <c r="JWX48" s="44"/>
      <c r="JWY48" s="44"/>
      <c r="JWZ48" s="44"/>
      <c r="JXA48" s="44"/>
      <c r="JXB48" s="44"/>
      <c r="JXC48" s="44"/>
      <c r="JXD48" s="44"/>
      <c r="JXE48" s="44"/>
      <c r="JXF48" s="44"/>
      <c r="JXG48" s="44"/>
      <c r="JXH48" s="44"/>
      <c r="JXI48" s="44"/>
      <c r="JXJ48" s="44"/>
      <c r="JXK48" s="44"/>
      <c r="JXL48" s="44"/>
      <c r="JXM48" s="44"/>
      <c r="JXN48" s="44"/>
      <c r="JXO48" s="44"/>
      <c r="JXP48" s="44"/>
      <c r="JXQ48" s="44"/>
      <c r="JXR48" s="44"/>
      <c r="JXS48" s="44"/>
      <c r="JXT48" s="44"/>
      <c r="JXU48" s="44"/>
      <c r="JXV48" s="44"/>
      <c r="JXW48" s="44"/>
      <c r="JXX48" s="44"/>
      <c r="JXY48" s="44"/>
      <c r="JXZ48" s="44"/>
      <c r="JYA48" s="44"/>
      <c r="JYB48" s="44"/>
      <c r="JYC48" s="44"/>
      <c r="JYD48" s="44"/>
      <c r="JYE48" s="44"/>
      <c r="JYF48" s="44"/>
      <c r="JYG48" s="44"/>
      <c r="JYH48" s="44"/>
      <c r="JYI48" s="44"/>
      <c r="JYJ48" s="44"/>
      <c r="JYK48" s="44"/>
      <c r="JYL48" s="44"/>
      <c r="JYM48" s="44"/>
      <c r="JYN48" s="44"/>
      <c r="JYO48" s="44"/>
      <c r="JYP48" s="44"/>
      <c r="JYQ48" s="44"/>
      <c r="JYR48" s="44"/>
      <c r="JYS48" s="44"/>
      <c r="JYT48" s="44"/>
      <c r="JYU48" s="44"/>
      <c r="JYV48" s="44"/>
      <c r="JYW48" s="44"/>
      <c r="JYX48" s="44"/>
      <c r="JYY48" s="44"/>
      <c r="JYZ48" s="44"/>
      <c r="JZA48" s="44"/>
      <c r="JZB48" s="44"/>
      <c r="JZC48" s="44"/>
      <c r="JZD48" s="44"/>
      <c r="JZE48" s="44"/>
      <c r="JZF48" s="44"/>
      <c r="JZG48" s="44"/>
      <c r="JZH48" s="44"/>
      <c r="JZI48" s="44"/>
      <c r="JZJ48" s="44"/>
      <c r="JZK48" s="44"/>
      <c r="JZL48" s="44"/>
      <c r="JZM48" s="44"/>
      <c r="JZN48" s="44"/>
      <c r="JZO48" s="44"/>
      <c r="JZP48" s="44"/>
      <c r="JZQ48" s="44"/>
      <c r="JZR48" s="44"/>
      <c r="JZS48" s="44"/>
      <c r="JZT48" s="44"/>
      <c r="JZU48" s="44"/>
      <c r="JZV48" s="44"/>
      <c r="JZW48" s="44"/>
      <c r="JZX48" s="44"/>
      <c r="JZY48" s="44"/>
      <c r="JZZ48" s="44"/>
      <c r="KAA48" s="44"/>
      <c r="KAB48" s="44"/>
      <c r="KAC48" s="44"/>
      <c r="KAD48" s="44"/>
      <c r="KAE48" s="44"/>
      <c r="KAF48" s="44"/>
      <c r="KAG48" s="44"/>
      <c r="KAH48" s="44"/>
      <c r="KAI48" s="44"/>
      <c r="KAJ48" s="44"/>
      <c r="KAK48" s="44"/>
      <c r="KAL48" s="44"/>
      <c r="KAM48" s="44"/>
      <c r="KAN48" s="44"/>
      <c r="KAO48" s="44"/>
      <c r="KAP48" s="44"/>
      <c r="KAQ48" s="44"/>
      <c r="KAR48" s="44"/>
      <c r="KAS48" s="44"/>
      <c r="KAT48" s="44"/>
      <c r="KAU48" s="44"/>
      <c r="KAV48" s="44"/>
      <c r="KAW48" s="44"/>
      <c r="KAX48" s="44"/>
      <c r="KAY48" s="44"/>
      <c r="KAZ48" s="44"/>
      <c r="KBA48" s="44"/>
      <c r="KBB48" s="44"/>
      <c r="KBC48" s="44"/>
      <c r="KBD48" s="44"/>
      <c r="KBE48" s="44"/>
      <c r="KBF48" s="44"/>
      <c r="KBG48" s="44"/>
      <c r="KBH48" s="44"/>
      <c r="KBI48" s="44"/>
      <c r="KBJ48" s="44"/>
      <c r="KBK48" s="44"/>
      <c r="KBL48" s="44"/>
      <c r="KBM48" s="44"/>
      <c r="KBN48" s="44"/>
      <c r="KBO48" s="44"/>
      <c r="KBP48" s="44"/>
      <c r="KBQ48" s="44"/>
      <c r="KBR48" s="44"/>
      <c r="KBS48" s="44"/>
      <c r="KBT48" s="44"/>
      <c r="KBU48" s="44"/>
      <c r="KBV48" s="44"/>
      <c r="KBW48" s="44"/>
      <c r="KBX48" s="44"/>
      <c r="KBY48" s="44"/>
      <c r="KBZ48" s="44"/>
      <c r="KCA48" s="44"/>
      <c r="KCB48" s="44"/>
      <c r="KCC48" s="44"/>
      <c r="KCD48" s="44"/>
      <c r="KCE48" s="44"/>
      <c r="KCF48" s="44"/>
      <c r="KCG48" s="44"/>
      <c r="KCH48" s="44"/>
      <c r="KCI48" s="44"/>
      <c r="KCJ48" s="44"/>
      <c r="KCK48" s="44"/>
      <c r="KCL48" s="44"/>
      <c r="KCM48" s="44"/>
      <c r="KCN48" s="44"/>
      <c r="KCO48" s="44"/>
      <c r="KCP48" s="44"/>
      <c r="KCQ48" s="44"/>
      <c r="KCR48" s="44"/>
      <c r="KCS48" s="44"/>
      <c r="KCT48" s="44"/>
      <c r="KCU48" s="44"/>
      <c r="KCV48" s="44"/>
      <c r="KCW48" s="44"/>
      <c r="KCX48" s="44"/>
      <c r="KCY48" s="44"/>
      <c r="KCZ48" s="44"/>
      <c r="KDA48" s="44"/>
      <c r="KDB48" s="44"/>
      <c r="KDC48" s="44"/>
      <c r="KDD48" s="44"/>
      <c r="KDE48" s="44"/>
      <c r="KDF48" s="44"/>
      <c r="KDG48" s="44"/>
      <c r="KDH48" s="44"/>
      <c r="KDI48" s="44"/>
      <c r="KDJ48" s="44"/>
      <c r="KDK48" s="44"/>
      <c r="KDL48" s="44"/>
      <c r="KDM48" s="44"/>
      <c r="KDN48" s="44"/>
      <c r="KDO48" s="44"/>
      <c r="KDP48" s="44"/>
      <c r="KDQ48" s="44"/>
      <c r="KDR48" s="44"/>
      <c r="KDS48" s="44"/>
      <c r="KDT48" s="44"/>
      <c r="KDU48" s="44"/>
      <c r="KDV48" s="44"/>
      <c r="KDW48" s="44"/>
      <c r="KDX48" s="44"/>
      <c r="KDY48" s="44"/>
      <c r="KDZ48" s="44"/>
      <c r="KEA48" s="44"/>
      <c r="KEB48" s="44"/>
      <c r="KEC48" s="44"/>
      <c r="KED48" s="44"/>
      <c r="KEE48" s="44"/>
      <c r="KEF48" s="44"/>
      <c r="KEG48" s="44"/>
      <c r="KEH48" s="44"/>
      <c r="KEI48" s="44"/>
      <c r="KEJ48" s="44"/>
      <c r="KEK48" s="44"/>
      <c r="KEL48" s="44"/>
      <c r="KEM48" s="44"/>
      <c r="KEN48" s="44"/>
      <c r="KEO48" s="44"/>
      <c r="KEP48" s="44"/>
      <c r="KEQ48" s="44"/>
      <c r="KER48" s="44"/>
      <c r="KES48" s="44"/>
      <c r="KET48" s="44"/>
      <c r="KEU48" s="44"/>
      <c r="KEV48" s="44"/>
      <c r="KEW48" s="44"/>
      <c r="KEX48" s="44"/>
      <c r="KEY48" s="44"/>
      <c r="KEZ48" s="44"/>
      <c r="KFA48" s="44"/>
      <c r="KFB48" s="44"/>
      <c r="KFC48" s="44"/>
      <c r="KFD48" s="44"/>
      <c r="KFE48" s="44"/>
      <c r="KFF48" s="44"/>
      <c r="KFG48" s="44"/>
      <c r="KFH48" s="44"/>
      <c r="KFI48" s="44"/>
      <c r="KFJ48" s="44"/>
      <c r="KFK48" s="44"/>
      <c r="KFL48" s="44"/>
      <c r="KFM48" s="44"/>
      <c r="KFN48" s="44"/>
      <c r="KFO48" s="44"/>
      <c r="KFP48" s="44"/>
      <c r="KFQ48" s="44"/>
      <c r="KFR48" s="44"/>
      <c r="KFS48" s="44"/>
      <c r="KFT48" s="44"/>
      <c r="KFU48" s="44"/>
      <c r="KFV48" s="44"/>
      <c r="KFW48" s="44"/>
      <c r="KFX48" s="44"/>
      <c r="KFY48" s="44"/>
      <c r="KFZ48" s="44"/>
      <c r="KGA48" s="44"/>
      <c r="KGB48" s="44"/>
      <c r="KGC48" s="44"/>
      <c r="KGD48" s="44"/>
      <c r="KGE48" s="44"/>
      <c r="KGF48" s="44"/>
      <c r="KGG48" s="44"/>
      <c r="KGH48" s="44"/>
      <c r="KGI48" s="44"/>
      <c r="KGJ48" s="44"/>
      <c r="KGK48" s="44"/>
      <c r="KGL48" s="44"/>
      <c r="KGM48" s="44"/>
      <c r="KGN48" s="44"/>
      <c r="KGO48" s="44"/>
      <c r="KGP48" s="44"/>
      <c r="KGQ48" s="44"/>
      <c r="KGR48" s="44"/>
      <c r="KGS48" s="44"/>
      <c r="KGT48" s="44"/>
      <c r="KGU48" s="44"/>
      <c r="KGV48" s="44"/>
      <c r="KGW48" s="44"/>
      <c r="KGX48" s="44"/>
      <c r="KGY48" s="44"/>
      <c r="KGZ48" s="44"/>
      <c r="KHA48" s="44"/>
      <c r="KHB48" s="44"/>
      <c r="KHC48" s="44"/>
      <c r="KHD48" s="44"/>
      <c r="KHE48" s="44"/>
      <c r="KHF48" s="44"/>
      <c r="KHG48" s="44"/>
      <c r="KHH48" s="44"/>
      <c r="KHI48" s="44"/>
      <c r="KHJ48" s="44"/>
      <c r="KHK48" s="44"/>
      <c r="KHL48" s="44"/>
      <c r="KHM48" s="44"/>
      <c r="KHN48" s="44"/>
      <c r="KHO48" s="44"/>
      <c r="KHP48" s="44"/>
      <c r="KHQ48" s="44"/>
      <c r="KHR48" s="44"/>
      <c r="KHS48" s="44"/>
      <c r="KHT48" s="44"/>
      <c r="KHU48" s="44"/>
      <c r="KHV48" s="44"/>
      <c r="KHW48" s="44"/>
      <c r="KHX48" s="44"/>
      <c r="KHY48" s="44"/>
      <c r="KHZ48" s="44"/>
      <c r="KIA48" s="44"/>
      <c r="KIB48" s="44"/>
      <c r="KIC48" s="44"/>
      <c r="KID48" s="44"/>
      <c r="KIE48" s="44"/>
      <c r="KIF48" s="44"/>
      <c r="KIG48" s="44"/>
      <c r="KIH48" s="44"/>
      <c r="KII48" s="44"/>
      <c r="KIJ48" s="44"/>
      <c r="KIK48" s="44"/>
      <c r="KIL48" s="44"/>
      <c r="KIM48" s="44"/>
      <c r="KIN48" s="44"/>
      <c r="KIO48" s="44"/>
      <c r="KIP48" s="44"/>
      <c r="KIQ48" s="44"/>
      <c r="KIR48" s="44"/>
      <c r="KIS48" s="44"/>
      <c r="KIT48" s="44"/>
      <c r="KIU48" s="44"/>
      <c r="KIV48" s="44"/>
      <c r="KIW48" s="44"/>
      <c r="KIX48" s="44"/>
      <c r="KIY48" s="44"/>
      <c r="KIZ48" s="44"/>
      <c r="KJA48" s="44"/>
      <c r="KJB48" s="44"/>
      <c r="KJC48" s="44"/>
      <c r="KJD48" s="44"/>
      <c r="KJE48" s="44"/>
      <c r="KJF48" s="44"/>
      <c r="KJG48" s="44"/>
      <c r="KJH48" s="44"/>
      <c r="KJI48" s="44"/>
      <c r="KJJ48" s="44"/>
      <c r="KJK48" s="44"/>
      <c r="KJL48" s="44"/>
      <c r="KJM48" s="44"/>
      <c r="KJN48" s="44"/>
      <c r="KJO48" s="44"/>
      <c r="KJP48" s="44"/>
      <c r="KJQ48" s="44"/>
      <c r="KJR48" s="44"/>
      <c r="KJS48" s="44"/>
      <c r="KJT48" s="44"/>
      <c r="KJU48" s="44"/>
      <c r="KJV48" s="44"/>
      <c r="KJW48" s="44"/>
      <c r="KJX48" s="44"/>
      <c r="KJY48" s="44"/>
      <c r="KJZ48" s="44"/>
      <c r="KKA48" s="44"/>
      <c r="KKB48" s="44"/>
      <c r="KKC48" s="44"/>
      <c r="KKD48" s="44"/>
      <c r="KKE48" s="44"/>
      <c r="KKF48" s="44"/>
      <c r="KKG48" s="44"/>
      <c r="KKH48" s="44"/>
      <c r="KKI48" s="44"/>
      <c r="KKJ48" s="44"/>
      <c r="KKK48" s="44"/>
      <c r="KKL48" s="44"/>
      <c r="KKM48" s="44"/>
      <c r="KKN48" s="44"/>
      <c r="KKO48" s="44"/>
      <c r="KKP48" s="44"/>
      <c r="KKQ48" s="44"/>
      <c r="KKR48" s="44"/>
      <c r="KKS48" s="44"/>
      <c r="KKT48" s="44"/>
      <c r="KKU48" s="44"/>
      <c r="KKV48" s="44"/>
      <c r="KKW48" s="44"/>
      <c r="KKX48" s="44"/>
      <c r="KKY48" s="44"/>
      <c r="KKZ48" s="44"/>
      <c r="KLA48" s="44"/>
      <c r="KLB48" s="44"/>
      <c r="KLC48" s="44"/>
      <c r="KLD48" s="44"/>
      <c r="KLE48" s="44"/>
      <c r="KLF48" s="44"/>
      <c r="KLG48" s="44"/>
      <c r="KLH48" s="44"/>
      <c r="KLI48" s="44"/>
      <c r="KLJ48" s="44"/>
      <c r="KLK48" s="44"/>
      <c r="KLL48" s="44"/>
      <c r="KLM48" s="44"/>
      <c r="KLN48" s="44"/>
      <c r="KLO48" s="44"/>
      <c r="KLP48" s="44"/>
      <c r="KLQ48" s="44"/>
      <c r="KLR48" s="44"/>
      <c r="KLS48" s="44"/>
      <c r="KLT48" s="44"/>
      <c r="KLU48" s="44"/>
      <c r="KLV48" s="44"/>
      <c r="KLW48" s="44"/>
      <c r="KLX48" s="44"/>
      <c r="KLY48" s="44"/>
      <c r="KLZ48" s="44"/>
      <c r="KMA48" s="44"/>
      <c r="KMB48" s="44"/>
      <c r="KMC48" s="44"/>
      <c r="KMD48" s="44"/>
      <c r="KME48" s="44"/>
      <c r="KMF48" s="44"/>
      <c r="KMG48" s="44"/>
      <c r="KMH48" s="44"/>
      <c r="KMI48" s="44"/>
      <c r="KMJ48" s="44"/>
      <c r="KMK48" s="44"/>
      <c r="KML48" s="44"/>
      <c r="KMM48" s="44"/>
      <c r="KMN48" s="44"/>
      <c r="KMO48" s="44"/>
      <c r="KMP48" s="44"/>
      <c r="KMQ48" s="44"/>
      <c r="KMR48" s="44"/>
      <c r="KMS48" s="44"/>
      <c r="KMT48" s="44"/>
      <c r="KMU48" s="44"/>
      <c r="KMV48" s="44"/>
      <c r="KMW48" s="44"/>
      <c r="KMX48" s="44"/>
      <c r="KMY48" s="44"/>
      <c r="KMZ48" s="44"/>
      <c r="KNA48" s="44"/>
      <c r="KNB48" s="44"/>
      <c r="KNC48" s="44"/>
      <c r="KND48" s="44"/>
      <c r="KNE48" s="44"/>
      <c r="KNF48" s="44"/>
      <c r="KNG48" s="44"/>
      <c r="KNH48" s="44"/>
      <c r="KNI48" s="44"/>
      <c r="KNJ48" s="44"/>
      <c r="KNK48" s="44"/>
      <c r="KNL48" s="44"/>
      <c r="KNM48" s="44"/>
      <c r="KNN48" s="44"/>
      <c r="KNO48" s="44"/>
      <c r="KNP48" s="44"/>
      <c r="KNQ48" s="44"/>
      <c r="KNR48" s="44"/>
      <c r="KNS48" s="44"/>
      <c r="KNT48" s="44"/>
      <c r="KNU48" s="44"/>
      <c r="KNV48" s="44"/>
      <c r="KNW48" s="44"/>
      <c r="KNX48" s="44"/>
      <c r="KNY48" s="44"/>
      <c r="KNZ48" s="44"/>
      <c r="KOA48" s="44"/>
      <c r="KOB48" s="44"/>
      <c r="KOC48" s="44"/>
      <c r="KOD48" s="44"/>
      <c r="KOE48" s="44"/>
      <c r="KOF48" s="44"/>
      <c r="KOG48" s="44"/>
      <c r="KOH48" s="44"/>
      <c r="KOI48" s="44"/>
      <c r="KOJ48" s="44"/>
      <c r="KOK48" s="44"/>
      <c r="KOL48" s="44"/>
      <c r="KOM48" s="44"/>
      <c r="KON48" s="44"/>
      <c r="KOO48" s="44"/>
      <c r="KOP48" s="44"/>
      <c r="KOQ48" s="44"/>
      <c r="KOR48" s="44"/>
      <c r="KOS48" s="44"/>
      <c r="KOT48" s="44"/>
      <c r="KOU48" s="44"/>
      <c r="KOV48" s="44"/>
      <c r="KOW48" s="44"/>
      <c r="KOX48" s="44"/>
      <c r="KOY48" s="44"/>
      <c r="KOZ48" s="44"/>
      <c r="KPA48" s="44"/>
      <c r="KPB48" s="44"/>
      <c r="KPC48" s="44"/>
      <c r="KPD48" s="44"/>
      <c r="KPE48" s="44"/>
      <c r="KPF48" s="44"/>
      <c r="KPG48" s="44"/>
      <c r="KPH48" s="44"/>
      <c r="KPI48" s="44"/>
      <c r="KPJ48" s="44"/>
      <c r="KPK48" s="44"/>
      <c r="KPL48" s="44"/>
      <c r="KPM48" s="44"/>
      <c r="KPN48" s="44"/>
      <c r="KPO48" s="44"/>
      <c r="KPP48" s="44"/>
      <c r="KPQ48" s="44"/>
      <c r="KPR48" s="44"/>
      <c r="KPS48" s="44"/>
      <c r="KPT48" s="44"/>
      <c r="KPU48" s="44"/>
      <c r="KPV48" s="44"/>
      <c r="KPW48" s="44"/>
      <c r="KPX48" s="44"/>
      <c r="KPY48" s="44"/>
      <c r="KPZ48" s="44"/>
      <c r="KQA48" s="44"/>
      <c r="KQB48" s="44"/>
      <c r="KQC48" s="44"/>
      <c r="KQD48" s="44"/>
      <c r="KQE48" s="44"/>
      <c r="KQF48" s="44"/>
      <c r="KQG48" s="44"/>
      <c r="KQH48" s="44"/>
      <c r="KQI48" s="44"/>
      <c r="KQJ48" s="44"/>
      <c r="KQK48" s="44"/>
      <c r="KQL48" s="44"/>
      <c r="KQM48" s="44"/>
      <c r="KQN48" s="44"/>
      <c r="KQO48" s="44"/>
      <c r="KQP48" s="44"/>
      <c r="KQQ48" s="44"/>
      <c r="KQR48" s="44"/>
      <c r="KQS48" s="44"/>
      <c r="KQT48" s="44"/>
      <c r="KQU48" s="44"/>
      <c r="KQV48" s="44"/>
      <c r="KQW48" s="44"/>
      <c r="KQX48" s="44"/>
      <c r="KQY48" s="44"/>
      <c r="KQZ48" s="44"/>
      <c r="KRA48" s="44"/>
      <c r="KRB48" s="44"/>
      <c r="KRC48" s="44"/>
      <c r="KRD48" s="44"/>
      <c r="KRE48" s="44"/>
      <c r="KRF48" s="44"/>
      <c r="KRG48" s="44"/>
      <c r="KRH48" s="44"/>
      <c r="KRI48" s="44"/>
      <c r="KRJ48" s="44"/>
      <c r="KRK48" s="44"/>
      <c r="KRL48" s="44"/>
      <c r="KRM48" s="44"/>
      <c r="KRN48" s="44"/>
      <c r="KRO48" s="44"/>
      <c r="KRP48" s="44"/>
      <c r="KRQ48" s="44"/>
      <c r="KRR48" s="44"/>
      <c r="KRS48" s="44"/>
      <c r="KRT48" s="44"/>
      <c r="KRU48" s="44"/>
      <c r="KRV48" s="44"/>
      <c r="KRW48" s="44"/>
      <c r="KRX48" s="44"/>
      <c r="KRY48" s="44"/>
      <c r="KRZ48" s="44"/>
      <c r="KSA48" s="44"/>
      <c r="KSB48" s="44"/>
      <c r="KSC48" s="44"/>
      <c r="KSD48" s="44"/>
      <c r="KSE48" s="44"/>
      <c r="KSF48" s="44"/>
      <c r="KSG48" s="44"/>
      <c r="KSH48" s="44"/>
      <c r="KSI48" s="44"/>
      <c r="KSJ48" s="44"/>
      <c r="KSK48" s="44"/>
      <c r="KSL48" s="44"/>
      <c r="KSM48" s="44"/>
      <c r="KSN48" s="44"/>
      <c r="KSO48" s="44"/>
      <c r="KSP48" s="44"/>
      <c r="KSQ48" s="44"/>
      <c r="KSR48" s="44"/>
      <c r="KSS48" s="44"/>
      <c r="KST48" s="44"/>
      <c r="KSU48" s="44"/>
      <c r="KSV48" s="44"/>
      <c r="KSW48" s="44"/>
      <c r="KSX48" s="44"/>
      <c r="KSY48" s="44"/>
      <c r="KSZ48" s="44"/>
      <c r="KTA48" s="44"/>
      <c r="KTB48" s="44"/>
      <c r="KTC48" s="44"/>
      <c r="KTD48" s="44"/>
      <c r="KTE48" s="44"/>
      <c r="KTF48" s="44"/>
      <c r="KTG48" s="44"/>
      <c r="KTH48" s="44"/>
      <c r="KTI48" s="44"/>
      <c r="KTJ48" s="44"/>
      <c r="KTK48" s="44"/>
      <c r="KTL48" s="44"/>
      <c r="KTM48" s="44"/>
      <c r="KTN48" s="44"/>
      <c r="KTO48" s="44"/>
      <c r="KTP48" s="44"/>
      <c r="KTQ48" s="44"/>
      <c r="KTR48" s="44"/>
      <c r="KTS48" s="44"/>
      <c r="KTT48" s="44"/>
      <c r="KTU48" s="44"/>
      <c r="KTV48" s="44"/>
      <c r="KTW48" s="44"/>
      <c r="KTX48" s="44"/>
      <c r="KTY48" s="44"/>
      <c r="KTZ48" s="44"/>
      <c r="KUA48" s="44"/>
      <c r="KUB48" s="44"/>
      <c r="KUC48" s="44"/>
      <c r="KUD48" s="44"/>
      <c r="KUE48" s="44"/>
      <c r="KUF48" s="44"/>
      <c r="KUG48" s="44"/>
      <c r="KUH48" s="44"/>
      <c r="KUI48" s="44"/>
      <c r="KUJ48" s="44"/>
      <c r="KUK48" s="44"/>
      <c r="KUL48" s="44"/>
      <c r="KUM48" s="44"/>
      <c r="KUN48" s="44"/>
      <c r="KUO48" s="44"/>
      <c r="KUP48" s="44"/>
      <c r="KUQ48" s="44"/>
      <c r="KUR48" s="44"/>
      <c r="KUS48" s="44"/>
      <c r="KUT48" s="44"/>
      <c r="KUU48" s="44"/>
      <c r="KUV48" s="44"/>
      <c r="KUW48" s="44"/>
      <c r="KUX48" s="44"/>
      <c r="KUY48" s="44"/>
      <c r="KUZ48" s="44"/>
      <c r="KVA48" s="44"/>
      <c r="KVB48" s="44"/>
      <c r="KVC48" s="44"/>
      <c r="KVD48" s="44"/>
      <c r="KVE48" s="44"/>
      <c r="KVF48" s="44"/>
      <c r="KVG48" s="44"/>
      <c r="KVH48" s="44"/>
      <c r="KVI48" s="44"/>
      <c r="KVJ48" s="44"/>
      <c r="KVK48" s="44"/>
      <c r="KVL48" s="44"/>
      <c r="KVM48" s="44"/>
      <c r="KVN48" s="44"/>
      <c r="KVO48" s="44"/>
      <c r="KVP48" s="44"/>
      <c r="KVQ48" s="44"/>
      <c r="KVR48" s="44"/>
      <c r="KVS48" s="44"/>
      <c r="KVT48" s="44"/>
      <c r="KVU48" s="44"/>
      <c r="KVV48" s="44"/>
      <c r="KVW48" s="44"/>
      <c r="KVX48" s="44"/>
      <c r="KVY48" s="44"/>
      <c r="KVZ48" s="44"/>
      <c r="KWA48" s="44"/>
      <c r="KWB48" s="44"/>
      <c r="KWC48" s="44"/>
      <c r="KWD48" s="44"/>
      <c r="KWE48" s="44"/>
      <c r="KWF48" s="44"/>
      <c r="KWG48" s="44"/>
      <c r="KWH48" s="44"/>
      <c r="KWI48" s="44"/>
      <c r="KWJ48" s="44"/>
      <c r="KWK48" s="44"/>
      <c r="KWL48" s="44"/>
      <c r="KWM48" s="44"/>
      <c r="KWN48" s="44"/>
      <c r="KWO48" s="44"/>
      <c r="KWP48" s="44"/>
      <c r="KWQ48" s="44"/>
      <c r="KWR48" s="44"/>
      <c r="KWS48" s="44"/>
      <c r="KWT48" s="44"/>
      <c r="KWU48" s="44"/>
      <c r="KWV48" s="44"/>
      <c r="KWW48" s="44"/>
      <c r="KWX48" s="44"/>
      <c r="KWY48" s="44"/>
      <c r="KWZ48" s="44"/>
      <c r="KXA48" s="44"/>
      <c r="KXB48" s="44"/>
      <c r="KXC48" s="44"/>
      <c r="KXD48" s="44"/>
      <c r="KXE48" s="44"/>
      <c r="KXF48" s="44"/>
      <c r="KXG48" s="44"/>
      <c r="KXH48" s="44"/>
      <c r="KXI48" s="44"/>
      <c r="KXJ48" s="44"/>
      <c r="KXK48" s="44"/>
      <c r="KXL48" s="44"/>
      <c r="KXM48" s="44"/>
      <c r="KXN48" s="44"/>
      <c r="KXO48" s="44"/>
      <c r="KXP48" s="44"/>
      <c r="KXQ48" s="44"/>
      <c r="KXR48" s="44"/>
      <c r="KXS48" s="44"/>
      <c r="KXT48" s="44"/>
      <c r="KXU48" s="44"/>
      <c r="KXV48" s="44"/>
      <c r="KXW48" s="44"/>
      <c r="KXX48" s="44"/>
      <c r="KXY48" s="44"/>
      <c r="KXZ48" s="44"/>
      <c r="KYA48" s="44"/>
      <c r="KYB48" s="44"/>
      <c r="KYC48" s="44"/>
      <c r="KYD48" s="44"/>
      <c r="KYE48" s="44"/>
      <c r="KYF48" s="44"/>
      <c r="KYG48" s="44"/>
      <c r="KYH48" s="44"/>
      <c r="KYI48" s="44"/>
      <c r="KYJ48" s="44"/>
      <c r="KYK48" s="44"/>
      <c r="KYL48" s="44"/>
      <c r="KYM48" s="44"/>
      <c r="KYN48" s="44"/>
      <c r="KYO48" s="44"/>
      <c r="KYP48" s="44"/>
      <c r="KYQ48" s="44"/>
      <c r="KYR48" s="44"/>
      <c r="KYS48" s="44"/>
      <c r="KYT48" s="44"/>
      <c r="KYU48" s="44"/>
      <c r="KYV48" s="44"/>
      <c r="KYW48" s="44"/>
      <c r="KYX48" s="44"/>
      <c r="KYY48" s="44"/>
      <c r="KYZ48" s="44"/>
      <c r="KZA48" s="44"/>
      <c r="KZB48" s="44"/>
      <c r="KZC48" s="44"/>
      <c r="KZD48" s="44"/>
      <c r="KZE48" s="44"/>
      <c r="KZF48" s="44"/>
      <c r="KZG48" s="44"/>
      <c r="KZH48" s="44"/>
      <c r="KZI48" s="44"/>
      <c r="KZJ48" s="44"/>
      <c r="KZK48" s="44"/>
      <c r="KZL48" s="44"/>
      <c r="KZM48" s="44"/>
      <c r="KZN48" s="44"/>
      <c r="KZO48" s="44"/>
      <c r="KZP48" s="44"/>
      <c r="KZQ48" s="44"/>
      <c r="KZR48" s="44"/>
      <c r="KZS48" s="44"/>
      <c r="KZT48" s="44"/>
      <c r="KZU48" s="44"/>
      <c r="KZV48" s="44"/>
      <c r="KZW48" s="44"/>
      <c r="KZX48" s="44"/>
      <c r="KZY48" s="44"/>
      <c r="KZZ48" s="44"/>
      <c r="LAA48" s="44"/>
      <c r="LAB48" s="44"/>
      <c r="LAC48" s="44"/>
      <c r="LAD48" s="44"/>
      <c r="LAE48" s="44"/>
      <c r="LAF48" s="44"/>
      <c r="LAG48" s="44"/>
      <c r="LAH48" s="44"/>
      <c r="LAI48" s="44"/>
      <c r="LAJ48" s="44"/>
      <c r="LAK48" s="44"/>
      <c r="LAL48" s="44"/>
      <c r="LAM48" s="44"/>
      <c r="LAN48" s="44"/>
      <c r="LAO48" s="44"/>
      <c r="LAP48" s="44"/>
      <c r="LAQ48" s="44"/>
      <c r="LAR48" s="44"/>
      <c r="LAS48" s="44"/>
      <c r="LAT48" s="44"/>
      <c r="LAU48" s="44"/>
      <c r="LAV48" s="44"/>
      <c r="LAW48" s="44"/>
      <c r="LAX48" s="44"/>
      <c r="LAY48" s="44"/>
      <c r="LAZ48" s="44"/>
      <c r="LBA48" s="44"/>
      <c r="LBB48" s="44"/>
      <c r="LBC48" s="44"/>
      <c r="LBD48" s="44"/>
      <c r="LBE48" s="44"/>
      <c r="LBF48" s="44"/>
      <c r="LBG48" s="44"/>
      <c r="LBH48" s="44"/>
      <c r="LBI48" s="44"/>
      <c r="LBJ48" s="44"/>
      <c r="LBK48" s="44"/>
      <c r="LBL48" s="44"/>
      <c r="LBM48" s="44"/>
      <c r="LBN48" s="44"/>
      <c r="LBO48" s="44"/>
      <c r="LBP48" s="44"/>
      <c r="LBQ48" s="44"/>
      <c r="LBR48" s="44"/>
      <c r="LBS48" s="44"/>
      <c r="LBT48" s="44"/>
      <c r="LBU48" s="44"/>
      <c r="LBV48" s="44"/>
      <c r="LBW48" s="44"/>
      <c r="LBX48" s="44"/>
      <c r="LBY48" s="44"/>
      <c r="LBZ48" s="44"/>
      <c r="LCA48" s="44"/>
      <c r="LCB48" s="44"/>
      <c r="LCC48" s="44"/>
      <c r="LCD48" s="44"/>
      <c r="LCE48" s="44"/>
      <c r="LCF48" s="44"/>
      <c r="LCG48" s="44"/>
      <c r="LCH48" s="44"/>
      <c r="LCI48" s="44"/>
      <c r="LCJ48" s="44"/>
      <c r="LCK48" s="44"/>
      <c r="LCL48" s="44"/>
      <c r="LCM48" s="44"/>
      <c r="LCN48" s="44"/>
      <c r="LCO48" s="44"/>
      <c r="LCP48" s="44"/>
      <c r="LCQ48" s="44"/>
      <c r="LCR48" s="44"/>
      <c r="LCS48" s="44"/>
      <c r="LCT48" s="44"/>
      <c r="LCU48" s="44"/>
      <c r="LCV48" s="44"/>
      <c r="LCW48" s="44"/>
      <c r="LCX48" s="44"/>
      <c r="LCY48" s="44"/>
      <c r="LCZ48" s="44"/>
      <c r="LDA48" s="44"/>
      <c r="LDB48" s="44"/>
      <c r="LDC48" s="44"/>
      <c r="LDD48" s="44"/>
      <c r="LDE48" s="44"/>
      <c r="LDF48" s="44"/>
      <c r="LDG48" s="44"/>
      <c r="LDH48" s="44"/>
      <c r="LDI48" s="44"/>
      <c r="LDJ48" s="44"/>
      <c r="LDK48" s="44"/>
      <c r="LDL48" s="44"/>
      <c r="LDM48" s="44"/>
      <c r="LDN48" s="44"/>
      <c r="LDO48" s="44"/>
      <c r="LDP48" s="44"/>
      <c r="LDQ48" s="44"/>
      <c r="LDR48" s="44"/>
      <c r="LDS48" s="44"/>
      <c r="LDT48" s="44"/>
      <c r="LDU48" s="44"/>
      <c r="LDV48" s="44"/>
      <c r="LDW48" s="44"/>
      <c r="LDX48" s="44"/>
      <c r="LDY48" s="44"/>
      <c r="LDZ48" s="44"/>
      <c r="LEA48" s="44"/>
      <c r="LEB48" s="44"/>
      <c r="LEC48" s="44"/>
      <c r="LED48" s="44"/>
      <c r="LEE48" s="44"/>
      <c r="LEF48" s="44"/>
      <c r="LEG48" s="44"/>
      <c r="LEH48" s="44"/>
      <c r="LEI48" s="44"/>
      <c r="LEJ48" s="44"/>
      <c r="LEK48" s="44"/>
      <c r="LEL48" s="44"/>
      <c r="LEM48" s="44"/>
      <c r="LEN48" s="44"/>
      <c r="LEO48" s="44"/>
      <c r="LEP48" s="44"/>
      <c r="LEQ48" s="44"/>
      <c r="LER48" s="44"/>
      <c r="LES48" s="44"/>
      <c r="LET48" s="44"/>
      <c r="LEU48" s="44"/>
      <c r="LEV48" s="44"/>
      <c r="LEW48" s="44"/>
      <c r="LEX48" s="44"/>
      <c r="LEY48" s="44"/>
      <c r="LEZ48" s="44"/>
      <c r="LFA48" s="44"/>
      <c r="LFB48" s="44"/>
      <c r="LFC48" s="44"/>
      <c r="LFD48" s="44"/>
      <c r="LFE48" s="44"/>
      <c r="LFF48" s="44"/>
      <c r="LFG48" s="44"/>
      <c r="LFH48" s="44"/>
      <c r="LFI48" s="44"/>
      <c r="LFJ48" s="44"/>
      <c r="LFK48" s="44"/>
      <c r="LFL48" s="44"/>
      <c r="LFM48" s="44"/>
      <c r="LFN48" s="44"/>
      <c r="LFO48" s="44"/>
      <c r="LFP48" s="44"/>
      <c r="LFQ48" s="44"/>
      <c r="LFR48" s="44"/>
      <c r="LFS48" s="44"/>
      <c r="LFT48" s="44"/>
      <c r="LFU48" s="44"/>
      <c r="LFV48" s="44"/>
      <c r="LFW48" s="44"/>
      <c r="LFX48" s="44"/>
      <c r="LFY48" s="44"/>
      <c r="LFZ48" s="44"/>
      <c r="LGA48" s="44"/>
      <c r="LGB48" s="44"/>
      <c r="LGC48" s="44"/>
      <c r="LGD48" s="44"/>
      <c r="LGE48" s="44"/>
      <c r="LGF48" s="44"/>
      <c r="LGG48" s="44"/>
      <c r="LGH48" s="44"/>
      <c r="LGI48" s="44"/>
      <c r="LGJ48" s="44"/>
      <c r="LGK48" s="44"/>
      <c r="LGL48" s="44"/>
      <c r="LGM48" s="44"/>
      <c r="LGN48" s="44"/>
      <c r="LGO48" s="44"/>
      <c r="LGP48" s="44"/>
      <c r="LGQ48" s="44"/>
      <c r="LGR48" s="44"/>
      <c r="LGS48" s="44"/>
      <c r="LGT48" s="44"/>
      <c r="LGU48" s="44"/>
      <c r="LGV48" s="44"/>
      <c r="LGW48" s="44"/>
      <c r="LGX48" s="44"/>
      <c r="LGY48" s="44"/>
      <c r="LGZ48" s="44"/>
      <c r="LHA48" s="44"/>
      <c r="LHB48" s="44"/>
      <c r="LHC48" s="44"/>
      <c r="LHD48" s="44"/>
      <c r="LHE48" s="44"/>
      <c r="LHF48" s="44"/>
      <c r="LHG48" s="44"/>
      <c r="LHH48" s="44"/>
      <c r="LHI48" s="44"/>
      <c r="LHJ48" s="44"/>
      <c r="LHK48" s="44"/>
      <c r="LHL48" s="44"/>
      <c r="LHM48" s="44"/>
      <c r="LHN48" s="44"/>
      <c r="LHO48" s="44"/>
      <c r="LHP48" s="44"/>
      <c r="LHQ48" s="44"/>
      <c r="LHR48" s="44"/>
      <c r="LHS48" s="44"/>
      <c r="LHT48" s="44"/>
      <c r="LHU48" s="44"/>
      <c r="LHV48" s="44"/>
      <c r="LHW48" s="44"/>
      <c r="LHX48" s="44"/>
      <c r="LHY48" s="44"/>
      <c r="LHZ48" s="44"/>
      <c r="LIA48" s="44"/>
      <c r="LIB48" s="44"/>
      <c r="LIC48" s="44"/>
      <c r="LID48" s="44"/>
      <c r="LIE48" s="44"/>
      <c r="LIF48" s="44"/>
      <c r="LIG48" s="44"/>
      <c r="LIH48" s="44"/>
      <c r="LII48" s="44"/>
      <c r="LIJ48" s="44"/>
      <c r="LIK48" s="44"/>
      <c r="LIL48" s="44"/>
      <c r="LIM48" s="44"/>
      <c r="LIN48" s="44"/>
      <c r="LIO48" s="44"/>
      <c r="LIP48" s="44"/>
      <c r="LIQ48" s="44"/>
      <c r="LIR48" s="44"/>
      <c r="LIS48" s="44"/>
      <c r="LIT48" s="44"/>
      <c r="LIU48" s="44"/>
      <c r="LIV48" s="44"/>
      <c r="LIW48" s="44"/>
      <c r="LIX48" s="44"/>
      <c r="LIY48" s="44"/>
      <c r="LIZ48" s="44"/>
      <c r="LJA48" s="44"/>
      <c r="LJB48" s="44"/>
      <c r="LJC48" s="44"/>
      <c r="LJD48" s="44"/>
      <c r="LJE48" s="44"/>
      <c r="LJF48" s="44"/>
      <c r="LJG48" s="44"/>
      <c r="LJH48" s="44"/>
      <c r="LJI48" s="44"/>
      <c r="LJJ48" s="44"/>
      <c r="LJK48" s="44"/>
      <c r="LJL48" s="44"/>
      <c r="LJM48" s="44"/>
      <c r="LJN48" s="44"/>
      <c r="LJO48" s="44"/>
      <c r="LJP48" s="44"/>
      <c r="LJQ48" s="44"/>
      <c r="LJR48" s="44"/>
      <c r="LJS48" s="44"/>
      <c r="LJT48" s="44"/>
      <c r="LJU48" s="44"/>
      <c r="LJV48" s="44"/>
      <c r="LJW48" s="44"/>
      <c r="LJX48" s="44"/>
      <c r="LJY48" s="44"/>
      <c r="LJZ48" s="44"/>
      <c r="LKA48" s="44"/>
      <c r="LKB48" s="44"/>
      <c r="LKC48" s="44"/>
      <c r="LKD48" s="44"/>
      <c r="LKE48" s="44"/>
      <c r="LKF48" s="44"/>
      <c r="LKG48" s="44"/>
      <c r="LKH48" s="44"/>
      <c r="LKI48" s="44"/>
      <c r="LKJ48" s="44"/>
      <c r="LKK48" s="44"/>
      <c r="LKL48" s="44"/>
      <c r="LKM48" s="44"/>
      <c r="LKN48" s="44"/>
      <c r="LKO48" s="44"/>
      <c r="LKP48" s="44"/>
      <c r="LKQ48" s="44"/>
      <c r="LKR48" s="44"/>
      <c r="LKS48" s="44"/>
      <c r="LKT48" s="44"/>
      <c r="LKU48" s="44"/>
      <c r="LKV48" s="44"/>
      <c r="LKW48" s="44"/>
      <c r="LKX48" s="44"/>
      <c r="LKY48" s="44"/>
      <c r="LKZ48" s="44"/>
      <c r="LLA48" s="44"/>
      <c r="LLB48" s="44"/>
      <c r="LLC48" s="44"/>
      <c r="LLD48" s="44"/>
      <c r="LLE48" s="44"/>
      <c r="LLF48" s="44"/>
      <c r="LLG48" s="44"/>
      <c r="LLH48" s="44"/>
      <c r="LLI48" s="44"/>
      <c r="LLJ48" s="44"/>
      <c r="LLK48" s="44"/>
      <c r="LLL48" s="44"/>
      <c r="LLM48" s="44"/>
      <c r="LLN48" s="44"/>
      <c r="LLO48" s="44"/>
      <c r="LLP48" s="44"/>
      <c r="LLQ48" s="44"/>
      <c r="LLR48" s="44"/>
      <c r="LLS48" s="44"/>
      <c r="LLT48" s="44"/>
      <c r="LLU48" s="44"/>
      <c r="LLV48" s="44"/>
      <c r="LLW48" s="44"/>
      <c r="LLX48" s="44"/>
      <c r="LLY48" s="44"/>
      <c r="LLZ48" s="44"/>
      <c r="LMA48" s="44"/>
      <c r="LMB48" s="44"/>
      <c r="LMC48" s="44"/>
      <c r="LMD48" s="44"/>
      <c r="LME48" s="44"/>
      <c r="LMF48" s="44"/>
      <c r="LMG48" s="44"/>
      <c r="LMH48" s="44"/>
      <c r="LMI48" s="44"/>
      <c r="LMJ48" s="44"/>
      <c r="LMK48" s="44"/>
      <c r="LML48" s="44"/>
      <c r="LMM48" s="44"/>
      <c r="LMN48" s="44"/>
      <c r="LMO48" s="44"/>
      <c r="LMP48" s="44"/>
      <c r="LMQ48" s="44"/>
      <c r="LMR48" s="44"/>
      <c r="LMS48" s="44"/>
      <c r="LMT48" s="44"/>
      <c r="LMU48" s="44"/>
      <c r="LMV48" s="44"/>
      <c r="LMW48" s="44"/>
      <c r="LMX48" s="44"/>
      <c r="LMY48" s="44"/>
      <c r="LMZ48" s="44"/>
      <c r="LNA48" s="44"/>
      <c r="LNB48" s="44"/>
      <c r="LNC48" s="44"/>
      <c r="LND48" s="44"/>
      <c r="LNE48" s="44"/>
      <c r="LNF48" s="44"/>
      <c r="LNG48" s="44"/>
      <c r="LNH48" s="44"/>
      <c r="LNI48" s="44"/>
      <c r="LNJ48" s="44"/>
      <c r="LNK48" s="44"/>
      <c r="LNL48" s="44"/>
      <c r="LNM48" s="44"/>
      <c r="LNN48" s="44"/>
      <c r="LNO48" s="44"/>
      <c r="LNP48" s="44"/>
      <c r="LNQ48" s="44"/>
      <c r="LNR48" s="44"/>
      <c r="LNS48" s="44"/>
      <c r="LNT48" s="44"/>
      <c r="LNU48" s="44"/>
      <c r="LNV48" s="44"/>
      <c r="LNW48" s="44"/>
      <c r="LNX48" s="44"/>
      <c r="LNY48" s="44"/>
      <c r="LNZ48" s="44"/>
      <c r="LOA48" s="44"/>
      <c r="LOB48" s="44"/>
      <c r="LOC48" s="44"/>
      <c r="LOD48" s="44"/>
      <c r="LOE48" s="44"/>
      <c r="LOF48" s="44"/>
      <c r="LOG48" s="44"/>
      <c r="LOH48" s="44"/>
      <c r="LOI48" s="44"/>
      <c r="LOJ48" s="44"/>
      <c r="LOK48" s="44"/>
      <c r="LOL48" s="44"/>
      <c r="LOM48" s="44"/>
      <c r="LON48" s="44"/>
      <c r="LOO48" s="44"/>
      <c r="LOP48" s="44"/>
      <c r="LOQ48" s="44"/>
      <c r="LOR48" s="44"/>
      <c r="LOS48" s="44"/>
      <c r="LOT48" s="44"/>
      <c r="LOU48" s="44"/>
      <c r="LOV48" s="44"/>
      <c r="LOW48" s="44"/>
      <c r="LOX48" s="44"/>
      <c r="LOY48" s="44"/>
      <c r="LOZ48" s="44"/>
      <c r="LPA48" s="44"/>
      <c r="LPB48" s="44"/>
      <c r="LPC48" s="44"/>
      <c r="LPD48" s="44"/>
      <c r="LPE48" s="44"/>
      <c r="LPF48" s="44"/>
      <c r="LPG48" s="44"/>
      <c r="LPH48" s="44"/>
      <c r="LPI48" s="44"/>
      <c r="LPJ48" s="44"/>
      <c r="LPK48" s="44"/>
      <c r="LPL48" s="44"/>
      <c r="LPM48" s="44"/>
      <c r="LPN48" s="44"/>
      <c r="LPO48" s="44"/>
      <c r="LPP48" s="44"/>
      <c r="LPQ48" s="44"/>
      <c r="LPR48" s="44"/>
      <c r="LPS48" s="44"/>
      <c r="LPT48" s="44"/>
      <c r="LPU48" s="44"/>
      <c r="LPV48" s="44"/>
      <c r="LPW48" s="44"/>
      <c r="LPX48" s="44"/>
      <c r="LPY48" s="44"/>
      <c r="LPZ48" s="44"/>
      <c r="LQA48" s="44"/>
      <c r="LQB48" s="44"/>
      <c r="LQC48" s="44"/>
      <c r="LQD48" s="44"/>
      <c r="LQE48" s="44"/>
      <c r="LQF48" s="44"/>
      <c r="LQG48" s="44"/>
      <c r="LQH48" s="44"/>
      <c r="LQI48" s="44"/>
      <c r="LQJ48" s="44"/>
      <c r="LQK48" s="44"/>
      <c r="LQL48" s="44"/>
      <c r="LQM48" s="44"/>
      <c r="LQN48" s="44"/>
      <c r="LQO48" s="44"/>
      <c r="LQP48" s="44"/>
      <c r="LQQ48" s="44"/>
      <c r="LQR48" s="44"/>
      <c r="LQS48" s="44"/>
      <c r="LQT48" s="44"/>
      <c r="LQU48" s="44"/>
      <c r="LQV48" s="44"/>
      <c r="LQW48" s="44"/>
      <c r="LQX48" s="44"/>
      <c r="LQY48" s="44"/>
      <c r="LQZ48" s="44"/>
      <c r="LRA48" s="44"/>
      <c r="LRB48" s="44"/>
      <c r="LRC48" s="44"/>
      <c r="LRD48" s="44"/>
      <c r="LRE48" s="44"/>
      <c r="LRF48" s="44"/>
      <c r="LRG48" s="44"/>
      <c r="LRH48" s="44"/>
      <c r="LRI48" s="44"/>
      <c r="LRJ48" s="44"/>
      <c r="LRK48" s="44"/>
      <c r="LRL48" s="44"/>
      <c r="LRM48" s="44"/>
      <c r="LRN48" s="44"/>
      <c r="LRO48" s="44"/>
      <c r="LRP48" s="44"/>
      <c r="LRQ48" s="44"/>
      <c r="LRR48" s="44"/>
      <c r="LRS48" s="44"/>
      <c r="LRT48" s="44"/>
      <c r="LRU48" s="44"/>
      <c r="LRV48" s="44"/>
      <c r="LRW48" s="44"/>
      <c r="LRX48" s="44"/>
      <c r="LRY48" s="44"/>
      <c r="LRZ48" s="44"/>
      <c r="LSA48" s="44"/>
      <c r="LSB48" s="44"/>
      <c r="LSC48" s="44"/>
      <c r="LSD48" s="44"/>
      <c r="LSE48" s="44"/>
      <c r="LSF48" s="44"/>
      <c r="LSG48" s="44"/>
      <c r="LSH48" s="44"/>
      <c r="LSI48" s="44"/>
      <c r="LSJ48" s="44"/>
      <c r="LSK48" s="44"/>
      <c r="LSL48" s="44"/>
      <c r="LSM48" s="44"/>
      <c r="LSN48" s="44"/>
      <c r="LSO48" s="44"/>
      <c r="LSP48" s="44"/>
      <c r="LSQ48" s="44"/>
      <c r="LSR48" s="44"/>
      <c r="LSS48" s="44"/>
      <c r="LST48" s="44"/>
      <c r="LSU48" s="44"/>
      <c r="LSV48" s="44"/>
      <c r="LSW48" s="44"/>
      <c r="LSX48" s="44"/>
      <c r="LSY48" s="44"/>
      <c r="LSZ48" s="44"/>
      <c r="LTA48" s="44"/>
      <c r="LTB48" s="44"/>
      <c r="LTC48" s="44"/>
      <c r="LTD48" s="44"/>
      <c r="LTE48" s="44"/>
      <c r="LTF48" s="44"/>
      <c r="LTG48" s="44"/>
      <c r="LTH48" s="44"/>
      <c r="LTI48" s="44"/>
      <c r="LTJ48" s="44"/>
      <c r="LTK48" s="44"/>
      <c r="LTL48" s="44"/>
      <c r="LTM48" s="44"/>
      <c r="LTN48" s="44"/>
      <c r="LTO48" s="44"/>
      <c r="LTP48" s="44"/>
      <c r="LTQ48" s="44"/>
      <c r="LTR48" s="44"/>
      <c r="LTS48" s="44"/>
      <c r="LTT48" s="44"/>
      <c r="LTU48" s="44"/>
      <c r="LTV48" s="44"/>
      <c r="LTW48" s="44"/>
      <c r="LTX48" s="44"/>
      <c r="LTY48" s="44"/>
      <c r="LTZ48" s="44"/>
      <c r="LUA48" s="44"/>
      <c r="LUB48" s="44"/>
      <c r="LUC48" s="44"/>
      <c r="LUD48" s="44"/>
      <c r="LUE48" s="44"/>
      <c r="LUF48" s="44"/>
      <c r="LUG48" s="44"/>
      <c r="LUH48" s="44"/>
      <c r="LUI48" s="44"/>
      <c r="LUJ48" s="44"/>
      <c r="LUK48" s="44"/>
      <c r="LUL48" s="44"/>
      <c r="LUM48" s="44"/>
      <c r="LUN48" s="44"/>
      <c r="LUO48" s="44"/>
      <c r="LUP48" s="44"/>
      <c r="LUQ48" s="44"/>
      <c r="LUR48" s="44"/>
      <c r="LUS48" s="44"/>
      <c r="LUT48" s="44"/>
      <c r="LUU48" s="44"/>
      <c r="LUV48" s="44"/>
      <c r="LUW48" s="44"/>
      <c r="LUX48" s="44"/>
      <c r="LUY48" s="44"/>
      <c r="LUZ48" s="44"/>
      <c r="LVA48" s="44"/>
      <c r="LVB48" s="44"/>
      <c r="LVC48" s="44"/>
      <c r="LVD48" s="44"/>
      <c r="LVE48" s="44"/>
      <c r="LVF48" s="44"/>
      <c r="LVG48" s="44"/>
      <c r="LVH48" s="44"/>
      <c r="LVI48" s="44"/>
      <c r="LVJ48" s="44"/>
      <c r="LVK48" s="44"/>
      <c r="LVL48" s="44"/>
      <c r="LVM48" s="44"/>
      <c r="LVN48" s="44"/>
      <c r="LVO48" s="44"/>
      <c r="LVP48" s="44"/>
      <c r="LVQ48" s="44"/>
      <c r="LVR48" s="44"/>
      <c r="LVS48" s="44"/>
      <c r="LVT48" s="44"/>
      <c r="LVU48" s="44"/>
      <c r="LVV48" s="44"/>
      <c r="LVW48" s="44"/>
      <c r="LVX48" s="44"/>
      <c r="LVY48" s="44"/>
      <c r="LVZ48" s="44"/>
      <c r="LWA48" s="44"/>
      <c r="LWB48" s="44"/>
      <c r="LWC48" s="44"/>
      <c r="LWD48" s="44"/>
      <c r="LWE48" s="44"/>
      <c r="LWF48" s="44"/>
      <c r="LWG48" s="44"/>
      <c r="LWH48" s="44"/>
      <c r="LWI48" s="44"/>
      <c r="LWJ48" s="44"/>
      <c r="LWK48" s="44"/>
      <c r="LWL48" s="44"/>
      <c r="LWM48" s="44"/>
      <c r="LWN48" s="44"/>
      <c r="LWO48" s="44"/>
      <c r="LWP48" s="44"/>
      <c r="LWQ48" s="44"/>
      <c r="LWR48" s="44"/>
      <c r="LWS48" s="44"/>
      <c r="LWT48" s="44"/>
      <c r="LWU48" s="44"/>
      <c r="LWV48" s="44"/>
      <c r="LWW48" s="44"/>
      <c r="LWX48" s="44"/>
      <c r="LWY48" s="44"/>
      <c r="LWZ48" s="44"/>
      <c r="LXA48" s="44"/>
      <c r="LXB48" s="44"/>
      <c r="LXC48" s="44"/>
      <c r="LXD48" s="44"/>
      <c r="LXE48" s="44"/>
      <c r="LXF48" s="44"/>
      <c r="LXG48" s="44"/>
      <c r="LXH48" s="44"/>
      <c r="LXI48" s="44"/>
      <c r="LXJ48" s="44"/>
      <c r="LXK48" s="44"/>
      <c r="LXL48" s="44"/>
      <c r="LXM48" s="44"/>
      <c r="LXN48" s="44"/>
      <c r="LXO48" s="44"/>
      <c r="LXP48" s="44"/>
      <c r="LXQ48" s="44"/>
      <c r="LXR48" s="44"/>
      <c r="LXS48" s="44"/>
      <c r="LXT48" s="44"/>
      <c r="LXU48" s="44"/>
      <c r="LXV48" s="44"/>
      <c r="LXW48" s="44"/>
      <c r="LXX48" s="44"/>
      <c r="LXY48" s="44"/>
      <c r="LXZ48" s="44"/>
      <c r="LYA48" s="44"/>
      <c r="LYB48" s="44"/>
      <c r="LYC48" s="44"/>
      <c r="LYD48" s="44"/>
      <c r="LYE48" s="44"/>
      <c r="LYF48" s="44"/>
      <c r="LYG48" s="44"/>
      <c r="LYH48" s="44"/>
      <c r="LYI48" s="44"/>
      <c r="LYJ48" s="44"/>
      <c r="LYK48" s="44"/>
      <c r="LYL48" s="44"/>
      <c r="LYM48" s="44"/>
      <c r="LYN48" s="44"/>
      <c r="LYO48" s="44"/>
      <c r="LYP48" s="44"/>
      <c r="LYQ48" s="44"/>
      <c r="LYR48" s="44"/>
      <c r="LYS48" s="44"/>
      <c r="LYT48" s="44"/>
      <c r="LYU48" s="44"/>
      <c r="LYV48" s="44"/>
      <c r="LYW48" s="44"/>
      <c r="LYX48" s="44"/>
      <c r="LYY48" s="44"/>
      <c r="LYZ48" s="44"/>
      <c r="LZA48" s="44"/>
      <c r="LZB48" s="44"/>
      <c r="LZC48" s="44"/>
      <c r="LZD48" s="44"/>
      <c r="LZE48" s="44"/>
      <c r="LZF48" s="44"/>
      <c r="LZG48" s="44"/>
      <c r="LZH48" s="44"/>
      <c r="LZI48" s="44"/>
      <c r="LZJ48" s="44"/>
      <c r="LZK48" s="44"/>
      <c r="LZL48" s="44"/>
      <c r="LZM48" s="44"/>
      <c r="LZN48" s="44"/>
      <c r="LZO48" s="44"/>
      <c r="LZP48" s="44"/>
      <c r="LZQ48" s="44"/>
      <c r="LZR48" s="44"/>
      <c r="LZS48" s="44"/>
      <c r="LZT48" s="44"/>
      <c r="LZU48" s="44"/>
      <c r="LZV48" s="44"/>
      <c r="LZW48" s="44"/>
      <c r="LZX48" s="44"/>
      <c r="LZY48" s="44"/>
      <c r="LZZ48" s="44"/>
      <c r="MAA48" s="44"/>
      <c r="MAB48" s="44"/>
      <c r="MAC48" s="44"/>
      <c r="MAD48" s="44"/>
      <c r="MAE48" s="44"/>
      <c r="MAF48" s="44"/>
      <c r="MAG48" s="44"/>
      <c r="MAH48" s="44"/>
      <c r="MAI48" s="44"/>
      <c r="MAJ48" s="44"/>
      <c r="MAK48" s="44"/>
      <c r="MAL48" s="44"/>
      <c r="MAM48" s="44"/>
      <c r="MAN48" s="44"/>
      <c r="MAO48" s="44"/>
      <c r="MAP48" s="44"/>
      <c r="MAQ48" s="44"/>
      <c r="MAR48" s="44"/>
      <c r="MAS48" s="44"/>
      <c r="MAT48" s="44"/>
      <c r="MAU48" s="44"/>
      <c r="MAV48" s="44"/>
      <c r="MAW48" s="44"/>
      <c r="MAX48" s="44"/>
      <c r="MAY48" s="44"/>
      <c r="MAZ48" s="44"/>
      <c r="MBA48" s="44"/>
      <c r="MBB48" s="44"/>
      <c r="MBC48" s="44"/>
      <c r="MBD48" s="44"/>
      <c r="MBE48" s="44"/>
      <c r="MBF48" s="44"/>
      <c r="MBG48" s="44"/>
      <c r="MBH48" s="44"/>
      <c r="MBI48" s="44"/>
      <c r="MBJ48" s="44"/>
      <c r="MBK48" s="44"/>
      <c r="MBL48" s="44"/>
      <c r="MBM48" s="44"/>
      <c r="MBN48" s="44"/>
      <c r="MBO48" s="44"/>
      <c r="MBP48" s="44"/>
      <c r="MBQ48" s="44"/>
      <c r="MBR48" s="44"/>
      <c r="MBS48" s="44"/>
      <c r="MBT48" s="44"/>
      <c r="MBU48" s="44"/>
      <c r="MBV48" s="44"/>
      <c r="MBW48" s="44"/>
      <c r="MBX48" s="44"/>
      <c r="MBY48" s="44"/>
      <c r="MBZ48" s="44"/>
      <c r="MCA48" s="44"/>
      <c r="MCB48" s="44"/>
      <c r="MCC48" s="44"/>
      <c r="MCD48" s="44"/>
      <c r="MCE48" s="44"/>
      <c r="MCF48" s="44"/>
      <c r="MCG48" s="44"/>
      <c r="MCH48" s="44"/>
      <c r="MCI48" s="44"/>
      <c r="MCJ48" s="44"/>
      <c r="MCK48" s="44"/>
      <c r="MCL48" s="44"/>
      <c r="MCM48" s="44"/>
      <c r="MCN48" s="44"/>
      <c r="MCO48" s="44"/>
      <c r="MCP48" s="44"/>
      <c r="MCQ48" s="44"/>
      <c r="MCR48" s="44"/>
      <c r="MCS48" s="44"/>
      <c r="MCT48" s="44"/>
      <c r="MCU48" s="44"/>
      <c r="MCV48" s="44"/>
      <c r="MCW48" s="44"/>
      <c r="MCX48" s="44"/>
      <c r="MCY48" s="44"/>
      <c r="MCZ48" s="44"/>
      <c r="MDA48" s="44"/>
      <c r="MDB48" s="44"/>
      <c r="MDC48" s="44"/>
      <c r="MDD48" s="44"/>
      <c r="MDE48" s="44"/>
      <c r="MDF48" s="44"/>
      <c r="MDG48" s="44"/>
      <c r="MDH48" s="44"/>
      <c r="MDI48" s="44"/>
      <c r="MDJ48" s="44"/>
      <c r="MDK48" s="44"/>
      <c r="MDL48" s="44"/>
      <c r="MDM48" s="44"/>
      <c r="MDN48" s="44"/>
      <c r="MDO48" s="44"/>
      <c r="MDP48" s="44"/>
      <c r="MDQ48" s="44"/>
      <c r="MDR48" s="44"/>
      <c r="MDS48" s="44"/>
      <c r="MDT48" s="44"/>
      <c r="MDU48" s="44"/>
      <c r="MDV48" s="44"/>
      <c r="MDW48" s="44"/>
      <c r="MDX48" s="44"/>
      <c r="MDY48" s="44"/>
      <c r="MDZ48" s="44"/>
      <c r="MEA48" s="44"/>
      <c r="MEB48" s="44"/>
      <c r="MEC48" s="44"/>
      <c r="MED48" s="44"/>
      <c r="MEE48" s="44"/>
      <c r="MEF48" s="44"/>
      <c r="MEG48" s="44"/>
      <c r="MEH48" s="44"/>
      <c r="MEI48" s="44"/>
      <c r="MEJ48" s="44"/>
      <c r="MEK48" s="44"/>
      <c r="MEL48" s="44"/>
      <c r="MEM48" s="44"/>
      <c r="MEN48" s="44"/>
      <c r="MEO48" s="44"/>
      <c r="MEP48" s="44"/>
      <c r="MEQ48" s="44"/>
      <c r="MER48" s="44"/>
      <c r="MES48" s="44"/>
      <c r="MET48" s="44"/>
      <c r="MEU48" s="44"/>
      <c r="MEV48" s="44"/>
      <c r="MEW48" s="44"/>
      <c r="MEX48" s="44"/>
      <c r="MEY48" s="44"/>
      <c r="MEZ48" s="44"/>
      <c r="MFA48" s="44"/>
      <c r="MFB48" s="44"/>
      <c r="MFC48" s="44"/>
      <c r="MFD48" s="44"/>
      <c r="MFE48" s="44"/>
      <c r="MFF48" s="44"/>
      <c r="MFG48" s="44"/>
      <c r="MFH48" s="44"/>
      <c r="MFI48" s="44"/>
      <c r="MFJ48" s="44"/>
      <c r="MFK48" s="44"/>
      <c r="MFL48" s="44"/>
      <c r="MFM48" s="44"/>
      <c r="MFN48" s="44"/>
      <c r="MFO48" s="44"/>
      <c r="MFP48" s="44"/>
      <c r="MFQ48" s="44"/>
      <c r="MFR48" s="44"/>
      <c r="MFS48" s="44"/>
      <c r="MFT48" s="44"/>
      <c r="MFU48" s="44"/>
      <c r="MFV48" s="44"/>
      <c r="MFW48" s="44"/>
      <c r="MFX48" s="44"/>
      <c r="MFY48" s="44"/>
      <c r="MFZ48" s="44"/>
      <c r="MGA48" s="44"/>
      <c r="MGB48" s="44"/>
      <c r="MGC48" s="44"/>
      <c r="MGD48" s="44"/>
      <c r="MGE48" s="44"/>
      <c r="MGF48" s="44"/>
      <c r="MGG48" s="44"/>
      <c r="MGH48" s="44"/>
      <c r="MGI48" s="44"/>
      <c r="MGJ48" s="44"/>
      <c r="MGK48" s="44"/>
      <c r="MGL48" s="44"/>
      <c r="MGM48" s="44"/>
      <c r="MGN48" s="44"/>
      <c r="MGO48" s="44"/>
      <c r="MGP48" s="44"/>
      <c r="MGQ48" s="44"/>
      <c r="MGR48" s="44"/>
      <c r="MGS48" s="44"/>
      <c r="MGT48" s="44"/>
      <c r="MGU48" s="44"/>
      <c r="MGV48" s="44"/>
      <c r="MGW48" s="44"/>
      <c r="MGX48" s="44"/>
      <c r="MGY48" s="44"/>
      <c r="MGZ48" s="44"/>
      <c r="MHA48" s="44"/>
      <c r="MHB48" s="44"/>
      <c r="MHC48" s="44"/>
      <c r="MHD48" s="44"/>
      <c r="MHE48" s="44"/>
      <c r="MHF48" s="44"/>
      <c r="MHG48" s="44"/>
      <c r="MHH48" s="44"/>
      <c r="MHI48" s="44"/>
      <c r="MHJ48" s="44"/>
      <c r="MHK48" s="44"/>
      <c r="MHL48" s="44"/>
      <c r="MHM48" s="44"/>
      <c r="MHN48" s="44"/>
      <c r="MHO48" s="44"/>
      <c r="MHP48" s="44"/>
      <c r="MHQ48" s="44"/>
      <c r="MHR48" s="44"/>
      <c r="MHS48" s="44"/>
      <c r="MHT48" s="44"/>
      <c r="MHU48" s="44"/>
      <c r="MHV48" s="44"/>
      <c r="MHW48" s="44"/>
      <c r="MHX48" s="44"/>
      <c r="MHY48" s="44"/>
      <c r="MHZ48" s="44"/>
      <c r="MIA48" s="44"/>
      <c r="MIB48" s="44"/>
      <c r="MIC48" s="44"/>
      <c r="MID48" s="44"/>
      <c r="MIE48" s="44"/>
      <c r="MIF48" s="44"/>
      <c r="MIG48" s="44"/>
      <c r="MIH48" s="44"/>
      <c r="MII48" s="44"/>
      <c r="MIJ48" s="44"/>
      <c r="MIK48" s="44"/>
      <c r="MIL48" s="44"/>
      <c r="MIM48" s="44"/>
      <c r="MIN48" s="44"/>
      <c r="MIO48" s="44"/>
      <c r="MIP48" s="44"/>
      <c r="MIQ48" s="44"/>
      <c r="MIR48" s="44"/>
      <c r="MIS48" s="44"/>
      <c r="MIT48" s="44"/>
      <c r="MIU48" s="44"/>
      <c r="MIV48" s="44"/>
      <c r="MIW48" s="44"/>
      <c r="MIX48" s="44"/>
      <c r="MIY48" s="44"/>
      <c r="MIZ48" s="44"/>
      <c r="MJA48" s="44"/>
      <c r="MJB48" s="44"/>
      <c r="MJC48" s="44"/>
      <c r="MJD48" s="44"/>
      <c r="MJE48" s="44"/>
      <c r="MJF48" s="44"/>
      <c r="MJG48" s="44"/>
      <c r="MJH48" s="44"/>
      <c r="MJI48" s="44"/>
      <c r="MJJ48" s="44"/>
      <c r="MJK48" s="44"/>
      <c r="MJL48" s="44"/>
      <c r="MJM48" s="44"/>
      <c r="MJN48" s="44"/>
      <c r="MJO48" s="44"/>
      <c r="MJP48" s="44"/>
      <c r="MJQ48" s="44"/>
      <c r="MJR48" s="44"/>
      <c r="MJS48" s="44"/>
      <c r="MJT48" s="44"/>
      <c r="MJU48" s="44"/>
      <c r="MJV48" s="44"/>
      <c r="MJW48" s="44"/>
      <c r="MJX48" s="44"/>
      <c r="MJY48" s="44"/>
      <c r="MJZ48" s="44"/>
      <c r="MKA48" s="44"/>
      <c r="MKB48" s="44"/>
      <c r="MKC48" s="44"/>
      <c r="MKD48" s="44"/>
      <c r="MKE48" s="44"/>
      <c r="MKF48" s="44"/>
      <c r="MKG48" s="44"/>
      <c r="MKH48" s="44"/>
      <c r="MKI48" s="44"/>
      <c r="MKJ48" s="44"/>
      <c r="MKK48" s="44"/>
      <c r="MKL48" s="44"/>
      <c r="MKM48" s="44"/>
      <c r="MKN48" s="44"/>
      <c r="MKO48" s="44"/>
      <c r="MKP48" s="44"/>
      <c r="MKQ48" s="44"/>
      <c r="MKR48" s="44"/>
      <c r="MKS48" s="44"/>
      <c r="MKT48" s="44"/>
      <c r="MKU48" s="44"/>
      <c r="MKV48" s="44"/>
      <c r="MKW48" s="44"/>
      <c r="MKX48" s="44"/>
      <c r="MKY48" s="44"/>
      <c r="MKZ48" s="44"/>
      <c r="MLA48" s="44"/>
      <c r="MLB48" s="44"/>
      <c r="MLC48" s="44"/>
      <c r="MLD48" s="44"/>
      <c r="MLE48" s="44"/>
      <c r="MLF48" s="44"/>
      <c r="MLG48" s="44"/>
      <c r="MLH48" s="44"/>
      <c r="MLI48" s="44"/>
      <c r="MLJ48" s="44"/>
      <c r="MLK48" s="44"/>
      <c r="MLL48" s="44"/>
      <c r="MLM48" s="44"/>
      <c r="MLN48" s="44"/>
      <c r="MLO48" s="44"/>
      <c r="MLP48" s="44"/>
      <c r="MLQ48" s="44"/>
      <c r="MLR48" s="44"/>
      <c r="MLS48" s="44"/>
      <c r="MLT48" s="44"/>
      <c r="MLU48" s="44"/>
      <c r="MLV48" s="44"/>
      <c r="MLW48" s="44"/>
      <c r="MLX48" s="44"/>
      <c r="MLY48" s="44"/>
      <c r="MLZ48" s="44"/>
      <c r="MMA48" s="44"/>
      <c r="MMB48" s="44"/>
      <c r="MMC48" s="44"/>
      <c r="MMD48" s="44"/>
      <c r="MME48" s="44"/>
      <c r="MMF48" s="44"/>
      <c r="MMG48" s="44"/>
      <c r="MMH48" s="44"/>
      <c r="MMI48" s="44"/>
      <c r="MMJ48" s="44"/>
      <c r="MMK48" s="44"/>
      <c r="MML48" s="44"/>
      <c r="MMM48" s="44"/>
      <c r="MMN48" s="44"/>
      <c r="MMO48" s="44"/>
      <c r="MMP48" s="44"/>
      <c r="MMQ48" s="44"/>
      <c r="MMR48" s="44"/>
      <c r="MMS48" s="44"/>
      <c r="MMT48" s="44"/>
      <c r="MMU48" s="44"/>
      <c r="MMV48" s="44"/>
      <c r="MMW48" s="44"/>
      <c r="MMX48" s="44"/>
      <c r="MMY48" s="44"/>
      <c r="MMZ48" s="44"/>
      <c r="MNA48" s="44"/>
      <c r="MNB48" s="44"/>
      <c r="MNC48" s="44"/>
      <c r="MND48" s="44"/>
      <c r="MNE48" s="44"/>
      <c r="MNF48" s="44"/>
      <c r="MNG48" s="44"/>
      <c r="MNH48" s="44"/>
      <c r="MNI48" s="44"/>
      <c r="MNJ48" s="44"/>
      <c r="MNK48" s="44"/>
      <c r="MNL48" s="44"/>
      <c r="MNM48" s="44"/>
      <c r="MNN48" s="44"/>
      <c r="MNO48" s="44"/>
      <c r="MNP48" s="44"/>
      <c r="MNQ48" s="44"/>
      <c r="MNR48" s="44"/>
      <c r="MNS48" s="44"/>
      <c r="MNT48" s="44"/>
      <c r="MNU48" s="44"/>
      <c r="MNV48" s="44"/>
      <c r="MNW48" s="44"/>
      <c r="MNX48" s="44"/>
      <c r="MNY48" s="44"/>
      <c r="MNZ48" s="44"/>
      <c r="MOA48" s="44"/>
      <c r="MOB48" s="44"/>
      <c r="MOC48" s="44"/>
      <c r="MOD48" s="44"/>
      <c r="MOE48" s="44"/>
      <c r="MOF48" s="44"/>
      <c r="MOG48" s="44"/>
      <c r="MOH48" s="44"/>
      <c r="MOI48" s="44"/>
      <c r="MOJ48" s="44"/>
      <c r="MOK48" s="44"/>
      <c r="MOL48" s="44"/>
      <c r="MOM48" s="44"/>
      <c r="MON48" s="44"/>
      <c r="MOO48" s="44"/>
      <c r="MOP48" s="44"/>
      <c r="MOQ48" s="44"/>
      <c r="MOR48" s="44"/>
      <c r="MOS48" s="44"/>
      <c r="MOT48" s="44"/>
      <c r="MOU48" s="44"/>
      <c r="MOV48" s="44"/>
      <c r="MOW48" s="44"/>
      <c r="MOX48" s="44"/>
      <c r="MOY48" s="44"/>
      <c r="MOZ48" s="44"/>
      <c r="MPA48" s="44"/>
      <c r="MPB48" s="44"/>
      <c r="MPC48" s="44"/>
      <c r="MPD48" s="44"/>
      <c r="MPE48" s="44"/>
      <c r="MPF48" s="44"/>
      <c r="MPG48" s="44"/>
      <c r="MPH48" s="44"/>
      <c r="MPI48" s="44"/>
      <c r="MPJ48" s="44"/>
      <c r="MPK48" s="44"/>
      <c r="MPL48" s="44"/>
      <c r="MPM48" s="44"/>
      <c r="MPN48" s="44"/>
      <c r="MPO48" s="44"/>
      <c r="MPP48" s="44"/>
      <c r="MPQ48" s="44"/>
      <c r="MPR48" s="44"/>
      <c r="MPS48" s="44"/>
      <c r="MPT48" s="44"/>
      <c r="MPU48" s="44"/>
      <c r="MPV48" s="44"/>
      <c r="MPW48" s="44"/>
      <c r="MPX48" s="44"/>
      <c r="MPY48" s="44"/>
      <c r="MPZ48" s="44"/>
      <c r="MQA48" s="44"/>
      <c r="MQB48" s="44"/>
      <c r="MQC48" s="44"/>
      <c r="MQD48" s="44"/>
      <c r="MQE48" s="44"/>
      <c r="MQF48" s="44"/>
      <c r="MQG48" s="44"/>
      <c r="MQH48" s="44"/>
      <c r="MQI48" s="44"/>
      <c r="MQJ48" s="44"/>
      <c r="MQK48" s="44"/>
      <c r="MQL48" s="44"/>
      <c r="MQM48" s="44"/>
      <c r="MQN48" s="44"/>
      <c r="MQO48" s="44"/>
      <c r="MQP48" s="44"/>
      <c r="MQQ48" s="44"/>
      <c r="MQR48" s="44"/>
      <c r="MQS48" s="44"/>
      <c r="MQT48" s="44"/>
      <c r="MQU48" s="44"/>
      <c r="MQV48" s="44"/>
      <c r="MQW48" s="44"/>
      <c r="MQX48" s="44"/>
      <c r="MQY48" s="44"/>
      <c r="MQZ48" s="44"/>
      <c r="MRA48" s="44"/>
      <c r="MRB48" s="44"/>
      <c r="MRC48" s="44"/>
      <c r="MRD48" s="44"/>
      <c r="MRE48" s="44"/>
      <c r="MRF48" s="44"/>
      <c r="MRG48" s="44"/>
      <c r="MRH48" s="44"/>
      <c r="MRI48" s="44"/>
      <c r="MRJ48" s="44"/>
      <c r="MRK48" s="44"/>
      <c r="MRL48" s="44"/>
      <c r="MRM48" s="44"/>
      <c r="MRN48" s="44"/>
      <c r="MRO48" s="44"/>
      <c r="MRP48" s="44"/>
      <c r="MRQ48" s="44"/>
      <c r="MRR48" s="44"/>
      <c r="MRS48" s="44"/>
      <c r="MRT48" s="44"/>
      <c r="MRU48" s="44"/>
      <c r="MRV48" s="44"/>
      <c r="MRW48" s="44"/>
      <c r="MRX48" s="44"/>
      <c r="MRY48" s="44"/>
      <c r="MRZ48" s="44"/>
      <c r="MSA48" s="44"/>
      <c r="MSB48" s="44"/>
      <c r="MSC48" s="44"/>
      <c r="MSD48" s="44"/>
      <c r="MSE48" s="44"/>
      <c r="MSF48" s="44"/>
      <c r="MSG48" s="44"/>
      <c r="MSH48" s="44"/>
      <c r="MSI48" s="44"/>
      <c r="MSJ48" s="44"/>
      <c r="MSK48" s="44"/>
      <c r="MSL48" s="44"/>
      <c r="MSM48" s="44"/>
      <c r="MSN48" s="44"/>
      <c r="MSO48" s="44"/>
      <c r="MSP48" s="44"/>
      <c r="MSQ48" s="44"/>
      <c r="MSR48" s="44"/>
      <c r="MSS48" s="44"/>
      <c r="MST48" s="44"/>
      <c r="MSU48" s="44"/>
      <c r="MSV48" s="44"/>
      <c r="MSW48" s="44"/>
      <c r="MSX48" s="44"/>
      <c r="MSY48" s="44"/>
      <c r="MSZ48" s="44"/>
      <c r="MTA48" s="44"/>
      <c r="MTB48" s="44"/>
      <c r="MTC48" s="44"/>
      <c r="MTD48" s="44"/>
      <c r="MTE48" s="44"/>
      <c r="MTF48" s="44"/>
      <c r="MTG48" s="44"/>
      <c r="MTH48" s="44"/>
      <c r="MTI48" s="44"/>
      <c r="MTJ48" s="44"/>
      <c r="MTK48" s="44"/>
      <c r="MTL48" s="44"/>
      <c r="MTM48" s="44"/>
      <c r="MTN48" s="44"/>
      <c r="MTO48" s="44"/>
      <c r="MTP48" s="44"/>
      <c r="MTQ48" s="44"/>
      <c r="MTR48" s="44"/>
      <c r="MTS48" s="44"/>
      <c r="MTT48" s="44"/>
      <c r="MTU48" s="44"/>
      <c r="MTV48" s="44"/>
      <c r="MTW48" s="44"/>
      <c r="MTX48" s="44"/>
      <c r="MTY48" s="44"/>
      <c r="MTZ48" s="44"/>
      <c r="MUA48" s="44"/>
      <c r="MUB48" s="44"/>
      <c r="MUC48" s="44"/>
      <c r="MUD48" s="44"/>
      <c r="MUE48" s="44"/>
      <c r="MUF48" s="44"/>
      <c r="MUG48" s="44"/>
      <c r="MUH48" s="44"/>
      <c r="MUI48" s="44"/>
      <c r="MUJ48" s="44"/>
      <c r="MUK48" s="44"/>
      <c r="MUL48" s="44"/>
      <c r="MUM48" s="44"/>
      <c r="MUN48" s="44"/>
      <c r="MUO48" s="44"/>
      <c r="MUP48" s="44"/>
      <c r="MUQ48" s="44"/>
      <c r="MUR48" s="44"/>
      <c r="MUS48" s="44"/>
      <c r="MUT48" s="44"/>
      <c r="MUU48" s="44"/>
      <c r="MUV48" s="44"/>
      <c r="MUW48" s="44"/>
      <c r="MUX48" s="44"/>
      <c r="MUY48" s="44"/>
      <c r="MUZ48" s="44"/>
      <c r="MVA48" s="44"/>
      <c r="MVB48" s="44"/>
      <c r="MVC48" s="44"/>
      <c r="MVD48" s="44"/>
      <c r="MVE48" s="44"/>
      <c r="MVF48" s="44"/>
      <c r="MVG48" s="44"/>
      <c r="MVH48" s="44"/>
      <c r="MVI48" s="44"/>
      <c r="MVJ48" s="44"/>
      <c r="MVK48" s="44"/>
      <c r="MVL48" s="44"/>
      <c r="MVM48" s="44"/>
      <c r="MVN48" s="44"/>
      <c r="MVO48" s="44"/>
      <c r="MVP48" s="44"/>
      <c r="MVQ48" s="44"/>
      <c r="MVR48" s="44"/>
      <c r="MVS48" s="44"/>
      <c r="MVT48" s="44"/>
      <c r="MVU48" s="44"/>
      <c r="MVV48" s="44"/>
      <c r="MVW48" s="44"/>
      <c r="MVX48" s="44"/>
      <c r="MVY48" s="44"/>
      <c r="MVZ48" s="44"/>
      <c r="MWA48" s="44"/>
      <c r="MWB48" s="44"/>
      <c r="MWC48" s="44"/>
      <c r="MWD48" s="44"/>
      <c r="MWE48" s="44"/>
      <c r="MWF48" s="44"/>
      <c r="MWG48" s="44"/>
      <c r="MWH48" s="44"/>
      <c r="MWI48" s="44"/>
      <c r="MWJ48" s="44"/>
      <c r="MWK48" s="44"/>
      <c r="MWL48" s="44"/>
      <c r="MWM48" s="44"/>
      <c r="MWN48" s="44"/>
      <c r="MWO48" s="44"/>
      <c r="MWP48" s="44"/>
      <c r="MWQ48" s="44"/>
      <c r="MWR48" s="44"/>
      <c r="MWS48" s="44"/>
      <c r="MWT48" s="44"/>
      <c r="MWU48" s="44"/>
      <c r="MWV48" s="44"/>
      <c r="MWW48" s="44"/>
      <c r="MWX48" s="44"/>
      <c r="MWY48" s="44"/>
      <c r="MWZ48" s="44"/>
      <c r="MXA48" s="44"/>
      <c r="MXB48" s="44"/>
      <c r="MXC48" s="44"/>
      <c r="MXD48" s="44"/>
      <c r="MXE48" s="44"/>
      <c r="MXF48" s="44"/>
      <c r="MXG48" s="44"/>
      <c r="MXH48" s="44"/>
      <c r="MXI48" s="44"/>
      <c r="MXJ48" s="44"/>
      <c r="MXK48" s="44"/>
      <c r="MXL48" s="44"/>
      <c r="MXM48" s="44"/>
      <c r="MXN48" s="44"/>
      <c r="MXO48" s="44"/>
      <c r="MXP48" s="44"/>
      <c r="MXQ48" s="44"/>
      <c r="MXR48" s="44"/>
      <c r="MXS48" s="44"/>
      <c r="MXT48" s="44"/>
      <c r="MXU48" s="44"/>
      <c r="MXV48" s="44"/>
      <c r="MXW48" s="44"/>
      <c r="MXX48" s="44"/>
      <c r="MXY48" s="44"/>
      <c r="MXZ48" s="44"/>
      <c r="MYA48" s="44"/>
      <c r="MYB48" s="44"/>
      <c r="MYC48" s="44"/>
      <c r="MYD48" s="44"/>
      <c r="MYE48" s="44"/>
      <c r="MYF48" s="44"/>
      <c r="MYG48" s="44"/>
      <c r="MYH48" s="44"/>
      <c r="MYI48" s="44"/>
      <c r="MYJ48" s="44"/>
      <c r="MYK48" s="44"/>
      <c r="MYL48" s="44"/>
      <c r="MYM48" s="44"/>
      <c r="MYN48" s="44"/>
      <c r="MYO48" s="44"/>
      <c r="MYP48" s="44"/>
      <c r="MYQ48" s="44"/>
      <c r="MYR48" s="44"/>
      <c r="MYS48" s="44"/>
      <c r="MYT48" s="44"/>
      <c r="MYU48" s="44"/>
      <c r="MYV48" s="44"/>
      <c r="MYW48" s="44"/>
      <c r="MYX48" s="44"/>
      <c r="MYY48" s="44"/>
      <c r="MYZ48" s="44"/>
      <c r="MZA48" s="44"/>
      <c r="MZB48" s="44"/>
      <c r="MZC48" s="44"/>
      <c r="MZD48" s="44"/>
      <c r="MZE48" s="44"/>
      <c r="MZF48" s="44"/>
      <c r="MZG48" s="44"/>
      <c r="MZH48" s="44"/>
      <c r="MZI48" s="44"/>
      <c r="MZJ48" s="44"/>
      <c r="MZK48" s="44"/>
      <c r="MZL48" s="44"/>
      <c r="MZM48" s="44"/>
      <c r="MZN48" s="44"/>
      <c r="MZO48" s="44"/>
      <c r="MZP48" s="44"/>
      <c r="MZQ48" s="44"/>
      <c r="MZR48" s="44"/>
      <c r="MZS48" s="44"/>
      <c r="MZT48" s="44"/>
      <c r="MZU48" s="44"/>
      <c r="MZV48" s="44"/>
      <c r="MZW48" s="44"/>
      <c r="MZX48" s="44"/>
      <c r="MZY48" s="44"/>
      <c r="MZZ48" s="44"/>
      <c r="NAA48" s="44"/>
      <c r="NAB48" s="44"/>
      <c r="NAC48" s="44"/>
      <c r="NAD48" s="44"/>
      <c r="NAE48" s="44"/>
      <c r="NAF48" s="44"/>
      <c r="NAG48" s="44"/>
      <c r="NAH48" s="44"/>
      <c r="NAI48" s="44"/>
      <c r="NAJ48" s="44"/>
      <c r="NAK48" s="44"/>
      <c r="NAL48" s="44"/>
      <c r="NAM48" s="44"/>
      <c r="NAN48" s="44"/>
      <c r="NAO48" s="44"/>
      <c r="NAP48" s="44"/>
      <c r="NAQ48" s="44"/>
      <c r="NAR48" s="44"/>
      <c r="NAS48" s="44"/>
      <c r="NAT48" s="44"/>
      <c r="NAU48" s="44"/>
      <c r="NAV48" s="44"/>
      <c r="NAW48" s="44"/>
      <c r="NAX48" s="44"/>
      <c r="NAY48" s="44"/>
      <c r="NAZ48" s="44"/>
      <c r="NBA48" s="44"/>
      <c r="NBB48" s="44"/>
      <c r="NBC48" s="44"/>
      <c r="NBD48" s="44"/>
      <c r="NBE48" s="44"/>
      <c r="NBF48" s="44"/>
      <c r="NBG48" s="44"/>
      <c r="NBH48" s="44"/>
      <c r="NBI48" s="44"/>
      <c r="NBJ48" s="44"/>
      <c r="NBK48" s="44"/>
      <c r="NBL48" s="44"/>
      <c r="NBM48" s="44"/>
      <c r="NBN48" s="44"/>
      <c r="NBO48" s="44"/>
      <c r="NBP48" s="44"/>
      <c r="NBQ48" s="44"/>
      <c r="NBR48" s="44"/>
      <c r="NBS48" s="44"/>
      <c r="NBT48" s="44"/>
      <c r="NBU48" s="44"/>
      <c r="NBV48" s="44"/>
      <c r="NBW48" s="44"/>
      <c r="NBX48" s="44"/>
      <c r="NBY48" s="44"/>
      <c r="NBZ48" s="44"/>
      <c r="NCA48" s="44"/>
      <c r="NCB48" s="44"/>
      <c r="NCC48" s="44"/>
      <c r="NCD48" s="44"/>
      <c r="NCE48" s="44"/>
      <c r="NCF48" s="44"/>
      <c r="NCG48" s="44"/>
      <c r="NCH48" s="44"/>
      <c r="NCI48" s="44"/>
      <c r="NCJ48" s="44"/>
      <c r="NCK48" s="44"/>
      <c r="NCL48" s="44"/>
      <c r="NCM48" s="44"/>
      <c r="NCN48" s="44"/>
      <c r="NCO48" s="44"/>
      <c r="NCP48" s="44"/>
      <c r="NCQ48" s="44"/>
      <c r="NCR48" s="44"/>
      <c r="NCS48" s="44"/>
      <c r="NCT48" s="44"/>
      <c r="NCU48" s="44"/>
      <c r="NCV48" s="44"/>
      <c r="NCW48" s="44"/>
      <c r="NCX48" s="44"/>
      <c r="NCY48" s="44"/>
      <c r="NCZ48" s="44"/>
      <c r="NDA48" s="44"/>
      <c r="NDB48" s="44"/>
      <c r="NDC48" s="44"/>
      <c r="NDD48" s="44"/>
      <c r="NDE48" s="44"/>
      <c r="NDF48" s="44"/>
      <c r="NDG48" s="44"/>
      <c r="NDH48" s="44"/>
      <c r="NDI48" s="44"/>
      <c r="NDJ48" s="44"/>
      <c r="NDK48" s="44"/>
      <c r="NDL48" s="44"/>
      <c r="NDM48" s="44"/>
      <c r="NDN48" s="44"/>
      <c r="NDO48" s="44"/>
      <c r="NDP48" s="44"/>
      <c r="NDQ48" s="44"/>
      <c r="NDR48" s="44"/>
      <c r="NDS48" s="44"/>
      <c r="NDT48" s="44"/>
      <c r="NDU48" s="44"/>
      <c r="NDV48" s="44"/>
      <c r="NDW48" s="44"/>
      <c r="NDX48" s="44"/>
      <c r="NDY48" s="44"/>
      <c r="NDZ48" s="44"/>
      <c r="NEA48" s="44"/>
      <c r="NEB48" s="44"/>
      <c r="NEC48" s="44"/>
      <c r="NED48" s="44"/>
      <c r="NEE48" s="44"/>
      <c r="NEF48" s="44"/>
      <c r="NEG48" s="44"/>
      <c r="NEH48" s="44"/>
      <c r="NEI48" s="44"/>
      <c r="NEJ48" s="44"/>
      <c r="NEK48" s="44"/>
      <c r="NEL48" s="44"/>
      <c r="NEM48" s="44"/>
      <c r="NEN48" s="44"/>
      <c r="NEO48" s="44"/>
      <c r="NEP48" s="44"/>
      <c r="NEQ48" s="44"/>
      <c r="NER48" s="44"/>
      <c r="NES48" s="44"/>
      <c r="NET48" s="44"/>
      <c r="NEU48" s="44"/>
      <c r="NEV48" s="44"/>
      <c r="NEW48" s="44"/>
      <c r="NEX48" s="44"/>
      <c r="NEY48" s="44"/>
      <c r="NEZ48" s="44"/>
      <c r="NFA48" s="44"/>
      <c r="NFB48" s="44"/>
      <c r="NFC48" s="44"/>
      <c r="NFD48" s="44"/>
      <c r="NFE48" s="44"/>
      <c r="NFF48" s="44"/>
      <c r="NFG48" s="44"/>
      <c r="NFH48" s="44"/>
      <c r="NFI48" s="44"/>
      <c r="NFJ48" s="44"/>
      <c r="NFK48" s="44"/>
      <c r="NFL48" s="44"/>
      <c r="NFM48" s="44"/>
      <c r="NFN48" s="44"/>
      <c r="NFO48" s="44"/>
      <c r="NFP48" s="44"/>
      <c r="NFQ48" s="44"/>
      <c r="NFR48" s="44"/>
      <c r="NFS48" s="44"/>
      <c r="NFT48" s="44"/>
      <c r="NFU48" s="44"/>
      <c r="NFV48" s="44"/>
      <c r="NFW48" s="44"/>
      <c r="NFX48" s="44"/>
      <c r="NFY48" s="44"/>
      <c r="NFZ48" s="44"/>
      <c r="NGA48" s="44"/>
      <c r="NGB48" s="44"/>
      <c r="NGC48" s="44"/>
      <c r="NGD48" s="44"/>
      <c r="NGE48" s="44"/>
      <c r="NGF48" s="44"/>
      <c r="NGG48" s="44"/>
      <c r="NGH48" s="44"/>
      <c r="NGI48" s="44"/>
      <c r="NGJ48" s="44"/>
      <c r="NGK48" s="44"/>
      <c r="NGL48" s="44"/>
      <c r="NGM48" s="44"/>
      <c r="NGN48" s="44"/>
      <c r="NGO48" s="44"/>
      <c r="NGP48" s="44"/>
      <c r="NGQ48" s="44"/>
      <c r="NGR48" s="44"/>
      <c r="NGS48" s="44"/>
      <c r="NGT48" s="44"/>
      <c r="NGU48" s="44"/>
      <c r="NGV48" s="44"/>
      <c r="NGW48" s="44"/>
      <c r="NGX48" s="44"/>
      <c r="NGY48" s="44"/>
      <c r="NGZ48" s="44"/>
      <c r="NHA48" s="44"/>
      <c r="NHB48" s="44"/>
      <c r="NHC48" s="44"/>
      <c r="NHD48" s="44"/>
      <c r="NHE48" s="44"/>
      <c r="NHF48" s="44"/>
      <c r="NHG48" s="44"/>
      <c r="NHH48" s="44"/>
      <c r="NHI48" s="44"/>
      <c r="NHJ48" s="44"/>
      <c r="NHK48" s="44"/>
      <c r="NHL48" s="44"/>
      <c r="NHM48" s="44"/>
      <c r="NHN48" s="44"/>
      <c r="NHO48" s="44"/>
      <c r="NHP48" s="44"/>
      <c r="NHQ48" s="44"/>
      <c r="NHR48" s="44"/>
      <c r="NHS48" s="44"/>
      <c r="NHT48" s="44"/>
      <c r="NHU48" s="44"/>
      <c r="NHV48" s="44"/>
      <c r="NHW48" s="44"/>
      <c r="NHX48" s="44"/>
      <c r="NHY48" s="44"/>
      <c r="NHZ48" s="44"/>
      <c r="NIA48" s="44"/>
      <c r="NIB48" s="44"/>
      <c r="NIC48" s="44"/>
      <c r="NID48" s="44"/>
      <c r="NIE48" s="44"/>
      <c r="NIF48" s="44"/>
      <c r="NIG48" s="44"/>
      <c r="NIH48" s="44"/>
      <c r="NII48" s="44"/>
      <c r="NIJ48" s="44"/>
      <c r="NIK48" s="44"/>
      <c r="NIL48" s="44"/>
      <c r="NIM48" s="44"/>
      <c r="NIN48" s="44"/>
      <c r="NIO48" s="44"/>
      <c r="NIP48" s="44"/>
      <c r="NIQ48" s="44"/>
      <c r="NIR48" s="44"/>
      <c r="NIS48" s="44"/>
      <c r="NIT48" s="44"/>
      <c r="NIU48" s="44"/>
      <c r="NIV48" s="44"/>
      <c r="NIW48" s="44"/>
      <c r="NIX48" s="44"/>
      <c r="NIY48" s="44"/>
      <c r="NIZ48" s="44"/>
      <c r="NJA48" s="44"/>
      <c r="NJB48" s="44"/>
      <c r="NJC48" s="44"/>
      <c r="NJD48" s="44"/>
      <c r="NJE48" s="44"/>
      <c r="NJF48" s="44"/>
      <c r="NJG48" s="44"/>
      <c r="NJH48" s="44"/>
      <c r="NJI48" s="44"/>
      <c r="NJJ48" s="44"/>
      <c r="NJK48" s="44"/>
      <c r="NJL48" s="44"/>
      <c r="NJM48" s="44"/>
      <c r="NJN48" s="44"/>
      <c r="NJO48" s="44"/>
      <c r="NJP48" s="44"/>
      <c r="NJQ48" s="44"/>
      <c r="NJR48" s="44"/>
      <c r="NJS48" s="44"/>
      <c r="NJT48" s="44"/>
      <c r="NJU48" s="44"/>
      <c r="NJV48" s="44"/>
      <c r="NJW48" s="44"/>
      <c r="NJX48" s="44"/>
      <c r="NJY48" s="44"/>
      <c r="NJZ48" s="44"/>
      <c r="NKA48" s="44"/>
      <c r="NKB48" s="44"/>
      <c r="NKC48" s="44"/>
      <c r="NKD48" s="44"/>
      <c r="NKE48" s="44"/>
      <c r="NKF48" s="44"/>
      <c r="NKG48" s="44"/>
      <c r="NKH48" s="44"/>
      <c r="NKI48" s="44"/>
      <c r="NKJ48" s="44"/>
      <c r="NKK48" s="44"/>
      <c r="NKL48" s="44"/>
      <c r="NKM48" s="44"/>
      <c r="NKN48" s="44"/>
      <c r="NKO48" s="44"/>
      <c r="NKP48" s="44"/>
      <c r="NKQ48" s="44"/>
      <c r="NKR48" s="44"/>
      <c r="NKS48" s="44"/>
      <c r="NKT48" s="44"/>
      <c r="NKU48" s="44"/>
      <c r="NKV48" s="44"/>
      <c r="NKW48" s="44"/>
      <c r="NKX48" s="44"/>
      <c r="NKY48" s="44"/>
      <c r="NKZ48" s="44"/>
      <c r="NLA48" s="44"/>
      <c r="NLB48" s="44"/>
      <c r="NLC48" s="44"/>
      <c r="NLD48" s="44"/>
      <c r="NLE48" s="44"/>
      <c r="NLF48" s="44"/>
      <c r="NLG48" s="44"/>
      <c r="NLH48" s="44"/>
      <c r="NLI48" s="44"/>
      <c r="NLJ48" s="44"/>
      <c r="NLK48" s="44"/>
      <c r="NLL48" s="44"/>
      <c r="NLM48" s="44"/>
      <c r="NLN48" s="44"/>
      <c r="NLO48" s="44"/>
      <c r="NLP48" s="44"/>
      <c r="NLQ48" s="44"/>
      <c r="NLR48" s="44"/>
      <c r="NLS48" s="44"/>
      <c r="NLT48" s="44"/>
      <c r="NLU48" s="44"/>
      <c r="NLV48" s="44"/>
      <c r="NLW48" s="44"/>
      <c r="NLX48" s="44"/>
      <c r="NLY48" s="44"/>
      <c r="NLZ48" s="44"/>
      <c r="NMA48" s="44"/>
      <c r="NMB48" s="44"/>
      <c r="NMC48" s="44"/>
      <c r="NMD48" s="44"/>
      <c r="NME48" s="44"/>
      <c r="NMF48" s="44"/>
      <c r="NMG48" s="44"/>
      <c r="NMH48" s="44"/>
      <c r="NMI48" s="44"/>
      <c r="NMJ48" s="44"/>
      <c r="NMK48" s="44"/>
      <c r="NML48" s="44"/>
      <c r="NMM48" s="44"/>
      <c r="NMN48" s="44"/>
      <c r="NMO48" s="44"/>
      <c r="NMP48" s="44"/>
      <c r="NMQ48" s="44"/>
      <c r="NMR48" s="44"/>
      <c r="NMS48" s="44"/>
      <c r="NMT48" s="44"/>
      <c r="NMU48" s="44"/>
      <c r="NMV48" s="44"/>
      <c r="NMW48" s="44"/>
      <c r="NMX48" s="44"/>
      <c r="NMY48" s="44"/>
      <c r="NMZ48" s="44"/>
      <c r="NNA48" s="44"/>
      <c r="NNB48" s="44"/>
      <c r="NNC48" s="44"/>
      <c r="NND48" s="44"/>
      <c r="NNE48" s="44"/>
      <c r="NNF48" s="44"/>
      <c r="NNG48" s="44"/>
      <c r="NNH48" s="44"/>
      <c r="NNI48" s="44"/>
      <c r="NNJ48" s="44"/>
      <c r="NNK48" s="44"/>
      <c r="NNL48" s="44"/>
      <c r="NNM48" s="44"/>
      <c r="NNN48" s="44"/>
      <c r="NNO48" s="44"/>
      <c r="NNP48" s="44"/>
      <c r="NNQ48" s="44"/>
      <c r="NNR48" s="44"/>
      <c r="NNS48" s="44"/>
      <c r="NNT48" s="44"/>
      <c r="NNU48" s="44"/>
      <c r="NNV48" s="44"/>
      <c r="NNW48" s="44"/>
      <c r="NNX48" s="44"/>
      <c r="NNY48" s="44"/>
      <c r="NNZ48" s="44"/>
      <c r="NOA48" s="44"/>
      <c r="NOB48" s="44"/>
      <c r="NOC48" s="44"/>
      <c r="NOD48" s="44"/>
      <c r="NOE48" s="44"/>
      <c r="NOF48" s="44"/>
      <c r="NOG48" s="44"/>
      <c r="NOH48" s="44"/>
      <c r="NOI48" s="44"/>
      <c r="NOJ48" s="44"/>
      <c r="NOK48" s="44"/>
      <c r="NOL48" s="44"/>
      <c r="NOM48" s="44"/>
      <c r="NON48" s="44"/>
      <c r="NOO48" s="44"/>
      <c r="NOP48" s="44"/>
      <c r="NOQ48" s="44"/>
      <c r="NOR48" s="44"/>
      <c r="NOS48" s="44"/>
      <c r="NOT48" s="44"/>
      <c r="NOU48" s="44"/>
      <c r="NOV48" s="44"/>
      <c r="NOW48" s="44"/>
      <c r="NOX48" s="44"/>
      <c r="NOY48" s="44"/>
      <c r="NOZ48" s="44"/>
      <c r="NPA48" s="44"/>
      <c r="NPB48" s="44"/>
      <c r="NPC48" s="44"/>
      <c r="NPD48" s="44"/>
      <c r="NPE48" s="44"/>
      <c r="NPF48" s="44"/>
      <c r="NPG48" s="44"/>
      <c r="NPH48" s="44"/>
      <c r="NPI48" s="44"/>
      <c r="NPJ48" s="44"/>
      <c r="NPK48" s="44"/>
      <c r="NPL48" s="44"/>
      <c r="NPM48" s="44"/>
      <c r="NPN48" s="44"/>
      <c r="NPO48" s="44"/>
      <c r="NPP48" s="44"/>
      <c r="NPQ48" s="44"/>
      <c r="NPR48" s="44"/>
      <c r="NPS48" s="44"/>
      <c r="NPT48" s="44"/>
      <c r="NPU48" s="44"/>
      <c r="NPV48" s="44"/>
      <c r="NPW48" s="44"/>
      <c r="NPX48" s="44"/>
      <c r="NPY48" s="44"/>
      <c r="NPZ48" s="44"/>
      <c r="NQA48" s="44"/>
      <c r="NQB48" s="44"/>
      <c r="NQC48" s="44"/>
      <c r="NQD48" s="44"/>
      <c r="NQE48" s="44"/>
      <c r="NQF48" s="44"/>
      <c r="NQG48" s="44"/>
      <c r="NQH48" s="44"/>
      <c r="NQI48" s="44"/>
      <c r="NQJ48" s="44"/>
      <c r="NQK48" s="44"/>
      <c r="NQL48" s="44"/>
      <c r="NQM48" s="44"/>
      <c r="NQN48" s="44"/>
      <c r="NQO48" s="44"/>
      <c r="NQP48" s="44"/>
      <c r="NQQ48" s="44"/>
      <c r="NQR48" s="44"/>
      <c r="NQS48" s="44"/>
      <c r="NQT48" s="44"/>
      <c r="NQU48" s="44"/>
      <c r="NQV48" s="44"/>
      <c r="NQW48" s="44"/>
      <c r="NQX48" s="44"/>
      <c r="NQY48" s="44"/>
      <c r="NQZ48" s="44"/>
      <c r="NRA48" s="44"/>
      <c r="NRB48" s="44"/>
      <c r="NRC48" s="44"/>
      <c r="NRD48" s="44"/>
      <c r="NRE48" s="44"/>
      <c r="NRF48" s="44"/>
      <c r="NRG48" s="44"/>
      <c r="NRH48" s="44"/>
      <c r="NRI48" s="44"/>
      <c r="NRJ48" s="44"/>
      <c r="NRK48" s="44"/>
      <c r="NRL48" s="44"/>
      <c r="NRM48" s="44"/>
      <c r="NRN48" s="44"/>
      <c r="NRO48" s="44"/>
      <c r="NRP48" s="44"/>
      <c r="NRQ48" s="44"/>
      <c r="NRR48" s="44"/>
      <c r="NRS48" s="44"/>
      <c r="NRT48" s="44"/>
      <c r="NRU48" s="44"/>
      <c r="NRV48" s="44"/>
      <c r="NRW48" s="44"/>
      <c r="NRX48" s="44"/>
      <c r="NRY48" s="44"/>
      <c r="NRZ48" s="44"/>
      <c r="NSA48" s="44"/>
      <c r="NSB48" s="44"/>
      <c r="NSC48" s="44"/>
      <c r="NSD48" s="44"/>
      <c r="NSE48" s="44"/>
      <c r="NSF48" s="44"/>
      <c r="NSG48" s="44"/>
      <c r="NSH48" s="44"/>
      <c r="NSI48" s="44"/>
      <c r="NSJ48" s="44"/>
      <c r="NSK48" s="44"/>
      <c r="NSL48" s="44"/>
      <c r="NSM48" s="44"/>
      <c r="NSN48" s="44"/>
      <c r="NSO48" s="44"/>
      <c r="NSP48" s="44"/>
      <c r="NSQ48" s="44"/>
      <c r="NSR48" s="44"/>
      <c r="NSS48" s="44"/>
      <c r="NST48" s="44"/>
      <c r="NSU48" s="44"/>
      <c r="NSV48" s="44"/>
      <c r="NSW48" s="44"/>
      <c r="NSX48" s="44"/>
      <c r="NSY48" s="44"/>
      <c r="NSZ48" s="44"/>
      <c r="NTA48" s="44"/>
      <c r="NTB48" s="44"/>
      <c r="NTC48" s="44"/>
      <c r="NTD48" s="44"/>
      <c r="NTE48" s="44"/>
      <c r="NTF48" s="44"/>
      <c r="NTG48" s="44"/>
      <c r="NTH48" s="44"/>
      <c r="NTI48" s="44"/>
      <c r="NTJ48" s="44"/>
      <c r="NTK48" s="44"/>
      <c r="NTL48" s="44"/>
      <c r="NTM48" s="44"/>
      <c r="NTN48" s="44"/>
      <c r="NTO48" s="44"/>
      <c r="NTP48" s="44"/>
      <c r="NTQ48" s="44"/>
      <c r="NTR48" s="44"/>
      <c r="NTS48" s="44"/>
      <c r="NTT48" s="44"/>
      <c r="NTU48" s="44"/>
      <c r="NTV48" s="44"/>
      <c r="NTW48" s="44"/>
      <c r="NTX48" s="44"/>
      <c r="NTY48" s="44"/>
      <c r="NTZ48" s="44"/>
      <c r="NUA48" s="44"/>
      <c r="NUB48" s="44"/>
      <c r="NUC48" s="44"/>
      <c r="NUD48" s="44"/>
      <c r="NUE48" s="44"/>
      <c r="NUF48" s="44"/>
      <c r="NUG48" s="44"/>
      <c r="NUH48" s="44"/>
      <c r="NUI48" s="44"/>
      <c r="NUJ48" s="44"/>
      <c r="NUK48" s="44"/>
      <c r="NUL48" s="44"/>
      <c r="NUM48" s="44"/>
      <c r="NUN48" s="44"/>
      <c r="NUO48" s="44"/>
      <c r="NUP48" s="44"/>
      <c r="NUQ48" s="44"/>
      <c r="NUR48" s="44"/>
      <c r="NUS48" s="44"/>
      <c r="NUT48" s="44"/>
      <c r="NUU48" s="44"/>
      <c r="NUV48" s="44"/>
      <c r="NUW48" s="44"/>
      <c r="NUX48" s="44"/>
      <c r="NUY48" s="44"/>
      <c r="NUZ48" s="44"/>
      <c r="NVA48" s="44"/>
      <c r="NVB48" s="44"/>
      <c r="NVC48" s="44"/>
      <c r="NVD48" s="44"/>
      <c r="NVE48" s="44"/>
      <c r="NVF48" s="44"/>
      <c r="NVG48" s="44"/>
      <c r="NVH48" s="44"/>
      <c r="NVI48" s="44"/>
      <c r="NVJ48" s="44"/>
      <c r="NVK48" s="44"/>
      <c r="NVL48" s="44"/>
      <c r="NVM48" s="44"/>
      <c r="NVN48" s="44"/>
      <c r="NVO48" s="44"/>
      <c r="NVP48" s="44"/>
      <c r="NVQ48" s="44"/>
      <c r="NVR48" s="44"/>
      <c r="NVS48" s="44"/>
      <c r="NVT48" s="44"/>
      <c r="NVU48" s="44"/>
      <c r="NVV48" s="44"/>
      <c r="NVW48" s="44"/>
      <c r="NVX48" s="44"/>
      <c r="NVY48" s="44"/>
      <c r="NVZ48" s="44"/>
      <c r="NWA48" s="44"/>
      <c r="NWB48" s="44"/>
      <c r="NWC48" s="44"/>
      <c r="NWD48" s="44"/>
      <c r="NWE48" s="44"/>
      <c r="NWF48" s="44"/>
      <c r="NWG48" s="44"/>
      <c r="NWH48" s="44"/>
      <c r="NWI48" s="44"/>
      <c r="NWJ48" s="44"/>
      <c r="NWK48" s="44"/>
      <c r="NWL48" s="44"/>
      <c r="NWM48" s="44"/>
      <c r="NWN48" s="44"/>
      <c r="NWO48" s="44"/>
      <c r="NWP48" s="44"/>
      <c r="NWQ48" s="44"/>
      <c r="NWR48" s="44"/>
      <c r="NWS48" s="44"/>
      <c r="NWT48" s="44"/>
      <c r="NWU48" s="44"/>
      <c r="NWV48" s="44"/>
      <c r="NWW48" s="44"/>
      <c r="NWX48" s="44"/>
      <c r="NWY48" s="44"/>
      <c r="NWZ48" s="44"/>
      <c r="NXA48" s="44"/>
      <c r="NXB48" s="44"/>
      <c r="NXC48" s="44"/>
      <c r="NXD48" s="44"/>
      <c r="NXE48" s="44"/>
      <c r="NXF48" s="44"/>
      <c r="NXG48" s="44"/>
      <c r="NXH48" s="44"/>
      <c r="NXI48" s="44"/>
      <c r="NXJ48" s="44"/>
      <c r="NXK48" s="44"/>
      <c r="NXL48" s="44"/>
      <c r="NXM48" s="44"/>
      <c r="NXN48" s="44"/>
      <c r="NXO48" s="44"/>
      <c r="NXP48" s="44"/>
      <c r="NXQ48" s="44"/>
      <c r="NXR48" s="44"/>
      <c r="NXS48" s="44"/>
      <c r="NXT48" s="44"/>
      <c r="NXU48" s="44"/>
      <c r="NXV48" s="44"/>
      <c r="NXW48" s="44"/>
      <c r="NXX48" s="44"/>
      <c r="NXY48" s="44"/>
      <c r="NXZ48" s="44"/>
      <c r="NYA48" s="44"/>
      <c r="NYB48" s="44"/>
      <c r="NYC48" s="44"/>
      <c r="NYD48" s="44"/>
      <c r="NYE48" s="44"/>
      <c r="NYF48" s="44"/>
      <c r="NYG48" s="44"/>
      <c r="NYH48" s="44"/>
      <c r="NYI48" s="44"/>
      <c r="NYJ48" s="44"/>
      <c r="NYK48" s="44"/>
      <c r="NYL48" s="44"/>
      <c r="NYM48" s="44"/>
      <c r="NYN48" s="44"/>
      <c r="NYO48" s="44"/>
      <c r="NYP48" s="44"/>
      <c r="NYQ48" s="44"/>
      <c r="NYR48" s="44"/>
      <c r="NYS48" s="44"/>
      <c r="NYT48" s="44"/>
      <c r="NYU48" s="44"/>
      <c r="NYV48" s="44"/>
      <c r="NYW48" s="44"/>
      <c r="NYX48" s="44"/>
      <c r="NYY48" s="44"/>
      <c r="NYZ48" s="44"/>
      <c r="NZA48" s="44"/>
      <c r="NZB48" s="44"/>
      <c r="NZC48" s="44"/>
      <c r="NZD48" s="44"/>
      <c r="NZE48" s="44"/>
      <c r="NZF48" s="44"/>
      <c r="NZG48" s="44"/>
      <c r="NZH48" s="44"/>
      <c r="NZI48" s="44"/>
      <c r="NZJ48" s="44"/>
      <c r="NZK48" s="44"/>
      <c r="NZL48" s="44"/>
      <c r="NZM48" s="44"/>
      <c r="NZN48" s="44"/>
      <c r="NZO48" s="44"/>
      <c r="NZP48" s="44"/>
      <c r="NZQ48" s="44"/>
      <c r="NZR48" s="44"/>
      <c r="NZS48" s="44"/>
      <c r="NZT48" s="44"/>
      <c r="NZU48" s="44"/>
      <c r="NZV48" s="44"/>
      <c r="NZW48" s="44"/>
      <c r="NZX48" s="44"/>
      <c r="NZY48" s="44"/>
      <c r="NZZ48" s="44"/>
      <c r="OAA48" s="44"/>
      <c r="OAB48" s="44"/>
      <c r="OAC48" s="44"/>
      <c r="OAD48" s="44"/>
      <c r="OAE48" s="44"/>
      <c r="OAF48" s="44"/>
      <c r="OAG48" s="44"/>
      <c r="OAH48" s="44"/>
      <c r="OAI48" s="44"/>
      <c r="OAJ48" s="44"/>
      <c r="OAK48" s="44"/>
      <c r="OAL48" s="44"/>
      <c r="OAM48" s="44"/>
      <c r="OAN48" s="44"/>
      <c r="OAO48" s="44"/>
      <c r="OAP48" s="44"/>
      <c r="OAQ48" s="44"/>
      <c r="OAR48" s="44"/>
      <c r="OAS48" s="44"/>
      <c r="OAT48" s="44"/>
      <c r="OAU48" s="44"/>
      <c r="OAV48" s="44"/>
      <c r="OAW48" s="44"/>
      <c r="OAX48" s="44"/>
      <c r="OAY48" s="44"/>
      <c r="OAZ48" s="44"/>
      <c r="OBA48" s="44"/>
      <c r="OBB48" s="44"/>
      <c r="OBC48" s="44"/>
      <c r="OBD48" s="44"/>
      <c r="OBE48" s="44"/>
      <c r="OBF48" s="44"/>
      <c r="OBG48" s="44"/>
      <c r="OBH48" s="44"/>
      <c r="OBI48" s="44"/>
      <c r="OBJ48" s="44"/>
      <c r="OBK48" s="44"/>
      <c r="OBL48" s="44"/>
      <c r="OBM48" s="44"/>
      <c r="OBN48" s="44"/>
      <c r="OBO48" s="44"/>
      <c r="OBP48" s="44"/>
      <c r="OBQ48" s="44"/>
      <c r="OBR48" s="44"/>
      <c r="OBS48" s="44"/>
      <c r="OBT48" s="44"/>
      <c r="OBU48" s="44"/>
      <c r="OBV48" s="44"/>
      <c r="OBW48" s="44"/>
      <c r="OBX48" s="44"/>
      <c r="OBY48" s="44"/>
      <c r="OBZ48" s="44"/>
      <c r="OCA48" s="44"/>
      <c r="OCB48" s="44"/>
      <c r="OCC48" s="44"/>
      <c r="OCD48" s="44"/>
      <c r="OCE48" s="44"/>
      <c r="OCF48" s="44"/>
      <c r="OCG48" s="44"/>
      <c r="OCH48" s="44"/>
      <c r="OCI48" s="44"/>
      <c r="OCJ48" s="44"/>
      <c r="OCK48" s="44"/>
      <c r="OCL48" s="44"/>
      <c r="OCM48" s="44"/>
      <c r="OCN48" s="44"/>
      <c r="OCO48" s="44"/>
      <c r="OCP48" s="44"/>
      <c r="OCQ48" s="44"/>
      <c r="OCR48" s="44"/>
      <c r="OCS48" s="44"/>
      <c r="OCT48" s="44"/>
      <c r="OCU48" s="44"/>
      <c r="OCV48" s="44"/>
      <c r="OCW48" s="44"/>
      <c r="OCX48" s="44"/>
      <c r="OCY48" s="44"/>
      <c r="OCZ48" s="44"/>
      <c r="ODA48" s="44"/>
      <c r="ODB48" s="44"/>
      <c r="ODC48" s="44"/>
      <c r="ODD48" s="44"/>
      <c r="ODE48" s="44"/>
      <c r="ODF48" s="44"/>
      <c r="ODG48" s="44"/>
      <c r="ODH48" s="44"/>
      <c r="ODI48" s="44"/>
      <c r="ODJ48" s="44"/>
      <c r="ODK48" s="44"/>
      <c r="ODL48" s="44"/>
      <c r="ODM48" s="44"/>
      <c r="ODN48" s="44"/>
      <c r="ODO48" s="44"/>
      <c r="ODP48" s="44"/>
      <c r="ODQ48" s="44"/>
      <c r="ODR48" s="44"/>
      <c r="ODS48" s="44"/>
      <c r="ODT48" s="44"/>
      <c r="ODU48" s="44"/>
      <c r="ODV48" s="44"/>
      <c r="ODW48" s="44"/>
      <c r="ODX48" s="44"/>
      <c r="ODY48" s="44"/>
      <c r="ODZ48" s="44"/>
      <c r="OEA48" s="44"/>
      <c r="OEB48" s="44"/>
      <c r="OEC48" s="44"/>
      <c r="OED48" s="44"/>
      <c r="OEE48" s="44"/>
      <c r="OEF48" s="44"/>
      <c r="OEG48" s="44"/>
      <c r="OEH48" s="44"/>
      <c r="OEI48" s="44"/>
      <c r="OEJ48" s="44"/>
      <c r="OEK48" s="44"/>
      <c r="OEL48" s="44"/>
      <c r="OEM48" s="44"/>
      <c r="OEN48" s="44"/>
      <c r="OEO48" s="44"/>
      <c r="OEP48" s="44"/>
      <c r="OEQ48" s="44"/>
      <c r="OER48" s="44"/>
      <c r="OES48" s="44"/>
      <c r="OET48" s="44"/>
      <c r="OEU48" s="44"/>
      <c r="OEV48" s="44"/>
      <c r="OEW48" s="44"/>
      <c r="OEX48" s="44"/>
      <c r="OEY48" s="44"/>
      <c r="OEZ48" s="44"/>
      <c r="OFA48" s="44"/>
      <c r="OFB48" s="44"/>
      <c r="OFC48" s="44"/>
      <c r="OFD48" s="44"/>
      <c r="OFE48" s="44"/>
      <c r="OFF48" s="44"/>
      <c r="OFG48" s="44"/>
      <c r="OFH48" s="44"/>
      <c r="OFI48" s="44"/>
      <c r="OFJ48" s="44"/>
      <c r="OFK48" s="44"/>
      <c r="OFL48" s="44"/>
      <c r="OFM48" s="44"/>
      <c r="OFN48" s="44"/>
      <c r="OFO48" s="44"/>
      <c r="OFP48" s="44"/>
      <c r="OFQ48" s="44"/>
      <c r="OFR48" s="44"/>
      <c r="OFS48" s="44"/>
      <c r="OFT48" s="44"/>
      <c r="OFU48" s="44"/>
      <c r="OFV48" s="44"/>
      <c r="OFW48" s="44"/>
      <c r="OFX48" s="44"/>
      <c r="OFY48" s="44"/>
      <c r="OFZ48" s="44"/>
      <c r="OGA48" s="44"/>
      <c r="OGB48" s="44"/>
      <c r="OGC48" s="44"/>
      <c r="OGD48" s="44"/>
      <c r="OGE48" s="44"/>
      <c r="OGF48" s="44"/>
      <c r="OGG48" s="44"/>
      <c r="OGH48" s="44"/>
      <c r="OGI48" s="44"/>
      <c r="OGJ48" s="44"/>
      <c r="OGK48" s="44"/>
      <c r="OGL48" s="44"/>
      <c r="OGM48" s="44"/>
      <c r="OGN48" s="44"/>
      <c r="OGO48" s="44"/>
      <c r="OGP48" s="44"/>
      <c r="OGQ48" s="44"/>
      <c r="OGR48" s="44"/>
      <c r="OGS48" s="44"/>
      <c r="OGT48" s="44"/>
      <c r="OGU48" s="44"/>
      <c r="OGV48" s="44"/>
      <c r="OGW48" s="44"/>
      <c r="OGX48" s="44"/>
      <c r="OGY48" s="44"/>
      <c r="OGZ48" s="44"/>
      <c r="OHA48" s="44"/>
      <c r="OHB48" s="44"/>
      <c r="OHC48" s="44"/>
      <c r="OHD48" s="44"/>
      <c r="OHE48" s="44"/>
      <c r="OHF48" s="44"/>
      <c r="OHG48" s="44"/>
      <c r="OHH48" s="44"/>
      <c r="OHI48" s="44"/>
      <c r="OHJ48" s="44"/>
      <c r="OHK48" s="44"/>
      <c r="OHL48" s="44"/>
      <c r="OHM48" s="44"/>
      <c r="OHN48" s="44"/>
      <c r="OHO48" s="44"/>
      <c r="OHP48" s="44"/>
      <c r="OHQ48" s="44"/>
      <c r="OHR48" s="44"/>
      <c r="OHS48" s="44"/>
      <c r="OHT48" s="44"/>
      <c r="OHU48" s="44"/>
      <c r="OHV48" s="44"/>
      <c r="OHW48" s="44"/>
      <c r="OHX48" s="44"/>
      <c r="OHY48" s="44"/>
      <c r="OHZ48" s="44"/>
      <c r="OIA48" s="44"/>
      <c r="OIB48" s="44"/>
      <c r="OIC48" s="44"/>
      <c r="OID48" s="44"/>
      <c r="OIE48" s="44"/>
      <c r="OIF48" s="44"/>
      <c r="OIG48" s="44"/>
      <c r="OIH48" s="44"/>
      <c r="OII48" s="44"/>
      <c r="OIJ48" s="44"/>
      <c r="OIK48" s="44"/>
      <c r="OIL48" s="44"/>
      <c r="OIM48" s="44"/>
      <c r="OIN48" s="44"/>
      <c r="OIO48" s="44"/>
      <c r="OIP48" s="44"/>
      <c r="OIQ48" s="44"/>
      <c r="OIR48" s="44"/>
      <c r="OIS48" s="44"/>
      <c r="OIT48" s="44"/>
      <c r="OIU48" s="44"/>
      <c r="OIV48" s="44"/>
      <c r="OIW48" s="44"/>
      <c r="OIX48" s="44"/>
      <c r="OIY48" s="44"/>
      <c r="OIZ48" s="44"/>
      <c r="OJA48" s="44"/>
      <c r="OJB48" s="44"/>
      <c r="OJC48" s="44"/>
      <c r="OJD48" s="44"/>
      <c r="OJE48" s="44"/>
      <c r="OJF48" s="44"/>
      <c r="OJG48" s="44"/>
      <c r="OJH48" s="44"/>
      <c r="OJI48" s="44"/>
      <c r="OJJ48" s="44"/>
      <c r="OJK48" s="44"/>
      <c r="OJL48" s="44"/>
      <c r="OJM48" s="44"/>
      <c r="OJN48" s="44"/>
      <c r="OJO48" s="44"/>
      <c r="OJP48" s="44"/>
      <c r="OJQ48" s="44"/>
      <c r="OJR48" s="44"/>
      <c r="OJS48" s="44"/>
      <c r="OJT48" s="44"/>
      <c r="OJU48" s="44"/>
      <c r="OJV48" s="44"/>
      <c r="OJW48" s="44"/>
      <c r="OJX48" s="44"/>
      <c r="OJY48" s="44"/>
      <c r="OJZ48" s="44"/>
      <c r="OKA48" s="44"/>
      <c r="OKB48" s="44"/>
      <c r="OKC48" s="44"/>
      <c r="OKD48" s="44"/>
      <c r="OKE48" s="44"/>
      <c r="OKF48" s="44"/>
      <c r="OKG48" s="44"/>
      <c r="OKH48" s="44"/>
      <c r="OKI48" s="44"/>
      <c r="OKJ48" s="44"/>
      <c r="OKK48" s="44"/>
      <c r="OKL48" s="44"/>
      <c r="OKM48" s="44"/>
      <c r="OKN48" s="44"/>
      <c r="OKO48" s="44"/>
      <c r="OKP48" s="44"/>
      <c r="OKQ48" s="44"/>
      <c r="OKR48" s="44"/>
      <c r="OKS48" s="44"/>
      <c r="OKT48" s="44"/>
      <c r="OKU48" s="44"/>
      <c r="OKV48" s="44"/>
      <c r="OKW48" s="44"/>
      <c r="OKX48" s="44"/>
      <c r="OKY48" s="44"/>
      <c r="OKZ48" s="44"/>
      <c r="OLA48" s="44"/>
      <c r="OLB48" s="44"/>
      <c r="OLC48" s="44"/>
      <c r="OLD48" s="44"/>
      <c r="OLE48" s="44"/>
      <c r="OLF48" s="44"/>
      <c r="OLG48" s="44"/>
      <c r="OLH48" s="44"/>
      <c r="OLI48" s="44"/>
      <c r="OLJ48" s="44"/>
      <c r="OLK48" s="44"/>
      <c r="OLL48" s="44"/>
      <c r="OLM48" s="44"/>
      <c r="OLN48" s="44"/>
      <c r="OLO48" s="44"/>
      <c r="OLP48" s="44"/>
      <c r="OLQ48" s="44"/>
      <c r="OLR48" s="44"/>
      <c r="OLS48" s="44"/>
      <c r="OLT48" s="44"/>
      <c r="OLU48" s="44"/>
      <c r="OLV48" s="44"/>
      <c r="OLW48" s="44"/>
      <c r="OLX48" s="44"/>
      <c r="OLY48" s="44"/>
      <c r="OLZ48" s="44"/>
      <c r="OMA48" s="44"/>
      <c r="OMB48" s="44"/>
      <c r="OMC48" s="44"/>
      <c r="OMD48" s="44"/>
      <c r="OME48" s="44"/>
      <c r="OMF48" s="44"/>
      <c r="OMG48" s="44"/>
      <c r="OMH48" s="44"/>
      <c r="OMI48" s="44"/>
      <c r="OMJ48" s="44"/>
      <c r="OMK48" s="44"/>
      <c r="OML48" s="44"/>
      <c r="OMM48" s="44"/>
      <c r="OMN48" s="44"/>
      <c r="OMO48" s="44"/>
      <c r="OMP48" s="44"/>
      <c r="OMQ48" s="44"/>
      <c r="OMR48" s="44"/>
      <c r="OMS48" s="44"/>
      <c r="OMT48" s="44"/>
      <c r="OMU48" s="44"/>
      <c r="OMV48" s="44"/>
      <c r="OMW48" s="44"/>
      <c r="OMX48" s="44"/>
      <c r="OMY48" s="44"/>
      <c r="OMZ48" s="44"/>
      <c r="ONA48" s="44"/>
      <c r="ONB48" s="44"/>
      <c r="ONC48" s="44"/>
      <c r="OND48" s="44"/>
      <c r="ONE48" s="44"/>
      <c r="ONF48" s="44"/>
      <c r="ONG48" s="44"/>
      <c r="ONH48" s="44"/>
      <c r="ONI48" s="44"/>
      <c r="ONJ48" s="44"/>
      <c r="ONK48" s="44"/>
      <c r="ONL48" s="44"/>
      <c r="ONM48" s="44"/>
      <c r="ONN48" s="44"/>
      <c r="ONO48" s="44"/>
      <c r="ONP48" s="44"/>
      <c r="ONQ48" s="44"/>
      <c r="ONR48" s="44"/>
      <c r="ONS48" s="44"/>
      <c r="ONT48" s="44"/>
      <c r="ONU48" s="44"/>
      <c r="ONV48" s="44"/>
      <c r="ONW48" s="44"/>
      <c r="ONX48" s="44"/>
      <c r="ONY48" s="44"/>
      <c r="ONZ48" s="44"/>
      <c r="OOA48" s="44"/>
      <c r="OOB48" s="44"/>
      <c r="OOC48" s="44"/>
      <c r="OOD48" s="44"/>
      <c r="OOE48" s="44"/>
      <c r="OOF48" s="44"/>
      <c r="OOG48" s="44"/>
      <c r="OOH48" s="44"/>
      <c r="OOI48" s="44"/>
      <c r="OOJ48" s="44"/>
      <c r="OOK48" s="44"/>
      <c r="OOL48" s="44"/>
      <c r="OOM48" s="44"/>
      <c r="OON48" s="44"/>
      <c r="OOO48" s="44"/>
      <c r="OOP48" s="44"/>
      <c r="OOQ48" s="44"/>
      <c r="OOR48" s="44"/>
      <c r="OOS48" s="44"/>
      <c r="OOT48" s="44"/>
      <c r="OOU48" s="44"/>
      <c r="OOV48" s="44"/>
      <c r="OOW48" s="44"/>
      <c r="OOX48" s="44"/>
      <c r="OOY48" s="44"/>
      <c r="OOZ48" s="44"/>
      <c r="OPA48" s="44"/>
      <c r="OPB48" s="44"/>
      <c r="OPC48" s="44"/>
      <c r="OPD48" s="44"/>
      <c r="OPE48" s="44"/>
      <c r="OPF48" s="44"/>
      <c r="OPG48" s="44"/>
      <c r="OPH48" s="44"/>
      <c r="OPI48" s="44"/>
      <c r="OPJ48" s="44"/>
      <c r="OPK48" s="44"/>
      <c r="OPL48" s="44"/>
      <c r="OPM48" s="44"/>
      <c r="OPN48" s="44"/>
      <c r="OPO48" s="44"/>
      <c r="OPP48" s="44"/>
      <c r="OPQ48" s="44"/>
      <c r="OPR48" s="44"/>
      <c r="OPS48" s="44"/>
      <c r="OPT48" s="44"/>
      <c r="OPU48" s="44"/>
      <c r="OPV48" s="44"/>
      <c r="OPW48" s="44"/>
      <c r="OPX48" s="44"/>
      <c r="OPY48" s="44"/>
      <c r="OPZ48" s="44"/>
      <c r="OQA48" s="44"/>
      <c r="OQB48" s="44"/>
      <c r="OQC48" s="44"/>
      <c r="OQD48" s="44"/>
      <c r="OQE48" s="44"/>
      <c r="OQF48" s="44"/>
      <c r="OQG48" s="44"/>
      <c r="OQH48" s="44"/>
      <c r="OQI48" s="44"/>
      <c r="OQJ48" s="44"/>
      <c r="OQK48" s="44"/>
      <c r="OQL48" s="44"/>
      <c r="OQM48" s="44"/>
      <c r="OQN48" s="44"/>
      <c r="OQO48" s="44"/>
      <c r="OQP48" s="44"/>
      <c r="OQQ48" s="44"/>
      <c r="OQR48" s="44"/>
      <c r="OQS48" s="44"/>
      <c r="OQT48" s="44"/>
      <c r="OQU48" s="44"/>
      <c r="OQV48" s="44"/>
      <c r="OQW48" s="44"/>
      <c r="OQX48" s="44"/>
      <c r="OQY48" s="44"/>
      <c r="OQZ48" s="44"/>
      <c r="ORA48" s="44"/>
      <c r="ORB48" s="44"/>
      <c r="ORC48" s="44"/>
      <c r="ORD48" s="44"/>
      <c r="ORE48" s="44"/>
      <c r="ORF48" s="44"/>
      <c r="ORG48" s="44"/>
      <c r="ORH48" s="44"/>
      <c r="ORI48" s="44"/>
      <c r="ORJ48" s="44"/>
      <c r="ORK48" s="44"/>
      <c r="ORL48" s="44"/>
      <c r="ORM48" s="44"/>
      <c r="ORN48" s="44"/>
      <c r="ORO48" s="44"/>
      <c r="ORP48" s="44"/>
      <c r="ORQ48" s="44"/>
      <c r="ORR48" s="44"/>
      <c r="ORS48" s="44"/>
      <c r="ORT48" s="44"/>
      <c r="ORU48" s="44"/>
      <c r="ORV48" s="44"/>
      <c r="ORW48" s="44"/>
      <c r="ORX48" s="44"/>
      <c r="ORY48" s="44"/>
      <c r="ORZ48" s="44"/>
      <c r="OSA48" s="44"/>
      <c r="OSB48" s="44"/>
      <c r="OSC48" s="44"/>
      <c r="OSD48" s="44"/>
      <c r="OSE48" s="44"/>
      <c r="OSF48" s="44"/>
      <c r="OSG48" s="44"/>
      <c r="OSH48" s="44"/>
      <c r="OSI48" s="44"/>
      <c r="OSJ48" s="44"/>
      <c r="OSK48" s="44"/>
      <c r="OSL48" s="44"/>
      <c r="OSM48" s="44"/>
      <c r="OSN48" s="44"/>
      <c r="OSO48" s="44"/>
      <c r="OSP48" s="44"/>
      <c r="OSQ48" s="44"/>
      <c r="OSR48" s="44"/>
      <c r="OSS48" s="44"/>
      <c r="OST48" s="44"/>
      <c r="OSU48" s="44"/>
      <c r="OSV48" s="44"/>
      <c r="OSW48" s="44"/>
      <c r="OSX48" s="44"/>
      <c r="OSY48" s="44"/>
      <c r="OSZ48" s="44"/>
      <c r="OTA48" s="44"/>
      <c r="OTB48" s="44"/>
      <c r="OTC48" s="44"/>
      <c r="OTD48" s="44"/>
      <c r="OTE48" s="44"/>
      <c r="OTF48" s="44"/>
      <c r="OTG48" s="44"/>
      <c r="OTH48" s="44"/>
      <c r="OTI48" s="44"/>
      <c r="OTJ48" s="44"/>
      <c r="OTK48" s="44"/>
      <c r="OTL48" s="44"/>
      <c r="OTM48" s="44"/>
      <c r="OTN48" s="44"/>
      <c r="OTO48" s="44"/>
      <c r="OTP48" s="44"/>
      <c r="OTQ48" s="44"/>
      <c r="OTR48" s="44"/>
      <c r="OTS48" s="44"/>
      <c r="OTT48" s="44"/>
      <c r="OTU48" s="44"/>
      <c r="OTV48" s="44"/>
      <c r="OTW48" s="44"/>
      <c r="OTX48" s="44"/>
      <c r="OTY48" s="44"/>
      <c r="OTZ48" s="44"/>
      <c r="OUA48" s="44"/>
      <c r="OUB48" s="44"/>
      <c r="OUC48" s="44"/>
      <c r="OUD48" s="44"/>
      <c r="OUE48" s="44"/>
      <c r="OUF48" s="44"/>
      <c r="OUG48" s="44"/>
      <c r="OUH48" s="44"/>
      <c r="OUI48" s="44"/>
      <c r="OUJ48" s="44"/>
      <c r="OUK48" s="44"/>
      <c r="OUL48" s="44"/>
      <c r="OUM48" s="44"/>
      <c r="OUN48" s="44"/>
      <c r="OUO48" s="44"/>
      <c r="OUP48" s="44"/>
      <c r="OUQ48" s="44"/>
      <c r="OUR48" s="44"/>
      <c r="OUS48" s="44"/>
      <c r="OUT48" s="44"/>
      <c r="OUU48" s="44"/>
      <c r="OUV48" s="44"/>
      <c r="OUW48" s="44"/>
      <c r="OUX48" s="44"/>
      <c r="OUY48" s="44"/>
      <c r="OUZ48" s="44"/>
      <c r="OVA48" s="44"/>
      <c r="OVB48" s="44"/>
      <c r="OVC48" s="44"/>
      <c r="OVD48" s="44"/>
      <c r="OVE48" s="44"/>
      <c r="OVF48" s="44"/>
      <c r="OVG48" s="44"/>
      <c r="OVH48" s="44"/>
      <c r="OVI48" s="44"/>
      <c r="OVJ48" s="44"/>
      <c r="OVK48" s="44"/>
      <c r="OVL48" s="44"/>
      <c r="OVM48" s="44"/>
      <c r="OVN48" s="44"/>
      <c r="OVO48" s="44"/>
      <c r="OVP48" s="44"/>
      <c r="OVQ48" s="44"/>
      <c r="OVR48" s="44"/>
      <c r="OVS48" s="44"/>
      <c r="OVT48" s="44"/>
      <c r="OVU48" s="44"/>
      <c r="OVV48" s="44"/>
      <c r="OVW48" s="44"/>
      <c r="OVX48" s="44"/>
      <c r="OVY48" s="44"/>
      <c r="OVZ48" s="44"/>
      <c r="OWA48" s="44"/>
      <c r="OWB48" s="44"/>
      <c r="OWC48" s="44"/>
      <c r="OWD48" s="44"/>
      <c r="OWE48" s="44"/>
      <c r="OWF48" s="44"/>
      <c r="OWG48" s="44"/>
      <c r="OWH48" s="44"/>
      <c r="OWI48" s="44"/>
      <c r="OWJ48" s="44"/>
      <c r="OWK48" s="44"/>
      <c r="OWL48" s="44"/>
      <c r="OWM48" s="44"/>
      <c r="OWN48" s="44"/>
      <c r="OWO48" s="44"/>
      <c r="OWP48" s="44"/>
      <c r="OWQ48" s="44"/>
      <c r="OWR48" s="44"/>
      <c r="OWS48" s="44"/>
      <c r="OWT48" s="44"/>
      <c r="OWU48" s="44"/>
      <c r="OWV48" s="44"/>
      <c r="OWW48" s="44"/>
      <c r="OWX48" s="44"/>
      <c r="OWY48" s="44"/>
      <c r="OWZ48" s="44"/>
      <c r="OXA48" s="44"/>
      <c r="OXB48" s="44"/>
      <c r="OXC48" s="44"/>
      <c r="OXD48" s="44"/>
      <c r="OXE48" s="44"/>
      <c r="OXF48" s="44"/>
      <c r="OXG48" s="44"/>
      <c r="OXH48" s="44"/>
      <c r="OXI48" s="44"/>
      <c r="OXJ48" s="44"/>
      <c r="OXK48" s="44"/>
      <c r="OXL48" s="44"/>
      <c r="OXM48" s="44"/>
      <c r="OXN48" s="44"/>
      <c r="OXO48" s="44"/>
      <c r="OXP48" s="44"/>
      <c r="OXQ48" s="44"/>
      <c r="OXR48" s="44"/>
      <c r="OXS48" s="44"/>
      <c r="OXT48" s="44"/>
      <c r="OXU48" s="44"/>
      <c r="OXV48" s="44"/>
      <c r="OXW48" s="44"/>
      <c r="OXX48" s="44"/>
      <c r="OXY48" s="44"/>
      <c r="OXZ48" s="44"/>
      <c r="OYA48" s="44"/>
      <c r="OYB48" s="44"/>
      <c r="OYC48" s="44"/>
      <c r="OYD48" s="44"/>
      <c r="OYE48" s="44"/>
      <c r="OYF48" s="44"/>
      <c r="OYG48" s="44"/>
      <c r="OYH48" s="44"/>
      <c r="OYI48" s="44"/>
      <c r="OYJ48" s="44"/>
      <c r="OYK48" s="44"/>
      <c r="OYL48" s="44"/>
      <c r="OYM48" s="44"/>
      <c r="OYN48" s="44"/>
      <c r="OYO48" s="44"/>
      <c r="OYP48" s="44"/>
      <c r="OYQ48" s="44"/>
      <c r="OYR48" s="44"/>
      <c r="OYS48" s="44"/>
      <c r="OYT48" s="44"/>
      <c r="OYU48" s="44"/>
      <c r="OYV48" s="44"/>
      <c r="OYW48" s="44"/>
      <c r="OYX48" s="44"/>
      <c r="OYY48" s="44"/>
      <c r="OYZ48" s="44"/>
      <c r="OZA48" s="44"/>
      <c r="OZB48" s="44"/>
      <c r="OZC48" s="44"/>
      <c r="OZD48" s="44"/>
      <c r="OZE48" s="44"/>
      <c r="OZF48" s="44"/>
      <c r="OZG48" s="44"/>
      <c r="OZH48" s="44"/>
      <c r="OZI48" s="44"/>
      <c r="OZJ48" s="44"/>
      <c r="OZK48" s="44"/>
      <c r="OZL48" s="44"/>
      <c r="OZM48" s="44"/>
      <c r="OZN48" s="44"/>
      <c r="OZO48" s="44"/>
      <c r="OZP48" s="44"/>
      <c r="OZQ48" s="44"/>
      <c r="OZR48" s="44"/>
      <c r="OZS48" s="44"/>
      <c r="OZT48" s="44"/>
      <c r="OZU48" s="44"/>
      <c r="OZV48" s="44"/>
      <c r="OZW48" s="44"/>
      <c r="OZX48" s="44"/>
      <c r="OZY48" s="44"/>
      <c r="OZZ48" s="44"/>
      <c r="PAA48" s="44"/>
      <c r="PAB48" s="44"/>
      <c r="PAC48" s="44"/>
      <c r="PAD48" s="44"/>
      <c r="PAE48" s="44"/>
      <c r="PAF48" s="44"/>
      <c r="PAG48" s="44"/>
      <c r="PAH48" s="44"/>
      <c r="PAI48" s="44"/>
      <c r="PAJ48" s="44"/>
      <c r="PAK48" s="44"/>
      <c r="PAL48" s="44"/>
      <c r="PAM48" s="44"/>
      <c r="PAN48" s="44"/>
      <c r="PAO48" s="44"/>
      <c r="PAP48" s="44"/>
      <c r="PAQ48" s="44"/>
      <c r="PAR48" s="44"/>
      <c r="PAS48" s="44"/>
      <c r="PAT48" s="44"/>
      <c r="PAU48" s="44"/>
      <c r="PAV48" s="44"/>
      <c r="PAW48" s="44"/>
      <c r="PAX48" s="44"/>
      <c r="PAY48" s="44"/>
      <c r="PAZ48" s="44"/>
      <c r="PBA48" s="44"/>
      <c r="PBB48" s="44"/>
      <c r="PBC48" s="44"/>
      <c r="PBD48" s="44"/>
      <c r="PBE48" s="44"/>
      <c r="PBF48" s="44"/>
      <c r="PBG48" s="44"/>
      <c r="PBH48" s="44"/>
      <c r="PBI48" s="44"/>
      <c r="PBJ48" s="44"/>
      <c r="PBK48" s="44"/>
      <c r="PBL48" s="44"/>
      <c r="PBM48" s="44"/>
      <c r="PBN48" s="44"/>
      <c r="PBO48" s="44"/>
      <c r="PBP48" s="44"/>
      <c r="PBQ48" s="44"/>
      <c r="PBR48" s="44"/>
      <c r="PBS48" s="44"/>
      <c r="PBT48" s="44"/>
      <c r="PBU48" s="44"/>
      <c r="PBV48" s="44"/>
      <c r="PBW48" s="44"/>
      <c r="PBX48" s="44"/>
      <c r="PBY48" s="44"/>
      <c r="PBZ48" s="44"/>
      <c r="PCA48" s="44"/>
      <c r="PCB48" s="44"/>
      <c r="PCC48" s="44"/>
      <c r="PCD48" s="44"/>
      <c r="PCE48" s="44"/>
      <c r="PCF48" s="44"/>
      <c r="PCG48" s="44"/>
      <c r="PCH48" s="44"/>
      <c r="PCI48" s="44"/>
      <c r="PCJ48" s="44"/>
      <c r="PCK48" s="44"/>
      <c r="PCL48" s="44"/>
      <c r="PCM48" s="44"/>
      <c r="PCN48" s="44"/>
      <c r="PCO48" s="44"/>
      <c r="PCP48" s="44"/>
      <c r="PCQ48" s="44"/>
      <c r="PCR48" s="44"/>
      <c r="PCS48" s="44"/>
      <c r="PCT48" s="44"/>
      <c r="PCU48" s="44"/>
      <c r="PCV48" s="44"/>
      <c r="PCW48" s="44"/>
      <c r="PCX48" s="44"/>
      <c r="PCY48" s="44"/>
      <c r="PCZ48" s="44"/>
      <c r="PDA48" s="44"/>
      <c r="PDB48" s="44"/>
      <c r="PDC48" s="44"/>
      <c r="PDD48" s="44"/>
      <c r="PDE48" s="44"/>
      <c r="PDF48" s="44"/>
      <c r="PDG48" s="44"/>
      <c r="PDH48" s="44"/>
      <c r="PDI48" s="44"/>
      <c r="PDJ48" s="44"/>
      <c r="PDK48" s="44"/>
      <c r="PDL48" s="44"/>
      <c r="PDM48" s="44"/>
      <c r="PDN48" s="44"/>
      <c r="PDO48" s="44"/>
      <c r="PDP48" s="44"/>
      <c r="PDQ48" s="44"/>
      <c r="PDR48" s="44"/>
      <c r="PDS48" s="44"/>
      <c r="PDT48" s="44"/>
      <c r="PDU48" s="44"/>
      <c r="PDV48" s="44"/>
      <c r="PDW48" s="44"/>
      <c r="PDX48" s="44"/>
      <c r="PDY48" s="44"/>
      <c r="PDZ48" s="44"/>
      <c r="PEA48" s="44"/>
      <c r="PEB48" s="44"/>
      <c r="PEC48" s="44"/>
      <c r="PED48" s="44"/>
      <c r="PEE48" s="44"/>
      <c r="PEF48" s="44"/>
      <c r="PEG48" s="44"/>
      <c r="PEH48" s="44"/>
      <c r="PEI48" s="44"/>
      <c r="PEJ48" s="44"/>
      <c r="PEK48" s="44"/>
      <c r="PEL48" s="44"/>
      <c r="PEM48" s="44"/>
      <c r="PEN48" s="44"/>
      <c r="PEO48" s="44"/>
      <c r="PEP48" s="44"/>
      <c r="PEQ48" s="44"/>
      <c r="PER48" s="44"/>
      <c r="PES48" s="44"/>
      <c r="PET48" s="44"/>
      <c r="PEU48" s="44"/>
      <c r="PEV48" s="44"/>
      <c r="PEW48" s="44"/>
      <c r="PEX48" s="44"/>
      <c r="PEY48" s="44"/>
      <c r="PEZ48" s="44"/>
      <c r="PFA48" s="44"/>
      <c r="PFB48" s="44"/>
      <c r="PFC48" s="44"/>
      <c r="PFD48" s="44"/>
      <c r="PFE48" s="44"/>
      <c r="PFF48" s="44"/>
      <c r="PFG48" s="44"/>
      <c r="PFH48" s="44"/>
      <c r="PFI48" s="44"/>
      <c r="PFJ48" s="44"/>
      <c r="PFK48" s="44"/>
      <c r="PFL48" s="44"/>
      <c r="PFM48" s="44"/>
      <c r="PFN48" s="44"/>
      <c r="PFO48" s="44"/>
      <c r="PFP48" s="44"/>
      <c r="PFQ48" s="44"/>
      <c r="PFR48" s="44"/>
      <c r="PFS48" s="44"/>
      <c r="PFT48" s="44"/>
      <c r="PFU48" s="44"/>
      <c r="PFV48" s="44"/>
      <c r="PFW48" s="44"/>
      <c r="PFX48" s="44"/>
      <c r="PFY48" s="44"/>
      <c r="PFZ48" s="44"/>
      <c r="PGA48" s="44"/>
      <c r="PGB48" s="44"/>
      <c r="PGC48" s="44"/>
      <c r="PGD48" s="44"/>
      <c r="PGE48" s="44"/>
      <c r="PGF48" s="44"/>
      <c r="PGG48" s="44"/>
      <c r="PGH48" s="44"/>
      <c r="PGI48" s="44"/>
      <c r="PGJ48" s="44"/>
      <c r="PGK48" s="44"/>
      <c r="PGL48" s="44"/>
      <c r="PGM48" s="44"/>
      <c r="PGN48" s="44"/>
      <c r="PGO48" s="44"/>
      <c r="PGP48" s="44"/>
      <c r="PGQ48" s="44"/>
      <c r="PGR48" s="44"/>
      <c r="PGS48" s="44"/>
      <c r="PGT48" s="44"/>
      <c r="PGU48" s="44"/>
      <c r="PGV48" s="44"/>
      <c r="PGW48" s="44"/>
      <c r="PGX48" s="44"/>
      <c r="PGY48" s="44"/>
      <c r="PGZ48" s="44"/>
      <c r="PHA48" s="44"/>
      <c r="PHB48" s="44"/>
      <c r="PHC48" s="44"/>
      <c r="PHD48" s="44"/>
      <c r="PHE48" s="44"/>
      <c r="PHF48" s="44"/>
      <c r="PHG48" s="44"/>
      <c r="PHH48" s="44"/>
      <c r="PHI48" s="44"/>
      <c r="PHJ48" s="44"/>
      <c r="PHK48" s="44"/>
      <c r="PHL48" s="44"/>
      <c r="PHM48" s="44"/>
      <c r="PHN48" s="44"/>
      <c r="PHO48" s="44"/>
      <c r="PHP48" s="44"/>
      <c r="PHQ48" s="44"/>
      <c r="PHR48" s="44"/>
      <c r="PHS48" s="44"/>
      <c r="PHT48" s="44"/>
      <c r="PHU48" s="44"/>
      <c r="PHV48" s="44"/>
      <c r="PHW48" s="44"/>
      <c r="PHX48" s="44"/>
      <c r="PHY48" s="44"/>
      <c r="PHZ48" s="44"/>
      <c r="PIA48" s="44"/>
      <c r="PIB48" s="44"/>
      <c r="PIC48" s="44"/>
      <c r="PID48" s="44"/>
      <c r="PIE48" s="44"/>
      <c r="PIF48" s="44"/>
      <c r="PIG48" s="44"/>
      <c r="PIH48" s="44"/>
      <c r="PII48" s="44"/>
      <c r="PIJ48" s="44"/>
      <c r="PIK48" s="44"/>
      <c r="PIL48" s="44"/>
      <c r="PIM48" s="44"/>
      <c r="PIN48" s="44"/>
      <c r="PIO48" s="44"/>
      <c r="PIP48" s="44"/>
      <c r="PIQ48" s="44"/>
      <c r="PIR48" s="44"/>
      <c r="PIS48" s="44"/>
      <c r="PIT48" s="44"/>
      <c r="PIU48" s="44"/>
      <c r="PIV48" s="44"/>
      <c r="PIW48" s="44"/>
      <c r="PIX48" s="44"/>
      <c r="PIY48" s="44"/>
      <c r="PIZ48" s="44"/>
      <c r="PJA48" s="44"/>
      <c r="PJB48" s="44"/>
      <c r="PJC48" s="44"/>
      <c r="PJD48" s="44"/>
      <c r="PJE48" s="44"/>
      <c r="PJF48" s="44"/>
      <c r="PJG48" s="44"/>
      <c r="PJH48" s="44"/>
      <c r="PJI48" s="44"/>
      <c r="PJJ48" s="44"/>
      <c r="PJK48" s="44"/>
      <c r="PJL48" s="44"/>
      <c r="PJM48" s="44"/>
      <c r="PJN48" s="44"/>
      <c r="PJO48" s="44"/>
      <c r="PJP48" s="44"/>
      <c r="PJQ48" s="44"/>
      <c r="PJR48" s="44"/>
      <c r="PJS48" s="44"/>
      <c r="PJT48" s="44"/>
      <c r="PJU48" s="44"/>
      <c r="PJV48" s="44"/>
      <c r="PJW48" s="44"/>
      <c r="PJX48" s="44"/>
      <c r="PJY48" s="44"/>
      <c r="PJZ48" s="44"/>
      <c r="PKA48" s="44"/>
      <c r="PKB48" s="44"/>
      <c r="PKC48" s="44"/>
      <c r="PKD48" s="44"/>
      <c r="PKE48" s="44"/>
      <c r="PKF48" s="44"/>
      <c r="PKG48" s="44"/>
      <c r="PKH48" s="44"/>
      <c r="PKI48" s="44"/>
      <c r="PKJ48" s="44"/>
      <c r="PKK48" s="44"/>
      <c r="PKL48" s="44"/>
      <c r="PKM48" s="44"/>
      <c r="PKN48" s="44"/>
      <c r="PKO48" s="44"/>
      <c r="PKP48" s="44"/>
      <c r="PKQ48" s="44"/>
      <c r="PKR48" s="44"/>
      <c r="PKS48" s="44"/>
      <c r="PKT48" s="44"/>
      <c r="PKU48" s="44"/>
      <c r="PKV48" s="44"/>
      <c r="PKW48" s="44"/>
      <c r="PKX48" s="44"/>
      <c r="PKY48" s="44"/>
      <c r="PKZ48" s="44"/>
      <c r="PLA48" s="44"/>
      <c r="PLB48" s="44"/>
      <c r="PLC48" s="44"/>
      <c r="PLD48" s="44"/>
      <c r="PLE48" s="44"/>
      <c r="PLF48" s="44"/>
      <c r="PLG48" s="44"/>
      <c r="PLH48" s="44"/>
      <c r="PLI48" s="44"/>
      <c r="PLJ48" s="44"/>
      <c r="PLK48" s="44"/>
      <c r="PLL48" s="44"/>
      <c r="PLM48" s="44"/>
      <c r="PLN48" s="44"/>
      <c r="PLO48" s="44"/>
      <c r="PLP48" s="44"/>
      <c r="PLQ48" s="44"/>
      <c r="PLR48" s="44"/>
      <c r="PLS48" s="44"/>
      <c r="PLT48" s="44"/>
      <c r="PLU48" s="44"/>
      <c r="PLV48" s="44"/>
      <c r="PLW48" s="44"/>
      <c r="PLX48" s="44"/>
      <c r="PLY48" s="44"/>
      <c r="PLZ48" s="44"/>
      <c r="PMA48" s="44"/>
      <c r="PMB48" s="44"/>
      <c r="PMC48" s="44"/>
      <c r="PMD48" s="44"/>
      <c r="PME48" s="44"/>
      <c r="PMF48" s="44"/>
      <c r="PMG48" s="44"/>
      <c r="PMH48" s="44"/>
      <c r="PMI48" s="44"/>
      <c r="PMJ48" s="44"/>
      <c r="PMK48" s="44"/>
      <c r="PML48" s="44"/>
      <c r="PMM48" s="44"/>
      <c r="PMN48" s="44"/>
      <c r="PMO48" s="44"/>
      <c r="PMP48" s="44"/>
      <c r="PMQ48" s="44"/>
      <c r="PMR48" s="44"/>
      <c r="PMS48" s="44"/>
      <c r="PMT48" s="44"/>
      <c r="PMU48" s="44"/>
      <c r="PMV48" s="44"/>
      <c r="PMW48" s="44"/>
      <c r="PMX48" s="44"/>
      <c r="PMY48" s="44"/>
      <c r="PMZ48" s="44"/>
      <c r="PNA48" s="44"/>
      <c r="PNB48" s="44"/>
      <c r="PNC48" s="44"/>
      <c r="PND48" s="44"/>
      <c r="PNE48" s="44"/>
      <c r="PNF48" s="44"/>
      <c r="PNG48" s="44"/>
      <c r="PNH48" s="44"/>
      <c r="PNI48" s="44"/>
      <c r="PNJ48" s="44"/>
      <c r="PNK48" s="44"/>
      <c r="PNL48" s="44"/>
      <c r="PNM48" s="44"/>
      <c r="PNN48" s="44"/>
      <c r="PNO48" s="44"/>
      <c r="PNP48" s="44"/>
      <c r="PNQ48" s="44"/>
      <c r="PNR48" s="44"/>
      <c r="PNS48" s="44"/>
      <c r="PNT48" s="44"/>
      <c r="PNU48" s="44"/>
      <c r="PNV48" s="44"/>
      <c r="PNW48" s="44"/>
      <c r="PNX48" s="44"/>
      <c r="PNY48" s="44"/>
      <c r="PNZ48" s="44"/>
      <c r="POA48" s="44"/>
      <c r="POB48" s="44"/>
      <c r="POC48" s="44"/>
      <c r="POD48" s="44"/>
      <c r="POE48" s="44"/>
      <c r="POF48" s="44"/>
      <c r="POG48" s="44"/>
      <c r="POH48" s="44"/>
      <c r="POI48" s="44"/>
      <c r="POJ48" s="44"/>
      <c r="POK48" s="44"/>
      <c r="POL48" s="44"/>
      <c r="POM48" s="44"/>
      <c r="PON48" s="44"/>
      <c r="POO48" s="44"/>
      <c r="POP48" s="44"/>
      <c r="POQ48" s="44"/>
      <c r="POR48" s="44"/>
      <c r="POS48" s="44"/>
      <c r="POT48" s="44"/>
      <c r="POU48" s="44"/>
      <c r="POV48" s="44"/>
      <c r="POW48" s="44"/>
      <c r="POX48" s="44"/>
      <c r="POY48" s="44"/>
      <c r="POZ48" s="44"/>
      <c r="PPA48" s="44"/>
      <c r="PPB48" s="44"/>
      <c r="PPC48" s="44"/>
      <c r="PPD48" s="44"/>
      <c r="PPE48" s="44"/>
      <c r="PPF48" s="44"/>
      <c r="PPG48" s="44"/>
      <c r="PPH48" s="44"/>
      <c r="PPI48" s="44"/>
      <c r="PPJ48" s="44"/>
      <c r="PPK48" s="44"/>
      <c r="PPL48" s="44"/>
      <c r="PPM48" s="44"/>
      <c r="PPN48" s="44"/>
      <c r="PPO48" s="44"/>
      <c r="PPP48" s="44"/>
      <c r="PPQ48" s="44"/>
      <c r="PPR48" s="44"/>
      <c r="PPS48" s="44"/>
      <c r="PPT48" s="44"/>
      <c r="PPU48" s="44"/>
      <c r="PPV48" s="44"/>
      <c r="PPW48" s="44"/>
      <c r="PPX48" s="44"/>
      <c r="PPY48" s="44"/>
      <c r="PPZ48" s="44"/>
      <c r="PQA48" s="44"/>
      <c r="PQB48" s="44"/>
      <c r="PQC48" s="44"/>
      <c r="PQD48" s="44"/>
      <c r="PQE48" s="44"/>
      <c r="PQF48" s="44"/>
      <c r="PQG48" s="44"/>
      <c r="PQH48" s="44"/>
      <c r="PQI48" s="44"/>
      <c r="PQJ48" s="44"/>
      <c r="PQK48" s="44"/>
      <c r="PQL48" s="44"/>
      <c r="PQM48" s="44"/>
      <c r="PQN48" s="44"/>
      <c r="PQO48" s="44"/>
      <c r="PQP48" s="44"/>
      <c r="PQQ48" s="44"/>
      <c r="PQR48" s="44"/>
      <c r="PQS48" s="44"/>
      <c r="PQT48" s="44"/>
      <c r="PQU48" s="44"/>
      <c r="PQV48" s="44"/>
      <c r="PQW48" s="44"/>
      <c r="PQX48" s="44"/>
      <c r="PQY48" s="44"/>
      <c r="PQZ48" s="44"/>
      <c r="PRA48" s="44"/>
      <c r="PRB48" s="44"/>
      <c r="PRC48" s="44"/>
      <c r="PRD48" s="44"/>
      <c r="PRE48" s="44"/>
      <c r="PRF48" s="44"/>
      <c r="PRG48" s="44"/>
      <c r="PRH48" s="44"/>
      <c r="PRI48" s="44"/>
      <c r="PRJ48" s="44"/>
      <c r="PRK48" s="44"/>
      <c r="PRL48" s="44"/>
      <c r="PRM48" s="44"/>
      <c r="PRN48" s="44"/>
      <c r="PRO48" s="44"/>
      <c r="PRP48" s="44"/>
      <c r="PRQ48" s="44"/>
      <c r="PRR48" s="44"/>
      <c r="PRS48" s="44"/>
      <c r="PRT48" s="44"/>
      <c r="PRU48" s="44"/>
      <c r="PRV48" s="44"/>
      <c r="PRW48" s="44"/>
      <c r="PRX48" s="44"/>
      <c r="PRY48" s="44"/>
      <c r="PRZ48" s="44"/>
      <c r="PSA48" s="44"/>
      <c r="PSB48" s="44"/>
      <c r="PSC48" s="44"/>
      <c r="PSD48" s="44"/>
      <c r="PSE48" s="44"/>
      <c r="PSF48" s="44"/>
      <c r="PSG48" s="44"/>
      <c r="PSH48" s="44"/>
      <c r="PSI48" s="44"/>
      <c r="PSJ48" s="44"/>
      <c r="PSK48" s="44"/>
      <c r="PSL48" s="44"/>
      <c r="PSM48" s="44"/>
      <c r="PSN48" s="44"/>
      <c r="PSO48" s="44"/>
      <c r="PSP48" s="44"/>
      <c r="PSQ48" s="44"/>
      <c r="PSR48" s="44"/>
      <c r="PSS48" s="44"/>
      <c r="PST48" s="44"/>
      <c r="PSU48" s="44"/>
      <c r="PSV48" s="44"/>
      <c r="PSW48" s="44"/>
      <c r="PSX48" s="44"/>
      <c r="PSY48" s="44"/>
      <c r="PSZ48" s="44"/>
      <c r="PTA48" s="44"/>
      <c r="PTB48" s="44"/>
      <c r="PTC48" s="44"/>
      <c r="PTD48" s="44"/>
      <c r="PTE48" s="44"/>
      <c r="PTF48" s="44"/>
      <c r="PTG48" s="44"/>
      <c r="PTH48" s="44"/>
      <c r="PTI48" s="44"/>
      <c r="PTJ48" s="44"/>
      <c r="PTK48" s="44"/>
      <c r="PTL48" s="44"/>
      <c r="PTM48" s="44"/>
      <c r="PTN48" s="44"/>
      <c r="PTO48" s="44"/>
      <c r="PTP48" s="44"/>
      <c r="PTQ48" s="44"/>
      <c r="PTR48" s="44"/>
      <c r="PTS48" s="44"/>
      <c r="PTT48" s="44"/>
      <c r="PTU48" s="44"/>
      <c r="PTV48" s="44"/>
      <c r="PTW48" s="44"/>
      <c r="PTX48" s="44"/>
      <c r="PTY48" s="44"/>
      <c r="PTZ48" s="44"/>
      <c r="PUA48" s="44"/>
      <c r="PUB48" s="44"/>
      <c r="PUC48" s="44"/>
      <c r="PUD48" s="44"/>
      <c r="PUE48" s="44"/>
      <c r="PUF48" s="44"/>
      <c r="PUG48" s="44"/>
      <c r="PUH48" s="44"/>
      <c r="PUI48" s="44"/>
      <c r="PUJ48" s="44"/>
      <c r="PUK48" s="44"/>
      <c r="PUL48" s="44"/>
      <c r="PUM48" s="44"/>
      <c r="PUN48" s="44"/>
      <c r="PUO48" s="44"/>
      <c r="PUP48" s="44"/>
      <c r="PUQ48" s="44"/>
      <c r="PUR48" s="44"/>
      <c r="PUS48" s="44"/>
      <c r="PUT48" s="44"/>
      <c r="PUU48" s="44"/>
      <c r="PUV48" s="44"/>
      <c r="PUW48" s="44"/>
      <c r="PUX48" s="44"/>
      <c r="PUY48" s="44"/>
      <c r="PUZ48" s="44"/>
      <c r="PVA48" s="44"/>
      <c r="PVB48" s="44"/>
      <c r="PVC48" s="44"/>
      <c r="PVD48" s="44"/>
      <c r="PVE48" s="44"/>
      <c r="PVF48" s="44"/>
      <c r="PVG48" s="44"/>
      <c r="PVH48" s="44"/>
      <c r="PVI48" s="44"/>
      <c r="PVJ48" s="44"/>
      <c r="PVK48" s="44"/>
      <c r="PVL48" s="44"/>
      <c r="PVM48" s="44"/>
      <c r="PVN48" s="44"/>
      <c r="PVO48" s="44"/>
      <c r="PVP48" s="44"/>
      <c r="PVQ48" s="44"/>
      <c r="PVR48" s="44"/>
      <c r="PVS48" s="44"/>
      <c r="PVT48" s="44"/>
      <c r="PVU48" s="44"/>
      <c r="PVV48" s="44"/>
      <c r="PVW48" s="44"/>
      <c r="PVX48" s="44"/>
      <c r="PVY48" s="44"/>
      <c r="PVZ48" s="44"/>
      <c r="PWA48" s="44"/>
      <c r="PWB48" s="44"/>
      <c r="PWC48" s="44"/>
      <c r="PWD48" s="44"/>
      <c r="PWE48" s="44"/>
      <c r="PWF48" s="44"/>
      <c r="PWG48" s="44"/>
      <c r="PWH48" s="44"/>
      <c r="PWI48" s="44"/>
      <c r="PWJ48" s="44"/>
      <c r="PWK48" s="44"/>
      <c r="PWL48" s="44"/>
      <c r="PWM48" s="44"/>
      <c r="PWN48" s="44"/>
      <c r="PWO48" s="44"/>
      <c r="PWP48" s="44"/>
      <c r="PWQ48" s="44"/>
      <c r="PWR48" s="44"/>
      <c r="PWS48" s="44"/>
      <c r="PWT48" s="44"/>
      <c r="PWU48" s="44"/>
      <c r="PWV48" s="44"/>
      <c r="PWW48" s="44"/>
      <c r="PWX48" s="44"/>
      <c r="PWY48" s="44"/>
      <c r="PWZ48" s="44"/>
      <c r="PXA48" s="44"/>
      <c r="PXB48" s="44"/>
      <c r="PXC48" s="44"/>
      <c r="PXD48" s="44"/>
      <c r="PXE48" s="44"/>
      <c r="PXF48" s="44"/>
      <c r="PXG48" s="44"/>
      <c r="PXH48" s="44"/>
      <c r="PXI48" s="44"/>
      <c r="PXJ48" s="44"/>
      <c r="PXK48" s="44"/>
      <c r="PXL48" s="44"/>
      <c r="PXM48" s="44"/>
      <c r="PXN48" s="44"/>
      <c r="PXO48" s="44"/>
      <c r="PXP48" s="44"/>
      <c r="PXQ48" s="44"/>
      <c r="PXR48" s="44"/>
      <c r="PXS48" s="44"/>
      <c r="PXT48" s="44"/>
      <c r="PXU48" s="44"/>
      <c r="PXV48" s="44"/>
      <c r="PXW48" s="44"/>
      <c r="PXX48" s="44"/>
      <c r="PXY48" s="44"/>
      <c r="PXZ48" s="44"/>
      <c r="PYA48" s="44"/>
      <c r="PYB48" s="44"/>
      <c r="PYC48" s="44"/>
      <c r="PYD48" s="44"/>
      <c r="PYE48" s="44"/>
      <c r="PYF48" s="44"/>
      <c r="PYG48" s="44"/>
      <c r="PYH48" s="44"/>
      <c r="PYI48" s="44"/>
      <c r="PYJ48" s="44"/>
      <c r="PYK48" s="44"/>
      <c r="PYL48" s="44"/>
      <c r="PYM48" s="44"/>
      <c r="PYN48" s="44"/>
      <c r="PYO48" s="44"/>
      <c r="PYP48" s="44"/>
      <c r="PYQ48" s="44"/>
      <c r="PYR48" s="44"/>
      <c r="PYS48" s="44"/>
      <c r="PYT48" s="44"/>
      <c r="PYU48" s="44"/>
      <c r="PYV48" s="44"/>
      <c r="PYW48" s="44"/>
      <c r="PYX48" s="44"/>
      <c r="PYY48" s="44"/>
      <c r="PYZ48" s="44"/>
      <c r="PZA48" s="44"/>
      <c r="PZB48" s="44"/>
      <c r="PZC48" s="44"/>
      <c r="PZD48" s="44"/>
      <c r="PZE48" s="44"/>
      <c r="PZF48" s="44"/>
      <c r="PZG48" s="44"/>
      <c r="PZH48" s="44"/>
      <c r="PZI48" s="44"/>
      <c r="PZJ48" s="44"/>
      <c r="PZK48" s="44"/>
      <c r="PZL48" s="44"/>
      <c r="PZM48" s="44"/>
      <c r="PZN48" s="44"/>
      <c r="PZO48" s="44"/>
      <c r="PZP48" s="44"/>
      <c r="PZQ48" s="44"/>
      <c r="PZR48" s="44"/>
      <c r="PZS48" s="44"/>
      <c r="PZT48" s="44"/>
      <c r="PZU48" s="44"/>
      <c r="PZV48" s="44"/>
      <c r="PZW48" s="44"/>
      <c r="PZX48" s="44"/>
      <c r="PZY48" s="44"/>
      <c r="PZZ48" s="44"/>
      <c r="QAA48" s="44"/>
      <c r="QAB48" s="44"/>
      <c r="QAC48" s="44"/>
      <c r="QAD48" s="44"/>
      <c r="QAE48" s="44"/>
      <c r="QAF48" s="44"/>
      <c r="QAG48" s="44"/>
      <c r="QAH48" s="44"/>
      <c r="QAI48" s="44"/>
      <c r="QAJ48" s="44"/>
      <c r="QAK48" s="44"/>
      <c r="QAL48" s="44"/>
      <c r="QAM48" s="44"/>
      <c r="QAN48" s="44"/>
      <c r="QAO48" s="44"/>
      <c r="QAP48" s="44"/>
      <c r="QAQ48" s="44"/>
      <c r="QAR48" s="44"/>
      <c r="QAS48" s="44"/>
      <c r="QAT48" s="44"/>
      <c r="QAU48" s="44"/>
      <c r="QAV48" s="44"/>
      <c r="QAW48" s="44"/>
      <c r="QAX48" s="44"/>
      <c r="QAY48" s="44"/>
      <c r="QAZ48" s="44"/>
      <c r="QBA48" s="44"/>
      <c r="QBB48" s="44"/>
      <c r="QBC48" s="44"/>
      <c r="QBD48" s="44"/>
      <c r="QBE48" s="44"/>
      <c r="QBF48" s="44"/>
      <c r="QBG48" s="44"/>
      <c r="QBH48" s="44"/>
      <c r="QBI48" s="44"/>
      <c r="QBJ48" s="44"/>
      <c r="QBK48" s="44"/>
      <c r="QBL48" s="44"/>
      <c r="QBM48" s="44"/>
      <c r="QBN48" s="44"/>
      <c r="QBO48" s="44"/>
      <c r="QBP48" s="44"/>
      <c r="QBQ48" s="44"/>
      <c r="QBR48" s="44"/>
      <c r="QBS48" s="44"/>
      <c r="QBT48" s="44"/>
      <c r="QBU48" s="44"/>
      <c r="QBV48" s="44"/>
      <c r="QBW48" s="44"/>
      <c r="QBX48" s="44"/>
      <c r="QBY48" s="44"/>
      <c r="QBZ48" s="44"/>
      <c r="QCA48" s="44"/>
      <c r="QCB48" s="44"/>
      <c r="QCC48" s="44"/>
      <c r="QCD48" s="44"/>
      <c r="QCE48" s="44"/>
      <c r="QCF48" s="44"/>
      <c r="QCG48" s="44"/>
      <c r="QCH48" s="44"/>
      <c r="QCI48" s="44"/>
      <c r="QCJ48" s="44"/>
      <c r="QCK48" s="44"/>
      <c r="QCL48" s="44"/>
      <c r="QCM48" s="44"/>
      <c r="QCN48" s="44"/>
      <c r="QCO48" s="44"/>
      <c r="QCP48" s="44"/>
      <c r="QCQ48" s="44"/>
      <c r="QCR48" s="44"/>
      <c r="QCS48" s="44"/>
      <c r="QCT48" s="44"/>
      <c r="QCU48" s="44"/>
      <c r="QCV48" s="44"/>
      <c r="QCW48" s="44"/>
      <c r="QCX48" s="44"/>
      <c r="QCY48" s="44"/>
      <c r="QCZ48" s="44"/>
      <c r="QDA48" s="44"/>
      <c r="QDB48" s="44"/>
      <c r="QDC48" s="44"/>
      <c r="QDD48" s="44"/>
      <c r="QDE48" s="44"/>
      <c r="QDF48" s="44"/>
      <c r="QDG48" s="44"/>
      <c r="QDH48" s="44"/>
      <c r="QDI48" s="44"/>
      <c r="QDJ48" s="44"/>
      <c r="QDK48" s="44"/>
      <c r="QDL48" s="44"/>
      <c r="QDM48" s="44"/>
      <c r="QDN48" s="44"/>
      <c r="QDO48" s="44"/>
      <c r="QDP48" s="44"/>
      <c r="QDQ48" s="44"/>
      <c r="QDR48" s="44"/>
      <c r="QDS48" s="44"/>
      <c r="QDT48" s="44"/>
      <c r="QDU48" s="44"/>
      <c r="QDV48" s="44"/>
      <c r="QDW48" s="44"/>
      <c r="QDX48" s="44"/>
      <c r="QDY48" s="44"/>
      <c r="QDZ48" s="44"/>
      <c r="QEA48" s="44"/>
      <c r="QEB48" s="44"/>
      <c r="QEC48" s="44"/>
      <c r="QED48" s="44"/>
      <c r="QEE48" s="44"/>
      <c r="QEF48" s="44"/>
      <c r="QEG48" s="44"/>
      <c r="QEH48" s="44"/>
      <c r="QEI48" s="44"/>
      <c r="QEJ48" s="44"/>
      <c r="QEK48" s="44"/>
      <c r="QEL48" s="44"/>
      <c r="QEM48" s="44"/>
      <c r="QEN48" s="44"/>
      <c r="QEO48" s="44"/>
      <c r="QEP48" s="44"/>
      <c r="QEQ48" s="44"/>
      <c r="QER48" s="44"/>
      <c r="QES48" s="44"/>
      <c r="QET48" s="44"/>
      <c r="QEU48" s="44"/>
      <c r="QEV48" s="44"/>
      <c r="QEW48" s="44"/>
      <c r="QEX48" s="44"/>
      <c r="QEY48" s="44"/>
      <c r="QEZ48" s="44"/>
      <c r="QFA48" s="44"/>
      <c r="QFB48" s="44"/>
      <c r="QFC48" s="44"/>
      <c r="QFD48" s="44"/>
      <c r="QFE48" s="44"/>
      <c r="QFF48" s="44"/>
      <c r="QFG48" s="44"/>
      <c r="QFH48" s="44"/>
      <c r="QFI48" s="44"/>
      <c r="QFJ48" s="44"/>
      <c r="QFK48" s="44"/>
      <c r="QFL48" s="44"/>
      <c r="QFM48" s="44"/>
      <c r="QFN48" s="44"/>
      <c r="QFO48" s="44"/>
      <c r="QFP48" s="44"/>
      <c r="QFQ48" s="44"/>
      <c r="QFR48" s="44"/>
      <c r="QFS48" s="44"/>
      <c r="QFT48" s="44"/>
      <c r="QFU48" s="44"/>
      <c r="QFV48" s="44"/>
      <c r="QFW48" s="44"/>
      <c r="QFX48" s="44"/>
      <c r="QFY48" s="44"/>
      <c r="QFZ48" s="44"/>
      <c r="QGA48" s="44"/>
      <c r="QGB48" s="44"/>
      <c r="QGC48" s="44"/>
      <c r="QGD48" s="44"/>
      <c r="QGE48" s="44"/>
      <c r="QGF48" s="44"/>
      <c r="QGG48" s="44"/>
      <c r="QGH48" s="44"/>
      <c r="QGI48" s="44"/>
      <c r="QGJ48" s="44"/>
      <c r="QGK48" s="44"/>
      <c r="QGL48" s="44"/>
      <c r="QGM48" s="44"/>
      <c r="QGN48" s="44"/>
      <c r="QGO48" s="44"/>
      <c r="QGP48" s="44"/>
      <c r="QGQ48" s="44"/>
      <c r="QGR48" s="44"/>
      <c r="QGS48" s="44"/>
      <c r="QGT48" s="44"/>
      <c r="QGU48" s="44"/>
      <c r="QGV48" s="44"/>
      <c r="QGW48" s="44"/>
      <c r="QGX48" s="44"/>
      <c r="QGY48" s="44"/>
      <c r="QGZ48" s="44"/>
      <c r="QHA48" s="44"/>
      <c r="QHB48" s="44"/>
      <c r="QHC48" s="44"/>
      <c r="QHD48" s="44"/>
      <c r="QHE48" s="44"/>
      <c r="QHF48" s="44"/>
      <c r="QHG48" s="44"/>
      <c r="QHH48" s="44"/>
      <c r="QHI48" s="44"/>
      <c r="QHJ48" s="44"/>
      <c r="QHK48" s="44"/>
      <c r="QHL48" s="44"/>
      <c r="QHM48" s="44"/>
      <c r="QHN48" s="44"/>
      <c r="QHO48" s="44"/>
      <c r="QHP48" s="44"/>
      <c r="QHQ48" s="44"/>
      <c r="QHR48" s="44"/>
      <c r="QHS48" s="44"/>
      <c r="QHT48" s="44"/>
      <c r="QHU48" s="44"/>
      <c r="QHV48" s="44"/>
      <c r="QHW48" s="44"/>
      <c r="QHX48" s="44"/>
      <c r="QHY48" s="44"/>
      <c r="QHZ48" s="44"/>
      <c r="QIA48" s="44"/>
      <c r="QIB48" s="44"/>
      <c r="QIC48" s="44"/>
      <c r="QID48" s="44"/>
      <c r="QIE48" s="44"/>
      <c r="QIF48" s="44"/>
      <c r="QIG48" s="44"/>
      <c r="QIH48" s="44"/>
      <c r="QII48" s="44"/>
      <c r="QIJ48" s="44"/>
      <c r="QIK48" s="44"/>
      <c r="QIL48" s="44"/>
      <c r="QIM48" s="44"/>
      <c r="QIN48" s="44"/>
      <c r="QIO48" s="44"/>
      <c r="QIP48" s="44"/>
      <c r="QIQ48" s="44"/>
      <c r="QIR48" s="44"/>
      <c r="QIS48" s="44"/>
      <c r="QIT48" s="44"/>
      <c r="QIU48" s="44"/>
      <c r="QIV48" s="44"/>
      <c r="QIW48" s="44"/>
      <c r="QIX48" s="44"/>
      <c r="QIY48" s="44"/>
      <c r="QIZ48" s="44"/>
      <c r="QJA48" s="44"/>
      <c r="QJB48" s="44"/>
      <c r="QJC48" s="44"/>
      <c r="QJD48" s="44"/>
      <c r="QJE48" s="44"/>
      <c r="QJF48" s="44"/>
      <c r="QJG48" s="44"/>
      <c r="QJH48" s="44"/>
      <c r="QJI48" s="44"/>
      <c r="QJJ48" s="44"/>
      <c r="QJK48" s="44"/>
      <c r="QJL48" s="44"/>
      <c r="QJM48" s="44"/>
      <c r="QJN48" s="44"/>
      <c r="QJO48" s="44"/>
      <c r="QJP48" s="44"/>
      <c r="QJQ48" s="44"/>
      <c r="QJR48" s="44"/>
      <c r="QJS48" s="44"/>
      <c r="QJT48" s="44"/>
      <c r="QJU48" s="44"/>
      <c r="QJV48" s="44"/>
      <c r="QJW48" s="44"/>
      <c r="QJX48" s="44"/>
      <c r="QJY48" s="44"/>
      <c r="QJZ48" s="44"/>
      <c r="QKA48" s="44"/>
      <c r="QKB48" s="44"/>
      <c r="QKC48" s="44"/>
      <c r="QKD48" s="44"/>
      <c r="QKE48" s="44"/>
      <c r="QKF48" s="44"/>
      <c r="QKG48" s="44"/>
      <c r="QKH48" s="44"/>
      <c r="QKI48" s="44"/>
      <c r="QKJ48" s="44"/>
      <c r="QKK48" s="44"/>
      <c r="QKL48" s="44"/>
      <c r="QKM48" s="44"/>
      <c r="QKN48" s="44"/>
      <c r="QKO48" s="44"/>
      <c r="QKP48" s="44"/>
      <c r="QKQ48" s="44"/>
      <c r="QKR48" s="44"/>
      <c r="QKS48" s="44"/>
      <c r="QKT48" s="44"/>
      <c r="QKU48" s="44"/>
      <c r="QKV48" s="44"/>
      <c r="QKW48" s="44"/>
      <c r="QKX48" s="44"/>
      <c r="QKY48" s="44"/>
      <c r="QKZ48" s="44"/>
      <c r="QLA48" s="44"/>
      <c r="QLB48" s="44"/>
      <c r="QLC48" s="44"/>
      <c r="QLD48" s="44"/>
      <c r="QLE48" s="44"/>
      <c r="QLF48" s="44"/>
      <c r="QLG48" s="44"/>
      <c r="QLH48" s="44"/>
      <c r="QLI48" s="44"/>
      <c r="QLJ48" s="44"/>
      <c r="QLK48" s="44"/>
      <c r="QLL48" s="44"/>
      <c r="QLM48" s="44"/>
      <c r="QLN48" s="44"/>
      <c r="QLO48" s="44"/>
      <c r="QLP48" s="44"/>
      <c r="QLQ48" s="44"/>
      <c r="QLR48" s="44"/>
      <c r="QLS48" s="44"/>
      <c r="QLT48" s="44"/>
      <c r="QLU48" s="44"/>
      <c r="QLV48" s="44"/>
      <c r="QLW48" s="44"/>
      <c r="QLX48" s="44"/>
      <c r="QLY48" s="44"/>
      <c r="QLZ48" s="44"/>
      <c r="QMA48" s="44"/>
      <c r="QMB48" s="44"/>
      <c r="QMC48" s="44"/>
      <c r="QMD48" s="44"/>
      <c r="QME48" s="44"/>
      <c r="QMF48" s="44"/>
      <c r="QMG48" s="44"/>
      <c r="QMH48" s="44"/>
      <c r="QMI48" s="44"/>
      <c r="QMJ48" s="44"/>
      <c r="QMK48" s="44"/>
      <c r="QML48" s="44"/>
      <c r="QMM48" s="44"/>
      <c r="QMN48" s="44"/>
      <c r="QMO48" s="44"/>
      <c r="QMP48" s="44"/>
      <c r="QMQ48" s="44"/>
      <c r="QMR48" s="44"/>
      <c r="QMS48" s="44"/>
      <c r="QMT48" s="44"/>
      <c r="QMU48" s="44"/>
      <c r="QMV48" s="44"/>
      <c r="QMW48" s="44"/>
      <c r="QMX48" s="44"/>
      <c r="QMY48" s="44"/>
      <c r="QMZ48" s="44"/>
      <c r="QNA48" s="44"/>
      <c r="QNB48" s="44"/>
      <c r="QNC48" s="44"/>
      <c r="QND48" s="44"/>
      <c r="QNE48" s="44"/>
      <c r="QNF48" s="44"/>
      <c r="QNG48" s="44"/>
      <c r="QNH48" s="44"/>
      <c r="QNI48" s="44"/>
      <c r="QNJ48" s="44"/>
      <c r="QNK48" s="44"/>
      <c r="QNL48" s="44"/>
      <c r="QNM48" s="44"/>
      <c r="QNN48" s="44"/>
      <c r="QNO48" s="44"/>
      <c r="QNP48" s="44"/>
      <c r="QNQ48" s="44"/>
      <c r="QNR48" s="44"/>
      <c r="QNS48" s="44"/>
      <c r="QNT48" s="44"/>
      <c r="QNU48" s="44"/>
      <c r="QNV48" s="44"/>
      <c r="QNW48" s="44"/>
      <c r="QNX48" s="44"/>
      <c r="QNY48" s="44"/>
      <c r="QNZ48" s="44"/>
      <c r="QOA48" s="44"/>
      <c r="QOB48" s="44"/>
      <c r="QOC48" s="44"/>
      <c r="QOD48" s="44"/>
      <c r="QOE48" s="44"/>
      <c r="QOF48" s="44"/>
      <c r="QOG48" s="44"/>
      <c r="QOH48" s="44"/>
      <c r="QOI48" s="44"/>
      <c r="QOJ48" s="44"/>
      <c r="QOK48" s="44"/>
      <c r="QOL48" s="44"/>
      <c r="QOM48" s="44"/>
      <c r="QON48" s="44"/>
      <c r="QOO48" s="44"/>
      <c r="QOP48" s="44"/>
      <c r="QOQ48" s="44"/>
      <c r="QOR48" s="44"/>
      <c r="QOS48" s="44"/>
      <c r="QOT48" s="44"/>
      <c r="QOU48" s="44"/>
      <c r="QOV48" s="44"/>
      <c r="QOW48" s="44"/>
      <c r="QOX48" s="44"/>
      <c r="QOY48" s="44"/>
      <c r="QOZ48" s="44"/>
      <c r="QPA48" s="44"/>
      <c r="QPB48" s="44"/>
      <c r="QPC48" s="44"/>
      <c r="QPD48" s="44"/>
      <c r="QPE48" s="44"/>
      <c r="QPF48" s="44"/>
      <c r="QPG48" s="44"/>
      <c r="QPH48" s="44"/>
      <c r="QPI48" s="44"/>
      <c r="QPJ48" s="44"/>
      <c r="QPK48" s="44"/>
      <c r="QPL48" s="44"/>
      <c r="QPM48" s="44"/>
      <c r="QPN48" s="44"/>
      <c r="QPO48" s="44"/>
      <c r="QPP48" s="44"/>
      <c r="QPQ48" s="44"/>
      <c r="QPR48" s="44"/>
      <c r="QPS48" s="44"/>
      <c r="QPT48" s="44"/>
      <c r="QPU48" s="44"/>
      <c r="QPV48" s="44"/>
      <c r="QPW48" s="44"/>
      <c r="QPX48" s="44"/>
      <c r="QPY48" s="44"/>
      <c r="QPZ48" s="44"/>
      <c r="QQA48" s="44"/>
      <c r="QQB48" s="44"/>
      <c r="QQC48" s="44"/>
      <c r="QQD48" s="44"/>
      <c r="QQE48" s="44"/>
      <c r="QQF48" s="44"/>
      <c r="QQG48" s="44"/>
      <c r="QQH48" s="44"/>
      <c r="QQI48" s="44"/>
      <c r="QQJ48" s="44"/>
      <c r="QQK48" s="44"/>
      <c r="QQL48" s="44"/>
      <c r="QQM48" s="44"/>
      <c r="QQN48" s="44"/>
      <c r="QQO48" s="44"/>
      <c r="QQP48" s="44"/>
      <c r="QQQ48" s="44"/>
      <c r="QQR48" s="44"/>
      <c r="QQS48" s="44"/>
      <c r="QQT48" s="44"/>
      <c r="QQU48" s="44"/>
      <c r="QQV48" s="44"/>
      <c r="QQW48" s="44"/>
      <c r="QQX48" s="44"/>
      <c r="QQY48" s="44"/>
      <c r="QQZ48" s="44"/>
      <c r="QRA48" s="44"/>
      <c r="QRB48" s="44"/>
      <c r="QRC48" s="44"/>
      <c r="QRD48" s="44"/>
      <c r="QRE48" s="44"/>
      <c r="QRF48" s="44"/>
      <c r="QRG48" s="44"/>
      <c r="QRH48" s="44"/>
      <c r="QRI48" s="44"/>
      <c r="QRJ48" s="44"/>
      <c r="QRK48" s="44"/>
      <c r="QRL48" s="44"/>
      <c r="QRM48" s="44"/>
      <c r="QRN48" s="44"/>
      <c r="QRO48" s="44"/>
      <c r="QRP48" s="44"/>
      <c r="QRQ48" s="44"/>
      <c r="QRR48" s="44"/>
      <c r="QRS48" s="44"/>
      <c r="QRT48" s="44"/>
      <c r="QRU48" s="44"/>
      <c r="QRV48" s="44"/>
      <c r="QRW48" s="44"/>
      <c r="QRX48" s="44"/>
      <c r="QRY48" s="44"/>
      <c r="QRZ48" s="44"/>
      <c r="QSA48" s="44"/>
      <c r="QSB48" s="44"/>
      <c r="QSC48" s="44"/>
      <c r="QSD48" s="44"/>
      <c r="QSE48" s="44"/>
      <c r="QSF48" s="44"/>
      <c r="QSG48" s="44"/>
      <c r="QSH48" s="44"/>
      <c r="QSI48" s="44"/>
      <c r="QSJ48" s="44"/>
      <c r="QSK48" s="44"/>
      <c r="QSL48" s="44"/>
      <c r="QSM48" s="44"/>
      <c r="QSN48" s="44"/>
      <c r="QSO48" s="44"/>
      <c r="QSP48" s="44"/>
      <c r="QSQ48" s="44"/>
      <c r="QSR48" s="44"/>
      <c r="QSS48" s="44"/>
      <c r="QST48" s="44"/>
      <c r="QSU48" s="44"/>
      <c r="QSV48" s="44"/>
      <c r="QSW48" s="44"/>
      <c r="QSX48" s="44"/>
      <c r="QSY48" s="44"/>
      <c r="QSZ48" s="44"/>
      <c r="QTA48" s="44"/>
      <c r="QTB48" s="44"/>
      <c r="QTC48" s="44"/>
      <c r="QTD48" s="44"/>
      <c r="QTE48" s="44"/>
      <c r="QTF48" s="44"/>
      <c r="QTG48" s="44"/>
      <c r="QTH48" s="44"/>
      <c r="QTI48" s="44"/>
      <c r="QTJ48" s="44"/>
      <c r="QTK48" s="44"/>
      <c r="QTL48" s="44"/>
      <c r="QTM48" s="44"/>
      <c r="QTN48" s="44"/>
      <c r="QTO48" s="44"/>
      <c r="QTP48" s="44"/>
      <c r="QTQ48" s="44"/>
      <c r="QTR48" s="44"/>
      <c r="QTS48" s="44"/>
      <c r="QTT48" s="44"/>
      <c r="QTU48" s="44"/>
      <c r="QTV48" s="44"/>
      <c r="QTW48" s="44"/>
      <c r="QTX48" s="44"/>
      <c r="QTY48" s="44"/>
      <c r="QTZ48" s="44"/>
      <c r="QUA48" s="44"/>
      <c r="QUB48" s="44"/>
      <c r="QUC48" s="44"/>
      <c r="QUD48" s="44"/>
      <c r="QUE48" s="44"/>
      <c r="QUF48" s="44"/>
      <c r="QUG48" s="44"/>
      <c r="QUH48" s="44"/>
      <c r="QUI48" s="44"/>
      <c r="QUJ48" s="44"/>
      <c r="QUK48" s="44"/>
      <c r="QUL48" s="44"/>
      <c r="QUM48" s="44"/>
      <c r="QUN48" s="44"/>
      <c r="QUO48" s="44"/>
      <c r="QUP48" s="44"/>
      <c r="QUQ48" s="44"/>
      <c r="QUR48" s="44"/>
      <c r="QUS48" s="44"/>
      <c r="QUT48" s="44"/>
      <c r="QUU48" s="44"/>
      <c r="QUV48" s="44"/>
      <c r="QUW48" s="44"/>
      <c r="QUX48" s="44"/>
      <c r="QUY48" s="44"/>
      <c r="QUZ48" s="44"/>
      <c r="QVA48" s="44"/>
      <c r="QVB48" s="44"/>
      <c r="QVC48" s="44"/>
      <c r="QVD48" s="44"/>
      <c r="QVE48" s="44"/>
      <c r="QVF48" s="44"/>
      <c r="QVG48" s="44"/>
      <c r="QVH48" s="44"/>
      <c r="QVI48" s="44"/>
      <c r="QVJ48" s="44"/>
      <c r="QVK48" s="44"/>
      <c r="QVL48" s="44"/>
      <c r="QVM48" s="44"/>
      <c r="QVN48" s="44"/>
      <c r="QVO48" s="44"/>
      <c r="QVP48" s="44"/>
      <c r="QVQ48" s="44"/>
      <c r="QVR48" s="44"/>
      <c r="QVS48" s="44"/>
      <c r="QVT48" s="44"/>
      <c r="QVU48" s="44"/>
      <c r="QVV48" s="44"/>
      <c r="QVW48" s="44"/>
      <c r="QVX48" s="44"/>
      <c r="QVY48" s="44"/>
      <c r="QVZ48" s="44"/>
      <c r="QWA48" s="44"/>
      <c r="QWB48" s="44"/>
      <c r="QWC48" s="44"/>
      <c r="QWD48" s="44"/>
      <c r="QWE48" s="44"/>
      <c r="QWF48" s="44"/>
      <c r="QWG48" s="44"/>
      <c r="QWH48" s="44"/>
      <c r="QWI48" s="44"/>
      <c r="QWJ48" s="44"/>
      <c r="QWK48" s="44"/>
      <c r="QWL48" s="44"/>
      <c r="QWM48" s="44"/>
      <c r="QWN48" s="44"/>
      <c r="QWO48" s="44"/>
      <c r="QWP48" s="44"/>
      <c r="QWQ48" s="44"/>
      <c r="QWR48" s="44"/>
      <c r="QWS48" s="44"/>
      <c r="QWT48" s="44"/>
      <c r="QWU48" s="44"/>
      <c r="QWV48" s="44"/>
      <c r="QWW48" s="44"/>
      <c r="QWX48" s="44"/>
      <c r="QWY48" s="44"/>
      <c r="QWZ48" s="44"/>
      <c r="QXA48" s="44"/>
      <c r="QXB48" s="44"/>
      <c r="QXC48" s="44"/>
      <c r="QXD48" s="44"/>
      <c r="QXE48" s="44"/>
      <c r="QXF48" s="44"/>
      <c r="QXG48" s="44"/>
      <c r="QXH48" s="44"/>
      <c r="QXI48" s="44"/>
      <c r="QXJ48" s="44"/>
      <c r="QXK48" s="44"/>
      <c r="QXL48" s="44"/>
      <c r="QXM48" s="44"/>
      <c r="QXN48" s="44"/>
      <c r="QXO48" s="44"/>
      <c r="QXP48" s="44"/>
      <c r="QXQ48" s="44"/>
      <c r="QXR48" s="44"/>
      <c r="QXS48" s="44"/>
      <c r="QXT48" s="44"/>
      <c r="QXU48" s="44"/>
      <c r="QXV48" s="44"/>
      <c r="QXW48" s="44"/>
      <c r="QXX48" s="44"/>
      <c r="QXY48" s="44"/>
      <c r="QXZ48" s="44"/>
      <c r="QYA48" s="44"/>
      <c r="QYB48" s="44"/>
      <c r="QYC48" s="44"/>
      <c r="QYD48" s="44"/>
      <c r="QYE48" s="44"/>
      <c r="QYF48" s="44"/>
      <c r="QYG48" s="44"/>
      <c r="QYH48" s="44"/>
      <c r="QYI48" s="44"/>
      <c r="QYJ48" s="44"/>
      <c r="QYK48" s="44"/>
      <c r="QYL48" s="44"/>
      <c r="QYM48" s="44"/>
      <c r="QYN48" s="44"/>
      <c r="QYO48" s="44"/>
      <c r="QYP48" s="44"/>
      <c r="QYQ48" s="44"/>
      <c r="QYR48" s="44"/>
      <c r="QYS48" s="44"/>
      <c r="QYT48" s="44"/>
      <c r="QYU48" s="44"/>
      <c r="QYV48" s="44"/>
      <c r="QYW48" s="44"/>
      <c r="QYX48" s="44"/>
      <c r="QYY48" s="44"/>
      <c r="QYZ48" s="44"/>
      <c r="QZA48" s="44"/>
      <c r="QZB48" s="44"/>
      <c r="QZC48" s="44"/>
      <c r="QZD48" s="44"/>
      <c r="QZE48" s="44"/>
      <c r="QZF48" s="44"/>
      <c r="QZG48" s="44"/>
      <c r="QZH48" s="44"/>
      <c r="QZI48" s="44"/>
      <c r="QZJ48" s="44"/>
      <c r="QZK48" s="44"/>
      <c r="QZL48" s="44"/>
      <c r="QZM48" s="44"/>
      <c r="QZN48" s="44"/>
      <c r="QZO48" s="44"/>
      <c r="QZP48" s="44"/>
      <c r="QZQ48" s="44"/>
      <c r="QZR48" s="44"/>
      <c r="QZS48" s="44"/>
      <c r="QZT48" s="44"/>
      <c r="QZU48" s="44"/>
      <c r="QZV48" s="44"/>
      <c r="QZW48" s="44"/>
      <c r="QZX48" s="44"/>
      <c r="QZY48" s="44"/>
      <c r="QZZ48" s="44"/>
      <c r="RAA48" s="44"/>
      <c r="RAB48" s="44"/>
      <c r="RAC48" s="44"/>
      <c r="RAD48" s="44"/>
      <c r="RAE48" s="44"/>
      <c r="RAF48" s="44"/>
      <c r="RAG48" s="44"/>
      <c r="RAH48" s="44"/>
      <c r="RAI48" s="44"/>
      <c r="RAJ48" s="44"/>
      <c r="RAK48" s="44"/>
      <c r="RAL48" s="44"/>
      <c r="RAM48" s="44"/>
      <c r="RAN48" s="44"/>
      <c r="RAO48" s="44"/>
      <c r="RAP48" s="44"/>
      <c r="RAQ48" s="44"/>
      <c r="RAR48" s="44"/>
      <c r="RAS48" s="44"/>
      <c r="RAT48" s="44"/>
      <c r="RAU48" s="44"/>
      <c r="RAV48" s="44"/>
      <c r="RAW48" s="44"/>
      <c r="RAX48" s="44"/>
      <c r="RAY48" s="44"/>
      <c r="RAZ48" s="44"/>
      <c r="RBA48" s="44"/>
      <c r="RBB48" s="44"/>
      <c r="RBC48" s="44"/>
      <c r="RBD48" s="44"/>
      <c r="RBE48" s="44"/>
      <c r="RBF48" s="44"/>
      <c r="RBG48" s="44"/>
      <c r="RBH48" s="44"/>
      <c r="RBI48" s="44"/>
      <c r="RBJ48" s="44"/>
      <c r="RBK48" s="44"/>
      <c r="RBL48" s="44"/>
      <c r="RBM48" s="44"/>
      <c r="RBN48" s="44"/>
      <c r="RBO48" s="44"/>
      <c r="RBP48" s="44"/>
      <c r="RBQ48" s="44"/>
      <c r="RBR48" s="44"/>
      <c r="RBS48" s="44"/>
      <c r="RBT48" s="44"/>
      <c r="RBU48" s="44"/>
      <c r="RBV48" s="44"/>
      <c r="RBW48" s="44"/>
      <c r="RBX48" s="44"/>
      <c r="RBY48" s="44"/>
      <c r="RBZ48" s="44"/>
      <c r="RCA48" s="44"/>
      <c r="RCB48" s="44"/>
      <c r="RCC48" s="44"/>
      <c r="RCD48" s="44"/>
      <c r="RCE48" s="44"/>
      <c r="RCF48" s="44"/>
      <c r="RCG48" s="44"/>
      <c r="RCH48" s="44"/>
      <c r="RCI48" s="44"/>
      <c r="RCJ48" s="44"/>
      <c r="RCK48" s="44"/>
      <c r="RCL48" s="44"/>
      <c r="RCM48" s="44"/>
      <c r="RCN48" s="44"/>
      <c r="RCO48" s="44"/>
      <c r="RCP48" s="44"/>
      <c r="RCQ48" s="44"/>
      <c r="RCR48" s="44"/>
      <c r="RCS48" s="44"/>
      <c r="RCT48" s="44"/>
      <c r="RCU48" s="44"/>
      <c r="RCV48" s="44"/>
      <c r="RCW48" s="44"/>
      <c r="RCX48" s="44"/>
      <c r="RCY48" s="44"/>
      <c r="RCZ48" s="44"/>
      <c r="RDA48" s="44"/>
      <c r="RDB48" s="44"/>
      <c r="RDC48" s="44"/>
      <c r="RDD48" s="44"/>
      <c r="RDE48" s="44"/>
      <c r="RDF48" s="44"/>
      <c r="RDG48" s="44"/>
      <c r="RDH48" s="44"/>
      <c r="RDI48" s="44"/>
      <c r="RDJ48" s="44"/>
      <c r="RDK48" s="44"/>
      <c r="RDL48" s="44"/>
      <c r="RDM48" s="44"/>
      <c r="RDN48" s="44"/>
      <c r="RDO48" s="44"/>
      <c r="RDP48" s="44"/>
      <c r="RDQ48" s="44"/>
      <c r="RDR48" s="44"/>
      <c r="RDS48" s="44"/>
      <c r="RDT48" s="44"/>
      <c r="RDU48" s="44"/>
      <c r="RDV48" s="44"/>
      <c r="RDW48" s="44"/>
      <c r="RDX48" s="44"/>
      <c r="RDY48" s="44"/>
      <c r="RDZ48" s="44"/>
      <c r="REA48" s="44"/>
      <c r="REB48" s="44"/>
      <c r="REC48" s="44"/>
      <c r="RED48" s="44"/>
      <c r="REE48" s="44"/>
      <c r="REF48" s="44"/>
      <c r="REG48" s="44"/>
      <c r="REH48" s="44"/>
      <c r="REI48" s="44"/>
      <c r="REJ48" s="44"/>
      <c r="REK48" s="44"/>
      <c r="REL48" s="44"/>
      <c r="REM48" s="44"/>
      <c r="REN48" s="44"/>
      <c r="REO48" s="44"/>
      <c r="REP48" s="44"/>
      <c r="REQ48" s="44"/>
      <c r="RER48" s="44"/>
      <c r="RES48" s="44"/>
      <c r="RET48" s="44"/>
      <c r="REU48" s="44"/>
      <c r="REV48" s="44"/>
      <c r="REW48" s="44"/>
      <c r="REX48" s="44"/>
      <c r="REY48" s="44"/>
      <c r="REZ48" s="44"/>
      <c r="RFA48" s="44"/>
      <c r="RFB48" s="44"/>
      <c r="RFC48" s="44"/>
      <c r="RFD48" s="44"/>
      <c r="RFE48" s="44"/>
      <c r="RFF48" s="44"/>
      <c r="RFG48" s="44"/>
      <c r="RFH48" s="44"/>
      <c r="RFI48" s="44"/>
      <c r="RFJ48" s="44"/>
      <c r="RFK48" s="44"/>
      <c r="RFL48" s="44"/>
      <c r="RFM48" s="44"/>
      <c r="RFN48" s="44"/>
      <c r="RFO48" s="44"/>
      <c r="RFP48" s="44"/>
      <c r="RFQ48" s="44"/>
      <c r="RFR48" s="44"/>
      <c r="RFS48" s="44"/>
      <c r="RFT48" s="44"/>
      <c r="RFU48" s="44"/>
      <c r="RFV48" s="44"/>
      <c r="RFW48" s="44"/>
      <c r="RFX48" s="44"/>
      <c r="RFY48" s="44"/>
      <c r="RFZ48" s="44"/>
      <c r="RGA48" s="44"/>
      <c r="RGB48" s="44"/>
      <c r="RGC48" s="44"/>
      <c r="RGD48" s="44"/>
      <c r="RGE48" s="44"/>
      <c r="RGF48" s="44"/>
      <c r="RGG48" s="44"/>
      <c r="RGH48" s="44"/>
      <c r="RGI48" s="44"/>
      <c r="RGJ48" s="44"/>
      <c r="RGK48" s="44"/>
      <c r="RGL48" s="44"/>
      <c r="RGM48" s="44"/>
      <c r="RGN48" s="44"/>
      <c r="RGO48" s="44"/>
      <c r="RGP48" s="44"/>
      <c r="RGQ48" s="44"/>
      <c r="RGR48" s="44"/>
      <c r="RGS48" s="44"/>
      <c r="RGT48" s="44"/>
      <c r="RGU48" s="44"/>
      <c r="RGV48" s="44"/>
      <c r="RGW48" s="44"/>
      <c r="RGX48" s="44"/>
      <c r="RGY48" s="44"/>
      <c r="RGZ48" s="44"/>
      <c r="RHA48" s="44"/>
      <c r="RHB48" s="44"/>
      <c r="RHC48" s="44"/>
      <c r="RHD48" s="44"/>
      <c r="RHE48" s="44"/>
      <c r="RHF48" s="44"/>
      <c r="RHG48" s="44"/>
      <c r="RHH48" s="44"/>
      <c r="RHI48" s="44"/>
      <c r="RHJ48" s="44"/>
      <c r="RHK48" s="44"/>
      <c r="RHL48" s="44"/>
      <c r="RHM48" s="44"/>
      <c r="RHN48" s="44"/>
      <c r="RHO48" s="44"/>
      <c r="RHP48" s="44"/>
      <c r="RHQ48" s="44"/>
      <c r="RHR48" s="44"/>
      <c r="RHS48" s="44"/>
      <c r="RHT48" s="44"/>
      <c r="RHU48" s="44"/>
      <c r="RHV48" s="44"/>
      <c r="RHW48" s="44"/>
      <c r="RHX48" s="44"/>
      <c r="RHY48" s="44"/>
      <c r="RHZ48" s="44"/>
      <c r="RIA48" s="44"/>
      <c r="RIB48" s="44"/>
      <c r="RIC48" s="44"/>
      <c r="RID48" s="44"/>
      <c r="RIE48" s="44"/>
      <c r="RIF48" s="44"/>
      <c r="RIG48" s="44"/>
      <c r="RIH48" s="44"/>
      <c r="RII48" s="44"/>
      <c r="RIJ48" s="44"/>
      <c r="RIK48" s="44"/>
      <c r="RIL48" s="44"/>
      <c r="RIM48" s="44"/>
      <c r="RIN48" s="44"/>
      <c r="RIO48" s="44"/>
      <c r="RIP48" s="44"/>
      <c r="RIQ48" s="44"/>
      <c r="RIR48" s="44"/>
      <c r="RIS48" s="44"/>
      <c r="RIT48" s="44"/>
      <c r="RIU48" s="44"/>
      <c r="RIV48" s="44"/>
      <c r="RIW48" s="44"/>
      <c r="RIX48" s="44"/>
      <c r="RIY48" s="44"/>
      <c r="RIZ48" s="44"/>
      <c r="RJA48" s="44"/>
      <c r="RJB48" s="44"/>
      <c r="RJC48" s="44"/>
      <c r="RJD48" s="44"/>
      <c r="RJE48" s="44"/>
      <c r="RJF48" s="44"/>
      <c r="RJG48" s="44"/>
      <c r="RJH48" s="44"/>
      <c r="RJI48" s="44"/>
      <c r="RJJ48" s="44"/>
      <c r="RJK48" s="44"/>
      <c r="RJL48" s="44"/>
      <c r="RJM48" s="44"/>
      <c r="RJN48" s="44"/>
      <c r="RJO48" s="44"/>
      <c r="RJP48" s="44"/>
      <c r="RJQ48" s="44"/>
      <c r="RJR48" s="44"/>
      <c r="RJS48" s="44"/>
      <c r="RJT48" s="44"/>
      <c r="RJU48" s="44"/>
      <c r="RJV48" s="44"/>
      <c r="RJW48" s="44"/>
      <c r="RJX48" s="44"/>
      <c r="RJY48" s="44"/>
      <c r="RJZ48" s="44"/>
      <c r="RKA48" s="44"/>
      <c r="RKB48" s="44"/>
      <c r="RKC48" s="44"/>
      <c r="RKD48" s="44"/>
      <c r="RKE48" s="44"/>
      <c r="RKF48" s="44"/>
      <c r="RKG48" s="44"/>
      <c r="RKH48" s="44"/>
      <c r="RKI48" s="44"/>
      <c r="RKJ48" s="44"/>
      <c r="RKK48" s="44"/>
      <c r="RKL48" s="44"/>
      <c r="RKM48" s="44"/>
      <c r="RKN48" s="44"/>
      <c r="RKO48" s="44"/>
      <c r="RKP48" s="44"/>
      <c r="RKQ48" s="44"/>
      <c r="RKR48" s="44"/>
      <c r="RKS48" s="44"/>
      <c r="RKT48" s="44"/>
      <c r="RKU48" s="44"/>
      <c r="RKV48" s="44"/>
      <c r="RKW48" s="44"/>
      <c r="RKX48" s="44"/>
      <c r="RKY48" s="44"/>
      <c r="RKZ48" s="44"/>
      <c r="RLA48" s="44"/>
      <c r="RLB48" s="44"/>
      <c r="RLC48" s="44"/>
      <c r="RLD48" s="44"/>
      <c r="RLE48" s="44"/>
      <c r="RLF48" s="44"/>
      <c r="RLG48" s="44"/>
      <c r="RLH48" s="44"/>
      <c r="RLI48" s="44"/>
      <c r="RLJ48" s="44"/>
      <c r="RLK48" s="44"/>
      <c r="RLL48" s="44"/>
      <c r="RLM48" s="44"/>
      <c r="RLN48" s="44"/>
      <c r="RLO48" s="44"/>
      <c r="RLP48" s="44"/>
      <c r="RLQ48" s="44"/>
      <c r="RLR48" s="44"/>
      <c r="RLS48" s="44"/>
      <c r="RLT48" s="44"/>
      <c r="RLU48" s="44"/>
      <c r="RLV48" s="44"/>
      <c r="RLW48" s="44"/>
      <c r="RLX48" s="44"/>
      <c r="RLY48" s="44"/>
      <c r="RLZ48" s="44"/>
      <c r="RMA48" s="44"/>
      <c r="RMB48" s="44"/>
      <c r="RMC48" s="44"/>
      <c r="RMD48" s="44"/>
      <c r="RME48" s="44"/>
      <c r="RMF48" s="44"/>
      <c r="RMG48" s="44"/>
      <c r="RMH48" s="44"/>
      <c r="RMI48" s="44"/>
      <c r="RMJ48" s="44"/>
      <c r="RMK48" s="44"/>
      <c r="RML48" s="44"/>
      <c r="RMM48" s="44"/>
      <c r="RMN48" s="44"/>
      <c r="RMO48" s="44"/>
      <c r="RMP48" s="44"/>
      <c r="RMQ48" s="44"/>
      <c r="RMR48" s="44"/>
      <c r="RMS48" s="44"/>
      <c r="RMT48" s="44"/>
      <c r="RMU48" s="44"/>
      <c r="RMV48" s="44"/>
      <c r="RMW48" s="44"/>
      <c r="RMX48" s="44"/>
      <c r="RMY48" s="44"/>
      <c r="RMZ48" s="44"/>
      <c r="RNA48" s="44"/>
      <c r="RNB48" s="44"/>
      <c r="RNC48" s="44"/>
      <c r="RND48" s="44"/>
      <c r="RNE48" s="44"/>
      <c r="RNF48" s="44"/>
      <c r="RNG48" s="44"/>
      <c r="RNH48" s="44"/>
      <c r="RNI48" s="44"/>
      <c r="RNJ48" s="44"/>
      <c r="RNK48" s="44"/>
      <c r="RNL48" s="44"/>
      <c r="RNM48" s="44"/>
      <c r="RNN48" s="44"/>
      <c r="RNO48" s="44"/>
      <c r="RNP48" s="44"/>
      <c r="RNQ48" s="44"/>
      <c r="RNR48" s="44"/>
      <c r="RNS48" s="44"/>
      <c r="RNT48" s="44"/>
      <c r="RNU48" s="44"/>
      <c r="RNV48" s="44"/>
      <c r="RNW48" s="44"/>
      <c r="RNX48" s="44"/>
      <c r="RNY48" s="44"/>
      <c r="RNZ48" s="44"/>
      <c r="ROA48" s="44"/>
      <c r="ROB48" s="44"/>
      <c r="ROC48" s="44"/>
      <c r="ROD48" s="44"/>
      <c r="ROE48" s="44"/>
      <c r="ROF48" s="44"/>
      <c r="ROG48" s="44"/>
      <c r="ROH48" s="44"/>
      <c r="ROI48" s="44"/>
      <c r="ROJ48" s="44"/>
      <c r="ROK48" s="44"/>
      <c r="ROL48" s="44"/>
      <c r="ROM48" s="44"/>
      <c r="RON48" s="44"/>
      <c r="ROO48" s="44"/>
      <c r="ROP48" s="44"/>
      <c r="ROQ48" s="44"/>
      <c r="ROR48" s="44"/>
      <c r="ROS48" s="44"/>
      <c r="ROT48" s="44"/>
      <c r="ROU48" s="44"/>
      <c r="ROV48" s="44"/>
      <c r="ROW48" s="44"/>
      <c r="ROX48" s="44"/>
      <c r="ROY48" s="44"/>
      <c r="ROZ48" s="44"/>
      <c r="RPA48" s="44"/>
      <c r="RPB48" s="44"/>
      <c r="RPC48" s="44"/>
      <c r="RPD48" s="44"/>
      <c r="RPE48" s="44"/>
      <c r="RPF48" s="44"/>
      <c r="RPG48" s="44"/>
      <c r="RPH48" s="44"/>
      <c r="RPI48" s="44"/>
      <c r="RPJ48" s="44"/>
      <c r="RPK48" s="44"/>
      <c r="RPL48" s="44"/>
      <c r="RPM48" s="44"/>
      <c r="RPN48" s="44"/>
      <c r="RPO48" s="44"/>
      <c r="RPP48" s="44"/>
      <c r="RPQ48" s="44"/>
      <c r="RPR48" s="44"/>
      <c r="RPS48" s="44"/>
      <c r="RPT48" s="44"/>
      <c r="RPU48" s="44"/>
      <c r="RPV48" s="44"/>
      <c r="RPW48" s="44"/>
      <c r="RPX48" s="44"/>
      <c r="RPY48" s="44"/>
      <c r="RPZ48" s="44"/>
      <c r="RQA48" s="44"/>
      <c r="RQB48" s="44"/>
      <c r="RQC48" s="44"/>
      <c r="RQD48" s="44"/>
      <c r="RQE48" s="44"/>
      <c r="RQF48" s="44"/>
      <c r="RQG48" s="44"/>
      <c r="RQH48" s="44"/>
      <c r="RQI48" s="44"/>
      <c r="RQJ48" s="44"/>
      <c r="RQK48" s="44"/>
      <c r="RQL48" s="44"/>
      <c r="RQM48" s="44"/>
      <c r="RQN48" s="44"/>
      <c r="RQO48" s="44"/>
      <c r="RQP48" s="44"/>
      <c r="RQQ48" s="44"/>
      <c r="RQR48" s="44"/>
      <c r="RQS48" s="44"/>
      <c r="RQT48" s="44"/>
      <c r="RQU48" s="44"/>
      <c r="RQV48" s="44"/>
      <c r="RQW48" s="44"/>
      <c r="RQX48" s="44"/>
      <c r="RQY48" s="44"/>
      <c r="RQZ48" s="44"/>
      <c r="RRA48" s="44"/>
      <c r="RRB48" s="44"/>
      <c r="RRC48" s="44"/>
      <c r="RRD48" s="44"/>
      <c r="RRE48" s="44"/>
      <c r="RRF48" s="44"/>
      <c r="RRG48" s="44"/>
      <c r="RRH48" s="44"/>
      <c r="RRI48" s="44"/>
      <c r="RRJ48" s="44"/>
      <c r="RRK48" s="44"/>
      <c r="RRL48" s="44"/>
      <c r="RRM48" s="44"/>
      <c r="RRN48" s="44"/>
      <c r="RRO48" s="44"/>
      <c r="RRP48" s="44"/>
      <c r="RRQ48" s="44"/>
      <c r="RRR48" s="44"/>
      <c r="RRS48" s="44"/>
      <c r="RRT48" s="44"/>
      <c r="RRU48" s="44"/>
      <c r="RRV48" s="44"/>
      <c r="RRW48" s="44"/>
      <c r="RRX48" s="44"/>
      <c r="RRY48" s="44"/>
      <c r="RRZ48" s="44"/>
      <c r="RSA48" s="44"/>
      <c r="RSB48" s="44"/>
      <c r="RSC48" s="44"/>
      <c r="RSD48" s="44"/>
      <c r="RSE48" s="44"/>
      <c r="RSF48" s="44"/>
      <c r="RSG48" s="44"/>
      <c r="RSH48" s="44"/>
      <c r="RSI48" s="44"/>
      <c r="RSJ48" s="44"/>
      <c r="RSK48" s="44"/>
      <c r="RSL48" s="44"/>
      <c r="RSM48" s="44"/>
      <c r="RSN48" s="44"/>
      <c r="RSO48" s="44"/>
      <c r="RSP48" s="44"/>
      <c r="RSQ48" s="44"/>
      <c r="RSR48" s="44"/>
      <c r="RSS48" s="44"/>
      <c r="RST48" s="44"/>
      <c r="RSU48" s="44"/>
      <c r="RSV48" s="44"/>
      <c r="RSW48" s="44"/>
      <c r="RSX48" s="44"/>
      <c r="RSY48" s="44"/>
      <c r="RSZ48" s="44"/>
      <c r="RTA48" s="44"/>
      <c r="RTB48" s="44"/>
      <c r="RTC48" s="44"/>
      <c r="RTD48" s="44"/>
      <c r="RTE48" s="44"/>
      <c r="RTF48" s="44"/>
      <c r="RTG48" s="44"/>
      <c r="RTH48" s="44"/>
      <c r="RTI48" s="44"/>
      <c r="RTJ48" s="44"/>
      <c r="RTK48" s="44"/>
      <c r="RTL48" s="44"/>
      <c r="RTM48" s="44"/>
      <c r="RTN48" s="44"/>
      <c r="RTO48" s="44"/>
      <c r="RTP48" s="44"/>
      <c r="RTQ48" s="44"/>
      <c r="RTR48" s="44"/>
      <c r="RTS48" s="44"/>
      <c r="RTT48" s="44"/>
      <c r="RTU48" s="44"/>
      <c r="RTV48" s="44"/>
      <c r="RTW48" s="44"/>
      <c r="RTX48" s="44"/>
      <c r="RTY48" s="44"/>
      <c r="RTZ48" s="44"/>
      <c r="RUA48" s="44"/>
      <c r="RUB48" s="44"/>
      <c r="RUC48" s="44"/>
      <c r="RUD48" s="44"/>
      <c r="RUE48" s="44"/>
      <c r="RUF48" s="44"/>
      <c r="RUG48" s="44"/>
      <c r="RUH48" s="44"/>
      <c r="RUI48" s="44"/>
      <c r="RUJ48" s="44"/>
      <c r="RUK48" s="44"/>
      <c r="RUL48" s="44"/>
      <c r="RUM48" s="44"/>
      <c r="RUN48" s="44"/>
      <c r="RUO48" s="44"/>
      <c r="RUP48" s="44"/>
      <c r="RUQ48" s="44"/>
      <c r="RUR48" s="44"/>
      <c r="RUS48" s="44"/>
      <c r="RUT48" s="44"/>
      <c r="RUU48" s="44"/>
      <c r="RUV48" s="44"/>
      <c r="RUW48" s="44"/>
      <c r="RUX48" s="44"/>
      <c r="RUY48" s="44"/>
      <c r="RUZ48" s="44"/>
      <c r="RVA48" s="44"/>
      <c r="RVB48" s="44"/>
      <c r="RVC48" s="44"/>
      <c r="RVD48" s="44"/>
      <c r="RVE48" s="44"/>
      <c r="RVF48" s="44"/>
      <c r="RVG48" s="44"/>
      <c r="RVH48" s="44"/>
      <c r="RVI48" s="44"/>
      <c r="RVJ48" s="44"/>
      <c r="RVK48" s="44"/>
      <c r="RVL48" s="44"/>
      <c r="RVM48" s="44"/>
      <c r="RVN48" s="44"/>
      <c r="RVO48" s="44"/>
      <c r="RVP48" s="44"/>
      <c r="RVQ48" s="44"/>
      <c r="RVR48" s="44"/>
      <c r="RVS48" s="44"/>
      <c r="RVT48" s="44"/>
      <c r="RVU48" s="44"/>
      <c r="RVV48" s="44"/>
      <c r="RVW48" s="44"/>
      <c r="RVX48" s="44"/>
      <c r="RVY48" s="44"/>
      <c r="RVZ48" s="44"/>
      <c r="RWA48" s="44"/>
      <c r="RWB48" s="44"/>
      <c r="RWC48" s="44"/>
      <c r="RWD48" s="44"/>
      <c r="RWE48" s="44"/>
      <c r="RWF48" s="44"/>
      <c r="RWG48" s="44"/>
      <c r="RWH48" s="44"/>
      <c r="RWI48" s="44"/>
      <c r="RWJ48" s="44"/>
      <c r="RWK48" s="44"/>
      <c r="RWL48" s="44"/>
      <c r="RWM48" s="44"/>
      <c r="RWN48" s="44"/>
      <c r="RWO48" s="44"/>
      <c r="RWP48" s="44"/>
      <c r="RWQ48" s="44"/>
      <c r="RWR48" s="44"/>
      <c r="RWS48" s="44"/>
      <c r="RWT48" s="44"/>
      <c r="RWU48" s="44"/>
      <c r="RWV48" s="44"/>
      <c r="RWW48" s="44"/>
      <c r="RWX48" s="44"/>
      <c r="RWY48" s="44"/>
      <c r="RWZ48" s="44"/>
      <c r="RXA48" s="44"/>
      <c r="RXB48" s="44"/>
      <c r="RXC48" s="44"/>
      <c r="RXD48" s="44"/>
      <c r="RXE48" s="44"/>
      <c r="RXF48" s="44"/>
      <c r="RXG48" s="44"/>
      <c r="RXH48" s="44"/>
      <c r="RXI48" s="44"/>
      <c r="RXJ48" s="44"/>
      <c r="RXK48" s="44"/>
      <c r="RXL48" s="44"/>
      <c r="RXM48" s="44"/>
      <c r="RXN48" s="44"/>
      <c r="RXO48" s="44"/>
      <c r="RXP48" s="44"/>
      <c r="RXQ48" s="44"/>
      <c r="RXR48" s="44"/>
      <c r="RXS48" s="44"/>
      <c r="RXT48" s="44"/>
      <c r="RXU48" s="44"/>
      <c r="RXV48" s="44"/>
      <c r="RXW48" s="44"/>
      <c r="RXX48" s="44"/>
      <c r="RXY48" s="44"/>
      <c r="RXZ48" s="44"/>
      <c r="RYA48" s="44"/>
      <c r="RYB48" s="44"/>
      <c r="RYC48" s="44"/>
      <c r="RYD48" s="44"/>
      <c r="RYE48" s="44"/>
      <c r="RYF48" s="44"/>
      <c r="RYG48" s="44"/>
      <c r="RYH48" s="44"/>
      <c r="RYI48" s="44"/>
      <c r="RYJ48" s="44"/>
      <c r="RYK48" s="44"/>
      <c r="RYL48" s="44"/>
      <c r="RYM48" s="44"/>
      <c r="RYN48" s="44"/>
      <c r="RYO48" s="44"/>
      <c r="RYP48" s="44"/>
      <c r="RYQ48" s="44"/>
      <c r="RYR48" s="44"/>
      <c r="RYS48" s="44"/>
      <c r="RYT48" s="44"/>
      <c r="RYU48" s="44"/>
      <c r="RYV48" s="44"/>
      <c r="RYW48" s="44"/>
      <c r="RYX48" s="44"/>
      <c r="RYY48" s="44"/>
      <c r="RYZ48" s="44"/>
      <c r="RZA48" s="44"/>
      <c r="RZB48" s="44"/>
      <c r="RZC48" s="44"/>
      <c r="RZD48" s="44"/>
      <c r="RZE48" s="44"/>
      <c r="RZF48" s="44"/>
      <c r="RZG48" s="44"/>
      <c r="RZH48" s="44"/>
      <c r="RZI48" s="44"/>
      <c r="RZJ48" s="44"/>
      <c r="RZK48" s="44"/>
      <c r="RZL48" s="44"/>
      <c r="RZM48" s="44"/>
      <c r="RZN48" s="44"/>
      <c r="RZO48" s="44"/>
      <c r="RZP48" s="44"/>
      <c r="RZQ48" s="44"/>
      <c r="RZR48" s="44"/>
      <c r="RZS48" s="44"/>
      <c r="RZT48" s="44"/>
      <c r="RZU48" s="44"/>
      <c r="RZV48" s="44"/>
      <c r="RZW48" s="44"/>
      <c r="RZX48" s="44"/>
      <c r="RZY48" s="44"/>
      <c r="RZZ48" s="44"/>
      <c r="SAA48" s="44"/>
      <c r="SAB48" s="44"/>
      <c r="SAC48" s="44"/>
      <c r="SAD48" s="44"/>
      <c r="SAE48" s="44"/>
      <c r="SAF48" s="44"/>
      <c r="SAG48" s="44"/>
      <c r="SAH48" s="44"/>
      <c r="SAI48" s="44"/>
      <c r="SAJ48" s="44"/>
      <c r="SAK48" s="44"/>
      <c r="SAL48" s="44"/>
      <c r="SAM48" s="44"/>
      <c r="SAN48" s="44"/>
      <c r="SAO48" s="44"/>
      <c r="SAP48" s="44"/>
      <c r="SAQ48" s="44"/>
      <c r="SAR48" s="44"/>
      <c r="SAS48" s="44"/>
      <c r="SAT48" s="44"/>
      <c r="SAU48" s="44"/>
      <c r="SAV48" s="44"/>
      <c r="SAW48" s="44"/>
      <c r="SAX48" s="44"/>
      <c r="SAY48" s="44"/>
      <c r="SAZ48" s="44"/>
      <c r="SBA48" s="44"/>
      <c r="SBB48" s="44"/>
      <c r="SBC48" s="44"/>
      <c r="SBD48" s="44"/>
      <c r="SBE48" s="44"/>
      <c r="SBF48" s="44"/>
      <c r="SBG48" s="44"/>
      <c r="SBH48" s="44"/>
      <c r="SBI48" s="44"/>
      <c r="SBJ48" s="44"/>
      <c r="SBK48" s="44"/>
      <c r="SBL48" s="44"/>
      <c r="SBM48" s="44"/>
      <c r="SBN48" s="44"/>
      <c r="SBO48" s="44"/>
      <c r="SBP48" s="44"/>
      <c r="SBQ48" s="44"/>
      <c r="SBR48" s="44"/>
      <c r="SBS48" s="44"/>
      <c r="SBT48" s="44"/>
      <c r="SBU48" s="44"/>
      <c r="SBV48" s="44"/>
      <c r="SBW48" s="44"/>
      <c r="SBX48" s="44"/>
      <c r="SBY48" s="44"/>
      <c r="SBZ48" s="44"/>
      <c r="SCA48" s="44"/>
      <c r="SCB48" s="44"/>
      <c r="SCC48" s="44"/>
      <c r="SCD48" s="44"/>
      <c r="SCE48" s="44"/>
      <c r="SCF48" s="44"/>
      <c r="SCG48" s="44"/>
      <c r="SCH48" s="44"/>
      <c r="SCI48" s="44"/>
      <c r="SCJ48" s="44"/>
      <c r="SCK48" s="44"/>
      <c r="SCL48" s="44"/>
      <c r="SCM48" s="44"/>
      <c r="SCN48" s="44"/>
      <c r="SCO48" s="44"/>
      <c r="SCP48" s="44"/>
      <c r="SCQ48" s="44"/>
      <c r="SCR48" s="44"/>
      <c r="SCS48" s="44"/>
      <c r="SCT48" s="44"/>
      <c r="SCU48" s="44"/>
      <c r="SCV48" s="44"/>
      <c r="SCW48" s="44"/>
      <c r="SCX48" s="44"/>
      <c r="SCY48" s="44"/>
      <c r="SCZ48" s="44"/>
      <c r="SDA48" s="44"/>
      <c r="SDB48" s="44"/>
      <c r="SDC48" s="44"/>
      <c r="SDD48" s="44"/>
      <c r="SDE48" s="44"/>
      <c r="SDF48" s="44"/>
      <c r="SDG48" s="44"/>
      <c r="SDH48" s="44"/>
      <c r="SDI48" s="44"/>
      <c r="SDJ48" s="44"/>
      <c r="SDK48" s="44"/>
      <c r="SDL48" s="44"/>
      <c r="SDM48" s="44"/>
      <c r="SDN48" s="44"/>
      <c r="SDO48" s="44"/>
      <c r="SDP48" s="44"/>
      <c r="SDQ48" s="44"/>
      <c r="SDR48" s="44"/>
      <c r="SDS48" s="44"/>
      <c r="SDT48" s="44"/>
      <c r="SDU48" s="44"/>
      <c r="SDV48" s="44"/>
      <c r="SDW48" s="44"/>
      <c r="SDX48" s="44"/>
      <c r="SDY48" s="44"/>
      <c r="SDZ48" s="44"/>
      <c r="SEA48" s="44"/>
      <c r="SEB48" s="44"/>
      <c r="SEC48" s="44"/>
      <c r="SED48" s="44"/>
      <c r="SEE48" s="44"/>
      <c r="SEF48" s="44"/>
      <c r="SEG48" s="44"/>
      <c r="SEH48" s="44"/>
      <c r="SEI48" s="44"/>
      <c r="SEJ48" s="44"/>
      <c r="SEK48" s="44"/>
      <c r="SEL48" s="44"/>
      <c r="SEM48" s="44"/>
      <c r="SEN48" s="44"/>
      <c r="SEO48" s="44"/>
      <c r="SEP48" s="44"/>
      <c r="SEQ48" s="44"/>
      <c r="SER48" s="44"/>
      <c r="SES48" s="44"/>
      <c r="SET48" s="44"/>
      <c r="SEU48" s="44"/>
      <c r="SEV48" s="44"/>
      <c r="SEW48" s="44"/>
      <c r="SEX48" s="44"/>
      <c r="SEY48" s="44"/>
      <c r="SEZ48" s="44"/>
      <c r="SFA48" s="44"/>
      <c r="SFB48" s="44"/>
      <c r="SFC48" s="44"/>
      <c r="SFD48" s="44"/>
      <c r="SFE48" s="44"/>
      <c r="SFF48" s="44"/>
      <c r="SFG48" s="44"/>
      <c r="SFH48" s="44"/>
      <c r="SFI48" s="44"/>
      <c r="SFJ48" s="44"/>
      <c r="SFK48" s="44"/>
      <c r="SFL48" s="44"/>
      <c r="SFM48" s="44"/>
      <c r="SFN48" s="44"/>
      <c r="SFO48" s="44"/>
      <c r="SFP48" s="44"/>
      <c r="SFQ48" s="44"/>
      <c r="SFR48" s="44"/>
      <c r="SFS48" s="44"/>
      <c r="SFT48" s="44"/>
      <c r="SFU48" s="44"/>
      <c r="SFV48" s="44"/>
      <c r="SFW48" s="44"/>
      <c r="SFX48" s="44"/>
      <c r="SFY48" s="44"/>
      <c r="SFZ48" s="44"/>
      <c r="SGA48" s="44"/>
      <c r="SGB48" s="44"/>
      <c r="SGC48" s="44"/>
      <c r="SGD48" s="44"/>
      <c r="SGE48" s="44"/>
      <c r="SGF48" s="44"/>
      <c r="SGG48" s="44"/>
      <c r="SGH48" s="44"/>
      <c r="SGI48" s="44"/>
      <c r="SGJ48" s="44"/>
      <c r="SGK48" s="44"/>
      <c r="SGL48" s="44"/>
      <c r="SGM48" s="44"/>
      <c r="SGN48" s="44"/>
      <c r="SGO48" s="44"/>
      <c r="SGP48" s="44"/>
      <c r="SGQ48" s="44"/>
      <c r="SGR48" s="44"/>
      <c r="SGS48" s="44"/>
      <c r="SGT48" s="44"/>
      <c r="SGU48" s="44"/>
      <c r="SGV48" s="44"/>
      <c r="SGW48" s="44"/>
      <c r="SGX48" s="44"/>
      <c r="SGY48" s="44"/>
      <c r="SGZ48" s="44"/>
      <c r="SHA48" s="44"/>
      <c r="SHB48" s="44"/>
      <c r="SHC48" s="44"/>
      <c r="SHD48" s="44"/>
      <c r="SHE48" s="44"/>
      <c r="SHF48" s="44"/>
      <c r="SHG48" s="44"/>
      <c r="SHH48" s="44"/>
      <c r="SHI48" s="44"/>
      <c r="SHJ48" s="44"/>
      <c r="SHK48" s="44"/>
      <c r="SHL48" s="44"/>
      <c r="SHM48" s="44"/>
      <c r="SHN48" s="44"/>
      <c r="SHO48" s="44"/>
      <c r="SHP48" s="44"/>
      <c r="SHQ48" s="44"/>
      <c r="SHR48" s="44"/>
      <c r="SHS48" s="44"/>
      <c r="SHT48" s="44"/>
      <c r="SHU48" s="44"/>
      <c r="SHV48" s="44"/>
      <c r="SHW48" s="44"/>
      <c r="SHX48" s="44"/>
      <c r="SHY48" s="44"/>
      <c r="SHZ48" s="44"/>
      <c r="SIA48" s="44"/>
      <c r="SIB48" s="44"/>
      <c r="SIC48" s="44"/>
      <c r="SID48" s="44"/>
      <c r="SIE48" s="44"/>
      <c r="SIF48" s="44"/>
      <c r="SIG48" s="44"/>
      <c r="SIH48" s="44"/>
      <c r="SII48" s="44"/>
      <c r="SIJ48" s="44"/>
      <c r="SIK48" s="44"/>
      <c r="SIL48" s="44"/>
      <c r="SIM48" s="44"/>
      <c r="SIN48" s="44"/>
      <c r="SIO48" s="44"/>
      <c r="SIP48" s="44"/>
      <c r="SIQ48" s="44"/>
      <c r="SIR48" s="44"/>
      <c r="SIS48" s="44"/>
      <c r="SIT48" s="44"/>
      <c r="SIU48" s="44"/>
      <c r="SIV48" s="44"/>
      <c r="SIW48" s="44"/>
      <c r="SIX48" s="44"/>
      <c r="SIY48" s="44"/>
      <c r="SIZ48" s="44"/>
      <c r="SJA48" s="44"/>
      <c r="SJB48" s="44"/>
      <c r="SJC48" s="44"/>
      <c r="SJD48" s="44"/>
      <c r="SJE48" s="44"/>
      <c r="SJF48" s="44"/>
      <c r="SJG48" s="44"/>
      <c r="SJH48" s="44"/>
      <c r="SJI48" s="44"/>
      <c r="SJJ48" s="44"/>
      <c r="SJK48" s="44"/>
      <c r="SJL48" s="44"/>
      <c r="SJM48" s="44"/>
      <c r="SJN48" s="44"/>
      <c r="SJO48" s="44"/>
      <c r="SJP48" s="44"/>
      <c r="SJQ48" s="44"/>
      <c r="SJR48" s="44"/>
      <c r="SJS48" s="44"/>
      <c r="SJT48" s="44"/>
      <c r="SJU48" s="44"/>
      <c r="SJV48" s="44"/>
      <c r="SJW48" s="44"/>
      <c r="SJX48" s="44"/>
      <c r="SJY48" s="44"/>
      <c r="SJZ48" s="44"/>
      <c r="SKA48" s="44"/>
      <c r="SKB48" s="44"/>
      <c r="SKC48" s="44"/>
      <c r="SKD48" s="44"/>
      <c r="SKE48" s="44"/>
      <c r="SKF48" s="44"/>
      <c r="SKG48" s="44"/>
      <c r="SKH48" s="44"/>
      <c r="SKI48" s="44"/>
      <c r="SKJ48" s="44"/>
      <c r="SKK48" s="44"/>
      <c r="SKL48" s="44"/>
      <c r="SKM48" s="44"/>
      <c r="SKN48" s="44"/>
      <c r="SKO48" s="44"/>
      <c r="SKP48" s="44"/>
      <c r="SKQ48" s="44"/>
      <c r="SKR48" s="44"/>
      <c r="SKS48" s="44"/>
      <c r="SKT48" s="44"/>
      <c r="SKU48" s="44"/>
      <c r="SKV48" s="44"/>
      <c r="SKW48" s="44"/>
      <c r="SKX48" s="44"/>
      <c r="SKY48" s="44"/>
      <c r="SKZ48" s="44"/>
      <c r="SLA48" s="44"/>
      <c r="SLB48" s="44"/>
      <c r="SLC48" s="44"/>
      <c r="SLD48" s="44"/>
      <c r="SLE48" s="44"/>
      <c r="SLF48" s="44"/>
      <c r="SLG48" s="44"/>
      <c r="SLH48" s="44"/>
      <c r="SLI48" s="44"/>
      <c r="SLJ48" s="44"/>
      <c r="SLK48" s="44"/>
      <c r="SLL48" s="44"/>
      <c r="SLM48" s="44"/>
      <c r="SLN48" s="44"/>
      <c r="SLO48" s="44"/>
      <c r="SLP48" s="44"/>
      <c r="SLQ48" s="44"/>
      <c r="SLR48" s="44"/>
      <c r="SLS48" s="44"/>
      <c r="SLT48" s="44"/>
      <c r="SLU48" s="44"/>
      <c r="SLV48" s="44"/>
      <c r="SLW48" s="44"/>
      <c r="SLX48" s="44"/>
      <c r="SLY48" s="44"/>
      <c r="SLZ48" s="44"/>
      <c r="SMA48" s="44"/>
      <c r="SMB48" s="44"/>
      <c r="SMC48" s="44"/>
      <c r="SMD48" s="44"/>
      <c r="SME48" s="44"/>
      <c r="SMF48" s="44"/>
      <c r="SMG48" s="44"/>
      <c r="SMH48" s="44"/>
      <c r="SMI48" s="44"/>
      <c r="SMJ48" s="44"/>
      <c r="SMK48" s="44"/>
      <c r="SML48" s="44"/>
      <c r="SMM48" s="44"/>
      <c r="SMN48" s="44"/>
      <c r="SMO48" s="44"/>
      <c r="SMP48" s="44"/>
      <c r="SMQ48" s="44"/>
      <c r="SMR48" s="44"/>
      <c r="SMS48" s="44"/>
      <c r="SMT48" s="44"/>
      <c r="SMU48" s="44"/>
      <c r="SMV48" s="44"/>
      <c r="SMW48" s="44"/>
      <c r="SMX48" s="44"/>
      <c r="SMY48" s="44"/>
      <c r="SMZ48" s="44"/>
      <c r="SNA48" s="44"/>
      <c r="SNB48" s="44"/>
      <c r="SNC48" s="44"/>
      <c r="SND48" s="44"/>
      <c r="SNE48" s="44"/>
      <c r="SNF48" s="44"/>
      <c r="SNG48" s="44"/>
      <c r="SNH48" s="44"/>
      <c r="SNI48" s="44"/>
      <c r="SNJ48" s="44"/>
      <c r="SNK48" s="44"/>
      <c r="SNL48" s="44"/>
      <c r="SNM48" s="44"/>
      <c r="SNN48" s="44"/>
      <c r="SNO48" s="44"/>
      <c r="SNP48" s="44"/>
      <c r="SNQ48" s="44"/>
      <c r="SNR48" s="44"/>
      <c r="SNS48" s="44"/>
      <c r="SNT48" s="44"/>
      <c r="SNU48" s="44"/>
      <c r="SNV48" s="44"/>
      <c r="SNW48" s="44"/>
      <c r="SNX48" s="44"/>
      <c r="SNY48" s="44"/>
      <c r="SNZ48" s="44"/>
      <c r="SOA48" s="44"/>
      <c r="SOB48" s="44"/>
      <c r="SOC48" s="44"/>
      <c r="SOD48" s="44"/>
      <c r="SOE48" s="44"/>
      <c r="SOF48" s="44"/>
      <c r="SOG48" s="44"/>
      <c r="SOH48" s="44"/>
      <c r="SOI48" s="44"/>
      <c r="SOJ48" s="44"/>
      <c r="SOK48" s="44"/>
      <c r="SOL48" s="44"/>
      <c r="SOM48" s="44"/>
      <c r="SON48" s="44"/>
      <c r="SOO48" s="44"/>
      <c r="SOP48" s="44"/>
      <c r="SOQ48" s="44"/>
      <c r="SOR48" s="44"/>
      <c r="SOS48" s="44"/>
      <c r="SOT48" s="44"/>
      <c r="SOU48" s="44"/>
      <c r="SOV48" s="44"/>
      <c r="SOW48" s="44"/>
      <c r="SOX48" s="44"/>
      <c r="SOY48" s="44"/>
      <c r="SOZ48" s="44"/>
      <c r="SPA48" s="44"/>
      <c r="SPB48" s="44"/>
      <c r="SPC48" s="44"/>
      <c r="SPD48" s="44"/>
      <c r="SPE48" s="44"/>
      <c r="SPF48" s="44"/>
      <c r="SPG48" s="44"/>
      <c r="SPH48" s="44"/>
      <c r="SPI48" s="44"/>
      <c r="SPJ48" s="44"/>
      <c r="SPK48" s="44"/>
      <c r="SPL48" s="44"/>
      <c r="SPM48" s="44"/>
      <c r="SPN48" s="44"/>
      <c r="SPO48" s="44"/>
      <c r="SPP48" s="44"/>
      <c r="SPQ48" s="44"/>
      <c r="SPR48" s="44"/>
      <c r="SPS48" s="44"/>
      <c r="SPT48" s="44"/>
      <c r="SPU48" s="44"/>
      <c r="SPV48" s="44"/>
      <c r="SPW48" s="44"/>
      <c r="SPX48" s="44"/>
      <c r="SPY48" s="44"/>
      <c r="SPZ48" s="44"/>
      <c r="SQA48" s="44"/>
      <c r="SQB48" s="44"/>
      <c r="SQC48" s="44"/>
      <c r="SQD48" s="44"/>
      <c r="SQE48" s="44"/>
      <c r="SQF48" s="44"/>
      <c r="SQG48" s="44"/>
      <c r="SQH48" s="44"/>
      <c r="SQI48" s="44"/>
      <c r="SQJ48" s="44"/>
      <c r="SQK48" s="44"/>
      <c r="SQL48" s="44"/>
      <c r="SQM48" s="44"/>
      <c r="SQN48" s="44"/>
      <c r="SQO48" s="44"/>
      <c r="SQP48" s="44"/>
      <c r="SQQ48" s="44"/>
      <c r="SQR48" s="44"/>
      <c r="SQS48" s="44"/>
      <c r="SQT48" s="44"/>
      <c r="SQU48" s="44"/>
      <c r="SQV48" s="44"/>
      <c r="SQW48" s="44"/>
      <c r="SQX48" s="44"/>
      <c r="SQY48" s="44"/>
      <c r="SQZ48" s="44"/>
      <c r="SRA48" s="44"/>
      <c r="SRB48" s="44"/>
      <c r="SRC48" s="44"/>
      <c r="SRD48" s="44"/>
      <c r="SRE48" s="44"/>
      <c r="SRF48" s="44"/>
      <c r="SRG48" s="44"/>
      <c r="SRH48" s="44"/>
      <c r="SRI48" s="44"/>
      <c r="SRJ48" s="44"/>
      <c r="SRK48" s="44"/>
      <c r="SRL48" s="44"/>
      <c r="SRM48" s="44"/>
      <c r="SRN48" s="44"/>
      <c r="SRO48" s="44"/>
      <c r="SRP48" s="44"/>
      <c r="SRQ48" s="44"/>
      <c r="SRR48" s="44"/>
      <c r="SRS48" s="44"/>
      <c r="SRT48" s="44"/>
      <c r="SRU48" s="44"/>
      <c r="SRV48" s="44"/>
      <c r="SRW48" s="44"/>
      <c r="SRX48" s="44"/>
      <c r="SRY48" s="44"/>
      <c r="SRZ48" s="44"/>
      <c r="SSA48" s="44"/>
      <c r="SSB48" s="44"/>
      <c r="SSC48" s="44"/>
      <c r="SSD48" s="44"/>
      <c r="SSE48" s="44"/>
      <c r="SSF48" s="44"/>
      <c r="SSG48" s="44"/>
      <c r="SSH48" s="44"/>
      <c r="SSI48" s="44"/>
      <c r="SSJ48" s="44"/>
      <c r="SSK48" s="44"/>
      <c r="SSL48" s="44"/>
      <c r="SSM48" s="44"/>
      <c r="SSN48" s="44"/>
      <c r="SSO48" s="44"/>
      <c r="SSP48" s="44"/>
      <c r="SSQ48" s="44"/>
      <c r="SSR48" s="44"/>
      <c r="SSS48" s="44"/>
      <c r="SST48" s="44"/>
      <c r="SSU48" s="44"/>
      <c r="SSV48" s="44"/>
      <c r="SSW48" s="44"/>
      <c r="SSX48" s="44"/>
      <c r="SSY48" s="44"/>
      <c r="SSZ48" s="44"/>
      <c r="STA48" s="44"/>
      <c r="STB48" s="44"/>
      <c r="STC48" s="44"/>
      <c r="STD48" s="44"/>
      <c r="STE48" s="44"/>
      <c r="STF48" s="44"/>
      <c r="STG48" s="44"/>
      <c r="STH48" s="44"/>
      <c r="STI48" s="44"/>
      <c r="STJ48" s="44"/>
      <c r="STK48" s="44"/>
      <c r="STL48" s="44"/>
      <c r="STM48" s="44"/>
      <c r="STN48" s="44"/>
      <c r="STO48" s="44"/>
      <c r="STP48" s="44"/>
      <c r="STQ48" s="44"/>
      <c r="STR48" s="44"/>
      <c r="STS48" s="44"/>
      <c r="STT48" s="44"/>
      <c r="STU48" s="44"/>
      <c r="STV48" s="44"/>
      <c r="STW48" s="44"/>
      <c r="STX48" s="44"/>
      <c r="STY48" s="44"/>
      <c r="STZ48" s="44"/>
      <c r="SUA48" s="44"/>
      <c r="SUB48" s="44"/>
      <c r="SUC48" s="44"/>
      <c r="SUD48" s="44"/>
      <c r="SUE48" s="44"/>
      <c r="SUF48" s="44"/>
      <c r="SUG48" s="44"/>
      <c r="SUH48" s="44"/>
      <c r="SUI48" s="44"/>
      <c r="SUJ48" s="44"/>
      <c r="SUK48" s="44"/>
      <c r="SUL48" s="44"/>
      <c r="SUM48" s="44"/>
      <c r="SUN48" s="44"/>
      <c r="SUO48" s="44"/>
      <c r="SUP48" s="44"/>
      <c r="SUQ48" s="44"/>
      <c r="SUR48" s="44"/>
      <c r="SUS48" s="44"/>
      <c r="SUT48" s="44"/>
      <c r="SUU48" s="44"/>
      <c r="SUV48" s="44"/>
      <c r="SUW48" s="44"/>
      <c r="SUX48" s="44"/>
      <c r="SUY48" s="44"/>
      <c r="SUZ48" s="44"/>
      <c r="SVA48" s="44"/>
      <c r="SVB48" s="44"/>
      <c r="SVC48" s="44"/>
      <c r="SVD48" s="44"/>
      <c r="SVE48" s="44"/>
      <c r="SVF48" s="44"/>
      <c r="SVG48" s="44"/>
      <c r="SVH48" s="44"/>
      <c r="SVI48" s="44"/>
      <c r="SVJ48" s="44"/>
      <c r="SVK48" s="44"/>
      <c r="SVL48" s="44"/>
      <c r="SVM48" s="44"/>
      <c r="SVN48" s="44"/>
      <c r="SVO48" s="44"/>
      <c r="SVP48" s="44"/>
      <c r="SVQ48" s="44"/>
      <c r="SVR48" s="44"/>
      <c r="SVS48" s="44"/>
      <c r="SVT48" s="44"/>
      <c r="SVU48" s="44"/>
      <c r="SVV48" s="44"/>
      <c r="SVW48" s="44"/>
      <c r="SVX48" s="44"/>
      <c r="SVY48" s="44"/>
      <c r="SVZ48" s="44"/>
      <c r="SWA48" s="44"/>
      <c r="SWB48" s="44"/>
      <c r="SWC48" s="44"/>
      <c r="SWD48" s="44"/>
      <c r="SWE48" s="44"/>
      <c r="SWF48" s="44"/>
      <c r="SWG48" s="44"/>
      <c r="SWH48" s="44"/>
      <c r="SWI48" s="44"/>
      <c r="SWJ48" s="44"/>
      <c r="SWK48" s="44"/>
      <c r="SWL48" s="44"/>
      <c r="SWM48" s="44"/>
      <c r="SWN48" s="44"/>
      <c r="SWO48" s="44"/>
      <c r="SWP48" s="44"/>
      <c r="SWQ48" s="44"/>
      <c r="SWR48" s="44"/>
      <c r="SWS48" s="44"/>
      <c r="SWT48" s="44"/>
      <c r="SWU48" s="44"/>
      <c r="SWV48" s="44"/>
      <c r="SWW48" s="44"/>
      <c r="SWX48" s="44"/>
      <c r="SWY48" s="44"/>
      <c r="SWZ48" s="44"/>
      <c r="SXA48" s="44"/>
      <c r="SXB48" s="44"/>
      <c r="SXC48" s="44"/>
      <c r="SXD48" s="44"/>
      <c r="SXE48" s="44"/>
      <c r="SXF48" s="44"/>
      <c r="SXG48" s="44"/>
      <c r="SXH48" s="44"/>
      <c r="SXI48" s="44"/>
      <c r="SXJ48" s="44"/>
      <c r="SXK48" s="44"/>
      <c r="SXL48" s="44"/>
      <c r="SXM48" s="44"/>
      <c r="SXN48" s="44"/>
      <c r="SXO48" s="44"/>
      <c r="SXP48" s="44"/>
      <c r="SXQ48" s="44"/>
      <c r="SXR48" s="44"/>
      <c r="SXS48" s="44"/>
      <c r="SXT48" s="44"/>
      <c r="SXU48" s="44"/>
      <c r="SXV48" s="44"/>
      <c r="SXW48" s="44"/>
      <c r="SXX48" s="44"/>
      <c r="SXY48" s="44"/>
      <c r="SXZ48" s="44"/>
      <c r="SYA48" s="44"/>
      <c r="SYB48" s="44"/>
      <c r="SYC48" s="44"/>
      <c r="SYD48" s="44"/>
      <c r="SYE48" s="44"/>
      <c r="SYF48" s="44"/>
      <c r="SYG48" s="44"/>
      <c r="SYH48" s="44"/>
      <c r="SYI48" s="44"/>
      <c r="SYJ48" s="44"/>
      <c r="SYK48" s="44"/>
      <c r="SYL48" s="44"/>
      <c r="SYM48" s="44"/>
      <c r="SYN48" s="44"/>
      <c r="SYO48" s="44"/>
      <c r="SYP48" s="44"/>
      <c r="SYQ48" s="44"/>
      <c r="SYR48" s="44"/>
      <c r="SYS48" s="44"/>
      <c r="SYT48" s="44"/>
      <c r="SYU48" s="44"/>
      <c r="SYV48" s="44"/>
      <c r="SYW48" s="44"/>
      <c r="SYX48" s="44"/>
      <c r="SYY48" s="44"/>
      <c r="SYZ48" s="44"/>
      <c r="SZA48" s="44"/>
      <c r="SZB48" s="44"/>
      <c r="SZC48" s="44"/>
      <c r="SZD48" s="44"/>
      <c r="SZE48" s="44"/>
      <c r="SZF48" s="44"/>
      <c r="SZG48" s="44"/>
      <c r="SZH48" s="44"/>
      <c r="SZI48" s="44"/>
      <c r="SZJ48" s="44"/>
      <c r="SZK48" s="44"/>
      <c r="SZL48" s="44"/>
      <c r="SZM48" s="44"/>
      <c r="SZN48" s="44"/>
      <c r="SZO48" s="44"/>
      <c r="SZP48" s="44"/>
      <c r="SZQ48" s="44"/>
      <c r="SZR48" s="44"/>
      <c r="SZS48" s="44"/>
      <c r="SZT48" s="44"/>
      <c r="SZU48" s="44"/>
      <c r="SZV48" s="44"/>
      <c r="SZW48" s="44"/>
      <c r="SZX48" s="44"/>
      <c r="SZY48" s="44"/>
      <c r="SZZ48" s="44"/>
      <c r="TAA48" s="44"/>
      <c r="TAB48" s="44"/>
      <c r="TAC48" s="44"/>
      <c r="TAD48" s="44"/>
      <c r="TAE48" s="44"/>
      <c r="TAF48" s="44"/>
      <c r="TAG48" s="44"/>
      <c r="TAH48" s="44"/>
      <c r="TAI48" s="44"/>
      <c r="TAJ48" s="44"/>
      <c r="TAK48" s="44"/>
      <c r="TAL48" s="44"/>
      <c r="TAM48" s="44"/>
      <c r="TAN48" s="44"/>
      <c r="TAO48" s="44"/>
      <c r="TAP48" s="44"/>
      <c r="TAQ48" s="44"/>
      <c r="TAR48" s="44"/>
      <c r="TAS48" s="44"/>
      <c r="TAT48" s="44"/>
      <c r="TAU48" s="44"/>
      <c r="TAV48" s="44"/>
      <c r="TAW48" s="44"/>
      <c r="TAX48" s="44"/>
      <c r="TAY48" s="44"/>
      <c r="TAZ48" s="44"/>
      <c r="TBA48" s="44"/>
      <c r="TBB48" s="44"/>
      <c r="TBC48" s="44"/>
      <c r="TBD48" s="44"/>
      <c r="TBE48" s="44"/>
      <c r="TBF48" s="44"/>
      <c r="TBG48" s="44"/>
      <c r="TBH48" s="44"/>
      <c r="TBI48" s="44"/>
      <c r="TBJ48" s="44"/>
      <c r="TBK48" s="44"/>
      <c r="TBL48" s="44"/>
      <c r="TBM48" s="44"/>
      <c r="TBN48" s="44"/>
      <c r="TBO48" s="44"/>
      <c r="TBP48" s="44"/>
      <c r="TBQ48" s="44"/>
      <c r="TBR48" s="44"/>
      <c r="TBS48" s="44"/>
      <c r="TBT48" s="44"/>
      <c r="TBU48" s="44"/>
      <c r="TBV48" s="44"/>
      <c r="TBW48" s="44"/>
      <c r="TBX48" s="44"/>
      <c r="TBY48" s="44"/>
      <c r="TBZ48" s="44"/>
      <c r="TCA48" s="44"/>
      <c r="TCB48" s="44"/>
      <c r="TCC48" s="44"/>
      <c r="TCD48" s="44"/>
      <c r="TCE48" s="44"/>
      <c r="TCF48" s="44"/>
      <c r="TCG48" s="44"/>
      <c r="TCH48" s="44"/>
      <c r="TCI48" s="44"/>
      <c r="TCJ48" s="44"/>
      <c r="TCK48" s="44"/>
      <c r="TCL48" s="44"/>
      <c r="TCM48" s="44"/>
      <c r="TCN48" s="44"/>
      <c r="TCO48" s="44"/>
      <c r="TCP48" s="44"/>
      <c r="TCQ48" s="44"/>
      <c r="TCR48" s="44"/>
      <c r="TCS48" s="44"/>
      <c r="TCT48" s="44"/>
      <c r="TCU48" s="44"/>
      <c r="TCV48" s="44"/>
      <c r="TCW48" s="44"/>
      <c r="TCX48" s="44"/>
      <c r="TCY48" s="44"/>
      <c r="TCZ48" s="44"/>
      <c r="TDA48" s="44"/>
      <c r="TDB48" s="44"/>
      <c r="TDC48" s="44"/>
      <c r="TDD48" s="44"/>
      <c r="TDE48" s="44"/>
      <c r="TDF48" s="44"/>
      <c r="TDG48" s="44"/>
      <c r="TDH48" s="44"/>
      <c r="TDI48" s="44"/>
      <c r="TDJ48" s="44"/>
      <c r="TDK48" s="44"/>
      <c r="TDL48" s="44"/>
      <c r="TDM48" s="44"/>
      <c r="TDN48" s="44"/>
      <c r="TDO48" s="44"/>
      <c r="TDP48" s="44"/>
      <c r="TDQ48" s="44"/>
      <c r="TDR48" s="44"/>
      <c r="TDS48" s="44"/>
      <c r="TDT48" s="44"/>
      <c r="TDU48" s="44"/>
      <c r="TDV48" s="44"/>
      <c r="TDW48" s="44"/>
      <c r="TDX48" s="44"/>
      <c r="TDY48" s="44"/>
      <c r="TDZ48" s="44"/>
      <c r="TEA48" s="44"/>
      <c r="TEB48" s="44"/>
      <c r="TEC48" s="44"/>
      <c r="TED48" s="44"/>
      <c r="TEE48" s="44"/>
      <c r="TEF48" s="44"/>
      <c r="TEG48" s="44"/>
      <c r="TEH48" s="44"/>
      <c r="TEI48" s="44"/>
      <c r="TEJ48" s="44"/>
      <c r="TEK48" s="44"/>
      <c r="TEL48" s="44"/>
      <c r="TEM48" s="44"/>
      <c r="TEN48" s="44"/>
      <c r="TEO48" s="44"/>
      <c r="TEP48" s="44"/>
      <c r="TEQ48" s="44"/>
      <c r="TER48" s="44"/>
      <c r="TES48" s="44"/>
      <c r="TET48" s="44"/>
      <c r="TEU48" s="44"/>
      <c r="TEV48" s="44"/>
      <c r="TEW48" s="44"/>
      <c r="TEX48" s="44"/>
      <c r="TEY48" s="44"/>
      <c r="TEZ48" s="44"/>
      <c r="TFA48" s="44"/>
      <c r="TFB48" s="44"/>
      <c r="TFC48" s="44"/>
      <c r="TFD48" s="44"/>
      <c r="TFE48" s="44"/>
      <c r="TFF48" s="44"/>
      <c r="TFG48" s="44"/>
      <c r="TFH48" s="44"/>
      <c r="TFI48" s="44"/>
      <c r="TFJ48" s="44"/>
      <c r="TFK48" s="44"/>
      <c r="TFL48" s="44"/>
      <c r="TFM48" s="44"/>
      <c r="TFN48" s="44"/>
      <c r="TFO48" s="44"/>
      <c r="TFP48" s="44"/>
      <c r="TFQ48" s="44"/>
      <c r="TFR48" s="44"/>
      <c r="TFS48" s="44"/>
      <c r="TFT48" s="44"/>
      <c r="TFU48" s="44"/>
      <c r="TFV48" s="44"/>
      <c r="TFW48" s="44"/>
      <c r="TFX48" s="44"/>
      <c r="TFY48" s="44"/>
      <c r="TFZ48" s="44"/>
      <c r="TGA48" s="44"/>
      <c r="TGB48" s="44"/>
      <c r="TGC48" s="44"/>
      <c r="TGD48" s="44"/>
      <c r="TGE48" s="44"/>
      <c r="TGF48" s="44"/>
      <c r="TGG48" s="44"/>
      <c r="TGH48" s="44"/>
      <c r="TGI48" s="44"/>
      <c r="TGJ48" s="44"/>
      <c r="TGK48" s="44"/>
      <c r="TGL48" s="44"/>
      <c r="TGM48" s="44"/>
      <c r="TGN48" s="44"/>
      <c r="TGO48" s="44"/>
      <c r="TGP48" s="44"/>
      <c r="TGQ48" s="44"/>
      <c r="TGR48" s="44"/>
      <c r="TGS48" s="44"/>
      <c r="TGT48" s="44"/>
      <c r="TGU48" s="44"/>
      <c r="TGV48" s="44"/>
      <c r="TGW48" s="44"/>
      <c r="TGX48" s="44"/>
      <c r="TGY48" s="44"/>
      <c r="TGZ48" s="44"/>
      <c r="THA48" s="44"/>
      <c r="THB48" s="44"/>
      <c r="THC48" s="44"/>
      <c r="THD48" s="44"/>
      <c r="THE48" s="44"/>
      <c r="THF48" s="44"/>
      <c r="THG48" s="44"/>
      <c r="THH48" s="44"/>
      <c r="THI48" s="44"/>
      <c r="THJ48" s="44"/>
      <c r="THK48" s="44"/>
      <c r="THL48" s="44"/>
      <c r="THM48" s="44"/>
      <c r="THN48" s="44"/>
      <c r="THO48" s="44"/>
      <c r="THP48" s="44"/>
      <c r="THQ48" s="44"/>
      <c r="THR48" s="44"/>
      <c r="THS48" s="44"/>
      <c r="THT48" s="44"/>
      <c r="THU48" s="44"/>
      <c r="THV48" s="44"/>
      <c r="THW48" s="44"/>
      <c r="THX48" s="44"/>
      <c r="THY48" s="44"/>
      <c r="THZ48" s="44"/>
      <c r="TIA48" s="44"/>
      <c r="TIB48" s="44"/>
      <c r="TIC48" s="44"/>
      <c r="TID48" s="44"/>
      <c r="TIE48" s="44"/>
      <c r="TIF48" s="44"/>
      <c r="TIG48" s="44"/>
      <c r="TIH48" s="44"/>
      <c r="TII48" s="44"/>
      <c r="TIJ48" s="44"/>
      <c r="TIK48" s="44"/>
      <c r="TIL48" s="44"/>
      <c r="TIM48" s="44"/>
      <c r="TIN48" s="44"/>
      <c r="TIO48" s="44"/>
      <c r="TIP48" s="44"/>
      <c r="TIQ48" s="44"/>
      <c r="TIR48" s="44"/>
      <c r="TIS48" s="44"/>
      <c r="TIT48" s="44"/>
      <c r="TIU48" s="44"/>
      <c r="TIV48" s="44"/>
      <c r="TIW48" s="44"/>
      <c r="TIX48" s="44"/>
      <c r="TIY48" s="44"/>
      <c r="TIZ48" s="44"/>
      <c r="TJA48" s="44"/>
      <c r="TJB48" s="44"/>
      <c r="TJC48" s="44"/>
      <c r="TJD48" s="44"/>
      <c r="TJE48" s="44"/>
      <c r="TJF48" s="44"/>
      <c r="TJG48" s="44"/>
      <c r="TJH48" s="44"/>
      <c r="TJI48" s="44"/>
      <c r="TJJ48" s="44"/>
      <c r="TJK48" s="44"/>
      <c r="TJL48" s="44"/>
      <c r="TJM48" s="44"/>
      <c r="TJN48" s="44"/>
      <c r="TJO48" s="44"/>
      <c r="TJP48" s="44"/>
      <c r="TJQ48" s="44"/>
      <c r="TJR48" s="44"/>
      <c r="TJS48" s="44"/>
      <c r="TJT48" s="44"/>
      <c r="TJU48" s="44"/>
      <c r="TJV48" s="44"/>
      <c r="TJW48" s="44"/>
      <c r="TJX48" s="44"/>
      <c r="TJY48" s="44"/>
      <c r="TJZ48" s="44"/>
      <c r="TKA48" s="44"/>
      <c r="TKB48" s="44"/>
      <c r="TKC48" s="44"/>
      <c r="TKD48" s="44"/>
      <c r="TKE48" s="44"/>
      <c r="TKF48" s="44"/>
      <c r="TKG48" s="44"/>
      <c r="TKH48" s="44"/>
      <c r="TKI48" s="44"/>
      <c r="TKJ48" s="44"/>
      <c r="TKK48" s="44"/>
      <c r="TKL48" s="44"/>
      <c r="TKM48" s="44"/>
      <c r="TKN48" s="44"/>
      <c r="TKO48" s="44"/>
      <c r="TKP48" s="44"/>
      <c r="TKQ48" s="44"/>
      <c r="TKR48" s="44"/>
      <c r="TKS48" s="44"/>
      <c r="TKT48" s="44"/>
      <c r="TKU48" s="44"/>
      <c r="TKV48" s="44"/>
      <c r="TKW48" s="44"/>
      <c r="TKX48" s="44"/>
      <c r="TKY48" s="44"/>
      <c r="TKZ48" s="44"/>
      <c r="TLA48" s="44"/>
      <c r="TLB48" s="44"/>
      <c r="TLC48" s="44"/>
      <c r="TLD48" s="44"/>
      <c r="TLE48" s="44"/>
      <c r="TLF48" s="44"/>
      <c r="TLG48" s="44"/>
      <c r="TLH48" s="44"/>
      <c r="TLI48" s="44"/>
      <c r="TLJ48" s="44"/>
      <c r="TLK48" s="44"/>
      <c r="TLL48" s="44"/>
      <c r="TLM48" s="44"/>
      <c r="TLN48" s="44"/>
      <c r="TLO48" s="44"/>
      <c r="TLP48" s="44"/>
      <c r="TLQ48" s="44"/>
      <c r="TLR48" s="44"/>
      <c r="TLS48" s="44"/>
      <c r="TLT48" s="44"/>
      <c r="TLU48" s="44"/>
      <c r="TLV48" s="44"/>
      <c r="TLW48" s="44"/>
      <c r="TLX48" s="44"/>
      <c r="TLY48" s="44"/>
      <c r="TLZ48" s="44"/>
      <c r="TMA48" s="44"/>
      <c r="TMB48" s="44"/>
      <c r="TMC48" s="44"/>
      <c r="TMD48" s="44"/>
      <c r="TME48" s="44"/>
      <c r="TMF48" s="44"/>
      <c r="TMG48" s="44"/>
      <c r="TMH48" s="44"/>
      <c r="TMI48" s="44"/>
      <c r="TMJ48" s="44"/>
      <c r="TMK48" s="44"/>
      <c r="TML48" s="44"/>
      <c r="TMM48" s="44"/>
      <c r="TMN48" s="44"/>
      <c r="TMO48" s="44"/>
      <c r="TMP48" s="44"/>
      <c r="TMQ48" s="44"/>
      <c r="TMR48" s="44"/>
      <c r="TMS48" s="44"/>
      <c r="TMT48" s="44"/>
      <c r="TMU48" s="44"/>
      <c r="TMV48" s="44"/>
      <c r="TMW48" s="44"/>
      <c r="TMX48" s="44"/>
      <c r="TMY48" s="44"/>
      <c r="TMZ48" s="44"/>
      <c r="TNA48" s="44"/>
      <c r="TNB48" s="44"/>
      <c r="TNC48" s="44"/>
      <c r="TND48" s="44"/>
      <c r="TNE48" s="44"/>
      <c r="TNF48" s="44"/>
      <c r="TNG48" s="44"/>
      <c r="TNH48" s="44"/>
      <c r="TNI48" s="44"/>
      <c r="TNJ48" s="44"/>
      <c r="TNK48" s="44"/>
      <c r="TNL48" s="44"/>
      <c r="TNM48" s="44"/>
      <c r="TNN48" s="44"/>
      <c r="TNO48" s="44"/>
      <c r="TNP48" s="44"/>
      <c r="TNQ48" s="44"/>
      <c r="TNR48" s="44"/>
      <c r="TNS48" s="44"/>
      <c r="TNT48" s="44"/>
      <c r="TNU48" s="44"/>
      <c r="TNV48" s="44"/>
      <c r="TNW48" s="44"/>
      <c r="TNX48" s="44"/>
      <c r="TNY48" s="44"/>
      <c r="TNZ48" s="44"/>
      <c r="TOA48" s="44"/>
      <c r="TOB48" s="44"/>
      <c r="TOC48" s="44"/>
      <c r="TOD48" s="44"/>
      <c r="TOE48" s="44"/>
      <c r="TOF48" s="44"/>
      <c r="TOG48" s="44"/>
      <c r="TOH48" s="44"/>
      <c r="TOI48" s="44"/>
      <c r="TOJ48" s="44"/>
      <c r="TOK48" s="44"/>
      <c r="TOL48" s="44"/>
      <c r="TOM48" s="44"/>
      <c r="TON48" s="44"/>
      <c r="TOO48" s="44"/>
      <c r="TOP48" s="44"/>
      <c r="TOQ48" s="44"/>
      <c r="TOR48" s="44"/>
      <c r="TOS48" s="44"/>
      <c r="TOT48" s="44"/>
      <c r="TOU48" s="44"/>
      <c r="TOV48" s="44"/>
      <c r="TOW48" s="44"/>
      <c r="TOX48" s="44"/>
      <c r="TOY48" s="44"/>
      <c r="TOZ48" s="44"/>
      <c r="TPA48" s="44"/>
      <c r="TPB48" s="44"/>
      <c r="TPC48" s="44"/>
      <c r="TPD48" s="44"/>
      <c r="TPE48" s="44"/>
      <c r="TPF48" s="44"/>
      <c r="TPG48" s="44"/>
      <c r="TPH48" s="44"/>
      <c r="TPI48" s="44"/>
      <c r="TPJ48" s="44"/>
      <c r="TPK48" s="44"/>
      <c r="TPL48" s="44"/>
      <c r="TPM48" s="44"/>
      <c r="TPN48" s="44"/>
      <c r="TPO48" s="44"/>
      <c r="TPP48" s="44"/>
      <c r="TPQ48" s="44"/>
      <c r="TPR48" s="44"/>
      <c r="TPS48" s="44"/>
      <c r="TPT48" s="44"/>
      <c r="TPU48" s="44"/>
      <c r="TPV48" s="44"/>
      <c r="TPW48" s="44"/>
      <c r="TPX48" s="44"/>
      <c r="TPY48" s="44"/>
      <c r="TPZ48" s="44"/>
      <c r="TQA48" s="44"/>
      <c r="TQB48" s="44"/>
      <c r="TQC48" s="44"/>
      <c r="TQD48" s="44"/>
      <c r="TQE48" s="44"/>
      <c r="TQF48" s="44"/>
      <c r="TQG48" s="44"/>
      <c r="TQH48" s="44"/>
      <c r="TQI48" s="44"/>
      <c r="TQJ48" s="44"/>
      <c r="TQK48" s="44"/>
      <c r="TQL48" s="44"/>
      <c r="TQM48" s="44"/>
      <c r="TQN48" s="44"/>
      <c r="TQO48" s="44"/>
      <c r="TQP48" s="44"/>
      <c r="TQQ48" s="44"/>
      <c r="TQR48" s="44"/>
      <c r="TQS48" s="44"/>
      <c r="TQT48" s="44"/>
      <c r="TQU48" s="44"/>
      <c r="TQV48" s="44"/>
      <c r="TQW48" s="44"/>
      <c r="TQX48" s="44"/>
      <c r="TQY48" s="44"/>
      <c r="TQZ48" s="44"/>
      <c r="TRA48" s="44"/>
      <c r="TRB48" s="44"/>
      <c r="TRC48" s="44"/>
      <c r="TRD48" s="44"/>
      <c r="TRE48" s="44"/>
      <c r="TRF48" s="44"/>
      <c r="TRG48" s="44"/>
      <c r="TRH48" s="44"/>
      <c r="TRI48" s="44"/>
      <c r="TRJ48" s="44"/>
      <c r="TRK48" s="44"/>
      <c r="TRL48" s="44"/>
      <c r="TRM48" s="44"/>
      <c r="TRN48" s="44"/>
      <c r="TRO48" s="44"/>
      <c r="TRP48" s="44"/>
      <c r="TRQ48" s="44"/>
      <c r="TRR48" s="44"/>
      <c r="TRS48" s="44"/>
      <c r="TRT48" s="44"/>
      <c r="TRU48" s="44"/>
      <c r="TRV48" s="44"/>
      <c r="TRW48" s="44"/>
      <c r="TRX48" s="44"/>
      <c r="TRY48" s="44"/>
      <c r="TRZ48" s="44"/>
      <c r="TSA48" s="44"/>
      <c r="TSB48" s="44"/>
      <c r="TSC48" s="44"/>
      <c r="TSD48" s="44"/>
      <c r="TSE48" s="44"/>
      <c r="TSF48" s="44"/>
      <c r="TSG48" s="44"/>
      <c r="TSH48" s="44"/>
      <c r="TSI48" s="44"/>
      <c r="TSJ48" s="44"/>
      <c r="TSK48" s="44"/>
      <c r="TSL48" s="44"/>
      <c r="TSM48" s="44"/>
      <c r="TSN48" s="44"/>
      <c r="TSO48" s="44"/>
      <c r="TSP48" s="44"/>
      <c r="TSQ48" s="44"/>
      <c r="TSR48" s="44"/>
      <c r="TSS48" s="44"/>
      <c r="TST48" s="44"/>
      <c r="TSU48" s="44"/>
      <c r="TSV48" s="44"/>
      <c r="TSW48" s="44"/>
      <c r="TSX48" s="44"/>
      <c r="TSY48" s="44"/>
      <c r="TSZ48" s="44"/>
      <c r="TTA48" s="44"/>
      <c r="TTB48" s="44"/>
      <c r="TTC48" s="44"/>
      <c r="TTD48" s="44"/>
      <c r="TTE48" s="44"/>
      <c r="TTF48" s="44"/>
      <c r="TTG48" s="44"/>
      <c r="TTH48" s="44"/>
      <c r="TTI48" s="44"/>
      <c r="TTJ48" s="44"/>
      <c r="TTK48" s="44"/>
      <c r="TTL48" s="44"/>
      <c r="TTM48" s="44"/>
      <c r="TTN48" s="44"/>
      <c r="TTO48" s="44"/>
      <c r="TTP48" s="44"/>
      <c r="TTQ48" s="44"/>
      <c r="TTR48" s="44"/>
      <c r="TTS48" s="44"/>
      <c r="TTT48" s="44"/>
      <c r="TTU48" s="44"/>
      <c r="TTV48" s="44"/>
      <c r="TTW48" s="44"/>
      <c r="TTX48" s="44"/>
      <c r="TTY48" s="44"/>
      <c r="TTZ48" s="44"/>
      <c r="TUA48" s="44"/>
      <c r="TUB48" s="44"/>
      <c r="TUC48" s="44"/>
      <c r="TUD48" s="44"/>
      <c r="TUE48" s="44"/>
      <c r="TUF48" s="44"/>
      <c r="TUG48" s="44"/>
      <c r="TUH48" s="44"/>
      <c r="TUI48" s="44"/>
      <c r="TUJ48" s="44"/>
      <c r="TUK48" s="44"/>
      <c r="TUL48" s="44"/>
      <c r="TUM48" s="44"/>
      <c r="TUN48" s="44"/>
      <c r="TUO48" s="44"/>
      <c r="TUP48" s="44"/>
      <c r="TUQ48" s="44"/>
      <c r="TUR48" s="44"/>
      <c r="TUS48" s="44"/>
      <c r="TUT48" s="44"/>
      <c r="TUU48" s="44"/>
      <c r="TUV48" s="44"/>
      <c r="TUW48" s="44"/>
      <c r="TUX48" s="44"/>
      <c r="TUY48" s="44"/>
      <c r="TUZ48" s="44"/>
      <c r="TVA48" s="44"/>
      <c r="TVB48" s="44"/>
      <c r="TVC48" s="44"/>
      <c r="TVD48" s="44"/>
      <c r="TVE48" s="44"/>
      <c r="TVF48" s="44"/>
      <c r="TVG48" s="44"/>
      <c r="TVH48" s="44"/>
      <c r="TVI48" s="44"/>
      <c r="TVJ48" s="44"/>
      <c r="TVK48" s="44"/>
      <c r="TVL48" s="44"/>
      <c r="TVM48" s="44"/>
      <c r="TVN48" s="44"/>
      <c r="TVO48" s="44"/>
      <c r="TVP48" s="44"/>
      <c r="TVQ48" s="44"/>
      <c r="TVR48" s="44"/>
      <c r="TVS48" s="44"/>
      <c r="TVT48" s="44"/>
      <c r="TVU48" s="44"/>
      <c r="TVV48" s="44"/>
      <c r="TVW48" s="44"/>
      <c r="TVX48" s="44"/>
      <c r="TVY48" s="44"/>
      <c r="TVZ48" s="44"/>
      <c r="TWA48" s="44"/>
      <c r="TWB48" s="44"/>
      <c r="TWC48" s="44"/>
      <c r="TWD48" s="44"/>
      <c r="TWE48" s="44"/>
      <c r="TWF48" s="44"/>
      <c r="TWG48" s="44"/>
      <c r="TWH48" s="44"/>
      <c r="TWI48" s="44"/>
      <c r="TWJ48" s="44"/>
      <c r="TWK48" s="44"/>
      <c r="TWL48" s="44"/>
      <c r="TWM48" s="44"/>
      <c r="TWN48" s="44"/>
      <c r="TWO48" s="44"/>
      <c r="TWP48" s="44"/>
      <c r="TWQ48" s="44"/>
      <c r="TWR48" s="44"/>
      <c r="TWS48" s="44"/>
      <c r="TWT48" s="44"/>
      <c r="TWU48" s="44"/>
      <c r="TWV48" s="44"/>
      <c r="TWW48" s="44"/>
      <c r="TWX48" s="44"/>
      <c r="TWY48" s="44"/>
      <c r="TWZ48" s="44"/>
      <c r="TXA48" s="44"/>
      <c r="TXB48" s="44"/>
      <c r="TXC48" s="44"/>
      <c r="TXD48" s="44"/>
      <c r="TXE48" s="44"/>
      <c r="TXF48" s="44"/>
      <c r="TXG48" s="44"/>
      <c r="TXH48" s="44"/>
      <c r="TXI48" s="44"/>
      <c r="TXJ48" s="44"/>
      <c r="TXK48" s="44"/>
      <c r="TXL48" s="44"/>
      <c r="TXM48" s="44"/>
      <c r="TXN48" s="44"/>
      <c r="TXO48" s="44"/>
      <c r="TXP48" s="44"/>
      <c r="TXQ48" s="44"/>
      <c r="TXR48" s="44"/>
      <c r="TXS48" s="44"/>
      <c r="TXT48" s="44"/>
      <c r="TXU48" s="44"/>
      <c r="TXV48" s="44"/>
      <c r="TXW48" s="44"/>
      <c r="TXX48" s="44"/>
      <c r="TXY48" s="44"/>
      <c r="TXZ48" s="44"/>
      <c r="TYA48" s="44"/>
      <c r="TYB48" s="44"/>
      <c r="TYC48" s="44"/>
      <c r="TYD48" s="44"/>
      <c r="TYE48" s="44"/>
      <c r="TYF48" s="44"/>
      <c r="TYG48" s="44"/>
      <c r="TYH48" s="44"/>
      <c r="TYI48" s="44"/>
      <c r="TYJ48" s="44"/>
      <c r="TYK48" s="44"/>
      <c r="TYL48" s="44"/>
      <c r="TYM48" s="44"/>
      <c r="TYN48" s="44"/>
      <c r="TYO48" s="44"/>
      <c r="TYP48" s="44"/>
      <c r="TYQ48" s="44"/>
      <c r="TYR48" s="44"/>
      <c r="TYS48" s="44"/>
      <c r="TYT48" s="44"/>
      <c r="TYU48" s="44"/>
      <c r="TYV48" s="44"/>
      <c r="TYW48" s="44"/>
      <c r="TYX48" s="44"/>
      <c r="TYY48" s="44"/>
      <c r="TYZ48" s="44"/>
      <c r="TZA48" s="44"/>
      <c r="TZB48" s="44"/>
      <c r="TZC48" s="44"/>
      <c r="TZD48" s="44"/>
      <c r="TZE48" s="44"/>
      <c r="TZF48" s="44"/>
      <c r="TZG48" s="44"/>
      <c r="TZH48" s="44"/>
      <c r="TZI48" s="44"/>
      <c r="TZJ48" s="44"/>
      <c r="TZK48" s="44"/>
      <c r="TZL48" s="44"/>
      <c r="TZM48" s="44"/>
      <c r="TZN48" s="44"/>
      <c r="TZO48" s="44"/>
      <c r="TZP48" s="44"/>
      <c r="TZQ48" s="44"/>
      <c r="TZR48" s="44"/>
      <c r="TZS48" s="44"/>
      <c r="TZT48" s="44"/>
      <c r="TZU48" s="44"/>
      <c r="TZV48" s="44"/>
      <c r="TZW48" s="44"/>
      <c r="TZX48" s="44"/>
      <c r="TZY48" s="44"/>
      <c r="TZZ48" s="44"/>
      <c r="UAA48" s="44"/>
      <c r="UAB48" s="44"/>
      <c r="UAC48" s="44"/>
      <c r="UAD48" s="44"/>
      <c r="UAE48" s="44"/>
      <c r="UAF48" s="44"/>
      <c r="UAG48" s="44"/>
      <c r="UAH48" s="44"/>
      <c r="UAI48" s="44"/>
      <c r="UAJ48" s="44"/>
      <c r="UAK48" s="44"/>
      <c r="UAL48" s="44"/>
      <c r="UAM48" s="44"/>
      <c r="UAN48" s="44"/>
      <c r="UAO48" s="44"/>
      <c r="UAP48" s="44"/>
      <c r="UAQ48" s="44"/>
      <c r="UAR48" s="44"/>
      <c r="UAS48" s="44"/>
      <c r="UAT48" s="44"/>
      <c r="UAU48" s="44"/>
      <c r="UAV48" s="44"/>
      <c r="UAW48" s="44"/>
      <c r="UAX48" s="44"/>
      <c r="UAY48" s="44"/>
      <c r="UAZ48" s="44"/>
      <c r="UBA48" s="44"/>
      <c r="UBB48" s="44"/>
      <c r="UBC48" s="44"/>
      <c r="UBD48" s="44"/>
      <c r="UBE48" s="44"/>
      <c r="UBF48" s="44"/>
      <c r="UBG48" s="44"/>
      <c r="UBH48" s="44"/>
      <c r="UBI48" s="44"/>
      <c r="UBJ48" s="44"/>
      <c r="UBK48" s="44"/>
      <c r="UBL48" s="44"/>
      <c r="UBM48" s="44"/>
      <c r="UBN48" s="44"/>
      <c r="UBO48" s="44"/>
      <c r="UBP48" s="44"/>
      <c r="UBQ48" s="44"/>
      <c r="UBR48" s="44"/>
      <c r="UBS48" s="44"/>
      <c r="UBT48" s="44"/>
      <c r="UBU48" s="44"/>
      <c r="UBV48" s="44"/>
      <c r="UBW48" s="44"/>
      <c r="UBX48" s="44"/>
      <c r="UBY48" s="44"/>
      <c r="UBZ48" s="44"/>
      <c r="UCA48" s="44"/>
      <c r="UCB48" s="44"/>
      <c r="UCC48" s="44"/>
      <c r="UCD48" s="44"/>
      <c r="UCE48" s="44"/>
      <c r="UCF48" s="44"/>
      <c r="UCG48" s="44"/>
      <c r="UCH48" s="44"/>
      <c r="UCI48" s="44"/>
      <c r="UCJ48" s="44"/>
      <c r="UCK48" s="44"/>
      <c r="UCL48" s="44"/>
      <c r="UCM48" s="44"/>
      <c r="UCN48" s="44"/>
      <c r="UCO48" s="44"/>
      <c r="UCP48" s="44"/>
      <c r="UCQ48" s="44"/>
      <c r="UCR48" s="44"/>
      <c r="UCS48" s="44"/>
      <c r="UCT48" s="44"/>
      <c r="UCU48" s="44"/>
      <c r="UCV48" s="44"/>
      <c r="UCW48" s="44"/>
      <c r="UCX48" s="44"/>
      <c r="UCY48" s="44"/>
      <c r="UCZ48" s="44"/>
      <c r="UDA48" s="44"/>
      <c r="UDB48" s="44"/>
      <c r="UDC48" s="44"/>
      <c r="UDD48" s="44"/>
      <c r="UDE48" s="44"/>
      <c r="UDF48" s="44"/>
      <c r="UDG48" s="44"/>
      <c r="UDH48" s="44"/>
      <c r="UDI48" s="44"/>
      <c r="UDJ48" s="44"/>
      <c r="UDK48" s="44"/>
      <c r="UDL48" s="44"/>
      <c r="UDM48" s="44"/>
      <c r="UDN48" s="44"/>
      <c r="UDO48" s="44"/>
      <c r="UDP48" s="44"/>
      <c r="UDQ48" s="44"/>
      <c r="UDR48" s="44"/>
      <c r="UDS48" s="44"/>
      <c r="UDT48" s="44"/>
      <c r="UDU48" s="44"/>
      <c r="UDV48" s="44"/>
      <c r="UDW48" s="44"/>
      <c r="UDX48" s="44"/>
      <c r="UDY48" s="44"/>
      <c r="UDZ48" s="44"/>
      <c r="UEA48" s="44"/>
      <c r="UEB48" s="44"/>
      <c r="UEC48" s="44"/>
      <c r="UED48" s="44"/>
      <c r="UEE48" s="44"/>
      <c r="UEF48" s="44"/>
      <c r="UEG48" s="44"/>
      <c r="UEH48" s="44"/>
      <c r="UEI48" s="44"/>
      <c r="UEJ48" s="44"/>
      <c r="UEK48" s="44"/>
      <c r="UEL48" s="44"/>
      <c r="UEM48" s="44"/>
      <c r="UEN48" s="44"/>
      <c r="UEO48" s="44"/>
      <c r="UEP48" s="44"/>
      <c r="UEQ48" s="44"/>
      <c r="UER48" s="44"/>
      <c r="UES48" s="44"/>
      <c r="UET48" s="44"/>
      <c r="UEU48" s="44"/>
      <c r="UEV48" s="44"/>
      <c r="UEW48" s="44"/>
      <c r="UEX48" s="44"/>
      <c r="UEY48" s="44"/>
      <c r="UEZ48" s="44"/>
      <c r="UFA48" s="44"/>
      <c r="UFB48" s="44"/>
      <c r="UFC48" s="44"/>
      <c r="UFD48" s="44"/>
      <c r="UFE48" s="44"/>
      <c r="UFF48" s="44"/>
      <c r="UFG48" s="44"/>
      <c r="UFH48" s="44"/>
      <c r="UFI48" s="44"/>
      <c r="UFJ48" s="44"/>
      <c r="UFK48" s="44"/>
      <c r="UFL48" s="44"/>
      <c r="UFM48" s="44"/>
      <c r="UFN48" s="44"/>
      <c r="UFO48" s="44"/>
      <c r="UFP48" s="44"/>
      <c r="UFQ48" s="44"/>
      <c r="UFR48" s="44"/>
      <c r="UFS48" s="44"/>
      <c r="UFT48" s="44"/>
      <c r="UFU48" s="44"/>
      <c r="UFV48" s="44"/>
      <c r="UFW48" s="44"/>
      <c r="UFX48" s="44"/>
      <c r="UFY48" s="44"/>
      <c r="UFZ48" s="44"/>
      <c r="UGA48" s="44"/>
      <c r="UGB48" s="44"/>
      <c r="UGC48" s="44"/>
      <c r="UGD48" s="44"/>
      <c r="UGE48" s="44"/>
      <c r="UGF48" s="44"/>
      <c r="UGG48" s="44"/>
      <c r="UGH48" s="44"/>
      <c r="UGI48" s="44"/>
      <c r="UGJ48" s="44"/>
      <c r="UGK48" s="44"/>
      <c r="UGL48" s="44"/>
      <c r="UGM48" s="44"/>
      <c r="UGN48" s="44"/>
      <c r="UGO48" s="44"/>
      <c r="UGP48" s="44"/>
      <c r="UGQ48" s="44"/>
      <c r="UGR48" s="44"/>
      <c r="UGS48" s="44"/>
      <c r="UGT48" s="44"/>
      <c r="UGU48" s="44"/>
      <c r="UGV48" s="44"/>
      <c r="UGW48" s="44"/>
      <c r="UGX48" s="44"/>
      <c r="UGY48" s="44"/>
      <c r="UGZ48" s="44"/>
      <c r="UHA48" s="44"/>
      <c r="UHB48" s="44"/>
      <c r="UHC48" s="44"/>
      <c r="UHD48" s="44"/>
      <c r="UHE48" s="44"/>
      <c r="UHF48" s="44"/>
      <c r="UHG48" s="44"/>
      <c r="UHH48" s="44"/>
      <c r="UHI48" s="44"/>
      <c r="UHJ48" s="44"/>
      <c r="UHK48" s="44"/>
      <c r="UHL48" s="44"/>
      <c r="UHM48" s="44"/>
      <c r="UHN48" s="44"/>
      <c r="UHO48" s="44"/>
      <c r="UHP48" s="44"/>
      <c r="UHQ48" s="44"/>
      <c r="UHR48" s="44"/>
      <c r="UHS48" s="44"/>
      <c r="UHT48" s="44"/>
      <c r="UHU48" s="44"/>
      <c r="UHV48" s="44"/>
      <c r="UHW48" s="44"/>
      <c r="UHX48" s="44"/>
      <c r="UHY48" s="44"/>
      <c r="UHZ48" s="44"/>
      <c r="UIA48" s="44"/>
      <c r="UIB48" s="44"/>
      <c r="UIC48" s="44"/>
      <c r="UID48" s="44"/>
      <c r="UIE48" s="44"/>
      <c r="UIF48" s="44"/>
      <c r="UIG48" s="44"/>
      <c r="UIH48" s="44"/>
      <c r="UII48" s="44"/>
      <c r="UIJ48" s="44"/>
      <c r="UIK48" s="44"/>
      <c r="UIL48" s="44"/>
      <c r="UIM48" s="44"/>
      <c r="UIN48" s="44"/>
      <c r="UIO48" s="44"/>
      <c r="UIP48" s="44"/>
      <c r="UIQ48" s="44"/>
      <c r="UIR48" s="44"/>
      <c r="UIS48" s="44"/>
      <c r="UIT48" s="44"/>
      <c r="UIU48" s="44"/>
      <c r="UIV48" s="44"/>
      <c r="UIW48" s="44"/>
      <c r="UIX48" s="44"/>
      <c r="UIY48" s="44"/>
      <c r="UIZ48" s="44"/>
      <c r="UJA48" s="44"/>
      <c r="UJB48" s="44"/>
      <c r="UJC48" s="44"/>
      <c r="UJD48" s="44"/>
      <c r="UJE48" s="44"/>
      <c r="UJF48" s="44"/>
      <c r="UJG48" s="44"/>
      <c r="UJH48" s="44"/>
      <c r="UJI48" s="44"/>
      <c r="UJJ48" s="44"/>
      <c r="UJK48" s="44"/>
      <c r="UJL48" s="44"/>
      <c r="UJM48" s="44"/>
      <c r="UJN48" s="44"/>
      <c r="UJO48" s="44"/>
      <c r="UJP48" s="44"/>
      <c r="UJQ48" s="44"/>
      <c r="UJR48" s="44"/>
      <c r="UJS48" s="44"/>
      <c r="UJT48" s="44"/>
      <c r="UJU48" s="44"/>
      <c r="UJV48" s="44"/>
      <c r="UJW48" s="44"/>
      <c r="UJX48" s="44"/>
      <c r="UJY48" s="44"/>
      <c r="UJZ48" s="44"/>
      <c r="UKA48" s="44"/>
      <c r="UKB48" s="44"/>
      <c r="UKC48" s="44"/>
      <c r="UKD48" s="44"/>
      <c r="UKE48" s="44"/>
      <c r="UKF48" s="44"/>
      <c r="UKG48" s="44"/>
      <c r="UKH48" s="44"/>
      <c r="UKI48" s="44"/>
      <c r="UKJ48" s="44"/>
      <c r="UKK48" s="44"/>
      <c r="UKL48" s="44"/>
      <c r="UKM48" s="44"/>
      <c r="UKN48" s="44"/>
      <c r="UKO48" s="44"/>
      <c r="UKP48" s="44"/>
      <c r="UKQ48" s="44"/>
      <c r="UKR48" s="44"/>
      <c r="UKS48" s="44"/>
      <c r="UKT48" s="44"/>
      <c r="UKU48" s="44"/>
      <c r="UKV48" s="44"/>
      <c r="UKW48" s="44"/>
      <c r="UKX48" s="44"/>
      <c r="UKY48" s="44"/>
      <c r="UKZ48" s="44"/>
      <c r="ULA48" s="44"/>
      <c r="ULB48" s="44"/>
      <c r="ULC48" s="44"/>
      <c r="ULD48" s="44"/>
      <c r="ULE48" s="44"/>
      <c r="ULF48" s="44"/>
      <c r="ULG48" s="44"/>
      <c r="ULH48" s="44"/>
      <c r="ULI48" s="44"/>
      <c r="ULJ48" s="44"/>
      <c r="ULK48" s="44"/>
      <c r="ULL48" s="44"/>
      <c r="ULM48" s="44"/>
      <c r="ULN48" s="44"/>
      <c r="ULO48" s="44"/>
      <c r="ULP48" s="44"/>
      <c r="ULQ48" s="44"/>
      <c r="ULR48" s="44"/>
      <c r="ULS48" s="44"/>
      <c r="ULT48" s="44"/>
      <c r="ULU48" s="44"/>
      <c r="ULV48" s="44"/>
      <c r="ULW48" s="44"/>
      <c r="ULX48" s="44"/>
      <c r="ULY48" s="44"/>
      <c r="ULZ48" s="44"/>
      <c r="UMA48" s="44"/>
      <c r="UMB48" s="44"/>
      <c r="UMC48" s="44"/>
      <c r="UMD48" s="44"/>
      <c r="UME48" s="44"/>
      <c r="UMF48" s="44"/>
      <c r="UMG48" s="44"/>
      <c r="UMH48" s="44"/>
      <c r="UMI48" s="44"/>
      <c r="UMJ48" s="44"/>
      <c r="UMK48" s="44"/>
      <c r="UML48" s="44"/>
      <c r="UMM48" s="44"/>
      <c r="UMN48" s="44"/>
      <c r="UMO48" s="44"/>
      <c r="UMP48" s="44"/>
      <c r="UMQ48" s="44"/>
      <c r="UMR48" s="44"/>
      <c r="UMS48" s="44"/>
      <c r="UMT48" s="44"/>
      <c r="UMU48" s="44"/>
      <c r="UMV48" s="44"/>
      <c r="UMW48" s="44"/>
      <c r="UMX48" s="44"/>
      <c r="UMY48" s="44"/>
      <c r="UMZ48" s="44"/>
      <c r="UNA48" s="44"/>
      <c r="UNB48" s="44"/>
      <c r="UNC48" s="44"/>
      <c r="UND48" s="44"/>
      <c r="UNE48" s="44"/>
      <c r="UNF48" s="44"/>
      <c r="UNG48" s="44"/>
      <c r="UNH48" s="44"/>
      <c r="UNI48" s="44"/>
      <c r="UNJ48" s="44"/>
      <c r="UNK48" s="44"/>
      <c r="UNL48" s="44"/>
      <c r="UNM48" s="44"/>
      <c r="UNN48" s="44"/>
      <c r="UNO48" s="44"/>
      <c r="UNP48" s="44"/>
      <c r="UNQ48" s="44"/>
      <c r="UNR48" s="44"/>
      <c r="UNS48" s="44"/>
      <c r="UNT48" s="44"/>
      <c r="UNU48" s="44"/>
      <c r="UNV48" s="44"/>
      <c r="UNW48" s="44"/>
      <c r="UNX48" s="44"/>
      <c r="UNY48" s="44"/>
      <c r="UNZ48" s="44"/>
      <c r="UOA48" s="44"/>
      <c r="UOB48" s="44"/>
      <c r="UOC48" s="44"/>
      <c r="UOD48" s="44"/>
      <c r="UOE48" s="44"/>
      <c r="UOF48" s="44"/>
      <c r="UOG48" s="44"/>
      <c r="UOH48" s="44"/>
      <c r="UOI48" s="44"/>
      <c r="UOJ48" s="44"/>
      <c r="UOK48" s="44"/>
      <c r="UOL48" s="44"/>
      <c r="UOM48" s="44"/>
      <c r="UON48" s="44"/>
      <c r="UOO48" s="44"/>
      <c r="UOP48" s="44"/>
      <c r="UOQ48" s="44"/>
      <c r="UOR48" s="44"/>
      <c r="UOS48" s="44"/>
      <c r="UOT48" s="44"/>
      <c r="UOU48" s="44"/>
      <c r="UOV48" s="44"/>
      <c r="UOW48" s="44"/>
      <c r="UOX48" s="44"/>
      <c r="UOY48" s="44"/>
      <c r="UOZ48" s="44"/>
      <c r="UPA48" s="44"/>
      <c r="UPB48" s="44"/>
      <c r="UPC48" s="44"/>
      <c r="UPD48" s="44"/>
      <c r="UPE48" s="44"/>
      <c r="UPF48" s="44"/>
      <c r="UPG48" s="44"/>
      <c r="UPH48" s="44"/>
      <c r="UPI48" s="44"/>
      <c r="UPJ48" s="44"/>
      <c r="UPK48" s="44"/>
      <c r="UPL48" s="44"/>
      <c r="UPM48" s="44"/>
      <c r="UPN48" s="44"/>
      <c r="UPO48" s="44"/>
      <c r="UPP48" s="44"/>
      <c r="UPQ48" s="44"/>
      <c r="UPR48" s="44"/>
      <c r="UPS48" s="44"/>
      <c r="UPT48" s="44"/>
      <c r="UPU48" s="44"/>
      <c r="UPV48" s="44"/>
      <c r="UPW48" s="44"/>
      <c r="UPX48" s="44"/>
      <c r="UPY48" s="44"/>
      <c r="UPZ48" s="44"/>
      <c r="UQA48" s="44"/>
      <c r="UQB48" s="44"/>
      <c r="UQC48" s="44"/>
      <c r="UQD48" s="44"/>
      <c r="UQE48" s="44"/>
      <c r="UQF48" s="44"/>
      <c r="UQG48" s="44"/>
      <c r="UQH48" s="44"/>
      <c r="UQI48" s="44"/>
      <c r="UQJ48" s="44"/>
      <c r="UQK48" s="44"/>
      <c r="UQL48" s="44"/>
      <c r="UQM48" s="44"/>
      <c r="UQN48" s="44"/>
      <c r="UQO48" s="44"/>
      <c r="UQP48" s="44"/>
      <c r="UQQ48" s="44"/>
      <c r="UQR48" s="44"/>
      <c r="UQS48" s="44"/>
      <c r="UQT48" s="44"/>
      <c r="UQU48" s="44"/>
      <c r="UQV48" s="44"/>
      <c r="UQW48" s="44"/>
      <c r="UQX48" s="44"/>
      <c r="UQY48" s="44"/>
      <c r="UQZ48" s="44"/>
      <c r="URA48" s="44"/>
      <c r="URB48" s="44"/>
      <c r="URC48" s="44"/>
      <c r="URD48" s="44"/>
      <c r="URE48" s="44"/>
      <c r="URF48" s="44"/>
      <c r="URG48" s="44"/>
      <c r="URH48" s="44"/>
      <c r="URI48" s="44"/>
      <c r="URJ48" s="44"/>
      <c r="URK48" s="44"/>
      <c r="URL48" s="44"/>
      <c r="URM48" s="44"/>
      <c r="URN48" s="44"/>
      <c r="URO48" s="44"/>
      <c r="URP48" s="44"/>
      <c r="URQ48" s="44"/>
      <c r="URR48" s="44"/>
      <c r="URS48" s="44"/>
      <c r="URT48" s="44"/>
      <c r="URU48" s="44"/>
      <c r="URV48" s="44"/>
      <c r="URW48" s="44"/>
      <c r="URX48" s="44"/>
      <c r="URY48" s="44"/>
      <c r="URZ48" s="44"/>
      <c r="USA48" s="44"/>
      <c r="USB48" s="44"/>
      <c r="USC48" s="44"/>
      <c r="USD48" s="44"/>
      <c r="USE48" s="44"/>
      <c r="USF48" s="44"/>
      <c r="USG48" s="44"/>
      <c r="USH48" s="44"/>
      <c r="USI48" s="44"/>
      <c r="USJ48" s="44"/>
      <c r="USK48" s="44"/>
      <c r="USL48" s="44"/>
      <c r="USM48" s="44"/>
      <c r="USN48" s="44"/>
      <c r="USO48" s="44"/>
      <c r="USP48" s="44"/>
      <c r="USQ48" s="44"/>
      <c r="USR48" s="44"/>
      <c r="USS48" s="44"/>
      <c r="UST48" s="44"/>
      <c r="USU48" s="44"/>
      <c r="USV48" s="44"/>
      <c r="USW48" s="44"/>
      <c r="USX48" s="44"/>
      <c r="USY48" s="44"/>
      <c r="USZ48" s="44"/>
      <c r="UTA48" s="44"/>
      <c r="UTB48" s="44"/>
      <c r="UTC48" s="44"/>
      <c r="UTD48" s="44"/>
      <c r="UTE48" s="44"/>
      <c r="UTF48" s="44"/>
      <c r="UTG48" s="44"/>
      <c r="UTH48" s="44"/>
      <c r="UTI48" s="44"/>
      <c r="UTJ48" s="44"/>
      <c r="UTK48" s="44"/>
      <c r="UTL48" s="44"/>
      <c r="UTM48" s="44"/>
      <c r="UTN48" s="44"/>
      <c r="UTO48" s="44"/>
      <c r="UTP48" s="44"/>
      <c r="UTQ48" s="44"/>
      <c r="UTR48" s="44"/>
      <c r="UTS48" s="44"/>
      <c r="UTT48" s="44"/>
      <c r="UTU48" s="44"/>
      <c r="UTV48" s="44"/>
      <c r="UTW48" s="44"/>
      <c r="UTX48" s="44"/>
      <c r="UTY48" s="44"/>
      <c r="UTZ48" s="44"/>
      <c r="UUA48" s="44"/>
      <c r="UUB48" s="44"/>
      <c r="UUC48" s="44"/>
      <c r="UUD48" s="44"/>
      <c r="UUE48" s="44"/>
      <c r="UUF48" s="44"/>
      <c r="UUG48" s="44"/>
      <c r="UUH48" s="44"/>
      <c r="UUI48" s="44"/>
      <c r="UUJ48" s="44"/>
      <c r="UUK48" s="44"/>
      <c r="UUL48" s="44"/>
      <c r="UUM48" s="44"/>
      <c r="UUN48" s="44"/>
      <c r="UUO48" s="44"/>
      <c r="UUP48" s="44"/>
      <c r="UUQ48" s="44"/>
      <c r="UUR48" s="44"/>
      <c r="UUS48" s="44"/>
      <c r="UUT48" s="44"/>
      <c r="UUU48" s="44"/>
      <c r="UUV48" s="44"/>
      <c r="UUW48" s="44"/>
      <c r="UUX48" s="44"/>
      <c r="UUY48" s="44"/>
      <c r="UUZ48" s="44"/>
      <c r="UVA48" s="44"/>
      <c r="UVB48" s="44"/>
      <c r="UVC48" s="44"/>
      <c r="UVD48" s="44"/>
      <c r="UVE48" s="44"/>
      <c r="UVF48" s="44"/>
      <c r="UVG48" s="44"/>
      <c r="UVH48" s="44"/>
      <c r="UVI48" s="44"/>
      <c r="UVJ48" s="44"/>
      <c r="UVK48" s="44"/>
      <c r="UVL48" s="44"/>
      <c r="UVM48" s="44"/>
      <c r="UVN48" s="44"/>
      <c r="UVO48" s="44"/>
      <c r="UVP48" s="44"/>
      <c r="UVQ48" s="44"/>
      <c r="UVR48" s="44"/>
      <c r="UVS48" s="44"/>
      <c r="UVT48" s="44"/>
      <c r="UVU48" s="44"/>
      <c r="UVV48" s="44"/>
      <c r="UVW48" s="44"/>
      <c r="UVX48" s="44"/>
      <c r="UVY48" s="44"/>
      <c r="UVZ48" s="44"/>
      <c r="UWA48" s="44"/>
      <c r="UWB48" s="44"/>
      <c r="UWC48" s="44"/>
      <c r="UWD48" s="44"/>
      <c r="UWE48" s="44"/>
      <c r="UWF48" s="44"/>
      <c r="UWG48" s="44"/>
      <c r="UWH48" s="44"/>
      <c r="UWI48" s="44"/>
      <c r="UWJ48" s="44"/>
      <c r="UWK48" s="44"/>
      <c r="UWL48" s="44"/>
      <c r="UWM48" s="44"/>
      <c r="UWN48" s="44"/>
      <c r="UWO48" s="44"/>
      <c r="UWP48" s="44"/>
      <c r="UWQ48" s="44"/>
      <c r="UWR48" s="44"/>
      <c r="UWS48" s="44"/>
      <c r="UWT48" s="44"/>
      <c r="UWU48" s="44"/>
      <c r="UWV48" s="44"/>
      <c r="UWW48" s="44"/>
      <c r="UWX48" s="44"/>
      <c r="UWY48" s="44"/>
      <c r="UWZ48" s="44"/>
      <c r="UXA48" s="44"/>
      <c r="UXB48" s="44"/>
      <c r="UXC48" s="44"/>
      <c r="UXD48" s="44"/>
      <c r="UXE48" s="44"/>
      <c r="UXF48" s="44"/>
      <c r="UXG48" s="44"/>
      <c r="UXH48" s="44"/>
      <c r="UXI48" s="44"/>
      <c r="UXJ48" s="44"/>
      <c r="UXK48" s="44"/>
      <c r="UXL48" s="44"/>
      <c r="UXM48" s="44"/>
      <c r="UXN48" s="44"/>
      <c r="UXO48" s="44"/>
      <c r="UXP48" s="44"/>
      <c r="UXQ48" s="44"/>
      <c r="UXR48" s="44"/>
      <c r="UXS48" s="44"/>
      <c r="UXT48" s="44"/>
      <c r="UXU48" s="44"/>
      <c r="UXV48" s="44"/>
      <c r="UXW48" s="44"/>
      <c r="UXX48" s="44"/>
      <c r="UXY48" s="44"/>
      <c r="UXZ48" s="44"/>
      <c r="UYA48" s="44"/>
      <c r="UYB48" s="44"/>
      <c r="UYC48" s="44"/>
      <c r="UYD48" s="44"/>
      <c r="UYE48" s="44"/>
      <c r="UYF48" s="44"/>
      <c r="UYG48" s="44"/>
      <c r="UYH48" s="44"/>
      <c r="UYI48" s="44"/>
      <c r="UYJ48" s="44"/>
      <c r="UYK48" s="44"/>
      <c r="UYL48" s="44"/>
      <c r="UYM48" s="44"/>
      <c r="UYN48" s="44"/>
      <c r="UYO48" s="44"/>
      <c r="UYP48" s="44"/>
      <c r="UYQ48" s="44"/>
      <c r="UYR48" s="44"/>
      <c r="UYS48" s="44"/>
      <c r="UYT48" s="44"/>
      <c r="UYU48" s="44"/>
      <c r="UYV48" s="44"/>
      <c r="UYW48" s="44"/>
      <c r="UYX48" s="44"/>
      <c r="UYY48" s="44"/>
      <c r="UYZ48" s="44"/>
      <c r="UZA48" s="44"/>
      <c r="UZB48" s="44"/>
      <c r="UZC48" s="44"/>
      <c r="UZD48" s="44"/>
      <c r="UZE48" s="44"/>
      <c r="UZF48" s="44"/>
      <c r="UZG48" s="44"/>
      <c r="UZH48" s="44"/>
      <c r="UZI48" s="44"/>
      <c r="UZJ48" s="44"/>
      <c r="UZK48" s="44"/>
      <c r="UZL48" s="44"/>
      <c r="UZM48" s="44"/>
      <c r="UZN48" s="44"/>
      <c r="UZO48" s="44"/>
      <c r="UZP48" s="44"/>
      <c r="UZQ48" s="44"/>
      <c r="UZR48" s="44"/>
      <c r="UZS48" s="44"/>
      <c r="UZT48" s="44"/>
      <c r="UZU48" s="44"/>
      <c r="UZV48" s="44"/>
      <c r="UZW48" s="44"/>
      <c r="UZX48" s="44"/>
      <c r="UZY48" s="44"/>
      <c r="UZZ48" s="44"/>
      <c r="VAA48" s="44"/>
      <c r="VAB48" s="44"/>
      <c r="VAC48" s="44"/>
      <c r="VAD48" s="44"/>
      <c r="VAE48" s="44"/>
      <c r="VAF48" s="44"/>
      <c r="VAG48" s="44"/>
      <c r="VAH48" s="44"/>
      <c r="VAI48" s="44"/>
      <c r="VAJ48" s="44"/>
      <c r="VAK48" s="44"/>
      <c r="VAL48" s="44"/>
      <c r="VAM48" s="44"/>
      <c r="VAN48" s="44"/>
      <c r="VAO48" s="44"/>
      <c r="VAP48" s="44"/>
      <c r="VAQ48" s="44"/>
      <c r="VAR48" s="44"/>
      <c r="VAS48" s="44"/>
      <c r="VAT48" s="44"/>
      <c r="VAU48" s="44"/>
      <c r="VAV48" s="44"/>
      <c r="VAW48" s="44"/>
      <c r="VAX48" s="44"/>
      <c r="VAY48" s="44"/>
      <c r="VAZ48" s="44"/>
      <c r="VBA48" s="44"/>
      <c r="VBB48" s="44"/>
      <c r="VBC48" s="44"/>
      <c r="VBD48" s="44"/>
      <c r="VBE48" s="44"/>
      <c r="VBF48" s="44"/>
      <c r="VBG48" s="44"/>
      <c r="VBH48" s="44"/>
      <c r="VBI48" s="44"/>
      <c r="VBJ48" s="44"/>
      <c r="VBK48" s="44"/>
      <c r="VBL48" s="44"/>
      <c r="VBM48" s="44"/>
      <c r="VBN48" s="44"/>
      <c r="VBO48" s="44"/>
      <c r="VBP48" s="44"/>
      <c r="VBQ48" s="44"/>
      <c r="VBR48" s="44"/>
      <c r="VBS48" s="44"/>
      <c r="VBT48" s="44"/>
      <c r="VBU48" s="44"/>
      <c r="VBV48" s="44"/>
      <c r="VBW48" s="44"/>
      <c r="VBX48" s="44"/>
      <c r="VBY48" s="44"/>
      <c r="VBZ48" s="44"/>
      <c r="VCA48" s="44"/>
      <c r="VCB48" s="44"/>
      <c r="VCC48" s="44"/>
      <c r="VCD48" s="44"/>
      <c r="VCE48" s="44"/>
      <c r="VCF48" s="44"/>
      <c r="VCG48" s="44"/>
      <c r="VCH48" s="44"/>
      <c r="VCI48" s="44"/>
      <c r="VCJ48" s="44"/>
      <c r="VCK48" s="44"/>
      <c r="VCL48" s="44"/>
      <c r="VCM48" s="44"/>
      <c r="VCN48" s="44"/>
      <c r="VCO48" s="44"/>
      <c r="VCP48" s="44"/>
      <c r="VCQ48" s="44"/>
      <c r="VCR48" s="44"/>
      <c r="VCS48" s="44"/>
      <c r="VCT48" s="44"/>
      <c r="VCU48" s="44"/>
      <c r="VCV48" s="44"/>
      <c r="VCW48" s="44"/>
      <c r="VCX48" s="44"/>
      <c r="VCY48" s="44"/>
      <c r="VCZ48" s="44"/>
      <c r="VDA48" s="44"/>
      <c r="VDB48" s="44"/>
      <c r="VDC48" s="44"/>
      <c r="VDD48" s="44"/>
      <c r="VDE48" s="44"/>
      <c r="VDF48" s="44"/>
      <c r="VDG48" s="44"/>
      <c r="VDH48" s="44"/>
      <c r="VDI48" s="44"/>
      <c r="VDJ48" s="44"/>
      <c r="VDK48" s="44"/>
      <c r="VDL48" s="44"/>
      <c r="VDM48" s="44"/>
      <c r="VDN48" s="44"/>
      <c r="VDO48" s="44"/>
      <c r="VDP48" s="44"/>
      <c r="VDQ48" s="44"/>
      <c r="VDR48" s="44"/>
      <c r="VDS48" s="44"/>
      <c r="VDT48" s="44"/>
      <c r="VDU48" s="44"/>
      <c r="VDV48" s="44"/>
      <c r="VDW48" s="44"/>
      <c r="VDX48" s="44"/>
      <c r="VDY48" s="44"/>
      <c r="VDZ48" s="44"/>
      <c r="VEA48" s="44"/>
      <c r="VEB48" s="44"/>
      <c r="VEC48" s="44"/>
      <c r="VED48" s="44"/>
      <c r="VEE48" s="44"/>
      <c r="VEF48" s="44"/>
      <c r="VEG48" s="44"/>
      <c r="VEH48" s="44"/>
      <c r="VEI48" s="44"/>
      <c r="VEJ48" s="44"/>
      <c r="VEK48" s="44"/>
      <c r="VEL48" s="44"/>
      <c r="VEM48" s="44"/>
      <c r="VEN48" s="44"/>
      <c r="VEO48" s="44"/>
      <c r="VEP48" s="44"/>
      <c r="VEQ48" s="44"/>
      <c r="VER48" s="44"/>
      <c r="VES48" s="44"/>
      <c r="VET48" s="44"/>
      <c r="VEU48" s="44"/>
      <c r="VEV48" s="44"/>
      <c r="VEW48" s="44"/>
      <c r="VEX48" s="44"/>
      <c r="VEY48" s="44"/>
      <c r="VEZ48" s="44"/>
      <c r="VFA48" s="44"/>
      <c r="VFB48" s="44"/>
      <c r="VFC48" s="44"/>
      <c r="VFD48" s="44"/>
      <c r="VFE48" s="44"/>
      <c r="VFF48" s="44"/>
      <c r="VFG48" s="44"/>
      <c r="VFH48" s="44"/>
      <c r="VFI48" s="44"/>
      <c r="VFJ48" s="44"/>
      <c r="VFK48" s="44"/>
      <c r="VFL48" s="44"/>
      <c r="VFM48" s="44"/>
      <c r="VFN48" s="44"/>
      <c r="VFO48" s="44"/>
      <c r="VFP48" s="44"/>
      <c r="VFQ48" s="44"/>
      <c r="VFR48" s="44"/>
      <c r="VFS48" s="44"/>
      <c r="VFT48" s="44"/>
      <c r="VFU48" s="44"/>
      <c r="VFV48" s="44"/>
      <c r="VFW48" s="44"/>
      <c r="VFX48" s="44"/>
      <c r="VFY48" s="44"/>
      <c r="VFZ48" s="44"/>
      <c r="VGA48" s="44"/>
      <c r="VGB48" s="44"/>
      <c r="VGC48" s="44"/>
      <c r="VGD48" s="44"/>
      <c r="VGE48" s="44"/>
      <c r="VGF48" s="44"/>
      <c r="VGG48" s="44"/>
      <c r="VGH48" s="44"/>
      <c r="VGI48" s="44"/>
      <c r="VGJ48" s="44"/>
      <c r="VGK48" s="44"/>
      <c r="VGL48" s="44"/>
      <c r="VGM48" s="44"/>
      <c r="VGN48" s="44"/>
      <c r="VGO48" s="44"/>
      <c r="VGP48" s="44"/>
      <c r="VGQ48" s="44"/>
      <c r="VGR48" s="44"/>
      <c r="VGS48" s="44"/>
      <c r="VGT48" s="44"/>
      <c r="VGU48" s="44"/>
      <c r="VGV48" s="44"/>
      <c r="VGW48" s="44"/>
      <c r="VGX48" s="44"/>
      <c r="VGY48" s="44"/>
      <c r="VGZ48" s="44"/>
      <c r="VHA48" s="44"/>
      <c r="VHB48" s="44"/>
      <c r="VHC48" s="44"/>
      <c r="VHD48" s="44"/>
      <c r="VHE48" s="44"/>
      <c r="VHF48" s="44"/>
      <c r="VHG48" s="44"/>
      <c r="VHH48" s="44"/>
      <c r="VHI48" s="44"/>
      <c r="VHJ48" s="44"/>
      <c r="VHK48" s="44"/>
      <c r="VHL48" s="44"/>
      <c r="VHM48" s="44"/>
      <c r="VHN48" s="44"/>
      <c r="VHO48" s="44"/>
      <c r="VHP48" s="44"/>
      <c r="VHQ48" s="44"/>
      <c r="VHR48" s="44"/>
      <c r="VHS48" s="44"/>
      <c r="VHT48" s="44"/>
      <c r="VHU48" s="44"/>
      <c r="VHV48" s="44"/>
      <c r="VHW48" s="44"/>
      <c r="VHX48" s="44"/>
      <c r="VHY48" s="44"/>
      <c r="VHZ48" s="44"/>
      <c r="VIA48" s="44"/>
      <c r="VIB48" s="44"/>
      <c r="VIC48" s="44"/>
      <c r="VID48" s="44"/>
      <c r="VIE48" s="44"/>
      <c r="VIF48" s="44"/>
      <c r="VIG48" s="44"/>
      <c r="VIH48" s="44"/>
      <c r="VII48" s="44"/>
      <c r="VIJ48" s="44"/>
      <c r="VIK48" s="44"/>
      <c r="VIL48" s="44"/>
      <c r="VIM48" s="44"/>
      <c r="VIN48" s="44"/>
      <c r="VIO48" s="44"/>
      <c r="VIP48" s="44"/>
      <c r="VIQ48" s="44"/>
      <c r="VIR48" s="44"/>
      <c r="VIS48" s="44"/>
      <c r="VIT48" s="44"/>
      <c r="VIU48" s="44"/>
      <c r="VIV48" s="44"/>
      <c r="VIW48" s="44"/>
      <c r="VIX48" s="44"/>
      <c r="VIY48" s="44"/>
      <c r="VIZ48" s="44"/>
      <c r="VJA48" s="44"/>
      <c r="VJB48" s="44"/>
      <c r="VJC48" s="44"/>
      <c r="VJD48" s="44"/>
      <c r="VJE48" s="44"/>
      <c r="VJF48" s="44"/>
      <c r="VJG48" s="44"/>
      <c r="VJH48" s="44"/>
      <c r="VJI48" s="44"/>
      <c r="VJJ48" s="44"/>
      <c r="VJK48" s="44"/>
      <c r="VJL48" s="44"/>
      <c r="VJM48" s="44"/>
      <c r="VJN48" s="44"/>
      <c r="VJO48" s="44"/>
      <c r="VJP48" s="44"/>
      <c r="VJQ48" s="44"/>
      <c r="VJR48" s="44"/>
      <c r="VJS48" s="44"/>
      <c r="VJT48" s="44"/>
      <c r="VJU48" s="44"/>
      <c r="VJV48" s="44"/>
      <c r="VJW48" s="44"/>
      <c r="VJX48" s="44"/>
      <c r="VJY48" s="44"/>
      <c r="VJZ48" s="44"/>
      <c r="VKA48" s="44"/>
      <c r="VKB48" s="44"/>
      <c r="VKC48" s="44"/>
      <c r="VKD48" s="44"/>
      <c r="VKE48" s="44"/>
      <c r="VKF48" s="44"/>
      <c r="VKG48" s="44"/>
      <c r="VKH48" s="44"/>
      <c r="VKI48" s="44"/>
      <c r="VKJ48" s="44"/>
      <c r="VKK48" s="44"/>
      <c r="VKL48" s="44"/>
      <c r="VKM48" s="44"/>
      <c r="VKN48" s="44"/>
      <c r="VKO48" s="44"/>
      <c r="VKP48" s="44"/>
      <c r="VKQ48" s="44"/>
      <c r="VKR48" s="44"/>
      <c r="VKS48" s="44"/>
      <c r="VKT48" s="44"/>
      <c r="VKU48" s="44"/>
      <c r="VKV48" s="44"/>
      <c r="VKW48" s="44"/>
      <c r="VKX48" s="44"/>
      <c r="VKY48" s="44"/>
      <c r="VKZ48" s="44"/>
      <c r="VLA48" s="44"/>
      <c r="VLB48" s="44"/>
      <c r="VLC48" s="44"/>
      <c r="VLD48" s="44"/>
      <c r="VLE48" s="44"/>
      <c r="VLF48" s="44"/>
      <c r="VLG48" s="44"/>
      <c r="VLH48" s="44"/>
      <c r="VLI48" s="44"/>
      <c r="VLJ48" s="44"/>
      <c r="VLK48" s="44"/>
      <c r="VLL48" s="44"/>
      <c r="VLM48" s="44"/>
      <c r="VLN48" s="44"/>
      <c r="VLO48" s="44"/>
      <c r="VLP48" s="44"/>
      <c r="VLQ48" s="44"/>
      <c r="VLR48" s="44"/>
      <c r="VLS48" s="44"/>
      <c r="VLT48" s="44"/>
      <c r="VLU48" s="44"/>
      <c r="VLV48" s="44"/>
      <c r="VLW48" s="44"/>
      <c r="VLX48" s="44"/>
      <c r="VLY48" s="44"/>
      <c r="VLZ48" s="44"/>
      <c r="VMA48" s="44"/>
      <c r="VMB48" s="44"/>
      <c r="VMC48" s="44"/>
      <c r="VMD48" s="44"/>
      <c r="VME48" s="44"/>
      <c r="VMF48" s="44"/>
      <c r="VMG48" s="44"/>
      <c r="VMH48" s="44"/>
      <c r="VMI48" s="44"/>
      <c r="VMJ48" s="44"/>
      <c r="VMK48" s="44"/>
      <c r="VML48" s="44"/>
      <c r="VMM48" s="44"/>
      <c r="VMN48" s="44"/>
      <c r="VMO48" s="44"/>
      <c r="VMP48" s="44"/>
      <c r="VMQ48" s="44"/>
      <c r="VMR48" s="44"/>
      <c r="VMS48" s="44"/>
      <c r="VMT48" s="44"/>
      <c r="VMU48" s="44"/>
      <c r="VMV48" s="44"/>
      <c r="VMW48" s="44"/>
      <c r="VMX48" s="44"/>
      <c r="VMY48" s="44"/>
      <c r="VMZ48" s="44"/>
      <c r="VNA48" s="44"/>
      <c r="VNB48" s="44"/>
      <c r="VNC48" s="44"/>
      <c r="VND48" s="44"/>
      <c r="VNE48" s="44"/>
      <c r="VNF48" s="44"/>
      <c r="VNG48" s="44"/>
      <c r="VNH48" s="44"/>
      <c r="VNI48" s="44"/>
      <c r="VNJ48" s="44"/>
      <c r="VNK48" s="44"/>
      <c r="VNL48" s="44"/>
      <c r="VNM48" s="44"/>
      <c r="VNN48" s="44"/>
      <c r="VNO48" s="44"/>
      <c r="VNP48" s="44"/>
      <c r="VNQ48" s="44"/>
      <c r="VNR48" s="44"/>
      <c r="VNS48" s="44"/>
      <c r="VNT48" s="44"/>
      <c r="VNU48" s="44"/>
      <c r="VNV48" s="44"/>
      <c r="VNW48" s="44"/>
      <c r="VNX48" s="44"/>
      <c r="VNY48" s="44"/>
      <c r="VNZ48" s="44"/>
      <c r="VOA48" s="44"/>
      <c r="VOB48" s="44"/>
      <c r="VOC48" s="44"/>
      <c r="VOD48" s="44"/>
      <c r="VOE48" s="44"/>
      <c r="VOF48" s="44"/>
      <c r="VOG48" s="44"/>
      <c r="VOH48" s="44"/>
      <c r="VOI48" s="44"/>
      <c r="VOJ48" s="44"/>
      <c r="VOK48" s="44"/>
      <c r="VOL48" s="44"/>
      <c r="VOM48" s="44"/>
      <c r="VON48" s="44"/>
      <c r="VOO48" s="44"/>
      <c r="VOP48" s="44"/>
      <c r="VOQ48" s="44"/>
      <c r="VOR48" s="44"/>
      <c r="VOS48" s="44"/>
      <c r="VOT48" s="44"/>
      <c r="VOU48" s="44"/>
      <c r="VOV48" s="44"/>
      <c r="VOW48" s="44"/>
      <c r="VOX48" s="44"/>
      <c r="VOY48" s="44"/>
      <c r="VOZ48" s="44"/>
      <c r="VPA48" s="44"/>
      <c r="VPB48" s="44"/>
      <c r="VPC48" s="44"/>
      <c r="VPD48" s="44"/>
      <c r="VPE48" s="44"/>
      <c r="VPF48" s="44"/>
      <c r="VPG48" s="44"/>
      <c r="VPH48" s="44"/>
      <c r="VPI48" s="44"/>
      <c r="VPJ48" s="44"/>
      <c r="VPK48" s="44"/>
      <c r="VPL48" s="44"/>
      <c r="VPM48" s="44"/>
      <c r="VPN48" s="44"/>
      <c r="VPO48" s="44"/>
      <c r="VPP48" s="44"/>
      <c r="VPQ48" s="44"/>
      <c r="VPR48" s="44"/>
      <c r="VPS48" s="44"/>
      <c r="VPT48" s="44"/>
      <c r="VPU48" s="44"/>
      <c r="VPV48" s="44"/>
      <c r="VPW48" s="44"/>
      <c r="VPX48" s="44"/>
      <c r="VPY48" s="44"/>
      <c r="VPZ48" s="44"/>
      <c r="VQA48" s="44"/>
      <c r="VQB48" s="44"/>
      <c r="VQC48" s="44"/>
      <c r="VQD48" s="44"/>
      <c r="VQE48" s="44"/>
      <c r="VQF48" s="44"/>
      <c r="VQG48" s="44"/>
      <c r="VQH48" s="44"/>
      <c r="VQI48" s="44"/>
      <c r="VQJ48" s="44"/>
      <c r="VQK48" s="44"/>
      <c r="VQL48" s="44"/>
      <c r="VQM48" s="44"/>
      <c r="VQN48" s="44"/>
      <c r="VQO48" s="44"/>
      <c r="VQP48" s="44"/>
      <c r="VQQ48" s="44"/>
      <c r="VQR48" s="44"/>
      <c r="VQS48" s="44"/>
      <c r="VQT48" s="44"/>
      <c r="VQU48" s="44"/>
      <c r="VQV48" s="44"/>
      <c r="VQW48" s="44"/>
      <c r="VQX48" s="44"/>
      <c r="VQY48" s="44"/>
      <c r="VQZ48" s="44"/>
      <c r="VRA48" s="44"/>
      <c r="VRB48" s="44"/>
      <c r="VRC48" s="44"/>
      <c r="VRD48" s="44"/>
      <c r="VRE48" s="44"/>
      <c r="VRF48" s="44"/>
      <c r="VRG48" s="44"/>
      <c r="VRH48" s="44"/>
      <c r="VRI48" s="44"/>
      <c r="VRJ48" s="44"/>
      <c r="VRK48" s="44"/>
      <c r="VRL48" s="44"/>
      <c r="VRM48" s="44"/>
      <c r="VRN48" s="44"/>
      <c r="VRO48" s="44"/>
      <c r="VRP48" s="44"/>
      <c r="VRQ48" s="44"/>
      <c r="VRR48" s="44"/>
      <c r="VRS48" s="44"/>
      <c r="VRT48" s="44"/>
      <c r="VRU48" s="44"/>
      <c r="VRV48" s="44"/>
      <c r="VRW48" s="44"/>
      <c r="VRX48" s="44"/>
      <c r="VRY48" s="44"/>
      <c r="VRZ48" s="44"/>
      <c r="VSA48" s="44"/>
      <c r="VSB48" s="44"/>
      <c r="VSC48" s="44"/>
      <c r="VSD48" s="44"/>
      <c r="VSE48" s="44"/>
      <c r="VSF48" s="44"/>
      <c r="VSG48" s="44"/>
      <c r="VSH48" s="44"/>
      <c r="VSI48" s="44"/>
      <c r="VSJ48" s="44"/>
      <c r="VSK48" s="44"/>
      <c r="VSL48" s="44"/>
      <c r="VSM48" s="44"/>
      <c r="VSN48" s="44"/>
      <c r="VSO48" s="44"/>
      <c r="VSP48" s="44"/>
      <c r="VSQ48" s="44"/>
      <c r="VSR48" s="44"/>
      <c r="VSS48" s="44"/>
      <c r="VST48" s="44"/>
      <c r="VSU48" s="44"/>
      <c r="VSV48" s="44"/>
      <c r="VSW48" s="44"/>
      <c r="VSX48" s="44"/>
      <c r="VSY48" s="44"/>
      <c r="VSZ48" s="44"/>
      <c r="VTA48" s="44"/>
      <c r="VTB48" s="44"/>
      <c r="VTC48" s="44"/>
      <c r="VTD48" s="44"/>
      <c r="VTE48" s="44"/>
      <c r="VTF48" s="44"/>
      <c r="VTG48" s="44"/>
      <c r="VTH48" s="44"/>
      <c r="VTI48" s="44"/>
      <c r="VTJ48" s="44"/>
      <c r="VTK48" s="44"/>
      <c r="VTL48" s="44"/>
      <c r="VTM48" s="44"/>
      <c r="VTN48" s="44"/>
      <c r="VTO48" s="44"/>
      <c r="VTP48" s="44"/>
      <c r="VTQ48" s="44"/>
      <c r="VTR48" s="44"/>
      <c r="VTS48" s="44"/>
      <c r="VTT48" s="44"/>
      <c r="VTU48" s="44"/>
      <c r="VTV48" s="44"/>
      <c r="VTW48" s="44"/>
      <c r="VTX48" s="44"/>
      <c r="VTY48" s="44"/>
      <c r="VTZ48" s="44"/>
      <c r="VUA48" s="44"/>
      <c r="VUB48" s="44"/>
      <c r="VUC48" s="44"/>
      <c r="VUD48" s="44"/>
      <c r="VUE48" s="44"/>
      <c r="VUF48" s="44"/>
      <c r="VUG48" s="44"/>
      <c r="VUH48" s="44"/>
      <c r="VUI48" s="44"/>
      <c r="VUJ48" s="44"/>
      <c r="VUK48" s="44"/>
      <c r="VUL48" s="44"/>
      <c r="VUM48" s="44"/>
      <c r="VUN48" s="44"/>
      <c r="VUO48" s="44"/>
      <c r="VUP48" s="44"/>
      <c r="VUQ48" s="44"/>
      <c r="VUR48" s="44"/>
      <c r="VUS48" s="44"/>
      <c r="VUT48" s="44"/>
      <c r="VUU48" s="44"/>
      <c r="VUV48" s="44"/>
      <c r="VUW48" s="44"/>
      <c r="VUX48" s="44"/>
      <c r="VUY48" s="44"/>
      <c r="VUZ48" s="44"/>
      <c r="VVA48" s="44"/>
      <c r="VVB48" s="44"/>
      <c r="VVC48" s="44"/>
      <c r="VVD48" s="44"/>
      <c r="VVE48" s="44"/>
      <c r="VVF48" s="44"/>
      <c r="VVG48" s="44"/>
      <c r="VVH48" s="44"/>
      <c r="VVI48" s="44"/>
      <c r="VVJ48" s="44"/>
      <c r="VVK48" s="44"/>
      <c r="VVL48" s="44"/>
      <c r="VVM48" s="44"/>
      <c r="VVN48" s="44"/>
      <c r="VVO48" s="44"/>
      <c r="VVP48" s="44"/>
      <c r="VVQ48" s="44"/>
      <c r="VVR48" s="44"/>
      <c r="VVS48" s="44"/>
      <c r="VVT48" s="44"/>
      <c r="VVU48" s="44"/>
      <c r="VVV48" s="44"/>
      <c r="VVW48" s="44"/>
      <c r="VVX48" s="44"/>
      <c r="VVY48" s="44"/>
      <c r="VVZ48" s="44"/>
      <c r="VWA48" s="44"/>
      <c r="VWB48" s="44"/>
      <c r="VWC48" s="44"/>
      <c r="VWD48" s="44"/>
      <c r="VWE48" s="44"/>
      <c r="VWF48" s="44"/>
      <c r="VWG48" s="44"/>
      <c r="VWH48" s="44"/>
      <c r="VWI48" s="44"/>
      <c r="VWJ48" s="44"/>
      <c r="VWK48" s="44"/>
      <c r="VWL48" s="44"/>
      <c r="VWM48" s="44"/>
      <c r="VWN48" s="44"/>
      <c r="VWO48" s="44"/>
      <c r="VWP48" s="44"/>
      <c r="VWQ48" s="44"/>
      <c r="VWR48" s="44"/>
      <c r="VWS48" s="44"/>
      <c r="VWT48" s="44"/>
      <c r="VWU48" s="44"/>
      <c r="VWV48" s="44"/>
      <c r="VWW48" s="44"/>
      <c r="VWX48" s="44"/>
      <c r="VWY48" s="44"/>
      <c r="VWZ48" s="44"/>
      <c r="VXA48" s="44"/>
      <c r="VXB48" s="44"/>
      <c r="VXC48" s="44"/>
      <c r="VXD48" s="44"/>
      <c r="VXE48" s="44"/>
      <c r="VXF48" s="44"/>
      <c r="VXG48" s="44"/>
      <c r="VXH48" s="44"/>
      <c r="VXI48" s="44"/>
      <c r="VXJ48" s="44"/>
      <c r="VXK48" s="44"/>
      <c r="VXL48" s="44"/>
      <c r="VXM48" s="44"/>
      <c r="VXN48" s="44"/>
      <c r="VXO48" s="44"/>
      <c r="VXP48" s="44"/>
      <c r="VXQ48" s="44"/>
      <c r="VXR48" s="44"/>
      <c r="VXS48" s="44"/>
      <c r="VXT48" s="44"/>
      <c r="VXU48" s="44"/>
      <c r="VXV48" s="44"/>
      <c r="VXW48" s="44"/>
      <c r="VXX48" s="44"/>
      <c r="VXY48" s="44"/>
      <c r="VXZ48" s="44"/>
      <c r="VYA48" s="44"/>
      <c r="VYB48" s="44"/>
      <c r="VYC48" s="44"/>
      <c r="VYD48" s="44"/>
      <c r="VYE48" s="44"/>
      <c r="VYF48" s="44"/>
      <c r="VYG48" s="44"/>
      <c r="VYH48" s="44"/>
      <c r="VYI48" s="44"/>
      <c r="VYJ48" s="44"/>
      <c r="VYK48" s="44"/>
      <c r="VYL48" s="44"/>
      <c r="VYM48" s="44"/>
      <c r="VYN48" s="44"/>
      <c r="VYO48" s="44"/>
      <c r="VYP48" s="44"/>
      <c r="VYQ48" s="44"/>
      <c r="VYR48" s="44"/>
      <c r="VYS48" s="44"/>
      <c r="VYT48" s="44"/>
      <c r="VYU48" s="44"/>
      <c r="VYV48" s="44"/>
      <c r="VYW48" s="44"/>
      <c r="VYX48" s="44"/>
      <c r="VYY48" s="44"/>
      <c r="VYZ48" s="44"/>
      <c r="VZA48" s="44"/>
      <c r="VZB48" s="44"/>
      <c r="VZC48" s="44"/>
      <c r="VZD48" s="44"/>
      <c r="VZE48" s="44"/>
      <c r="VZF48" s="44"/>
      <c r="VZG48" s="44"/>
      <c r="VZH48" s="44"/>
      <c r="VZI48" s="44"/>
      <c r="VZJ48" s="44"/>
      <c r="VZK48" s="44"/>
      <c r="VZL48" s="44"/>
      <c r="VZM48" s="44"/>
      <c r="VZN48" s="44"/>
      <c r="VZO48" s="44"/>
      <c r="VZP48" s="44"/>
      <c r="VZQ48" s="44"/>
      <c r="VZR48" s="44"/>
      <c r="VZS48" s="44"/>
      <c r="VZT48" s="44"/>
      <c r="VZU48" s="44"/>
      <c r="VZV48" s="44"/>
      <c r="VZW48" s="44"/>
      <c r="VZX48" s="44"/>
      <c r="VZY48" s="44"/>
      <c r="VZZ48" s="44"/>
      <c r="WAA48" s="44"/>
      <c r="WAB48" s="44"/>
      <c r="WAC48" s="44"/>
      <c r="WAD48" s="44"/>
      <c r="WAE48" s="44"/>
      <c r="WAF48" s="44"/>
      <c r="WAG48" s="44"/>
      <c r="WAH48" s="44"/>
      <c r="WAI48" s="44"/>
      <c r="WAJ48" s="44"/>
      <c r="WAK48" s="44"/>
      <c r="WAL48" s="44"/>
      <c r="WAM48" s="44"/>
      <c r="WAN48" s="44"/>
      <c r="WAO48" s="44"/>
      <c r="WAP48" s="44"/>
      <c r="WAQ48" s="44"/>
      <c r="WAR48" s="44"/>
      <c r="WAS48" s="44"/>
      <c r="WAT48" s="44"/>
      <c r="WAU48" s="44"/>
      <c r="WAV48" s="44"/>
      <c r="WAW48" s="44"/>
      <c r="WAX48" s="44"/>
      <c r="WAY48" s="44"/>
      <c r="WAZ48" s="44"/>
      <c r="WBA48" s="44"/>
      <c r="WBB48" s="44"/>
      <c r="WBC48" s="44"/>
      <c r="WBD48" s="44"/>
      <c r="WBE48" s="44"/>
      <c r="WBF48" s="44"/>
      <c r="WBG48" s="44"/>
      <c r="WBH48" s="44"/>
      <c r="WBI48" s="44"/>
      <c r="WBJ48" s="44"/>
      <c r="WBK48" s="44"/>
      <c r="WBL48" s="44"/>
      <c r="WBM48" s="44"/>
      <c r="WBN48" s="44"/>
      <c r="WBO48" s="44"/>
      <c r="WBP48" s="44"/>
      <c r="WBQ48" s="44"/>
      <c r="WBR48" s="44"/>
      <c r="WBS48" s="44"/>
      <c r="WBT48" s="44"/>
      <c r="WBU48" s="44"/>
      <c r="WBV48" s="44"/>
      <c r="WBW48" s="44"/>
      <c r="WBX48" s="44"/>
      <c r="WBY48" s="44"/>
      <c r="WBZ48" s="44"/>
      <c r="WCA48" s="44"/>
      <c r="WCB48" s="44"/>
      <c r="WCC48" s="44"/>
      <c r="WCD48" s="44"/>
      <c r="WCE48" s="44"/>
      <c r="WCF48" s="44"/>
      <c r="WCG48" s="44"/>
      <c r="WCH48" s="44"/>
      <c r="WCI48" s="44"/>
      <c r="WCJ48" s="44"/>
      <c r="WCK48" s="44"/>
      <c r="WCL48" s="44"/>
      <c r="WCM48" s="44"/>
      <c r="WCN48" s="44"/>
      <c r="WCO48" s="44"/>
      <c r="WCP48" s="44"/>
      <c r="WCQ48" s="44"/>
      <c r="WCR48" s="44"/>
      <c r="WCS48" s="44"/>
      <c r="WCT48" s="44"/>
      <c r="WCU48" s="44"/>
      <c r="WCV48" s="44"/>
      <c r="WCW48" s="44"/>
      <c r="WCX48" s="44"/>
      <c r="WCY48" s="44"/>
      <c r="WCZ48" s="44"/>
      <c r="WDA48" s="44"/>
      <c r="WDB48" s="44"/>
      <c r="WDC48" s="44"/>
      <c r="WDD48" s="44"/>
      <c r="WDE48" s="44"/>
      <c r="WDF48" s="44"/>
      <c r="WDG48" s="44"/>
      <c r="WDH48" s="44"/>
      <c r="WDI48" s="44"/>
      <c r="WDJ48" s="44"/>
      <c r="WDK48" s="44"/>
      <c r="WDL48" s="44"/>
      <c r="WDM48" s="44"/>
      <c r="WDN48" s="44"/>
      <c r="WDO48" s="44"/>
      <c r="WDP48" s="44"/>
      <c r="WDQ48" s="44"/>
      <c r="WDR48" s="44"/>
      <c r="WDS48" s="44"/>
      <c r="WDT48" s="44"/>
      <c r="WDU48" s="44"/>
      <c r="WDV48" s="44"/>
      <c r="WDW48" s="44"/>
      <c r="WDX48" s="44"/>
      <c r="WDY48" s="44"/>
      <c r="WDZ48" s="44"/>
      <c r="WEA48" s="44"/>
      <c r="WEB48" s="44"/>
      <c r="WEC48" s="44"/>
      <c r="WED48" s="44"/>
      <c r="WEE48" s="44"/>
      <c r="WEF48" s="44"/>
      <c r="WEG48" s="44"/>
      <c r="WEH48" s="44"/>
      <c r="WEI48" s="44"/>
      <c r="WEJ48" s="44"/>
      <c r="WEK48" s="44"/>
      <c r="WEL48" s="44"/>
      <c r="WEM48" s="44"/>
      <c r="WEN48" s="44"/>
      <c r="WEO48" s="44"/>
      <c r="WEP48" s="44"/>
      <c r="WEQ48" s="44"/>
      <c r="WER48" s="44"/>
      <c r="WES48" s="44"/>
      <c r="WET48" s="44"/>
      <c r="WEU48" s="44"/>
      <c r="WEV48" s="44"/>
      <c r="WEW48" s="44"/>
      <c r="WEX48" s="44"/>
      <c r="WEY48" s="44"/>
      <c r="WEZ48" s="44"/>
      <c r="WFA48" s="44"/>
      <c r="WFB48" s="44"/>
      <c r="WFC48" s="44"/>
      <c r="WFD48" s="44"/>
      <c r="WFE48" s="44"/>
      <c r="WFF48" s="44"/>
      <c r="WFG48" s="44"/>
      <c r="WFH48" s="44"/>
      <c r="WFI48" s="44"/>
      <c r="WFJ48" s="44"/>
      <c r="WFK48" s="44"/>
      <c r="WFL48" s="44"/>
      <c r="WFM48" s="44"/>
      <c r="WFN48" s="44"/>
      <c r="WFO48" s="44"/>
      <c r="WFP48" s="44"/>
      <c r="WFQ48" s="44"/>
      <c r="WFR48" s="44"/>
      <c r="WFS48" s="44"/>
      <c r="WFT48" s="44"/>
      <c r="WFU48" s="44"/>
      <c r="WFV48" s="44"/>
      <c r="WFW48" s="44"/>
      <c r="WFX48" s="44"/>
      <c r="WFY48" s="44"/>
      <c r="WFZ48" s="44"/>
      <c r="WGA48" s="44"/>
      <c r="WGB48" s="44"/>
      <c r="WGC48" s="44"/>
      <c r="WGD48" s="44"/>
      <c r="WGE48" s="44"/>
      <c r="WGF48" s="44"/>
      <c r="WGG48" s="44"/>
      <c r="WGH48" s="44"/>
      <c r="WGI48" s="44"/>
      <c r="WGJ48" s="44"/>
      <c r="WGK48" s="44"/>
      <c r="WGL48" s="44"/>
      <c r="WGM48" s="44"/>
      <c r="WGN48" s="44"/>
      <c r="WGO48" s="44"/>
      <c r="WGP48" s="44"/>
      <c r="WGQ48" s="44"/>
      <c r="WGR48" s="44"/>
      <c r="WGS48" s="44"/>
      <c r="WGT48" s="44"/>
      <c r="WGU48" s="44"/>
      <c r="WGV48" s="44"/>
      <c r="WGW48" s="44"/>
      <c r="WGX48" s="44"/>
      <c r="WGY48" s="44"/>
      <c r="WGZ48" s="44"/>
      <c r="WHA48" s="44"/>
      <c r="WHB48" s="44"/>
      <c r="WHC48" s="44"/>
      <c r="WHD48" s="44"/>
      <c r="WHE48" s="44"/>
      <c r="WHF48" s="44"/>
      <c r="WHG48" s="44"/>
      <c r="WHH48" s="44"/>
      <c r="WHI48" s="44"/>
      <c r="WHJ48" s="44"/>
      <c r="WHK48" s="44"/>
      <c r="WHL48" s="44"/>
      <c r="WHM48" s="44"/>
      <c r="WHN48" s="44"/>
      <c r="WHO48" s="44"/>
      <c r="WHP48" s="44"/>
      <c r="WHQ48" s="44"/>
      <c r="WHR48" s="44"/>
      <c r="WHS48" s="44"/>
      <c r="WHT48" s="44"/>
      <c r="WHU48" s="44"/>
      <c r="WHV48" s="44"/>
      <c r="WHW48" s="44"/>
      <c r="WHX48" s="44"/>
      <c r="WHY48" s="44"/>
      <c r="WHZ48" s="44"/>
      <c r="WIA48" s="44"/>
      <c r="WIB48" s="44"/>
      <c r="WIC48" s="44"/>
      <c r="WID48" s="44"/>
      <c r="WIE48" s="44"/>
      <c r="WIF48" s="44"/>
      <c r="WIG48" s="44"/>
      <c r="WIH48" s="44"/>
      <c r="WII48" s="44"/>
      <c r="WIJ48" s="44"/>
      <c r="WIK48" s="44"/>
      <c r="WIL48" s="44"/>
      <c r="WIM48" s="44"/>
      <c r="WIN48" s="44"/>
      <c r="WIO48" s="44"/>
      <c r="WIP48" s="44"/>
      <c r="WIQ48" s="44"/>
      <c r="WIR48" s="44"/>
      <c r="WIS48" s="44"/>
      <c r="WIT48" s="44"/>
      <c r="WIU48" s="44"/>
      <c r="WIV48" s="44"/>
      <c r="WIW48" s="44"/>
      <c r="WIX48" s="44"/>
      <c r="WIY48" s="44"/>
      <c r="WIZ48" s="44"/>
      <c r="WJA48" s="44"/>
      <c r="WJB48" s="44"/>
      <c r="WJC48" s="44"/>
      <c r="WJD48" s="44"/>
      <c r="WJE48" s="44"/>
      <c r="WJF48" s="44"/>
      <c r="WJG48" s="44"/>
      <c r="WJH48" s="44"/>
      <c r="WJI48" s="44"/>
      <c r="WJJ48" s="44"/>
      <c r="WJK48" s="44"/>
      <c r="WJL48" s="44"/>
      <c r="WJM48" s="44"/>
      <c r="WJN48" s="44"/>
      <c r="WJO48" s="44"/>
      <c r="WJP48" s="44"/>
      <c r="WJQ48" s="44"/>
      <c r="WJR48" s="44"/>
      <c r="WJS48" s="44"/>
      <c r="WJT48" s="44"/>
      <c r="WJU48" s="44"/>
      <c r="WJV48" s="44"/>
      <c r="WJW48" s="44"/>
      <c r="WJX48" s="44"/>
      <c r="WJY48" s="44"/>
      <c r="WJZ48" s="44"/>
      <c r="WKA48" s="44"/>
      <c r="WKB48" s="44"/>
      <c r="WKC48" s="44"/>
      <c r="WKD48" s="44"/>
      <c r="WKE48" s="44"/>
      <c r="WKF48" s="44"/>
      <c r="WKG48" s="44"/>
      <c r="WKH48" s="44"/>
      <c r="WKI48" s="44"/>
      <c r="WKJ48" s="44"/>
      <c r="WKK48" s="44"/>
      <c r="WKL48" s="44"/>
      <c r="WKM48" s="44"/>
      <c r="WKN48" s="44"/>
      <c r="WKO48" s="44"/>
      <c r="WKP48" s="44"/>
      <c r="WKQ48" s="44"/>
      <c r="WKR48" s="44"/>
      <c r="WKS48" s="44"/>
      <c r="WKT48" s="44"/>
      <c r="WKU48" s="44"/>
      <c r="WKV48" s="44"/>
      <c r="WKW48" s="44"/>
      <c r="WKX48" s="44"/>
      <c r="WKY48" s="44"/>
      <c r="WKZ48" s="44"/>
      <c r="WLA48" s="44"/>
      <c r="WLB48" s="44"/>
      <c r="WLC48" s="44"/>
      <c r="WLD48" s="44"/>
      <c r="WLE48" s="44"/>
      <c r="WLF48" s="44"/>
      <c r="WLG48" s="44"/>
      <c r="WLH48" s="44"/>
      <c r="WLI48" s="44"/>
      <c r="WLJ48" s="44"/>
      <c r="WLK48" s="44"/>
      <c r="WLL48" s="44"/>
      <c r="WLM48" s="44"/>
      <c r="WLN48" s="44"/>
      <c r="WLO48" s="44"/>
      <c r="WLP48" s="44"/>
      <c r="WLQ48" s="44"/>
      <c r="WLR48" s="44"/>
      <c r="WLS48" s="44"/>
      <c r="WLT48" s="44"/>
      <c r="WLU48" s="44"/>
      <c r="WLV48" s="44"/>
      <c r="WLW48" s="44"/>
      <c r="WLX48" s="44"/>
      <c r="WLY48" s="44"/>
      <c r="WLZ48" s="44"/>
      <c r="WMA48" s="44"/>
      <c r="WMB48" s="44"/>
      <c r="WMC48" s="44"/>
      <c r="WMD48" s="44"/>
      <c r="WME48" s="44"/>
      <c r="WMF48" s="44"/>
      <c r="WMG48" s="44"/>
      <c r="WMH48" s="44"/>
      <c r="WMI48" s="44"/>
      <c r="WMJ48" s="44"/>
      <c r="WMK48" s="44"/>
      <c r="WML48" s="44"/>
      <c r="WMM48" s="44"/>
      <c r="WMN48" s="44"/>
      <c r="WMO48" s="44"/>
      <c r="WMP48" s="44"/>
      <c r="WMQ48" s="44"/>
      <c r="WMR48" s="44"/>
      <c r="WMS48" s="44"/>
      <c r="WMT48" s="44"/>
      <c r="WMU48" s="44"/>
      <c r="WMV48" s="44"/>
      <c r="WMW48" s="44"/>
      <c r="WMX48" s="44"/>
      <c r="WMY48" s="44"/>
      <c r="WMZ48" s="44"/>
      <c r="WNA48" s="44"/>
      <c r="WNB48" s="44"/>
      <c r="WNC48" s="44"/>
      <c r="WND48" s="44"/>
      <c r="WNE48" s="44"/>
      <c r="WNF48" s="44"/>
      <c r="WNG48" s="44"/>
      <c r="WNH48" s="44"/>
      <c r="WNI48" s="44"/>
      <c r="WNJ48" s="44"/>
      <c r="WNK48" s="44"/>
      <c r="WNL48" s="44"/>
      <c r="WNM48" s="44"/>
      <c r="WNN48" s="44"/>
      <c r="WNO48" s="44"/>
      <c r="WNP48" s="44"/>
      <c r="WNQ48" s="44"/>
      <c r="WNR48" s="44"/>
      <c r="WNS48" s="44"/>
      <c r="WNT48" s="44"/>
      <c r="WNU48" s="44"/>
      <c r="WNV48" s="44"/>
      <c r="WNW48" s="44"/>
      <c r="WNX48" s="44"/>
      <c r="WNY48" s="44"/>
      <c r="WNZ48" s="44"/>
      <c r="WOA48" s="44"/>
      <c r="WOB48" s="44"/>
      <c r="WOC48" s="44"/>
      <c r="WOD48" s="44"/>
      <c r="WOE48" s="44"/>
      <c r="WOF48" s="44"/>
      <c r="WOG48" s="44"/>
      <c r="WOH48" s="44"/>
      <c r="WOI48" s="44"/>
      <c r="WOJ48" s="44"/>
      <c r="WOK48" s="44"/>
      <c r="WOL48" s="44"/>
      <c r="WOM48" s="44"/>
      <c r="WON48" s="44"/>
      <c r="WOO48" s="44"/>
      <c r="WOP48" s="44"/>
      <c r="WOQ48" s="44"/>
      <c r="WOR48" s="44"/>
      <c r="WOS48" s="44"/>
      <c r="WOT48" s="44"/>
      <c r="WOU48" s="44"/>
      <c r="WOV48" s="44"/>
      <c r="WOW48" s="44"/>
      <c r="WOX48" s="44"/>
      <c r="WOY48" s="44"/>
      <c r="WOZ48" s="44"/>
      <c r="WPA48" s="44"/>
      <c r="WPB48" s="44"/>
      <c r="WPC48" s="44"/>
      <c r="WPD48" s="44"/>
      <c r="WPE48" s="44"/>
      <c r="WPF48" s="44"/>
      <c r="WPG48" s="44"/>
      <c r="WPH48" s="44"/>
      <c r="WPI48" s="44"/>
      <c r="WPJ48" s="44"/>
      <c r="WPK48" s="44"/>
      <c r="WPL48" s="44"/>
      <c r="WPM48" s="44"/>
      <c r="WPN48" s="44"/>
      <c r="WPO48" s="44"/>
      <c r="WPP48" s="44"/>
      <c r="WPQ48" s="44"/>
      <c r="WPR48" s="44"/>
      <c r="WPS48" s="44"/>
      <c r="WPT48" s="44"/>
      <c r="WPU48" s="44"/>
      <c r="WPV48" s="44"/>
      <c r="WPW48" s="44"/>
      <c r="WPX48" s="44"/>
      <c r="WPY48" s="44"/>
      <c r="WPZ48" s="44"/>
      <c r="WQA48" s="44"/>
      <c r="WQB48" s="44"/>
      <c r="WQC48" s="44"/>
      <c r="WQD48" s="44"/>
      <c r="WQE48" s="44"/>
      <c r="WQF48" s="44"/>
      <c r="WQG48" s="44"/>
      <c r="WQH48" s="44"/>
      <c r="WQI48" s="44"/>
      <c r="WQJ48" s="44"/>
      <c r="WQK48" s="44"/>
      <c r="WQL48" s="44"/>
      <c r="WQM48" s="44"/>
      <c r="WQN48" s="44"/>
      <c r="WQO48" s="44"/>
      <c r="WQP48" s="44"/>
      <c r="WQQ48" s="44"/>
      <c r="WQR48" s="44"/>
      <c r="WQS48" s="44"/>
      <c r="WQT48" s="44"/>
      <c r="WQU48" s="44"/>
      <c r="WQV48" s="44"/>
      <c r="WQW48" s="44"/>
      <c r="WQX48" s="44"/>
      <c r="WQY48" s="44"/>
      <c r="WQZ48" s="44"/>
      <c r="WRA48" s="44"/>
      <c r="WRB48" s="44"/>
      <c r="WRC48" s="44"/>
      <c r="WRD48" s="44"/>
      <c r="WRE48" s="44"/>
      <c r="WRF48" s="44"/>
      <c r="WRG48" s="44"/>
      <c r="WRH48" s="44"/>
      <c r="WRI48" s="44"/>
      <c r="WRJ48" s="44"/>
      <c r="WRK48" s="44"/>
      <c r="WRL48" s="44"/>
      <c r="WRM48" s="44"/>
      <c r="WRN48" s="44"/>
      <c r="WRO48" s="44"/>
      <c r="WRP48" s="44"/>
      <c r="WRQ48" s="44"/>
      <c r="WRR48" s="44"/>
      <c r="WRS48" s="44"/>
      <c r="WRT48" s="44"/>
      <c r="WRU48" s="44"/>
      <c r="WRV48" s="44"/>
      <c r="WRW48" s="44"/>
      <c r="WRX48" s="44"/>
      <c r="WRY48" s="44"/>
      <c r="WRZ48" s="44"/>
      <c r="WSA48" s="44"/>
      <c r="WSB48" s="44"/>
      <c r="WSC48" s="44"/>
      <c r="WSD48" s="44"/>
      <c r="WSE48" s="44"/>
      <c r="WSF48" s="44"/>
      <c r="WSG48" s="44"/>
      <c r="WSH48" s="44"/>
      <c r="WSI48" s="44"/>
      <c r="WSJ48" s="44"/>
      <c r="WSK48" s="44"/>
      <c r="WSL48" s="44"/>
      <c r="WSM48" s="44"/>
      <c r="WSN48" s="44"/>
      <c r="WSO48" s="44"/>
      <c r="WSP48" s="44"/>
      <c r="WSQ48" s="44"/>
      <c r="WSR48" s="44"/>
      <c r="WSS48" s="44"/>
      <c r="WST48" s="44"/>
      <c r="WSU48" s="44"/>
      <c r="WSV48" s="44"/>
      <c r="WSW48" s="44"/>
      <c r="WSX48" s="44"/>
      <c r="WSY48" s="44"/>
      <c r="WSZ48" s="44"/>
      <c r="WTA48" s="44"/>
      <c r="WTB48" s="44"/>
      <c r="WTC48" s="44"/>
      <c r="WTD48" s="44"/>
      <c r="WTE48" s="44"/>
      <c r="WTF48" s="44"/>
      <c r="WTG48" s="44"/>
      <c r="WTH48" s="44"/>
      <c r="WTI48" s="44"/>
      <c r="WTJ48" s="44"/>
      <c r="WTK48" s="44"/>
      <c r="WTL48" s="44"/>
      <c r="WTM48" s="44"/>
      <c r="WTN48" s="44"/>
      <c r="WTO48" s="44"/>
      <c r="WTP48" s="44"/>
      <c r="WTQ48" s="44"/>
      <c r="WTR48" s="44"/>
      <c r="WTS48" s="44"/>
      <c r="WTT48" s="44"/>
      <c r="WTU48" s="44"/>
      <c r="WTV48" s="44"/>
      <c r="WTW48" s="44"/>
      <c r="WTX48" s="44"/>
      <c r="WTY48" s="44"/>
      <c r="WTZ48" s="44"/>
      <c r="WUA48" s="44"/>
      <c r="WUB48" s="44"/>
      <c r="WUC48" s="44"/>
      <c r="WUD48" s="44"/>
      <c r="WUE48" s="44"/>
      <c r="WUF48" s="44"/>
      <c r="WUG48" s="44"/>
      <c r="WUH48" s="44"/>
      <c r="WUI48" s="44"/>
      <c r="WUJ48" s="44"/>
      <c r="WUK48" s="44"/>
      <c r="WUL48" s="44"/>
      <c r="WUM48" s="44"/>
      <c r="WUN48" s="44"/>
      <c r="WUO48" s="44"/>
      <c r="WUP48" s="44"/>
      <c r="WUQ48" s="44"/>
      <c r="WUR48" s="44"/>
      <c r="WUS48" s="44"/>
      <c r="WUT48" s="44"/>
      <c r="WUU48" s="44"/>
      <c r="WUV48" s="44"/>
      <c r="WUW48" s="44"/>
      <c r="WUX48" s="44"/>
      <c r="WUY48" s="44"/>
      <c r="WUZ48" s="44"/>
      <c r="WVA48" s="44"/>
      <c r="WVB48" s="44"/>
      <c r="WVC48" s="44"/>
      <c r="WVD48" s="44"/>
      <c r="WVE48" s="44"/>
      <c r="WVF48" s="44"/>
      <c r="WVG48" s="44"/>
      <c r="WVH48" s="44"/>
      <c r="WVI48" s="44"/>
      <c r="WVJ48" s="44"/>
      <c r="WVK48" s="44"/>
      <c r="WVL48" s="44"/>
      <c r="WVM48" s="44"/>
      <c r="WVN48" s="44"/>
      <c r="WVO48" s="44"/>
      <c r="WVP48" s="44"/>
      <c r="WVQ48" s="44"/>
      <c r="WVR48" s="44"/>
      <c r="WVS48" s="44"/>
      <c r="WVT48" s="44"/>
      <c r="WVU48" s="44"/>
      <c r="WVV48" s="44"/>
      <c r="WVW48" s="44"/>
      <c r="WVX48" s="44"/>
      <c r="WVY48" s="44"/>
      <c r="WVZ48" s="44"/>
      <c r="WWA48" s="44"/>
      <c r="WWB48" s="44"/>
      <c r="WWC48" s="44"/>
      <c r="WWD48" s="44"/>
      <c r="WWE48" s="44"/>
      <c r="WWF48" s="44"/>
      <c r="WWG48" s="44"/>
      <c r="WWH48" s="44"/>
      <c r="WWI48" s="44"/>
      <c r="WWJ48" s="44"/>
      <c r="WWK48" s="44"/>
      <c r="WWL48" s="44"/>
      <c r="WWM48" s="44"/>
      <c r="WWN48" s="44"/>
      <c r="WWO48" s="44"/>
      <c r="WWP48" s="44"/>
      <c r="WWQ48" s="44"/>
      <c r="WWR48" s="44"/>
      <c r="WWS48" s="44"/>
      <c r="WWT48" s="44"/>
      <c r="WWU48" s="44"/>
      <c r="WWV48" s="44"/>
      <c r="WWW48" s="44"/>
      <c r="WWX48" s="44"/>
      <c r="WWY48" s="44"/>
      <c r="WWZ48" s="44"/>
      <c r="WXA48" s="44"/>
      <c r="WXB48" s="44"/>
      <c r="WXC48" s="44"/>
      <c r="WXD48" s="44"/>
      <c r="WXE48" s="44"/>
      <c r="WXF48" s="44"/>
      <c r="WXG48" s="44"/>
      <c r="WXH48" s="44"/>
      <c r="WXI48" s="44"/>
      <c r="WXJ48" s="44"/>
      <c r="WXK48" s="44"/>
      <c r="WXL48" s="44"/>
      <c r="WXM48" s="44"/>
      <c r="WXN48" s="44"/>
      <c r="WXO48" s="44"/>
      <c r="WXP48" s="44"/>
      <c r="WXQ48" s="44"/>
      <c r="WXR48" s="44"/>
      <c r="WXS48" s="44"/>
      <c r="WXT48" s="44"/>
      <c r="WXU48" s="44"/>
      <c r="WXV48" s="44"/>
      <c r="WXW48" s="44"/>
      <c r="WXX48" s="44"/>
      <c r="WXY48" s="44"/>
      <c r="WXZ48" s="44"/>
      <c r="WYA48" s="44"/>
      <c r="WYB48" s="44"/>
      <c r="WYC48" s="44"/>
      <c r="WYD48" s="44"/>
      <c r="WYE48" s="44"/>
      <c r="WYF48" s="44"/>
      <c r="WYG48" s="44"/>
      <c r="WYH48" s="44"/>
      <c r="WYI48" s="44"/>
      <c r="WYJ48" s="44"/>
      <c r="WYK48" s="44"/>
      <c r="WYL48" s="44"/>
      <c r="WYM48" s="44"/>
      <c r="WYN48" s="44"/>
      <c r="WYO48" s="44"/>
      <c r="WYP48" s="44"/>
      <c r="WYQ48" s="44"/>
      <c r="WYR48" s="44"/>
      <c r="WYS48" s="44"/>
      <c r="WYT48" s="44"/>
      <c r="WYU48" s="44"/>
      <c r="WYV48" s="44"/>
      <c r="WYW48" s="44"/>
      <c r="WYX48" s="44"/>
      <c r="WYY48" s="44"/>
      <c r="WYZ48" s="44"/>
      <c r="WZA48" s="44"/>
      <c r="WZB48" s="44"/>
      <c r="WZC48" s="44"/>
      <c r="WZD48" s="44"/>
      <c r="WZE48" s="44"/>
      <c r="WZF48" s="44"/>
      <c r="WZG48" s="44"/>
      <c r="WZH48" s="44"/>
      <c r="WZI48" s="44"/>
      <c r="WZJ48" s="44"/>
      <c r="WZK48" s="44"/>
      <c r="WZL48" s="44"/>
      <c r="WZM48" s="44"/>
      <c r="WZN48" s="44"/>
      <c r="WZO48" s="44"/>
      <c r="WZP48" s="44"/>
      <c r="WZQ48" s="44"/>
      <c r="WZR48" s="44"/>
      <c r="WZS48" s="44"/>
      <c r="WZT48" s="44"/>
      <c r="WZU48" s="44"/>
      <c r="WZV48" s="44"/>
      <c r="WZW48" s="44"/>
      <c r="WZX48" s="44"/>
      <c r="WZY48" s="44"/>
      <c r="WZZ48" s="44"/>
      <c r="XAA48" s="44"/>
      <c r="XAB48" s="44"/>
      <c r="XAC48" s="44"/>
      <c r="XAD48" s="44"/>
      <c r="XAE48" s="44"/>
      <c r="XAF48" s="44"/>
      <c r="XAG48" s="44"/>
      <c r="XAH48" s="44"/>
      <c r="XAI48" s="44"/>
      <c r="XAJ48" s="44"/>
      <c r="XAK48" s="44"/>
      <c r="XAL48" s="44"/>
      <c r="XAM48" s="44"/>
      <c r="XAN48" s="44"/>
      <c r="XAO48" s="44"/>
      <c r="XAP48" s="44"/>
      <c r="XAQ48" s="44"/>
      <c r="XAR48" s="44"/>
      <c r="XAS48" s="44"/>
      <c r="XAT48" s="44"/>
      <c r="XAU48" s="44"/>
      <c r="XAV48" s="44"/>
      <c r="XAW48" s="44"/>
      <c r="XAX48" s="44"/>
      <c r="XAY48" s="44"/>
      <c r="XAZ48" s="44"/>
      <c r="XBA48" s="44"/>
      <c r="XBB48" s="44"/>
      <c r="XBC48" s="44"/>
      <c r="XBD48" s="44"/>
      <c r="XBE48" s="44"/>
      <c r="XBF48" s="44"/>
      <c r="XBG48" s="44"/>
      <c r="XBH48" s="44"/>
      <c r="XBI48" s="44"/>
      <c r="XBJ48" s="44"/>
      <c r="XBK48" s="44"/>
      <c r="XBL48" s="44"/>
      <c r="XBM48" s="44"/>
      <c r="XBN48" s="44"/>
      <c r="XBO48" s="44"/>
      <c r="XBP48" s="44"/>
      <c r="XBQ48" s="44"/>
      <c r="XBR48" s="44"/>
      <c r="XBS48" s="44"/>
      <c r="XBT48" s="44"/>
      <c r="XBU48" s="44"/>
      <c r="XBV48" s="44"/>
      <c r="XBW48" s="44"/>
      <c r="XBX48" s="44"/>
      <c r="XBY48" s="44"/>
      <c r="XBZ48" s="44"/>
      <c r="XCA48" s="44"/>
      <c r="XCB48" s="44"/>
      <c r="XCC48" s="44"/>
      <c r="XCD48" s="44"/>
      <c r="XCE48" s="44"/>
      <c r="XCF48" s="44"/>
      <c r="XCG48" s="44"/>
      <c r="XCH48" s="44"/>
      <c r="XCI48" s="44"/>
      <c r="XCJ48" s="44"/>
      <c r="XCK48" s="44"/>
      <c r="XCL48" s="44"/>
      <c r="XCM48" s="44"/>
      <c r="XCN48" s="44"/>
      <c r="XCO48" s="44"/>
      <c r="XCP48" s="44"/>
      <c r="XCQ48" s="44"/>
      <c r="XCR48" s="44"/>
      <c r="XCS48" s="44"/>
      <c r="XCT48" s="44"/>
      <c r="XCU48" s="44"/>
      <c r="XCV48" s="44"/>
      <c r="XCW48" s="44"/>
      <c r="XCX48" s="44"/>
      <c r="XCY48" s="44"/>
      <c r="XCZ48" s="44"/>
      <c r="XDA48" s="44"/>
      <c r="XDB48" s="44"/>
      <c r="XDC48" s="44"/>
      <c r="XDD48" s="44"/>
      <c r="XDE48" s="44"/>
      <c r="XDF48" s="44"/>
      <c r="XDG48" s="44"/>
      <c r="XDH48" s="44"/>
      <c r="XDI48" s="44"/>
      <c r="XDJ48" s="44"/>
      <c r="XDK48" s="44"/>
      <c r="XDL48" s="44"/>
      <c r="XDM48" s="44"/>
      <c r="XDN48" s="44"/>
      <c r="XDO48" s="44"/>
      <c r="XDP48" s="44"/>
      <c r="XDQ48" s="44"/>
      <c r="XDR48" s="44"/>
      <c r="XDS48" s="44"/>
      <c r="XDT48" s="44"/>
      <c r="XDU48" s="44"/>
      <c r="XDV48" s="44"/>
      <c r="XDW48" s="44"/>
      <c r="XDX48" s="44"/>
      <c r="XDY48" s="44"/>
      <c r="XDZ48" s="44"/>
      <c r="XEA48" s="44"/>
      <c r="XEB48" s="44"/>
      <c r="XEC48" s="44"/>
      <c r="XED48" s="44"/>
      <c r="XEE48" s="44"/>
      <c r="XEF48" s="44"/>
      <c r="XEG48" s="44"/>
      <c r="XEH48" s="44"/>
      <c r="XEI48" s="44"/>
      <c r="XEJ48" s="44"/>
      <c r="XEK48" s="44"/>
      <c r="XEL48" s="44"/>
      <c r="XEM48" s="44"/>
      <c r="XEN48" s="44"/>
      <c r="XEO48" s="44"/>
      <c r="XEP48" s="44"/>
      <c r="XEQ48" s="44"/>
      <c r="XER48" s="44"/>
      <c r="XES48" s="44"/>
      <c r="XET48" s="44"/>
      <c r="XEU48" s="44"/>
      <c r="XEV48" s="44"/>
      <c r="XEW48" s="44"/>
      <c r="XEX48" s="44"/>
      <c r="XEY48" s="44"/>
      <c r="XEZ48" s="44"/>
      <c r="XFA48" s="44"/>
      <c r="XFB48" s="44"/>
      <c r="XFC48" s="44"/>
      <c r="XFD48" s="44"/>
    </row>
    <row r="49" spans="2:16384" x14ac:dyDescent="0.25">
      <c r="P49" s="327"/>
      <c r="Q49" s="327"/>
    </row>
    <row r="50" spans="2:16384" x14ac:dyDescent="0.25">
      <c r="C50" s="197">
        <f>1+C48</f>
        <v>2</v>
      </c>
      <c r="D50" t="s">
        <v>640</v>
      </c>
      <c r="H50" s="77" t="s">
        <v>643</v>
      </c>
      <c r="J50" s="134">
        <f>SUMPRODUCT(vector.users.telephone,vector.periodicity,vector.implicit.prices.line.rental.before.discount)</f>
        <v>24963380030.272587</v>
      </c>
      <c r="L50" s="44"/>
      <c r="M50" s="134">
        <f>SUMPRODUCT(vector.users.telephone,vector.periodicity,vector.implicit.prices.voice.before.discount)</f>
        <v>3130184130.0241485</v>
      </c>
      <c r="P50" s="419"/>
      <c r="Q50" s="420"/>
    </row>
    <row r="51" spans="2:16384" x14ac:dyDescent="0.25">
      <c r="C51" s="95">
        <f>1+C50</f>
        <v>3</v>
      </c>
      <c r="D51" t="s">
        <v>641</v>
      </c>
      <c r="H51" s="77" t="s">
        <v>643</v>
      </c>
      <c r="J51" s="134">
        <f>SUMPRODUCT(vector.users.telephone,vector.periodicity,vector.implicit.prices.line.rental.after.discount)</f>
        <v>19428244159.74192</v>
      </c>
      <c r="L51" s="44"/>
      <c r="M51" s="134">
        <f>SUMPRODUCT(vector.users.telephone,vector.periodicity,vector.implicit.prices.voice.after.discount)</f>
        <v>2229258622.2624235</v>
      </c>
      <c r="P51" s="419"/>
      <c r="Q51" s="420"/>
    </row>
    <row r="52" spans="2:16384" x14ac:dyDescent="0.25">
      <c r="P52" s="419"/>
      <c r="Q52" s="420"/>
    </row>
    <row r="53" spans="2:16384" x14ac:dyDescent="0.25">
      <c r="C53" s="95">
        <v>5</v>
      </c>
      <c r="D53" s="102" t="s">
        <v>94</v>
      </c>
      <c r="H53" s="77" t="s">
        <v>643</v>
      </c>
      <c r="J53" s="199">
        <f>J48+J51</f>
        <v>20675074829.101921</v>
      </c>
      <c r="K53" s="181">
        <f>J53/SUM($J$53,$M$53)</f>
        <v>0.90267087985790595</v>
      </c>
      <c r="L53" s="44"/>
      <c r="M53" s="199">
        <f>M48+M51</f>
        <v>2229258622.2624235</v>
      </c>
      <c r="N53" s="181">
        <f>M53/SUM($J$53,$M$53)</f>
        <v>9.7329120142094022E-2</v>
      </c>
      <c r="P53" s="419"/>
      <c r="Q53" s="421"/>
    </row>
    <row r="55" spans="2:16384" x14ac:dyDescent="0.25">
      <c r="B55" s="100">
        <v>1.2</v>
      </c>
      <c r="C55" s="100" t="s">
        <v>645</v>
      </c>
      <c r="D55" s="100"/>
      <c r="E55" s="100"/>
      <c r="F55" s="100"/>
      <c r="G55" s="10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4"/>
      <c r="BE55" s="44"/>
      <c r="BF55" s="44"/>
      <c r="BG55" s="44"/>
      <c r="BH55" s="44"/>
      <c r="BI55" s="44"/>
      <c r="BJ55" s="44"/>
      <c r="BK55" s="44"/>
      <c r="BL55" s="44"/>
      <c r="BM55" s="44"/>
      <c r="BN55" s="44"/>
      <c r="BO55" s="44"/>
      <c r="BP55" s="44"/>
      <c r="BQ55" s="44"/>
      <c r="BR55" s="44"/>
      <c r="BS55" s="44"/>
      <c r="BT55" s="44"/>
      <c r="BU55" s="44"/>
      <c r="BV55" s="44"/>
      <c r="BW55" s="44"/>
      <c r="BX55" s="44"/>
      <c r="BY55" s="44"/>
      <c r="BZ55" s="44"/>
      <c r="CA55" s="44"/>
      <c r="CB55" s="44"/>
      <c r="CC55" s="44"/>
      <c r="CD55" s="44"/>
      <c r="CE55" s="44"/>
      <c r="CF55" s="44"/>
      <c r="CG55" s="44"/>
      <c r="CH55" s="44"/>
      <c r="CI55" s="44"/>
      <c r="CJ55" s="44"/>
      <c r="CK55" s="44"/>
      <c r="CL55" s="44"/>
      <c r="CM55" s="44"/>
      <c r="CN55" s="44"/>
      <c r="CO55" s="44"/>
      <c r="CP55" s="44"/>
      <c r="CQ55" s="44"/>
      <c r="CR55" s="44"/>
      <c r="CS55" s="44"/>
      <c r="CT55" s="44"/>
      <c r="CU55" s="44"/>
      <c r="CV55" s="44"/>
      <c r="CW55" s="44"/>
      <c r="CX55" s="44"/>
      <c r="CY55" s="44"/>
      <c r="CZ55" s="44"/>
      <c r="DA55" s="44"/>
      <c r="DB55" s="44"/>
      <c r="DC55" s="44"/>
      <c r="DD55" s="44"/>
      <c r="DE55" s="44"/>
      <c r="DF55" s="44"/>
      <c r="DG55" s="44"/>
      <c r="DH55" s="44"/>
      <c r="DI55" s="44"/>
      <c r="DJ55" s="44"/>
      <c r="DK55" s="44"/>
      <c r="DL55" s="44"/>
      <c r="DM55" s="44"/>
      <c r="DN55" s="44"/>
      <c r="DO55" s="44"/>
      <c r="DP55" s="44"/>
      <c r="DQ55" s="44"/>
      <c r="DR55" s="44"/>
      <c r="DS55" s="44"/>
      <c r="DT55" s="44"/>
      <c r="DU55" s="44"/>
      <c r="DV55" s="44"/>
      <c r="DW55" s="44"/>
      <c r="DX55" s="44"/>
      <c r="DY55" s="44"/>
      <c r="DZ55" s="44"/>
      <c r="EA55" s="44"/>
      <c r="EB55" s="44"/>
      <c r="EC55" s="44"/>
      <c r="ED55" s="44"/>
      <c r="EE55" s="44"/>
      <c r="EF55" s="44"/>
      <c r="EG55" s="44"/>
      <c r="EH55" s="44"/>
      <c r="EI55" s="44"/>
      <c r="EJ55" s="44"/>
      <c r="EK55" s="44"/>
      <c r="EL55" s="44"/>
      <c r="EM55" s="44"/>
      <c r="EN55" s="44"/>
      <c r="EO55" s="44"/>
      <c r="EP55" s="44"/>
      <c r="EQ55" s="44"/>
      <c r="ER55" s="44"/>
      <c r="ES55" s="44"/>
      <c r="ET55" s="44"/>
      <c r="EU55" s="44"/>
      <c r="EV55" s="44"/>
      <c r="EW55" s="44"/>
      <c r="EX55" s="44"/>
      <c r="EY55" s="44"/>
      <c r="EZ55" s="44"/>
      <c r="FA55" s="44"/>
      <c r="FB55" s="44"/>
      <c r="FC55" s="44"/>
      <c r="FD55" s="44"/>
      <c r="FE55" s="44"/>
      <c r="FF55" s="44"/>
      <c r="FG55" s="44"/>
      <c r="FH55" s="44"/>
      <c r="FI55" s="44"/>
      <c r="FJ55" s="44"/>
      <c r="FK55" s="44"/>
      <c r="FL55" s="44"/>
      <c r="FM55" s="44"/>
      <c r="FN55" s="44"/>
      <c r="FO55" s="44"/>
      <c r="FP55" s="44"/>
      <c r="FQ55" s="44"/>
      <c r="FR55" s="44"/>
      <c r="FS55" s="44"/>
      <c r="FT55" s="44"/>
      <c r="FU55" s="44"/>
      <c r="FV55" s="44"/>
      <c r="FW55" s="44"/>
      <c r="FX55" s="44"/>
      <c r="FY55" s="44"/>
      <c r="FZ55" s="44"/>
      <c r="GA55" s="44"/>
      <c r="GB55" s="44"/>
      <c r="GC55" s="44"/>
      <c r="GD55" s="44"/>
      <c r="GE55" s="44"/>
      <c r="GF55" s="44"/>
      <c r="GG55" s="44"/>
      <c r="GH55" s="44"/>
      <c r="GI55" s="44"/>
      <c r="GJ55" s="44"/>
      <c r="GK55" s="44"/>
      <c r="GL55" s="44"/>
      <c r="GM55" s="44"/>
      <c r="GN55" s="44"/>
      <c r="GO55" s="44"/>
      <c r="GP55" s="44"/>
      <c r="GQ55" s="44"/>
      <c r="GR55" s="44"/>
      <c r="GS55" s="44"/>
      <c r="GT55" s="44"/>
      <c r="GU55" s="44"/>
      <c r="GV55" s="44"/>
      <c r="GW55" s="44"/>
      <c r="GX55" s="44"/>
      <c r="GY55" s="44"/>
      <c r="GZ55" s="44"/>
      <c r="HA55" s="44"/>
      <c r="HB55" s="44"/>
      <c r="HC55" s="44"/>
      <c r="HD55" s="44"/>
      <c r="HE55" s="44"/>
      <c r="HF55" s="44"/>
      <c r="HG55" s="44"/>
      <c r="HH55" s="44"/>
      <c r="HI55" s="44"/>
      <c r="HJ55" s="44"/>
      <c r="HK55" s="44"/>
      <c r="HL55" s="44"/>
      <c r="HM55" s="44"/>
      <c r="HN55" s="44"/>
      <c r="HO55" s="44"/>
      <c r="HP55" s="44"/>
      <c r="HQ55" s="44"/>
      <c r="HR55" s="44"/>
      <c r="HS55" s="44"/>
      <c r="HT55" s="44"/>
      <c r="HU55" s="44"/>
      <c r="HV55" s="44"/>
      <c r="HW55" s="44"/>
      <c r="HX55" s="44"/>
      <c r="HY55" s="44"/>
      <c r="HZ55" s="44"/>
      <c r="IA55" s="44"/>
      <c r="IB55" s="44"/>
      <c r="IC55" s="44"/>
      <c r="ID55" s="44"/>
      <c r="IE55" s="44"/>
      <c r="IF55" s="44"/>
      <c r="IG55" s="44"/>
      <c r="IH55" s="44"/>
      <c r="II55" s="44"/>
      <c r="IJ55" s="44"/>
      <c r="IK55" s="44"/>
      <c r="IL55" s="44"/>
      <c r="IM55" s="44"/>
      <c r="IN55" s="44"/>
      <c r="IO55" s="44"/>
      <c r="IP55" s="44"/>
      <c r="IQ55" s="44"/>
      <c r="IR55" s="44"/>
      <c r="IS55" s="44"/>
      <c r="IT55" s="44"/>
      <c r="IU55" s="44"/>
      <c r="IV55" s="44"/>
      <c r="IW55" s="44"/>
      <c r="IX55" s="44"/>
      <c r="IY55" s="44"/>
      <c r="IZ55" s="44"/>
      <c r="JA55" s="44"/>
      <c r="JB55" s="44"/>
      <c r="JC55" s="44"/>
      <c r="JD55" s="44"/>
      <c r="JE55" s="44"/>
      <c r="JF55" s="44"/>
      <c r="JG55" s="44"/>
      <c r="JH55" s="44"/>
      <c r="JI55" s="44"/>
      <c r="JJ55" s="44"/>
      <c r="JK55" s="44"/>
      <c r="JL55" s="44"/>
      <c r="JM55" s="44"/>
      <c r="JN55" s="44"/>
      <c r="JO55" s="44"/>
      <c r="JP55" s="44"/>
      <c r="JQ55" s="44"/>
      <c r="JR55" s="44"/>
      <c r="JS55" s="44"/>
      <c r="JT55" s="44"/>
      <c r="JU55" s="44"/>
      <c r="JV55" s="44"/>
      <c r="JW55" s="44"/>
      <c r="JX55" s="44"/>
      <c r="JY55" s="44"/>
      <c r="JZ55" s="44"/>
      <c r="KA55" s="44"/>
      <c r="KB55" s="44"/>
      <c r="KC55" s="44"/>
      <c r="KD55" s="44"/>
      <c r="KE55" s="44"/>
      <c r="KF55" s="44"/>
      <c r="KG55" s="44"/>
      <c r="KH55" s="44"/>
      <c r="KI55" s="44"/>
      <c r="KJ55" s="44"/>
      <c r="KK55" s="44"/>
      <c r="KL55" s="44"/>
      <c r="KM55" s="44"/>
      <c r="KN55" s="44"/>
      <c r="KO55" s="44"/>
      <c r="KP55" s="44"/>
      <c r="KQ55" s="44"/>
      <c r="KR55" s="44"/>
      <c r="KS55" s="44"/>
      <c r="KT55" s="44"/>
      <c r="KU55" s="44"/>
      <c r="KV55" s="44"/>
      <c r="KW55" s="44"/>
      <c r="KX55" s="44"/>
      <c r="KY55" s="44"/>
      <c r="KZ55" s="44"/>
      <c r="LA55" s="44"/>
      <c r="LB55" s="44"/>
      <c r="LC55" s="44"/>
      <c r="LD55" s="44"/>
      <c r="LE55" s="44"/>
      <c r="LF55" s="44"/>
      <c r="LG55" s="44"/>
      <c r="LH55" s="44"/>
      <c r="LI55" s="44"/>
      <c r="LJ55" s="44"/>
      <c r="LK55" s="44"/>
      <c r="LL55" s="44"/>
      <c r="LM55" s="44"/>
      <c r="LN55" s="44"/>
      <c r="LO55" s="44"/>
      <c r="LP55" s="44"/>
      <c r="LQ55" s="44"/>
      <c r="LR55" s="44"/>
      <c r="LS55" s="44"/>
      <c r="LT55" s="44"/>
      <c r="LU55" s="44"/>
      <c r="LV55" s="44"/>
      <c r="LW55" s="44"/>
      <c r="LX55" s="44"/>
      <c r="LY55" s="44"/>
      <c r="LZ55" s="44"/>
      <c r="MA55" s="44"/>
      <c r="MB55" s="44"/>
      <c r="MC55" s="44"/>
      <c r="MD55" s="44"/>
      <c r="ME55" s="44"/>
      <c r="MF55" s="44"/>
      <c r="MG55" s="44"/>
      <c r="MH55" s="44"/>
      <c r="MI55" s="44"/>
      <c r="MJ55" s="44"/>
      <c r="MK55" s="44"/>
      <c r="ML55" s="44"/>
      <c r="MM55" s="44"/>
      <c r="MN55" s="44"/>
      <c r="MO55" s="44"/>
      <c r="MP55" s="44"/>
      <c r="MQ55" s="44"/>
      <c r="MR55" s="44"/>
      <c r="MS55" s="44"/>
      <c r="MT55" s="44"/>
      <c r="MU55" s="44"/>
      <c r="MV55" s="44"/>
      <c r="MW55" s="44"/>
      <c r="MX55" s="44"/>
      <c r="MY55" s="44"/>
      <c r="MZ55" s="44"/>
      <c r="NA55" s="44"/>
      <c r="NB55" s="44"/>
      <c r="NC55" s="44"/>
      <c r="ND55" s="44"/>
      <c r="NE55" s="44"/>
      <c r="NF55" s="44"/>
      <c r="NG55" s="44"/>
      <c r="NH55" s="44"/>
      <c r="NI55" s="44"/>
      <c r="NJ55" s="44"/>
      <c r="NK55" s="44"/>
      <c r="NL55" s="44"/>
      <c r="NM55" s="44"/>
      <c r="NN55" s="44"/>
      <c r="NO55" s="44"/>
      <c r="NP55" s="44"/>
      <c r="NQ55" s="44"/>
      <c r="NR55" s="44"/>
      <c r="NS55" s="44"/>
      <c r="NT55" s="44"/>
      <c r="NU55" s="44"/>
      <c r="NV55" s="44"/>
      <c r="NW55" s="44"/>
      <c r="NX55" s="44"/>
      <c r="NY55" s="44"/>
      <c r="NZ55" s="44"/>
      <c r="OA55" s="44"/>
      <c r="OB55" s="44"/>
      <c r="OC55" s="44"/>
      <c r="OD55" s="44"/>
      <c r="OE55" s="44"/>
      <c r="OF55" s="44"/>
      <c r="OG55" s="44"/>
      <c r="OH55" s="44"/>
      <c r="OI55" s="44"/>
      <c r="OJ55" s="44"/>
      <c r="OK55" s="44"/>
      <c r="OL55" s="44"/>
      <c r="OM55" s="44"/>
      <c r="ON55" s="44"/>
      <c r="OO55" s="44"/>
      <c r="OP55" s="44"/>
      <c r="OQ55" s="44"/>
      <c r="OR55" s="44"/>
      <c r="OS55" s="44"/>
      <c r="OT55" s="44"/>
      <c r="OU55" s="44"/>
      <c r="OV55" s="44"/>
      <c r="OW55" s="44"/>
      <c r="OX55" s="44"/>
      <c r="OY55" s="44"/>
      <c r="OZ55" s="44"/>
      <c r="PA55" s="44"/>
      <c r="PB55" s="44"/>
      <c r="PC55" s="44"/>
      <c r="PD55" s="44"/>
      <c r="PE55" s="44"/>
      <c r="PF55" s="44"/>
      <c r="PG55" s="44"/>
      <c r="PH55" s="44"/>
      <c r="PI55" s="44"/>
      <c r="PJ55" s="44"/>
      <c r="PK55" s="44"/>
      <c r="PL55" s="44"/>
      <c r="PM55" s="44"/>
      <c r="PN55" s="44"/>
      <c r="PO55" s="44"/>
      <c r="PP55" s="44"/>
      <c r="PQ55" s="44"/>
      <c r="PR55" s="44"/>
      <c r="PS55" s="44"/>
      <c r="PT55" s="44"/>
      <c r="PU55" s="44"/>
      <c r="PV55" s="44"/>
      <c r="PW55" s="44"/>
      <c r="PX55" s="44"/>
      <c r="PY55" s="44"/>
      <c r="PZ55" s="44"/>
      <c r="QA55" s="44"/>
      <c r="QB55" s="44"/>
      <c r="QC55" s="44"/>
      <c r="QD55" s="44"/>
      <c r="QE55" s="44"/>
      <c r="QF55" s="44"/>
      <c r="QG55" s="44"/>
      <c r="QH55" s="44"/>
      <c r="QI55" s="44"/>
      <c r="QJ55" s="44"/>
      <c r="QK55" s="44"/>
      <c r="QL55" s="44"/>
      <c r="QM55" s="44"/>
      <c r="QN55" s="44"/>
      <c r="QO55" s="44"/>
      <c r="QP55" s="44"/>
      <c r="QQ55" s="44"/>
      <c r="QR55" s="44"/>
      <c r="QS55" s="44"/>
      <c r="QT55" s="44"/>
      <c r="QU55" s="44"/>
      <c r="QV55" s="44"/>
      <c r="QW55" s="44"/>
      <c r="QX55" s="44"/>
      <c r="QY55" s="44"/>
      <c r="QZ55" s="44"/>
      <c r="RA55" s="44"/>
      <c r="RB55" s="44"/>
      <c r="RC55" s="44"/>
      <c r="RD55" s="44"/>
      <c r="RE55" s="44"/>
      <c r="RF55" s="44"/>
      <c r="RG55" s="44"/>
      <c r="RH55" s="44"/>
      <c r="RI55" s="44"/>
      <c r="RJ55" s="44"/>
      <c r="RK55" s="44"/>
      <c r="RL55" s="44"/>
      <c r="RM55" s="44"/>
      <c r="RN55" s="44"/>
      <c r="RO55" s="44"/>
      <c r="RP55" s="44"/>
      <c r="RQ55" s="44"/>
      <c r="RR55" s="44"/>
      <c r="RS55" s="44"/>
      <c r="RT55" s="44"/>
      <c r="RU55" s="44"/>
      <c r="RV55" s="44"/>
      <c r="RW55" s="44"/>
      <c r="RX55" s="44"/>
      <c r="RY55" s="44"/>
      <c r="RZ55" s="44"/>
      <c r="SA55" s="44"/>
      <c r="SB55" s="44"/>
      <c r="SC55" s="44"/>
      <c r="SD55" s="44"/>
      <c r="SE55" s="44"/>
      <c r="SF55" s="44"/>
      <c r="SG55" s="44"/>
      <c r="SH55" s="44"/>
      <c r="SI55" s="44"/>
      <c r="SJ55" s="44"/>
      <c r="SK55" s="44"/>
      <c r="SL55" s="44"/>
      <c r="SM55" s="44"/>
      <c r="SN55" s="44"/>
      <c r="SO55" s="44"/>
      <c r="SP55" s="44"/>
      <c r="SQ55" s="44"/>
      <c r="SR55" s="44"/>
      <c r="SS55" s="44"/>
      <c r="ST55" s="44"/>
      <c r="SU55" s="44"/>
      <c r="SV55" s="44"/>
      <c r="SW55" s="44"/>
      <c r="SX55" s="44"/>
      <c r="SY55" s="44"/>
      <c r="SZ55" s="44"/>
      <c r="TA55" s="44"/>
      <c r="TB55" s="44"/>
      <c r="TC55" s="44"/>
      <c r="TD55" s="44"/>
      <c r="TE55" s="44"/>
      <c r="TF55" s="44"/>
      <c r="TG55" s="44"/>
      <c r="TH55" s="44"/>
      <c r="TI55" s="44"/>
      <c r="TJ55" s="44"/>
      <c r="TK55" s="44"/>
      <c r="TL55" s="44"/>
      <c r="TM55" s="44"/>
      <c r="TN55" s="44"/>
      <c r="TO55" s="44"/>
      <c r="TP55" s="44"/>
      <c r="TQ55" s="44"/>
      <c r="TR55" s="44"/>
      <c r="TS55" s="44"/>
      <c r="TT55" s="44"/>
      <c r="TU55" s="44"/>
      <c r="TV55" s="44"/>
      <c r="TW55" s="44"/>
      <c r="TX55" s="44"/>
      <c r="TY55" s="44"/>
      <c r="TZ55" s="44"/>
      <c r="UA55" s="44"/>
      <c r="UB55" s="44"/>
      <c r="UC55" s="44"/>
      <c r="UD55" s="44"/>
      <c r="UE55" s="44"/>
      <c r="UF55" s="44"/>
      <c r="UG55" s="44"/>
      <c r="UH55" s="44"/>
      <c r="UI55" s="44"/>
      <c r="UJ55" s="44"/>
      <c r="UK55" s="44"/>
      <c r="UL55" s="44"/>
      <c r="UM55" s="44"/>
      <c r="UN55" s="44"/>
      <c r="UO55" s="44"/>
      <c r="UP55" s="44"/>
      <c r="UQ55" s="44"/>
      <c r="UR55" s="44"/>
      <c r="US55" s="44"/>
      <c r="UT55" s="44"/>
      <c r="UU55" s="44"/>
      <c r="UV55" s="44"/>
      <c r="UW55" s="44"/>
      <c r="UX55" s="44"/>
      <c r="UY55" s="44"/>
      <c r="UZ55" s="44"/>
      <c r="VA55" s="44"/>
      <c r="VB55" s="44"/>
      <c r="VC55" s="44"/>
      <c r="VD55" s="44"/>
      <c r="VE55" s="44"/>
      <c r="VF55" s="44"/>
      <c r="VG55" s="44"/>
      <c r="VH55" s="44"/>
      <c r="VI55" s="44"/>
      <c r="VJ55" s="44"/>
      <c r="VK55" s="44"/>
      <c r="VL55" s="44"/>
      <c r="VM55" s="44"/>
      <c r="VN55" s="44"/>
      <c r="VO55" s="44"/>
      <c r="VP55" s="44"/>
      <c r="VQ55" s="44"/>
      <c r="VR55" s="44"/>
      <c r="VS55" s="44"/>
      <c r="VT55" s="44"/>
      <c r="VU55" s="44"/>
      <c r="VV55" s="44"/>
      <c r="VW55" s="44"/>
      <c r="VX55" s="44"/>
      <c r="VY55" s="44"/>
      <c r="VZ55" s="44"/>
      <c r="WA55" s="44"/>
      <c r="WB55" s="44"/>
      <c r="WC55" s="44"/>
      <c r="WD55" s="44"/>
      <c r="WE55" s="44"/>
      <c r="WF55" s="44"/>
      <c r="WG55" s="44"/>
      <c r="WH55" s="44"/>
      <c r="WI55" s="44"/>
      <c r="WJ55" s="44"/>
      <c r="WK55" s="44"/>
      <c r="WL55" s="44"/>
      <c r="WM55" s="44"/>
      <c r="WN55" s="44"/>
      <c r="WO55" s="44"/>
      <c r="WP55" s="44"/>
      <c r="WQ55" s="44"/>
      <c r="WR55" s="44"/>
      <c r="WS55" s="44"/>
      <c r="WT55" s="44"/>
      <c r="WU55" s="44"/>
      <c r="WV55" s="44"/>
      <c r="WW55" s="44"/>
      <c r="WX55" s="44"/>
      <c r="WY55" s="44"/>
      <c r="WZ55" s="44"/>
      <c r="XA55" s="44"/>
      <c r="XB55" s="44"/>
      <c r="XC55" s="44"/>
      <c r="XD55" s="44"/>
      <c r="XE55" s="44"/>
      <c r="XF55" s="44"/>
      <c r="XG55" s="44"/>
      <c r="XH55" s="44"/>
      <c r="XI55" s="44"/>
      <c r="XJ55" s="44"/>
      <c r="XK55" s="44"/>
      <c r="XL55" s="44"/>
      <c r="XM55" s="44"/>
      <c r="XN55" s="44"/>
      <c r="XO55" s="44"/>
      <c r="XP55" s="44"/>
      <c r="XQ55" s="44"/>
      <c r="XR55" s="44"/>
      <c r="XS55" s="44"/>
      <c r="XT55" s="44"/>
      <c r="XU55" s="44"/>
      <c r="XV55" s="44"/>
      <c r="XW55" s="44"/>
      <c r="XX55" s="44"/>
      <c r="XY55" s="44"/>
      <c r="XZ55" s="44"/>
      <c r="YA55" s="44"/>
      <c r="YB55" s="44"/>
      <c r="YC55" s="44"/>
      <c r="YD55" s="44"/>
      <c r="YE55" s="44"/>
      <c r="YF55" s="44"/>
      <c r="YG55" s="44"/>
      <c r="YH55" s="44"/>
      <c r="YI55" s="44"/>
      <c r="YJ55" s="44"/>
      <c r="YK55" s="44"/>
      <c r="YL55" s="44"/>
      <c r="YM55" s="44"/>
      <c r="YN55" s="44"/>
      <c r="YO55" s="44"/>
      <c r="YP55" s="44"/>
      <c r="YQ55" s="44"/>
      <c r="YR55" s="44"/>
      <c r="YS55" s="44"/>
      <c r="YT55" s="44"/>
      <c r="YU55" s="44"/>
      <c r="YV55" s="44"/>
      <c r="YW55" s="44"/>
      <c r="YX55" s="44"/>
      <c r="YY55" s="44"/>
      <c r="YZ55" s="44"/>
      <c r="ZA55" s="44"/>
      <c r="ZB55" s="44"/>
      <c r="ZC55" s="44"/>
      <c r="ZD55" s="44"/>
      <c r="ZE55" s="44"/>
      <c r="ZF55" s="44"/>
      <c r="ZG55" s="44"/>
      <c r="ZH55" s="44"/>
      <c r="ZI55" s="44"/>
      <c r="ZJ55" s="44"/>
      <c r="ZK55" s="44"/>
      <c r="ZL55" s="44"/>
      <c r="ZM55" s="44"/>
      <c r="ZN55" s="44"/>
      <c r="ZO55" s="44"/>
      <c r="ZP55" s="44"/>
      <c r="ZQ55" s="44"/>
      <c r="ZR55" s="44"/>
      <c r="ZS55" s="44"/>
      <c r="ZT55" s="44"/>
      <c r="ZU55" s="44"/>
      <c r="ZV55" s="44"/>
      <c r="ZW55" s="44"/>
      <c r="ZX55" s="44"/>
      <c r="ZY55" s="44"/>
      <c r="ZZ55" s="44"/>
      <c r="AAA55" s="44"/>
      <c r="AAB55" s="44"/>
      <c r="AAC55" s="44"/>
      <c r="AAD55" s="44"/>
      <c r="AAE55" s="44"/>
      <c r="AAF55" s="44"/>
      <c r="AAG55" s="44"/>
      <c r="AAH55" s="44"/>
      <c r="AAI55" s="44"/>
      <c r="AAJ55" s="44"/>
      <c r="AAK55" s="44"/>
      <c r="AAL55" s="44"/>
      <c r="AAM55" s="44"/>
      <c r="AAN55" s="44"/>
      <c r="AAO55" s="44"/>
      <c r="AAP55" s="44"/>
      <c r="AAQ55" s="44"/>
      <c r="AAR55" s="44"/>
      <c r="AAS55" s="44"/>
      <c r="AAT55" s="44"/>
      <c r="AAU55" s="44"/>
      <c r="AAV55" s="44"/>
      <c r="AAW55" s="44"/>
      <c r="AAX55" s="44"/>
      <c r="AAY55" s="44"/>
      <c r="AAZ55" s="44"/>
      <c r="ABA55" s="44"/>
      <c r="ABB55" s="44"/>
      <c r="ABC55" s="44"/>
      <c r="ABD55" s="44"/>
      <c r="ABE55" s="44"/>
      <c r="ABF55" s="44"/>
      <c r="ABG55" s="44"/>
      <c r="ABH55" s="44"/>
      <c r="ABI55" s="44"/>
      <c r="ABJ55" s="44"/>
      <c r="ABK55" s="44"/>
      <c r="ABL55" s="44"/>
      <c r="ABM55" s="44"/>
      <c r="ABN55" s="44"/>
      <c r="ABO55" s="44"/>
      <c r="ABP55" s="44"/>
      <c r="ABQ55" s="44"/>
      <c r="ABR55" s="44"/>
      <c r="ABS55" s="44"/>
      <c r="ABT55" s="44"/>
      <c r="ABU55" s="44"/>
      <c r="ABV55" s="44"/>
      <c r="ABW55" s="44"/>
      <c r="ABX55" s="44"/>
      <c r="ABY55" s="44"/>
      <c r="ABZ55" s="44"/>
      <c r="ACA55" s="44"/>
      <c r="ACB55" s="44"/>
      <c r="ACC55" s="44"/>
      <c r="ACD55" s="44"/>
      <c r="ACE55" s="44"/>
      <c r="ACF55" s="44"/>
      <c r="ACG55" s="44"/>
      <c r="ACH55" s="44"/>
      <c r="ACI55" s="44"/>
      <c r="ACJ55" s="44"/>
      <c r="ACK55" s="44"/>
      <c r="ACL55" s="44"/>
      <c r="ACM55" s="44"/>
      <c r="ACN55" s="44"/>
      <c r="ACO55" s="44"/>
      <c r="ACP55" s="44"/>
      <c r="ACQ55" s="44"/>
      <c r="ACR55" s="44"/>
      <c r="ACS55" s="44"/>
      <c r="ACT55" s="44"/>
      <c r="ACU55" s="44"/>
      <c r="ACV55" s="44"/>
      <c r="ACW55" s="44"/>
      <c r="ACX55" s="44"/>
      <c r="ACY55" s="44"/>
      <c r="ACZ55" s="44"/>
      <c r="ADA55" s="44"/>
      <c r="ADB55" s="44"/>
      <c r="ADC55" s="44"/>
      <c r="ADD55" s="44"/>
      <c r="ADE55" s="44"/>
      <c r="ADF55" s="44"/>
      <c r="ADG55" s="44"/>
      <c r="ADH55" s="44"/>
      <c r="ADI55" s="44"/>
      <c r="ADJ55" s="44"/>
      <c r="ADK55" s="44"/>
      <c r="ADL55" s="44"/>
      <c r="ADM55" s="44"/>
      <c r="ADN55" s="44"/>
      <c r="ADO55" s="44"/>
      <c r="ADP55" s="44"/>
      <c r="ADQ55" s="44"/>
      <c r="ADR55" s="44"/>
      <c r="ADS55" s="44"/>
      <c r="ADT55" s="44"/>
      <c r="ADU55" s="44"/>
      <c r="ADV55" s="44"/>
      <c r="ADW55" s="44"/>
      <c r="ADX55" s="44"/>
      <c r="ADY55" s="44"/>
      <c r="ADZ55" s="44"/>
      <c r="AEA55" s="44"/>
      <c r="AEB55" s="44"/>
      <c r="AEC55" s="44"/>
      <c r="AED55" s="44"/>
      <c r="AEE55" s="44"/>
      <c r="AEF55" s="44"/>
      <c r="AEG55" s="44"/>
      <c r="AEH55" s="44"/>
      <c r="AEI55" s="44"/>
      <c r="AEJ55" s="44"/>
      <c r="AEK55" s="44"/>
      <c r="AEL55" s="44"/>
      <c r="AEM55" s="44"/>
      <c r="AEN55" s="44"/>
      <c r="AEO55" s="44"/>
      <c r="AEP55" s="44"/>
      <c r="AEQ55" s="44"/>
      <c r="AER55" s="44"/>
      <c r="AES55" s="44"/>
      <c r="AET55" s="44"/>
      <c r="AEU55" s="44"/>
      <c r="AEV55" s="44"/>
      <c r="AEW55" s="44"/>
      <c r="AEX55" s="44"/>
      <c r="AEY55" s="44"/>
      <c r="AEZ55" s="44"/>
      <c r="AFA55" s="44"/>
      <c r="AFB55" s="44"/>
      <c r="AFC55" s="44"/>
      <c r="AFD55" s="44"/>
      <c r="AFE55" s="44"/>
      <c r="AFF55" s="44"/>
      <c r="AFG55" s="44"/>
      <c r="AFH55" s="44"/>
      <c r="AFI55" s="44"/>
      <c r="AFJ55" s="44"/>
      <c r="AFK55" s="44"/>
      <c r="AFL55" s="44"/>
      <c r="AFM55" s="44"/>
      <c r="AFN55" s="44"/>
      <c r="AFO55" s="44"/>
      <c r="AFP55" s="44"/>
      <c r="AFQ55" s="44"/>
      <c r="AFR55" s="44"/>
      <c r="AFS55" s="44"/>
      <c r="AFT55" s="44"/>
      <c r="AFU55" s="44"/>
      <c r="AFV55" s="44"/>
      <c r="AFW55" s="44"/>
      <c r="AFX55" s="44"/>
      <c r="AFY55" s="44"/>
      <c r="AFZ55" s="44"/>
      <c r="AGA55" s="44"/>
      <c r="AGB55" s="44"/>
      <c r="AGC55" s="44"/>
      <c r="AGD55" s="44"/>
      <c r="AGE55" s="44"/>
      <c r="AGF55" s="44"/>
      <c r="AGG55" s="44"/>
      <c r="AGH55" s="44"/>
      <c r="AGI55" s="44"/>
      <c r="AGJ55" s="44"/>
      <c r="AGK55" s="44"/>
      <c r="AGL55" s="44"/>
      <c r="AGM55" s="44"/>
      <c r="AGN55" s="44"/>
      <c r="AGO55" s="44"/>
      <c r="AGP55" s="44"/>
      <c r="AGQ55" s="44"/>
      <c r="AGR55" s="44"/>
      <c r="AGS55" s="44"/>
      <c r="AGT55" s="44"/>
      <c r="AGU55" s="44"/>
      <c r="AGV55" s="44"/>
      <c r="AGW55" s="44"/>
      <c r="AGX55" s="44"/>
      <c r="AGY55" s="44"/>
      <c r="AGZ55" s="44"/>
      <c r="AHA55" s="44"/>
      <c r="AHB55" s="44"/>
      <c r="AHC55" s="44"/>
      <c r="AHD55" s="44"/>
      <c r="AHE55" s="44"/>
      <c r="AHF55" s="44"/>
      <c r="AHG55" s="44"/>
      <c r="AHH55" s="44"/>
      <c r="AHI55" s="44"/>
      <c r="AHJ55" s="44"/>
      <c r="AHK55" s="44"/>
      <c r="AHL55" s="44"/>
      <c r="AHM55" s="44"/>
      <c r="AHN55" s="44"/>
      <c r="AHO55" s="44"/>
      <c r="AHP55" s="44"/>
      <c r="AHQ55" s="44"/>
      <c r="AHR55" s="44"/>
      <c r="AHS55" s="44"/>
      <c r="AHT55" s="44"/>
      <c r="AHU55" s="44"/>
      <c r="AHV55" s="44"/>
      <c r="AHW55" s="44"/>
      <c r="AHX55" s="44"/>
      <c r="AHY55" s="44"/>
      <c r="AHZ55" s="44"/>
      <c r="AIA55" s="44"/>
      <c r="AIB55" s="44"/>
      <c r="AIC55" s="44"/>
      <c r="AID55" s="44"/>
      <c r="AIE55" s="44"/>
      <c r="AIF55" s="44"/>
      <c r="AIG55" s="44"/>
      <c r="AIH55" s="44"/>
      <c r="AII55" s="44"/>
      <c r="AIJ55" s="44"/>
      <c r="AIK55" s="44"/>
      <c r="AIL55" s="44"/>
      <c r="AIM55" s="44"/>
      <c r="AIN55" s="44"/>
      <c r="AIO55" s="44"/>
      <c r="AIP55" s="44"/>
      <c r="AIQ55" s="44"/>
      <c r="AIR55" s="44"/>
      <c r="AIS55" s="44"/>
      <c r="AIT55" s="44"/>
      <c r="AIU55" s="44"/>
      <c r="AIV55" s="44"/>
      <c r="AIW55" s="44"/>
      <c r="AIX55" s="44"/>
      <c r="AIY55" s="44"/>
      <c r="AIZ55" s="44"/>
      <c r="AJA55" s="44"/>
      <c r="AJB55" s="44"/>
      <c r="AJC55" s="44"/>
      <c r="AJD55" s="44"/>
      <c r="AJE55" s="44"/>
      <c r="AJF55" s="44"/>
      <c r="AJG55" s="44"/>
      <c r="AJH55" s="44"/>
      <c r="AJI55" s="44"/>
      <c r="AJJ55" s="44"/>
      <c r="AJK55" s="44"/>
      <c r="AJL55" s="44"/>
      <c r="AJM55" s="44"/>
      <c r="AJN55" s="44"/>
      <c r="AJO55" s="44"/>
      <c r="AJP55" s="44"/>
      <c r="AJQ55" s="44"/>
      <c r="AJR55" s="44"/>
      <c r="AJS55" s="44"/>
      <c r="AJT55" s="44"/>
      <c r="AJU55" s="44"/>
      <c r="AJV55" s="44"/>
      <c r="AJW55" s="44"/>
      <c r="AJX55" s="44"/>
      <c r="AJY55" s="44"/>
      <c r="AJZ55" s="44"/>
      <c r="AKA55" s="44"/>
      <c r="AKB55" s="44"/>
      <c r="AKC55" s="44"/>
      <c r="AKD55" s="44"/>
      <c r="AKE55" s="44"/>
      <c r="AKF55" s="44"/>
      <c r="AKG55" s="44"/>
      <c r="AKH55" s="44"/>
      <c r="AKI55" s="44"/>
      <c r="AKJ55" s="44"/>
      <c r="AKK55" s="44"/>
      <c r="AKL55" s="44"/>
      <c r="AKM55" s="44"/>
      <c r="AKN55" s="44"/>
      <c r="AKO55" s="44"/>
      <c r="AKP55" s="44"/>
      <c r="AKQ55" s="44"/>
      <c r="AKR55" s="44"/>
      <c r="AKS55" s="44"/>
      <c r="AKT55" s="44"/>
      <c r="AKU55" s="44"/>
      <c r="AKV55" s="44"/>
      <c r="AKW55" s="44"/>
      <c r="AKX55" s="44"/>
      <c r="AKY55" s="44"/>
      <c r="AKZ55" s="44"/>
      <c r="ALA55" s="44"/>
      <c r="ALB55" s="44"/>
      <c r="ALC55" s="44"/>
      <c r="ALD55" s="44"/>
      <c r="ALE55" s="44"/>
      <c r="ALF55" s="44"/>
      <c r="ALG55" s="44"/>
      <c r="ALH55" s="44"/>
      <c r="ALI55" s="44"/>
      <c r="ALJ55" s="44"/>
      <c r="ALK55" s="44"/>
      <c r="ALL55" s="44"/>
      <c r="ALM55" s="44"/>
      <c r="ALN55" s="44"/>
      <c r="ALO55" s="44"/>
      <c r="ALP55" s="44"/>
      <c r="ALQ55" s="44"/>
      <c r="ALR55" s="44"/>
      <c r="ALS55" s="44"/>
      <c r="ALT55" s="44"/>
      <c r="ALU55" s="44"/>
      <c r="ALV55" s="44"/>
      <c r="ALW55" s="44"/>
      <c r="ALX55" s="44"/>
      <c r="ALY55" s="44"/>
      <c r="ALZ55" s="44"/>
      <c r="AMA55" s="44"/>
      <c r="AMB55" s="44"/>
      <c r="AMC55" s="44"/>
      <c r="AMD55" s="44"/>
      <c r="AME55" s="44"/>
      <c r="AMF55" s="44"/>
      <c r="AMG55" s="44"/>
      <c r="AMH55" s="44"/>
      <c r="AMI55" s="44"/>
      <c r="AMJ55" s="44"/>
      <c r="AMK55" s="44"/>
      <c r="AML55" s="44"/>
      <c r="AMM55" s="44"/>
      <c r="AMN55" s="44"/>
      <c r="AMO55" s="44"/>
      <c r="AMP55" s="44"/>
      <c r="AMQ55" s="44"/>
      <c r="AMR55" s="44"/>
      <c r="AMS55" s="44"/>
      <c r="AMT55" s="44"/>
      <c r="AMU55" s="44"/>
      <c r="AMV55" s="44"/>
      <c r="AMW55" s="44"/>
      <c r="AMX55" s="44"/>
      <c r="AMY55" s="44"/>
      <c r="AMZ55" s="44"/>
      <c r="ANA55" s="44"/>
      <c r="ANB55" s="44"/>
      <c r="ANC55" s="44"/>
      <c r="AND55" s="44"/>
      <c r="ANE55" s="44"/>
      <c r="ANF55" s="44"/>
      <c r="ANG55" s="44"/>
      <c r="ANH55" s="44"/>
      <c r="ANI55" s="44"/>
      <c r="ANJ55" s="44"/>
      <c r="ANK55" s="44"/>
      <c r="ANL55" s="44"/>
      <c r="ANM55" s="44"/>
      <c r="ANN55" s="44"/>
      <c r="ANO55" s="44"/>
      <c r="ANP55" s="44"/>
      <c r="ANQ55" s="44"/>
      <c r="ANR55" s="44"/>
      <c r="ANS55" s="44"/>
      <c r="ANT55" s="44"/>
      <c r="ANU55" s="44"/>
      <c r="ANV55" s="44"/>
      <c r="ANW55" s="44"/>
      <c r="ANX55" s="44"/>
      <c r="ANY55" s="44"/>
      <c r="ANZ55" s="44"/>
      <c r="AOA55" s="44"/>
      <c r="AOB55" s="44"/>
      <c r="AOC55" s="44"/>
      <c r="AOD55" s="44"/>
      <c r="AOE55" s="44"/>
      <c r="AOF55" s="44"/>
      <c r="AOG55" s="44"/>
      <c r="AOH55" s="44"/>
      <c r="AOI55" s="44"/>
      <c r="AOJ55" s="44"/>
      <c r="AOK55" s="44"/>
      <c r="AOL55" s="44"/>
      <c r="AOM55" s="44"/>
      <c r="AON55" s="44"/>
      <c r="AOO55" s="44"/>
      <c r="AOP55" s="44"/>
      <c r="AOQ55" s="44"/>
      <c r="AOR55" s="44"/>
      <c r="AOS55" s="44"/>
      <c r="AOT55" s="44"/>
      <c r="AOU55" s="44"/>
      <c r="AOV55" s="44"/>
      <c r="AOW55" s="44"/>
      <c r="AOX55" s="44"/>
      <c r="AOY55" s="44"/>
      <c r="AOZ55" s="44"/>
      <c r="APA55" s="44"/>
      <c r="APB55" s="44"/>
      <c r="APC55" s="44"/>
      <c r="APD55" s="44"/>
      <c r="APE55" s="44"/>
      <c r="APF55" s="44"/>
      <c r="APG55" s="44"/>
      <c r="APH55" s="44"/>
      <c r="API55" s="44"/>
      <c r="APJ55" s="44"/>
      <c r="APK55" s="44"/>
      <c r="APL55" s="44"/>
      <c r="APM55" s="44"/>
      <c r="APN55" s="44"/>
      <c r="APO55" s="44"/>
      <c r="APP55" s="44"/>
      <c r="APQ55" s="44"/>
      <c r="APR55" s="44"/>
      <c r="APS55" s="44"/>
      <c r="APT55" s="44"/>
      <c r="APU55" s="44"/>
      <c r="APV55" s="44"/>
      <c r="APW55" s="44"/>
      <c r="APX55" s="44"/>
      <c r="APY55" s="44"/>
      <c r="APZ55" s="44"/>
      <c r="AQA55" s="44"/>
      <c r="AQB55" s="44"/>
      <c r="AQC55" s="44"/>
      <c r="AQD55" s="44"/>
      <c r="AQE55" s="44"/>
      <c r="AQF55" s="44"/>
      <c r="AQG55" s="44"/>
      <c r="AQH55" s="44"/>
      <c r="AQI55" s="44"/>
      <c r="AQJ55" s="44"/>
      <c r="AQK55" s="44"/>
      <c r="AQL55" s="44"/>
      <c r="AQM55" s="44"/>
      <c r="AQN55" s="44"/>
      <c r="AQO55" s="44"/>
      <c r="AQP55" s="44"/>
      <c r="AQQ55" s="44"/>
      <c r="AQR55" s="44"/>
      <c r="AQS55" s="44"/>
      <c r="AQT55" s="44"/>
      <c r="AQU55" s="44"/>
      <c r="AQV55" s="44"/>
      <c r="AQW55" s="44"/>
      <c r="AQX55" s="44"/>
      <c r="AQY55" s="44"/>
      <c r="AQZ55" s="44"/>
      <c r="ARA55" s="44"/>
      <c r="ARB55" s="44"/>
      <c r="ARC55" s="44"/>
      <c r="ARD55" s="44"/>
      <c r="ARE55" s="44"/>
      <c r="ARF55" s="44"/>
      <c r="ARG55" s="44"/>
      <c r="ARH55" s="44"/>
      <c r="ARI55" s="44"/>
      <c r="ARJ55" s="44"/>
      <c r="ARK55" s="44"/>
      <c r="ARL55" s="44"/>
      <c r="ARM55" s="44"/>
      <c r="ARN55" s="44"/>
      <c r="ARO55" s="44"/>
      <c r="ARP55" s="44"/>
      <c r="ARQ55" s="44"/>
      <c r="ARR55" s="44"/>
      <c r="ARS55" s="44"/>
      <c r="ART55" s="44"/>
      <c r="ARU55" s="44"/>
      <c r="ARV55" s="44"/>
      <c r="ARW55" s="44"/>
      <c r="ARX55" s="44"/>
      <c r="ARY55" s="44"/>
      <c r="ARZ55" s="44"/>
      <c r="ASA55" s="44"/>
      <c r="ASB55" s="44"/>
      <c r="ASC55" s="44"/>
      <c r="ASD55" s="44"/>
      <c r="ASE55" s="44"/>
      <c r="ASF55" s="44"/>
      <c r="ASG55" s="44"/>
      <c r="ASH55" s="44"/>
      <c r="ASI55" s="44"/>
      <c r="ASJ55" s="44"/>
      <c r="ASK55" s="44"/>
      <c r="ASL55" s="44"/>
      <c r="ASM55" s="44"/>
      <c r="ASN55" s="44"/>
      <c r="ASO55" s="44"/>
      <c r="ASP55" s="44"/>
      <c r="ASQ55" s="44"/>
      <c r="ASR55" s="44"/>
      <c r="ASS55" s="44"/>
      <c r="AST55" s="44"/>
      <c r="ASU55" s="44"/>
      <c r="ASV55" s="44"/>
      <c r="ASW55" s="44"/>
      <c r="ASX55" s="44"/>
      <c r="ASY55" s="44"/>
      <c r="ASZ55" s="44"/>
      <c r="ATA55" s="44"/>
      <c r="ATB55" s="44"/>
      <c r="ATC55" s="44"/>
      <c r="ATD55" s="44"/>
      <c r="ATE55" s="44"/>
      <c r="ATF55" s="44"/>
      <c r="ATG55" s="44"/>
      <c r="ATH55" s="44"/>
      <c r="ATI55" s="44"/>
      <c r="ATJ55" s="44"/>
      <c r="ATK55" s="44"/>
      <c r="ATL55" s="44"/>
      <c r="ATM55" s="44"/>
      <c r="ATN55" s="44"/>
      <c r="ATO55" s="44"/>
      <c r="ATP55" s="44"/>
      <c r="ATQ55" s="44"/>
      <c r="ATR55" s="44"/>
      <c r="ATS55" s="44"/>
      <c r="ATT55" s="44"/>
      <c r="ATU55" s="44"/>
      <c r="ATV55" s="44"/>
      <c r="ATW55" s="44"/>
      <c r="ATX55" s="44"/>
      <c r="ATY55" s="44"/>
      <c r="ATZ55" s="44"/>
      <c r="AUA55" s="44"/>
      <c r="AUB55" s="44"/>
      <c r="AUC55" s="44"/>
      <c r="AUD55" s="44"/>
      <c r="AUE55" s="44"/>
      <c r="AUF55" s="44"/>
      <c r="AUG55" s="44"/>
      <c r="AUH55" s="44"/>
      <c r="AUI55" s="44"/>
      <c r="AUJ55" s="44"/>
      <c r="AUK55" s="44"/>
      <c r="AUL55" s="44"/>
      <c r="AUM55" s="44"/>
      <c r="AUN55" s="44"/>
      <c r="AUO55" s="44"/>
      <c r="AUP55" s="44"/>
      <c r="AUQ55" s="44"/>
      <c r="AUR55" s="44"/>
      <c r="AUS55" s="44"/>
      <c r="AUT55" s="44"/>
      <c r="AUU55" s="44"/>
      <c r="AUV55" s="44"/>
      <c r="AUW55" s="44"/>
      <c r="AUX55" s="44"/>
      <c r="AUY55" s="44"/>
      <c r="AUZ55" s="44"/>
      <c r="AVA55" s="44"/>
      <c r="AVB55" s="44"/>
      <c r="AVC55" s="44"/>
      <c r="AVD55" s="44"/>
      <c r="AVE55" s="44"/>
      <c r="AVF55" s="44"/>
      <c r="AVG55" s="44"/>
      <c r="AVH55" s="44"/>
      <c r="AVI55" s="44"/>
      <c r="AVJ55" s="44"/>
      <c r="AVK55" s="44"/>
      <c r="AVL55" s="44"/>
      <c r="AVM55" s="44"/>
      <c r="AVN55" s="44"/>
      <c r="AVO55" s="44"/>
      <c r="AVP55" s="44"/>
      <c r="AVQ55" s="44"/>
      <c r="AVR55" s="44"/>
      <c r="AVS55" s="44"/>
      <c r="AVT55" s="44"/>
      <c r="AVU55" s="44"/>
      <c r="AVV55" s="44"/>
      <c r="AVW55" s="44"/>
      <c r="AVX55" s="44"/>
      <c r="AVY55" s="44"/>
      <c r="AVZ55" s="44"/>
      <c r="AWA55" s="44"/>
      <c r="AWB55" s="44"/>
      <c r="AWC55" s="44"/>
      <c r="AWD55" s="44"/>
      <c r="AWE55" s="44"/>
      <c r="AWF55" s="44"/>
      <c r="AWG55" s="44"/>
      <c r="AWH55" s="44"/>
      <c r="AWI55" s="44"/>
      <c r="AWJ55" s="44"/>
      <c r="AWK55" s="44"/>
      <c r="AWL55" s="44"/>
      <c r="AWM55" s="44"/>
      <c r="AWN55" s="44"/>
      <c r="AWO55" s="44"/>
      <c r="AWP55" s="44"/>
      <c r="AWQ55" s="44"/>
      <c r="AWR55" s="44"/>
      <c r="AWS55" s="44"/>
      <c r="AWT55" s="44"/>
      <c r="AWU55" s="44"/>
      <c r="AWV55" s="44"/>
      <c r="AWW55" s="44"/>
      <c r="AWX55" s="44"/>
      <c r="AWY55" s="44"/>
      <c r="AWZ55" s="44"/>
      <c r="AXA55" s="44"/>
      <c r="AXB55" s="44"/>
      <c r="AXC55" s="44"/>
      <c r="AXD55" s="44"/>
      <c r="AXE55" s="44"/>
      <c r="AXF55" s="44"/>
      <c r="AXG55" s="44"/>
      <c r="AXH55" s="44"/>
      <c r="AXI55" s="44"/>
      <c r="AXJ55" s="44"/>
      <c r="AXK55" s="44"/>
      <c r="AXL55" s="44"/>
      <c r="AXM55" s="44"/>
      <c r="AXN55" s="44"/>
      <c r="AXO55" s="44"/>
      <c r="AXP55" s="44"/>
      <c r="AXQ55" s="44"/>
      <c r="AXR55" s="44"/>
      <c r="AXS55" s="44"/>
      <c r="AXT55" s="44"/>
      <c r="AXU55" s="44"/>
      <c r="AXV55" s="44"/>
      <c r="AXW55" s="44"/>
      <c r="AXX55" s="44"/>
      <c r="AXY55" s="44"/>
      <c r="AXZ55" s="44"/>
      <c r="AYA55" s="44"/>
      <c r="AYB55" s="44"/>
      <c r="AYC55" s="44"/>
      <c r="AYD55" s="44"/>
      <c r="AYE55" s="44"/>
      <c r="AYF55" s="44"/>
      <c r="AYG55" s="44"/>
      <c r="AYH55" s="44"/>
      <c r="AYI55" s="44"/>
      <c r="AYJ55" s="44"/>
      <c r="AYK55" s="44"/>
      <c r="AYL55" s="44"/>
      <c r="AYM55" s="44"/>
      <c r="AYN55" s="44"/>
      <c r="AYO55" s="44"/>
      <c r="AYP55" s="44"/>
      <c r="AYQ55" s="44"/>
      <c r="AYR55" s="44"/>
      <c r="AYS55" s="44"/>
      <c r="AYT55" s="44"/>
      <c r="AYU55" s="44"/>
      <c r="AYV55" s="44"/>
      <c r="AYW55" s="44"/>
      <c r="AYX55" s="44"/>
      <c r="AYY55" s="44"/>
      <c r="AYZ55" s="44"/>
      <c r="AZA55" s="44"/>
      <c r="AZB55" s="44"/>
      <c r="AZC55" s="44"/>
      <c r="AZD55" s="44"/>
      <c r="AZE55" s="44"/>
      <c r="AZF55" s="44"/>
      <c r="AZG55" s="44"/>
      <c r="AZH55" s="44"/>
      <c r="AZI55" s="44"/>
      <c r="AZJ55" s="44"/>
      <c r="AZK55" s="44"/>
      <c r="AZL55" s="44"/>
      <c r="AZM55" s="44"/>
      <c r="AZN55" s="44"/>
      <c r="AZO55" s="44"/>
      <c r="AZP55" s="44"/>
      <c r="AZQ55" s="44"/>
      <c r="AZR55" s="44"/>
      <c r="AZS55" s="44"/>
      <c r="AZT55" s="44"/>
      <c r="AZU55" s="44"/>
      <c r="AZV55" s="44"/>
      <c r="AZW55" s="44"/>
      <c r="AZX55" s="44"/>
      <c r="AZY55" s="44"/>
      <c r="AZZ55" s="44"/>
      <c r="BAA55" s="44"/>
      <c r="BAB55" s="44"/>
      <c r="BAC55" s="44"/>
      <c r="BAD55" s="44"/>
      <c r="BAE55" s="44"/>
      <c r="BAF55" s="44"/>
      <c r="BAG55" s="44"/>
      <c r="BAH55" s="44"/>
      <c r="BAI55" s="44"/>
      <c r="BAJ55" s="44"/>
      <c r="BAK55" s="44"/>
      <c r="BAL55" s="44"/>
      <c r="BAM55" s="44"/>
      <c r="BAN55" s="44"/>
      <c r="BAO55" s="44"/>
      <c r="BAP55" s="44"/>
      <c r="BAQ55" s="44"/>
      <c r="BAR55" s="44"/>
      <c r="BAS55" s="44"/>
      <c r="BAT55" s="44"/>
      <c r="BAU55" s="44"/>
      <c r="BAV55" s="44"/>
      <c r="BAW55" s="44"/>
      <c r="BAX55" s="44"/>
      <c r="BAY55" s="44"/>
      <c r="BAZ55" s="44"/>
      <c r="BBA55" s="44"/>
      <c r="BBB55" s="44"/>
      <c r="BBC55" s="44"/>
      <c r="BBD55" s="44"/>
      <c r="BBE55" s="44"/>
      <c r="BBF55" s="44"/>
      <c r="BBG55" s="44"/>
      <c r="BBH55" s="44"/>
      <c r="BBI55" s="44"/>
      <c r="BBJ55" s="44"/>
      <c r="BBK55" s="44"/>
      <c r="BBL55" s="44"/>
      <c r="BBM55" s="44"/>
      <c r="BBN55" s="44"/>
      <c r="BBO55" s="44"/>
      <c r="BBP55" s="44"/>
      <c r="BBQ55" s="44"/>
      <c r="BBR55" s="44"/>
      <c r="BBS55" s="44"/>
      <c r="BBT55" s="44"/>
      <c r="BBU55" s="44"/>
      <c r="BBV55" s="44"/>
      <c r="BBW55" s="44"/>
      <c r="BBX55" s="44"/>
      <c r="BBY55" s="44"/>
      <c r="BBZ55" s="44"/>
      <c r="BCA55" s="44"/>
      <c r="BCB55" s="44"/>
      <c r="BCC55" s="44"/>
      <c r="BCD55" s="44"/>
      <c r="BCE55" s="44"/>
      <c r="BCF55" s="44"/>
      <c r="BCG55" s="44"/>
      <c r="BCH55" s="44"/>
      <c r="BCI55" s="44"/>
      <c r="BCJ55" s="44"/>
      <c r="BCK55" s="44"/>
      <c r="BCL55" s="44"/>
      <c r="BCM55" s="44"/>
      <c r="BCN55" s="44"/>
      <c r="BCO55" s="44"/>
      <c r="BCP55" s="44"/>
      <c r="BCQ55" s="44"/>
      <c r="BCR55" s="44"/>
      <c r="BCS55" s="44"/>
      <c r="BCT55" s="44"/>
      <c r="BCU55" s="44"/>
      <c r="BCV55" s="44"/>
      <c r="BCW55" s="44"/>
      <c r="BCX55" s="44"/>
      <c r="BCY55" s="44"/>
      <c r="BCZ55" s="44"/>
      <c r="BDA55" s="44"/>
      <c r="BDB55" s="44"/>
      <c r="BDC55" s="44"/>
      <c r="BDD55" s="44"/>
      <c r="BDE55" s="44"/>
      <c r="BDF55" s="44"/>
      <c r="BDG55" s="44"/>
      <c r="BDH55" s="44"/>
      <c r="BDI55" s="44"/>
      <c r="BDJ55" s="44"/>
      <c r="BDK55" s="44"/>
      <c r="BDL55" s="44"/>
      <c r="BDM55" s="44"/>
      <c r="BDN55" s="44"/>
      <c r="BDO55" s="44"/>
      <c r="BDP55" s="44"/>
      <c r="BDQ55" s="44"/>
      <c r="BDR55" s="44"/>
      <c r="BDS55" s="44"/>
      <c r="BDT55" s="44"/>
      <c r="BDU55" s="44"/>
      <c r="BDV55" s="44"/>
      <c r="BDW55" s="44"/>
      <c r="BDX55" s="44"/>
      <c r="BDY55" s="44"/>
      <c r="BDZ55" s="44"/>
      <c r="BEA55" s="44"/>
      <c r="BEB55" s="44"/>
      <c r="BEC55" s="44"/>
      <c r="BED55" s="44"/>
      <c r="BEE55" s="44"/>
      <c r="BEF55" s="44"/>
      <c r="BEG55" s="44"/>
      <c r="BEH55" s="44"/>
      <c r="BEI55" s="44"/>
      <c r="BEJ55" s="44"/>
      <c r="BEK55" s="44"/>
      <c r="BEL55" s="44"/>
      <c r="BEM55" s="44"/>
      <c r="BEN55" s="44"/>
      <c r="BEO55" s="44"/>
      <c r="BEP55" s="44"/>
      <c r="BEQ55" s="44"/>
      <c r="BER55" s="44"/>
      <c r="BES55" s="44"/>
      <c r="BET55" s="44"/>
      <c r="BEU55" s="44"/>
      <c r="BEV55" s="44"/>
      <c r="BEW55" s="44"/>
      <c r="BEX55" s="44"/>
      <c r="BEY55" s="44"/>
      <c r="BEZ55" s="44"/>
      <c r="BFA55" s="44"/>
      <c r="BFB55" s="44"/>
      <c r="BFC55" s="44"/>
      <c r="BFD55" s="44"/>
      <c r="BFE55" s="44"/>
      <c r="BFF55" s="44"/>
      <c r="BFG55" s="44"/>
      <c r="BFH55" s="44"/>
      <c r="BFI55" s="44"/>
      <c r="BFJ55" s="44"/>
      <c r="BFK55" s="44"/>
      <c r="BFL55" s="44"/>
      <c r="BFM55" s="44"/>
      <c r="BFN55" s="44"/>
      <c r="BFO55" s="44"/>
      <c r="BFP55" s="44"/>
      <c r="BFQ55" s="44"/>
      <c r="BFR55" s="44"/>
      <c r="BFS55" s="44"/>
      <c r="BFT55" s="44"/>
      <c r="BFU55" s="44"/>
      <c r="BFV55" s="44"/>
      <c r="BFW55" s="44"/>
      <c r="BFX55" s="44"/>
      <c r="BFY55" s="44"/>
      <c r="BFZ55" s="44"/>
      <c r="BGA55" s="44"/>
      <c r="BGB55" s="44"/>
      <c r="BGC55" s="44"/>
      <c r="BGD55" s="44"/>
      <c r="BGE55" s="44"/>
      <c r="BGF55" s="44"/>
      <c r="BGG55" s="44"/>
      <c r="BGH55" s="44"/>
      <c r="BGI55" s="44"/>
      <c r="BGJ55" s="44"/>
      <c r="BGK55" s="44"/>
      <c r="BGL55" s="44"/>
      <c r="BGM55" s="44"/>
      <c r="BGN55" s="44"/>
      <c r="BGO55" s="44"/>
      <c r="BGP55" s="44"/>
      <c r="BGQ55" s="44"/>
      <c r="BGR55" s="44"/>
      <c r="BGS55" s="44"/>
      <c r="BGT55" s="44"/>
      <c r="BGU55" s="44"/>
      <c r="BGV55" s="44"/>
      <c r="BGW55" s="44"/>
      <c r="BGX55" s="44"/>
      <c r="BGY55" s="44"/>
      <c r="BGZ55" s="44"/>
      <c r="BHA55" s="44"/>
      <c r="BHB55" s="44"/>
      <c r="BHC55" s="44"/>
      <c r="BHD55" s="44"/>
      <c r="BHE55" s="44"/>
      <c r="BHF55" s="44"/>
      <c r="BHG55" s="44"/>
      <c r="BHH55" s="44"/>
      <c r="BHI55" s="44"/>
      <c r="BHJ55" s="44"/>
      <c r="BHK55" s="44"/>
      <c r="BHL55" s="44"/>
      <c r="BHM55" s="44"/>
      <c r="BHN55" s="44"/>
      <c r="BHO55" s="44"/>
      <c r="BHP55" s="44"/>
      <c r="BHQ55" s="44"/>
      <c r="BHR55" s="44"/>
      <c r="BHS55" s="44"/>
      <c r="BHT55" s="44"/>
      <c r="BHU55" s="44"/>
      <c r="BHV55" s="44"/>
      <c r="BHW55" s="44"/>
      <c r="BHX55" s="44"/>
      <c r="BHY55" s="44"/>
      <c r="BHZ55" s="44"/>
      <c r="BIA55" s="44"/>
      <c r="BIB55" s="44"/>
      <c r="BIC55" s="44"/>
      <c r="BID55" s="44"/>
      <c r="BIE55" s="44"/>
      <c r="BIF55" s="44"/>
      <c r="BIG55" s="44"/>
      <c r="BIH55" s="44"/>
      <c r="BII55" s="44"/>
      <c r="BIJ55" s="44"/>
      <c r="BIK55" s="44"/>
      <c r="BIL55" s="44"/>
      <c r="BIM55" s="44"/>
      <c r="BIN55" s="44"/>
      <c r="BIO55" s="44"/>
      <c r="BIP55" s="44"/>
      <c r="BIQ55" s="44"/>
      <c r="BIR55" s="44"/>
      <c r="BIS55" s="44"/>
      <c r="BIT55" s="44"/>
      <c r="BIU55" s="44"/>
      <c r="BIV55" s="44"/>
      <c r="BIW55" s="44"/>
      <c r="BIX55" s="44"/>
      <c r="BIY55" s="44"/>
      <c r="BIZ55" s="44"/>
      <c r="BJA55" s="44"/>
      <c r="BJB55" s="44"/>
      <c r="BJC55" s="44"/>
      <c r="BJD55" s="44"/>
      <c r="BJE55" s="44"/>
      <c r="BJF55" s="44"/>
      <c r="BJG55" s="44"/>
      <c r="BJH55" s="44"/>
      <c r="BJI55" s="44"/>
      <c r="BJJ55" s="44"/>
      <c r="BJK55" s="44"/>
      <c r="BJL55" s="44"/>
      <c r="BJM55" s="44"/>
      <c r="BJN55" s="44"/>
      <c r="BJO55" s="44"/>
      <c r="BJP55" s="44"/>
      <c r="BJQ55" s="44"/>
      <c r="BJR55" s="44"/>
      <c r="BJS55" s="44"/>
      <c r="BJT55" s="44"/>
      <c r="BJU55" s="44"/>
      <c r="BJV55" s="44"/>
      <c r="BJW55" s="44"/>
      <c r="BJX55" s="44"/>
      <c r="BJY55" s="44"/>
      <c r="BJZ55" s="44"/>
      <c r="BKA55" s="44"/>
      <c r="BKB55" s="44"/>
      <c r="BKC55" s="44"/>
      <c r="BKD55" s="44"/>
      <c r="BKE55" s="44"/>
      <c r="BKF55" s="44"/>
      <c r="BKG55" s="44"/>
      <c r="BKH55" s="44"/>
      <c r="BKI55" s="44"/>
      <c r="BKJ55" s="44"/>
      <c r="BKK55" s="44"/>
      <c r="BKL55" s="44"/>
      <c r="BKM55" s="44"/>
      <c r="BKN55" s="44"/>
      <c r="BKO55" s="44"/>
      <c r="BKP55" s="44"/>
      <c r="BKQ55" s="44"/>
      <c r="BKR55" s="44"/>
      <c r="BKS55" s="44"/>
      <c r="BKT55" s="44"/>
      <c r="BKU55" s="44"/>
      <c r="BKV55" s="44"/>
      <c r="BKW55" s="44"/>
      <c r="BKX55" s="44"/>
      <c r="BKY55" s="44"/>
      <c r="BKZ55" s="44"/>
      <c r="BLA55" s="44"/>
      <c r="BLB55" s="44"/>
      <c r="BLC55" s="44"/>
      <c r="BLD55" s="44"/>
      <c r="BLE55" s="44"/>
      <c r="BLF55" s="44"/>
      <c r="BLG55" s="44"/>
      <c r="BLH55" s="44"/>
      <c r="BLI55" s="44"/>
      <c r="BLJ55" s="44"/>
      <c r="BLK55" s="44"/>
      <c r="BLL55" s="44"/>
      <c r="BLM55" s="44"/>
      <c r="BLN55" s="44"/>
      <c r="BLO55" s="44"/>
      <c r="BLP55" s="44"/>
      <c r="BLQ55" s="44"/>
      <c r="BLR55" s="44"/>
      <c r="BLS55" s="44"/>
      <c r="BLT55" s="44"/>
      <c r="BLU55" s="44"/>
      <c r="BLV55" s="44"/>
      <c r="BLW55" s="44"/>
      <c r="BLX55" s="44"/>
      <c r="BLY55" s="44"/>
      <c r="BLZ55" s="44"/>
      <c r="BMA55" s="44"/>
      <c r="BMB55" s="44"/>
      <c r="BMC55" s="44"/>
      <c r="BMD55" s="44"/>
      <c r="BME55" s="44"/>
      <c r="BMF55" s="44"/>
      <c r="BMG55" s="44"/>
      <c r="BMH55" s="44"/>
      <c r="BMI55" s="44"/>
      <c r="BMJ55" s="44"/>
      <c r="BMK55" s="44"/>
      <c r="BML55" s="44"/>
      <c r="BMM55" s="44"/>
      <c r="BMN55" s="44"/>
      <c r="BMO55" s="44"/>
      <c r="BMP55" s="44"/>
      <c r="BMQ55" s="44"/>
      <c r="BMR55" s="44"/>
      <c r="BMS55" s="44"/>
      <c r="BMT55" s="44"/>
      <c r="BMU55" s="44"/>
      <c r="BMV55" s="44"/>
      <c r="BMW55" s="44"/>
      <c r="BMX55" s="44"/>
      <c r="BMY55" s="44"/>
      <c r="BMZ55" s="44"/>
      <c r="BNA55" s="44"/>
      <c r="BNB55" s="44"/>
      <c r="BNC55" s="44"/>
      <c r="BND55" s="44"/>
      <c r="BNE55" s="44"/>
      <c r="BNF55" s="44"/>
      <c r="BNG55" s="44"/>
      <c r="BNH55" s="44"/>
      <c r="BNI55" s="44"/>
      <c r="BNJ55" s="44"/>
      <c r="BNK55" s="44"/>
      <c r="BNL55" s="44"/>
      <c r="BNM55" s="44"/>
      <c r="BNN55" s="44"/>
      <c r="BNO55" s="44"/>
      <c r="BNP55" s="44"/>
      <c r="BNQ55" s="44"/>
      <c r="BNR55" s="44"/>
      <c r="BNS55" s="44"/>
      <c r="BNT55" s="44"/>
      <c r="BNU55" s="44"/>
      <c r="BNV55" s="44"/>
      <c r="BNW55" s="44"/>
      <c r="BNX55" s="44"/>
      <c r="BNY55" s="44"/>
      <c r="BNZ55" s="44"/>
      <c r="BOA55" s="44"/>
      <c r="BOB55" s="44"/>
      <c r="BOC55" s="44"/>
      <c r="BOD55" s="44"/>
      <c r="BOE55" s="44"/>
      <c r="BOF55" s="44"/>
      <c r="BOG55" s="44"/>
      <c r="BOH55" s="44"/>
      <c r="BOI55" s="44"/>
      <c r="BOJ55" s="44"/>
      <c r="BOK55" s="44"/>
      <c r="BOL55" s="44"/>
      <c r="BOM55" s="44"/>
      <c r="BON55" s="44"/>
      <c r="BOO55" s="44"/>
      <c r="BOP55" s="44"/>
      <c r="BOQ55" s="44"/>
      <c r="BOR55" s="44"/>
      <c r="BOS55" s="44"/>
      <c r="BOT55" s="44"/>
      <c r="BOU55" s="44"/>
      <c r="BOV55" s="44"/>
      <c r="BOW55" s="44"/>
      <c r="BOX55" s="44"/>
      <c r="BOY55" s="44"/>
      <c r="BOZ55" s="44"/>
      <c r="BPA55" s="44"/>
      <c r="BPB55" s="44"/>
      <c r="BPC55" s="44"/>
      <c r="BPD55" s="44"/>
      <c r="BPE55" s="44"/>
      <c r="BPF55" s="44"/>
      <c r="BPG55" s="44"/>
      <c r="BPH55" s="44"/>
      <c r="BPI55" s="44"/>
      <c r="BPJ55" s="44"/>
      <c r="BPK55" s="44"/>
      <c r="BPL55" s="44"/>
      <c r="BPM55" s="44"/>
      <c r="BPN55" s="44"/>
      <c r="BPO55" s="44"/>
      <c r="BPP55" s="44"/>
      <c r="BPQ55" s="44"/>
      <c r="BPR55" s="44"/>
      <c r="BPS55" s="44"/>
      <c r="BPT55" s="44"/>
      <c r="BPU55" s="44"/>
      <c r="BPV55" s="44"/>
      <c r="BPW55" s="44"/>
      <c r="BPX55" s="44"/>
      <c r="BPY55" s="44"/>
      <c r="BPZ55" s="44"/>
      <c r="BQA55" s="44"/>
      <c r="BQB55" s="44"/>
      <c r="BQC55" s="44"/>
      <c r="BQD55" s="44"/>
      <c r="BQE55" s="44"/>
      <c r="BQF55" s="44"/>
      <c r="BQG55" s="44"/>
      <c r="BQH55" s="44"/>
      <c r="BQI55" s="44"/>
      <c r="BQJ55" s="44"/>
      <c r="BQK55" s="44"/>
      <c r="BQL55" s="44"/>
      <c r="BQM55" s="44"/>
      <c r="BQN55" s="44"/>
      <c r="BQO55" s="44"/>
      <c r="BQP55" s="44"/>
      <c r="BQQ55" s="44"/>
      <c r="BQR55" s="44"/>
      <c r="BQS55" s="44"/>
      <c r="BQT55" s="44"/>
      <c r="BQU55" s="44"/>
      <c r="BQV55" s="44"/>
      <c r="BQW55" s="44"/>
      <c r="BQX55" s="44"/>
      <c r="BQY55" s="44"/>
      <c r="BQZ55" s="44"/>
      <c r="BRA55" s="44"/>
      <c r="BRB55" s="44"/>
      <c r="BRC55" s="44"/>
      <c r="BRD55" s="44"/>
      <c r="BRE55" s="44"/>
      <c r="BRF55" s="44"/>
      <c r="BRG55" s="44"/>
      <c r="BRH55" s="44"/>
      <c r="BRI55" s="44"/>
      <c r="BRJ55" s="44"/>
      <c r="BRK55" s="44"/>
      <c r="BRL55" s="44"/>
      <c r="BRM55" s="44"/>
      <c r="BRN55" s="44"/>
      <c r="BRO55" s="44"/>
      <c r="BRP55" s="44"/>
      <c r="BRQ55" s="44"/>
      <c r="BRR55" s="44"/>
      <c r="BRS55" s="44"/>
      <c r="BRT55" s="44"/>
      <c r="BRU55" s="44"/>
      <c r="BRV55" s="44"/>
      <c r="BRW55" s="44"/>
      <c r="BRX55" s="44"/>
      <c r="BRY55" s="44"/>
      <c r="BRZ55" s="44"/>
      <c r="BSA55" s="44"/>
      <c r="BSB55" s="44"/>
      <c r="BSC55" s="44"/>
      <c r="BSD55" s="44"/>
      <c r="BSE55" s="44"/>
      <c r="BSF55" s="44"/>
      <c r="BSG55" s="44"/>
      <c r="BSH55" s="44"/>
      <c r="BSI55" s="44"/>
      <c r="BSJ55" s="44"/>
      <c r="BSK55" s="44"/>
      <c r="BSL55" s="44"/>
      <c r="BSM55" s="44"/>
      <c r="BSN55" s="44"/>
      <c r="BSO55" s="44"/>
      <c r="BSP55" s="44"/>
      <c r="BSQ55" s="44"/>
      <c r="BSR55" s="44"/>
      <c r="BSS55" s="44"/>
      <c r="BST55" s="44"/>
      <c r="BSU55" s="44"/>
      <c r="BSV55" s="44"/>
      <c r="BSW55" s="44"/>
      <c r="BSX55" s="44"/>
      <c r="BSY55" s="44"/>
      <c r="BSZ55" s="44"/>
      <c r="BTA55" s="44"/>
      <c r="BTB55" s="44"/>
      <c r="BTC55" s="44"/>
      <c r="BTD55" s="44"/>
      <c r="BTE55" s="44"/>
      <c r="BTF55" s="44"/>
      <c r="BTG55" s="44"/>
      <c r="BTH55" s="44"/>
      <c r="BTI55" s="44"/>
      <c r="BTJ55" s="44"/>
      <c r="BTK55" s="44"/>
      <c r="BTL55" s="44"/>
      <c r="BTM55" s="44"/>
      <c r="BTN55" s="44"/>
      <c r="BTO55" s="44"/>
      <c r="BTP55" s="44"/>
      <c r="BTQ55" s="44"/>
      <c r="BTR55" s="44"/>
      <c r="BTS55" s="44"/>
      <c r="BTT55" s="44"/>
      <c r="BTU55" s="44"/>
      <c r="BTV55" s="44"/>
      <c r="BTW55" s="44"/>
      <c r="BTX55" s="44"/>
      <c r="BTY55" s="44"/>
      <c r="BTZ55" s="44"/>
      <c r="BUA55" s="44"/>
      <c r="BUB55" s="44"/>
      <c r="BUC55" s="44"/>
      <c r="BUD55" s="44"/>
      <c r="BUE55" s="44"/>
      <c r="BUF55" s="44"/>
      <c r="BUG55" s="44"/>
      <c r="BUH55" s="44"/>
      <c r="BUI55" s="44"/>
      <c r="BUJ55" s="44"/>
      <c r="BUK55" s="44"/>
      <c r="BUL55" s="44"/>
      <c r="BUM55" s="44"/>
      <c r="BUN55" s="44"/>
      <c r="BUO55" s="44"/>
      <c r="BUP55" s="44"/>
      <c r="BUQ55" s="44"/>
      <c r="BUR55" s="44"/>
      <c r="BUS55" s="44"/>
      <c r="BUT55" s="44"/>
      <c r="BUU55" s="44"/>
      <c r="BUV55" s="44"/>
      <c r="BUW55" s="44"/>
      <c r="BUX55" s="44"/>
      <c r="BUY55" s="44"/>
      <c r="BUZ55" s="44"/>
      <c r="BVA55" s="44"/>
      <c r="BVB55" s="44"/>
      <c r="BVC55" s="44"/>
      <c r="BVD55" s="44"/>
      <c r="BVE55" s="44"/>
      <c r="BVF55" s="44"/>
      <c r="BVG55" s="44"/>
      <c r="BVH55" s="44"/>
      <c r="BVI55" s="44"/>
      <c r="BVJ55" s="44"/>
      <c r="BVK55" s="44"/>
      <c r="BVL55" s="44"/>
      <c r="BVM55" s="44"/>
      <c r="BVN55" s="44"/>
      <c r="BVO55" s="44"/>
      <c r="BVP55" s="44"/>
      <c r="BVQ55" s="44"/>
      <c r="BVR55" s="44"/>
      <c r="BVS55" s="44"/>
      <c r="BVT55" s="44"/>
      <c r="BVU55" s="44"/>
      <c r="BVV55" s="44"/>
      <c r="BVW55" s="44"/>
      <c r="BVX55" s="44"/>
      <c r="BVY55" s="44"/>
      <c r="BVZ55" s="44"/>
      <c r="BWA55" s="44"/>
      <c r="BWB55" s="44"/>
      <c r="BWC55" s="44"/>
      <c r="BWD55" s="44"/>
      <c r="BWE55" s="44"/>
      <c r="BWF55" s="44"/>
      <c r="BWG55" s="44"/>
      <c r="BWH55" s="44"/>
      <c r="BWI55" s="44"/>
      <c r="BWJ55" s="44"/>
      <c r="BWK55" s="44"/>
      <c r="BWL55" s="44"/>
      <c r="BWM55" s="44"/>
      <c r="BWN55" s="44"/>
      <c r="BWO55" s="44"/>
      <c r="BWP55" s="44"/>
      <c r="BWQ55" s="44"/>
      <c r="BWR55" s="44"/>
      <c r="BWS55" s="44"/>
      <c r="BWT55" s="44"/>
      <c r="BWU55" s="44"/>
      <c r="BWV55" s="44"/>
      <c r="BWW55" s="44"/>
      <c r="BWX55" s="44"/>
      <c r="BWY55" s="44"/>
      <c r="BWZ55" s="44"/>
      <c r="BXA55" s="44"/>
      <c r="BXB55" s="44"/>
      <c r="BXC55" s="44"/>
      <c r="BXD55" s="44"/>
      <c r="BXE55" s="44"/>
      <c r="BXF55" s="44"/>
      <c r="BXG55" s="44"/>
      <c r="BXH55" s="44"/>
      <c r="BXI55" s="44"/>
      <c r="BXJ55" s="44"/>
      <c r="BXK55" s="44"/>
      <c r="BXL55" s="44"/>
      <c r="BXM55" s="44"/>
      <c r="BXN55" s="44"/>
      <c r="BXO55" s="44"/>
      <c r="BXP55" s="44"/>
      <c r="BXQ55" s="44"/>
      <c r="BXR55" s="44"/>
      <c r="BXS55" s="44"/>
      <c r="BXT55" s="44"/>
      <c r="BXU55" s="44"/>
      <c r="BXV55" s="44"/>
      <c r="BXW55" s="44"/>
      <c r="BXX55" s="44"/>
      <c r="BXY55" s="44"/>
      <c r="BXZ55" s="44"/>
      <c r="BYA55" s="44"/>
      <c r="BYB55" s="44"/>
      <c r="BYC55" s="44"/>
      <c r="BYD55" s="44"/>
      <c r="BYE55" s="44"/>
      <c r="BYF55" s="44"/>
      <c r="BYG55" s="44"/>
      <c r="BYH55" s="44"/>
      <c r="BYI55" s="44"/>
      <c r="BYJ55" s="44"/>
      <c r="BYK55" s="44"/>
      <c r="BYL55" s="44"/>
      <c r="BYM55" s="44"/>
      <c r="BYN55" s="44"/>
      <c r="BYO55" s="44"/>
      <c r="BYP55" s="44"/>
      <c r="BYQ55" s="44"/>
      <c r="BYR55" s="44"/>
      <c r="BYS55" s="44"/>
      <c r="BYT55" s="44"/>
      <c r="BYU55" s="44"/>
      <c r="BYV55" s="44"/>
      <c r="BYW55" s="44"/>
      <c r="BYX55" s="44"/>
      <c r="BYY55" s="44"/>
      <c r="BYZ55" s="44"/>
      <c r="BZA55" s="44"/>
      <c r="BZB55" s="44"/>
      <c r="BZC55" s="44"/>
      <c r="BZD55" s="44"/>
      <c r="BZE55" s="44"/>
      <c r="BZF55" s="44"/>
      <c r="BZG55" s="44"/>
      <c r="BZH55" s="44"/>
      <c r="BZI55" s="44"/>
      <c r="BZJ55" s="44"/>
      <c r="BZK55" s="44"/>
      <c r="BZL55" s="44"/>
      <c r="BZM55" s="44"/>
      <c r="BZN55" s="44"/>
      <c r="BZO55" s="44"/>
      <c r="BZP55" s="44"/>
      <c r="BZQ55" s="44"/>
      <c r="BZR55" s="44"/>
      <c r="BZS55" s="44"/>
      <c r="BZT55" s="44"/>
      <c r="BZU55" s="44"/>
      <c r="BZV55" s="44"/>
      <c r="BZW55" s="44"/>
      <c r="BZX55" s="44"/>
      <c r="BZY55" s="44"/>
      <c r="BZZ55" s="44"/>
      <c r="CAA55" s="44"/>
      <c r="CAB55" s="44"/>
      <c r="CAC55" s="44"/>
      <c r="CAD55" s="44"/>
      <c r="CAE55" s="44"/>
      <c r="CAF55" s="44"/>
      <c r="CAG55" s="44"/>
      <c r="CAH55" s="44"/>
      <c r="CAI55" s="44"/>
      <c r="CAJ55" s="44"/>
      <c r="CAK55" s="44"/>
      <c r="CAL55" s="44"/>
      <c r="CAM55" s="44"/>
      <c r="CAN55" s="44"/>
      <c r="CAO55" s="44"/>
      <c r="CAP55" s="44"/>
      <c r="CAQ55" s="44"/>
      <c r="CAR55" s="44"/>
      <c r="CAS55" s="44"/>
      <c r="CAT55" s="44"/>
      <c r="CAU55" s="44"/>
      <c r="CAV55" s="44"/>
      <c r="CAW55" s="44"/>
      <c r="CAX55" s="44"/>
      <c r="CAY55" s="44"/>
      <c r="CAZ55" s="44"/>
      <c r="CBA55" s="44"/>
      <c r="CBB55" s="44"/>
      <c r="CBC55" s="44"/>
      <c r="CBD55" s="44"/>
      <c r="CBE55" s="44"/>
      <c r="CBF55" s="44"/>
      <c r="CBG55" s="44"/>
      <c r="CBH55" s="44"/>
      <c r="CBI55" s="44"/>
      <c r="CBJ55" s="44"/>
      <c r="CBK55" s="44"/>
      <c r="CBL55" s="44"/>
      <c r="CBM55" s="44"/>
      <c r="CBN55" s="44"/>
      <c r="CBO55" s="44"/>
      <c r="CBP55" s="44"/>
      <c r="CBQ55" s="44"/>
      <c r="CBR55" s="44"/>
      <c r="CBS55" s="44"/>
      <c r="CBT55" s="44"/>
      <c r="CBU55" s="44"/>
      <c r="CBV55" s="44"/>
      <c r="CBW55" s="44"/>
      <c r="CBX55" s="44"/>
      <c r="CBY55" s="44"/>
      <c r="CBZ55" s="44"/>
      <c r="CCA55" s="44"/>
      <c r="CCB55" s="44"/>
      <c r="CCC55" s="44"/>
      <c r="CCD55" s="44"/>
      <c r="CCE55" s="44"/>
      <c r="CCF55" s="44"/>
      <c r="CCG55" s="44"/>
      <c r="CCH55" s="44"/>
      <c r="CCI55" s="44"/>
      <c r="CCJ55" s="44"/>
      <c r="CCK55" s="44"/>
      <c r="CCL55" s="44"/>
      <c r="CCM55" s="44"/>
      <c r="CCN55" s="44"/>
      <c r="CCO55" s="44"/>
      <c r="CCP55" s="44"/>
      <c r="CCQ55" s="44"/>
      <c r="CCR55" s="44"/>
      <c r="CCS55" s="44"/>
      <c r="CCT55" s="44"/>
      <c r="CCU55" s="44"/>
      <c r="CCV55" s="44"/>
      <c r="CCW55" s="44"/>
      <c r="CCX55" s="44"/>
      <c r="CCY55" s="44"/>
      <c r="CCZ55" s="44"/>
      <c r="CDA55" s="44"/>
      <c r="CDB55" s="44"/>
      <c r="CDC55" s="44"/>
      <c r="CDD55" s="44"/>
      <c r="CDE55" s="44"/>
      <c r="CDF55" s="44"/>
      <c r="CDG55" s="44"/>
      <c r="CDH55" s="44"/>
      <c r="CDI55" s="44"/>
      <c r="CDJ55" s="44"/>
      <c r="CDK55" s="44"/>
      <c r="CDL55" s="44"/>
      <c r="CDM55" s="44"/>
      <c r="CDN55" s="44"/>
      <c r="CDO55" s="44"/>
      <c r="CDP55" s="44"/>
      <c r="CDQ55" s="44"/>
      <c r="CDR55" s="44"/>
      <c r="CDS55" s="44"/>
      <c r="CDT55" s="44"/>
      <c r="CDU55" s="44"/>
      <c r="CDV55" s="44"/>
      <c r="CDW55" s="44"/>
      <c r="CDX55" s="44"/>
      <c r="CDY55" s="44"/>
      <c r="CDZ55" s="44"/>
      <c r="CEA55" s="44"/>
      <c r="CEB55" s="44"/>
      <c r="CEC55" s="44"/>
      <c r="CED55" s="44"/>
      <c r="CEE55" s="44"/>
      <c r="CEF55" s="44"/>
      <c r="CEG55" s="44"/>
      <c r="CEH55" s="44"/>
      <c r="CEI55" s="44"/>
      <c r="CEJ55" s="44"/>
      <c r="CEK55" s="44"/>
      <c r="CEL55" s="44"/>
      <c r="CEM55" s="44"/>
      <c r="CEN55" s="44"/>
      <c r="CEO55" s="44"/>
      <c r="CEP55" s="44"/>
      <c r="CEQ55" s="44"/>
      <c r="CER55" s="44"/>
      <c r="CES55" s="44"/>
      <c r="CET55" s="44"/>
      <c r="CEU55" s="44"/>
      <c r="CEV55" s="44"/>
      <c r="CEW55" s="44"/>
      <c r="CEX55" s="44"/>
      <c r="CEY55" s="44"/>
      <c r="CEZ55" s="44"/>
      <c r="CFA55" s="44"/>
      <c r="CFB55" s="44"/>
      <c r="CFC55" s="44"/>
      <c r="CFD55" s="44"/>
      <c r="CFE55" s="44"/>
      <c r="CFF55" s="44"/>
      <c r="CFG55" s="44"/>
      <c r="CFH55" s="44"/>
      <c r="CFI55" s="44"/>
      <c r="CFJ55" s="44"/>
      <c r="CFK55" s="44"/>
      <c r="CFL55" s="44"/>
      <c r="CFM55" s="44"/>
      <c r="CFN55" s="44"/>
      <c r="CFO55" s="44"/>
      <c r="CFP55" s="44"/>
      <c r="CFQ55" s="44"/>
      <c r="CFR55" s="44"/>
      <c r="CFS55" s="44"/>
      <c r="CFT55" s="44"/>
      <c r="CFU55" s="44"/>
      <c r="CFV55" s="44"/>
      <c r="CFW55" s="44"/>
      <c r="CFX55" s="44"/>
      <c r="CFY55" s="44"/>
      <c r="CFZ55" s="44"/>
      <c r="CGA55" s="44"/>
      <c r="CGB55" s="44"/>
      <c r="CGC55" s="44"/>
      <c r="CGD55" s="44"/>
      <c r="CGE55" s="44"/>
      <c r="CGF55" s="44"/>
      <c r="CGG55" s="44"/>
      <c r="CGH55" s="44"/>
      <c r="CGI55" s="44"/>
      <c r="CGJ55" s="44"/>
      <c r="CGK55" s="44"/>
      <c r="CGL55" s="44"/>
      <c r="CGM55" s="44"/>
      <c r="CGN55" s="44"/>
      <c r="CGO55" s="44"/>
      <c r="CGP55" s="44"/>
      <c r="CGQ55" s="44"/>
      <c r="CGR55" s="44"/>
      <c r="CGS55" s="44"/>
      <c r="CGT55" s="44"/>
      <c r="CGU55" s="44"/>
      <c r="CGV55" s="44"/>
      <c r="CGW55" s="44"/>
      <c r="CGX55" s="44"/>
      <c r="CGY55" s="44"/>
      <c r="CGZ55" s="44"/>
      <c r="CHA55" s="44"/>
      <c r="CHB55" s="44"/>
      <c r="CHC55" s="44"/>
      <c r="CHD55" s="44"/>
      <c r="CHE55" s="44"/>
      <c r="CHF55" s="44"/>
      <c r="CHG55" s="44"/>
      <c r="CHH55" s="44"/>
      <c r="CHI55" s="44"/>
      <c r="CHJ55" s="44"/>
      <c r="CHK55" s="44"/>
      <c r="CHL55" s="44"/>
      <c r="CHM55" s="44"/>
      <c r="CHN55" s="44"/>
      <c r="CHO55" s="44"/>
      <c r="CHP55" s="44"/>
      <c r="CHQ55" s="44"/>
      <c r="CHR55" s="44"/>
      <c r="CHS55" s="44"/>
      <c r="CHT55" s="44"/>
      <c r="CHU55" s="44"/>
      <c r="CHV55" s="44"/>
      <c r="CHW55" s="44"/>
      <c r="CHX55" s="44"/>
      <c r="CHY55" s="44"/>
      <c r="CHZ55" s="44"/>
      <c r="CIA55" s="44"/>
      <c r="CIB55" s="44"/>
      <c r="CIC55" s="44"/>
      <c r="CID55" s="44"/>
      <c r="CIE55" s="44"/>
      <c r="CIF55" s="44"/>
      <c r="CIG55" s="44"/>
      <c r="CIH55" s="44"/>
      <c r="CII55" s="44"/>
      <c r="CIJ55" s="44"/>
      <c r="CIK55" s="44"/>
      <c r="CIL55" s="44"/>
      <c r="CIM55" s="44"/>
      <c r="CIN55" s="44"/>
      <c r="CIO55" s="44"/>
      <c r="CIP55" s="44"/>
      <c r="CIQ55" s="44"/>
      <c r="CIR55" s="44"/>
      <c r="CIS55" s="44"/>
      <c r="CIT55" s="44"/>
      <c r="CIU55" s="44"/>
      <c r="CIV55" s="44"/>
      <c r="CIW55" s="44"/>
      <c r="CIX55" s="44"/>
      <c r="CIY55" s="44"/>
      <c r="CIZ55" s="44"/>
      <c r="CJA55" s="44"/>
      <c r="CJB55" s="44"/>
      <c r="CJC55" s="44"/>
      <c r="CJD55" s="44"/>
      <c r="CJE55" s="44"/>
      <c r="CJF55" s="44"/>
      <c r="CJG55" s="44"/>
      <c r="CJH55" s="44"/>
      <c r="CJI55" s="44"/>
      <c r="CJJ55" s="44"/>
      <c r="CJK55" s="44"/>
      <c r="CJL55" s="44"/>
      <c r="CJM55" s="44"/>
      <c r="CJN55" s="44"/>
      <c r="CJO55" s="44"/>
      <c r="CJP55" s="44"/>
      <c r="CJQ55" s="44"/>
      <c r="CJR55" s="44"/>
      <c r="CJS55" s="44"/>
      <c r="CJT55" s="44"/>
      <c r="CJU55" s="44"/>
      <c r="CJV55" s="44"/>
      <c r="CJW55" s="44"/>
      <c r="CJX55" s="44"/>
      <c r="CJY55" s="44"/>
      <c r="CJZ55" s="44"/>
      <c r="CKA55" s="44"/>
      <c r="CKB55" s="44"/>
      <c r="CKC55" s="44"/>
      <c r="CKD55" s="44"/>
      <c r="CKE55" s="44"/>
      <c r="CKF55" s="44"/>
      <c r="CKG55" s="44"/>
      <c r="CKH55" s="44"/>
      <c r="CKI55" s="44"/>
      <c r="CKJ55" s="44"/>
      <c r="CKK55" s="44"/>
      <c r="CKL55" s="44"/>
      <c r="CKM55" s="44"/>
      <c r="CKN55" s="44"/>
      <c r="CKO55" s="44"/>
      <c r="CKP55" s="44"/>
      <c r="CKQ55" s="44"/>
      <c r="CKR55" s="44"/>
      <c r="CKS55" s="44"/>
      <c r="CKT55" s="44"/>
      <c r="CKU55" s="44"/>
      <c r="CKV55" s="44"/>
      <c r="CKW55" s="44"/>
      <c r="CKX55" s="44"/>
      <c r="CKY55" s="44"/>
      <c r="CKZ55" s="44"/>
      <c r="CLA55" s="44"/>
      <c r="CLB55" s="44"/>
      <c r="CLC55" s="44"/>
      <c r="CLD55" s="44"/>
      <c r="CLE55" s="44"/>
      <c r="CLF55" s="44"/>
      <c r="CLG55" s="44"/>
      <c r="CLH55" s="44"/>
      <c r="CLI55" s="44"/>
      <c r="CLJ55" s="44"/>
      <c r="CLK55" s="44"/>
      <c r="CLL55" s="44"/>
      <c r="CLM55" s="44"/>
      <c r="CLN55" s="44"/>
      <c r="CLO55" s="44"/>
      <c r="CLP55" s="44"/>
      <c r="CLQ55" s="44"/>
      <c r="CLR55" s="44"/>
      <c r="CLS55" s="44"/>
      <c r="CLT55" s="44"/>
      <c r="CLU55" s="44"/>
      <c r="CLV55" s="44"/>
      <c r="CLW55" s="44"/>
      <c r="CLX55" s="44"/>
      <c r="CLY55" s="44"/>
      <c r="CLZ55" s="44"/>
      <c r="CMA55" s="44"/>
      <c r="CMB55" s="44"/>
      <c r="CMC55" s="44"/>
      <c r="CMD55" s="44"/>
      <c r="CME55" s="44"/>
      <c r="CMF55" s="44"/>
      <c r="CMG55" s="44"/>
      <c r="CMH55" s="44"/>
      <c r="CMI55" s="44"/>
      <c r="CMJ55" s="44"/>
      <c r="CMK55" s="44"/>
      <c r="CML55" s="44"/>
      <c r="CMM55" s="44"/>
      <c r="CMN55" s="44"/>
      <c r="CMO55" s="44"/>
      <c r="CMP55" s="44"/>
      <c r="CMQ55" s="44"/>
      <c r="CMR55" s="44"/>
      <c r="CMS55" s="44"/>
      <c r="CMT55" s="44"/>
      <c r="CMU55" s="44"/>
      <c r="CMV55" s="44"/>
      <c r="CMW55" s="44"/>
      <c r="CMX55" s="44"/>
      <c r="CMY55" s="44"/>
      <c r="CMZ55" s="44"/>
      <c r="CNA55" s="44"/>
      <c r="CNB55" s="44"/>
      <c r="CNC55" s="44"/>
      <c r="CND55" s="44"/>
      <c r="CNE55" s="44"/>
      <c r="CNF55" s="44"/>
      <c r="CNG55" s="44"/>
      <c r="CNH55" s="44"/>
      <c r="CNI55" s="44"/>
      <c r="CNJ55" s="44"/>
      <c r="CNK55" s="44"/>
      <c r="CNL55" s="44"/>
      <c r="CNM55" s="44"/>
      <c r="CNN55" s="44"/>
      <c r="CNO55" s="44"/>
      <c r="CNP55" s="44"/>
      <c r="CNQ55" s="44"/>
      <c r="CNR55" s="44"/>
      <c r="CNS55" s="44"/>
      <c r="CNT55" s="44"/>
      <c r="CNU55" s="44"/>
      <c r="CNV55" s="44"/>
      <c r="CNW55" s="44"/>
      <c r="CNX55" s="44"/>
      <c r="CNY55" s="44"/>
      <c r="CNZ55" s="44"/>
      <c r="COA55" s="44"/>
      <c r="COB55" s="44"/>
      <c r="COC55" s="44"/>
      <c r="COD55" s="44"/>
      <c r="COE55" s="44"/>
      <c r="COF55" s="44"/>
      <c r="COG55" s="44"/>
      <c r="COH55" s="44"/>
      <c r="COI55" s="44"/>
      <c r="COJ55" s="44"/>
      <c r="COK55" s="44"/>
      <c r="COL55" s="44"/>
      <c r="COM55" s="44"/>
      <c r="CON55" s="44"/>
      <c r="COO55" s="44"/>
      <c r="COP55" s="44"/>
      <c r="COQ55" s="44"/>
      <c r="COR55" s="44"/>
      <c r="COS55" s="44"/>
      <c r="COT55" s="44"/>
      <c r="COU55" s="44"/>
      <c r="COV55" s="44"/>
      <c r="COW55" s="44"/>
      <c r="COX55" s="44"/>
      <c r="COY55" s="44"/>
      <c r="COZ55" s="44"/>
      <c r="CPA55" s="44"/>
      <c r="CPB55" s="44"/>
      <c r="CPC55" s="44"/>
      <c r="CPD55" s="44"/>
      <c r="CPE55" s="44"/>
      <c r="CPF55" s="44"/>
      <c r="CPG55" s="44"/>
      <c r="CPH55" s="44"/>
      <c r="CPI55" s="44"/>
      <c r="CPJ55" s="44"/>
      <c r="CPK55" s="44"/>
      <c r="CPL55" s="44"/>
      <c r="CPM55" s="44"/>
      <c r="CPN55" s="44"/>
      <c r="CPO55" s="44"/>
      <c r="CPP55" s="44"/>
      <c r="CPQ55" s="44"/>
      <c r="CPR55" s="44"/>
      <c r="CPS55" s="44"/>
      <c r="CPT55" s="44"/>
      <c r="CPU55" s="44"/>
      <c r="CPV55" s="44"/>
      <c r="CPW55" s="44"/>
      <c r="CPX55" s="44"/>
      <c r="CPY55" s="44"/>
      <c r="CPZ55" s="44"/>
      <c r="CQA55" s="44"/>
      <c r="CQB55" s="44"/>
      <c r="CQC55" s="44"/>
      <c r="CQD55" s="44"/>
      <c r="CQE55" s="44"/>
      <c r="CQF55" s="44"/>
      <c r="CQG55" s="44"/>
      <c r="CQH55" s="44"/>
      <c r="CQI55" s="44"/>
      <c r="CQJ55" s="44"/>
      <c r="CQK55" s="44"/>
      <c r="CQL55" s="44"/>
      <c r="CQM55" s="44"/>
      <c r="CQN55" s="44"/>
      <c r="CQO55" s="44"/>
      <c r="CQP55" s="44"/>
      <c r="CQQ55" s="44"/>
      <c r="CQR55" s="44"/>
      <c r="CQS55" s="44"/>
      <c r="CQT55" s="44"/>
      <c r="CQU55" s="44"/>
      <c r="CQV55" s="44"/>
      <c r="CQW55" s="44"/>
      <c r="CQX55" s="44"/>
      <c r="CQY55" s="44"/>
      <c r="CQZ55" s="44"/>
      <c r="CRA55" s="44"/>
      <c r="CRB55" s="44"/>
      <c r="CRC55" s="44"/>
      <c r="CRD55" s="44"/>
      <c r="CRE55" s="44"/>
      <c r="CRF55" s="44"/>
      <c r="CRG55" s="44"/>
      <c r="CRH55" s="44"/>
      <c r="CRI55" s="44"/>
      <c r="CRJ55" s="44"/>
      <c r="CRK55" s="44"/>
      <c r="CRL55" s="44"/>
      <c r="CRM55" s="44"/>
      <c r="CRN55" s="44"/>
      <c r="CRO55" s="44"/>
      <c r="CRP55" s="44"/>
      <c r="CRQ55" s="44"/>
      <c r="CRR55" s="44"/>
      <c r="CRS55" s="44"/>
      <c r="CRT55" s="44"/>
      <c r="CRU55" s="44"/>
      <c r="CRV55" s="44"/>
      <c r="CRW55" s="44"/>
      <c r="CRX55" s="44"/>
      <c r="CRY55" s="44"/>
      <c r="CRZ55" s="44"/>
      <c r="CSA55" s="44"/>
      <c r="CSB55" s="44"/>
      <c r="CSC55" s="44"/>
      <c r="CSD55" s="44"/>
      <c r="CSE55" s="44"/>
      <c r="CSF55" s="44"/>
      <c r="CSG55" s="44"/>
      <c r="CSH55" s="44"/>
      <c r="CSI55" s="44"/>
      <c r="CSJ55" s="44"/>
      <c r="CSK55" s="44"/>
      <c r="CSL55" s="44"/>
      <c r="CSM55" s="44"/>
      <c r="CSN55" s="44"/>
      <c r="CSO55" s="44"/>
      <c r="CSP55" s="44"/>
      <c r="CSQ55" s="44"/>
      <c r="CSR55" s="44"/>
      <c r="CSS55" s="44"/>
      <c r="CST55" s="44"/>
      <c r="CSU55" s="44"/>
      <c r="CSV55" s="44"/>
      <c r="CSW55" s="44"/>
      <c r="CSX55" s="44"/>
      <c r="CSY55" s="44"/>
      <c r="CSZ55" s="44"/>
      <c r="CTA55" s="44"/>
      <c r="CTB55" s="44"/>
      <c r="CTC55" s="44"/>
      <c r="CTD55" s="44"/>
      <c r="CTE55" s="44"/>
      <c r="CTF55" s="44"/>
      <c r="CTG55" s="44"/>
      <c r="CTH55" s="44"/>
      <c r="CTI55" s="44"/>
      <c r="CTJ55" s="44"/>
      <c r="CTK55" s="44"/>
      <c r="CTL55" s="44"/>
      <c r="CTM55" s="44"/>
      <c r="CTN55" s="44"/>
      <c r="CTO55" s="44"/>
      <c r="CTP55" s="44"/>
      <c r="CTQ55" s="44"/>
      <c r="CTR55" s="44"/>
      <c r="CTS55" s="44"/>
      <c r="CTT55" s="44"/>
      <c r="CTU55" s="44"/>
      <c r="CTV55" s="44"/>
      <c r="CTW55" s="44"/>
      <c r="CTX55" s="44"/>
      <c r="CTY55" s="44"/>
      <c r="CTZ55" s="44"/>
      <c r="CUA55" s="44"/>
      <c r="CUB55" s="44"/>
      <c r="CUC55" s="44"/>
      <c r="CUD55" s="44"/>
      <c r="CUE55" s="44"/>
      <c r="CUF55" s="44"/>
      <c r="CUG55" s="44"/>
      <c r="CUH55" s="44"/>
      <c r="CUI55" s="44"/>
      <c r="CUJ55" s="44"/>
      <c r="CUK55" s="44"/>
      <c r="CUL55" s="44"/>
      <c r="CUM55" s="44"/>
      <c r="CUN55" s="44"/>
      <c r="CUO55" s="44"/>
      <c r="CUP55" s="44"/>
      <c r="CUQ55" s="44"/>
      <c r="CUR55" s="44"/>
      <c r="CUS55" s="44"/>
      <c r="CUT55" s="44"/>
      <c r="CUU55" s="44"/>
      <c r="CUV55" s="44"/>
      <c r="CUW55" s="44"/>
      <c r="CUX55" s="44"/>
      <c r="CUY55" s="44"/>
      <c r="CUZ55" s="44"/>
      <c r="CVA55" s="44"/>
      <c r="CVB55" s="44"/>
      <c r="CVC55" s="44"/>
      <c r="CVD55" s="44"/>
      <c r="CVE55" s="44"/>
      <c r="CVF55" s="44"/>
      <c r="CVG55" s="44"/>
      <c r="CVH55" s="44"/>
      <c r="CVI55" s="44"/>
      <c r="CVJ55" s="44"/>
      <c r="CVK55" s="44"/>
      <c r="CVL55" s="44"/>
      <c r="CVM55" s="44"/>
      <c r="CVN55" s="44"/>
      <c r="CVO55" s="44"/>
      <c r="CVP55" s="44"/>
      <c r="CVQ55" s="44"/>
      <c r="CVR55" s="44"/>
      <c r="CVS55" s="44"/>
      <c r="CVT55" s="44"/>
      <c r="CVU55" s="44"/>
      <c r="CVV55" s="44"/>
      <c r="CVW55" s="44"/>
      <c r="CVX55" s="44"/>
      <c r="CVY55" s="44"/>
      <c r="CVZ55" s="44"/>
      <c r="CWA55" s="44"/>
      <c r="CWB55" s="44"/>
      <c r="CWC55" s="44"/>
      <c r="CWD55" s="44"/>
      <c r="CWE55" s="44"/>
      <c r="CWF55" s="44"/>
      <c r="CWG55" s="44"/>
      <c r="CWH55" s="44"/>
      <c r="CWI55" s="44"/>
      <c r="CWJ55" s="44"/>
      <c r="CWK55" s="44"/>
      <c r="CWL55" s="44"/>
      <c r="CWM55" s="44"/>
      <c r="CWN55" s="44"/>
      <c r="CWO55" s="44"/>
      <c r="CWP55" s="44"/>
      <c r="CWQ55" s="44"/>
      <c r="CWR55" s="44"/>
      <c r="CWS55" s="44"/>
      <c r="CWT55" s="44"/>
      <c r="CWU55" s="44"/>
      <c r="CWV55" s="44"/>
      <c r="CWW55" s="44"/>
      <c r="CWX55" s="44"/>
      <c r="CWY55" s="44"/>
      <c r="CWZ55" s="44"/>
      <c r="CXA55" s="44"/>
      <c r="CXB55" s="44"/>
      <c r="CXC55" s="44"/>
      <c r="CXD55" s="44"/>
      <c r="CXE55" s="44"/>
      <c r="CXF55" s="44"/>
      <c r="CXG55" s="44"/>
      <c r="CXH55" s="44"/>
      <c r="CXI55" s="44"/>
      <c r="CXJ55" s="44"/>
      <c r="CXK55" s="44"/>
      <c r="CXL55" s="44"/>
      <c r="CXM55" s="44"/>
      <c r="CXN55" s="44"/>
      <c r="CXO55" s="44"/>
      <c r="CXP55" s="44"/>
      <c r="CXQ55" s="44"/>
      <c r="CXR55" s="44"/>
      <c r="CXS55" s="44"/>
      <c r="CXT55" s="44"/>
      <c r="CXU55" s="44"/>
      <c r="CXV55" s="44"/>
      <c r="CXW55" s="44"/>
      <c r="CXX55" s="44"/>
      <c r="CXY55" s="44"/>
      <c r="CXZ55" s="44"/>
      <c r="CYA55" s="44"/>
      <c r="CYB55" s="44"/>
      <c r="CYC55" s="44"/>
      <c r="CYD55" s="44"/>
      <c r="CYE55" s="44"/>
      <c r="CYF55" s="44"/>
      <c r="CYG55" s="44"/>
      <c r="CYH55" s="44"/>
      <c r="CYI55" s="44"/>
      <c r="CYJ55" s="44"/>
      <c r="CYK55" s="44"/>
      <c r="CYL55" s="44"/>
      <c r="CYM55" s="44"/>
      <c r="CYN55" s="44"/>
      <c r="CYO55" s="44"/>
      <c r="CYP55" s="44"/>
      <c r="CYQ55" s="44"/>
      <c r="CYR55" s="44"/>
      <c r="CYS55" s="44"/>
      <c r="CYT55" s="44"/>
      <c r="CYU55" s="44"/>
      <c r="CYV55" s="44"/>
      <c r="CYW55" s="44"/>
      <c r="CYX55" s="44"/>
      <c r="CYY55" s="44"/>
      <c r="CYZ55" s="44"/>
      <c r="CZA55" s="44"/>
      <c r="CZB55" s="44"/>
      <c r="CZC55" s="44"/>
      <c r="CZD55" s="44"/>
      <c r="CZE55" s="44"/>
      <c r="CZF55" s="44"/>
      <c r="CZG55" s="44"/>
      <c r="CZH55" s="44"/>
      <c r="CZI55" s="44"/>
      <c r="CZJ55" s="44"/>
      <c r="CZK55" s="44"/>
      <c r="CZL55" s="44"/>
      <c r="CZM55" s="44"/>
      <c r="CZN55" s="44"/>
      <c r="CZO55" s="44"/>
      <c r="CZP55" s="44"/>
      <c r="CZQ55" s="44"/>
      <c r="CZR55" s="44"/>
      <c r="CZS55" s="44"/>
      <c r="CZT55" s="44"/>
      <c r="CZU55" s="44"/>
      <c r="CZV55" s="44"/>
      <c r="CZW55" s="44"/>
      <c r="CZX55" s="44"/>
      <c r="CZY55" s="44"/>
      <c r="CZZ55" s="44"/>
      <c r="DAA55" s="44"/>
      <c r="DAB55" s="44"/>
      <c r="DAC55" s="44"/>
      <c r="DAD55" s="44"/>
      <c r="DAE55" s="44"/>
      <c r="DAF55" s="44"/>
      <c r="DAG55" s="44"/>
      <c r="DAH55" s="44"/>
      <c r="DAI55" s="44"/>
      <c r="DAJ55" s="44"/>
      <c r="DAK55" s="44"/>
      <c r="DAL55" s="44"/>
      <c r="DAM55" s="44"/>
      <c r="DAN55" s="44"/>
      <c r="DAO55" s="44"/>
      <c r="DAP55" s="44"/>
      <c r="DAQ55" s="44"/>
      <c r="DAR55" s="44"/>
      <c r="DAS55" s="44"/>
      <c r="DAT55" s="44"/>
      <c r="DAU55" s="44"/>
      <c r="DAV55" s="44"/>
      <c r="DAW55" s="44"/>
      <c r="DAX55" s="44"/>
      <c r="DAY55" s="44"/>
      <c r="DAZ55" s="44"/>
      <c r="DBA55" s="44"/>
      <c r="DBB55" s="44"/>
      <c r="DBC55" s="44"/>
      <c r="DBD55" s="44"/>
      <c r="DBE55" s="44"/>
      <c r="DBF55" s="44"/>
      <c r="DBG55" s="44"/>
      <c r="DBH55" s="44"/>
      <c r="DBI55" s="44"/>
      <c r="DBJ55" s="44"/>
      <c r="DBK55" s="44"/>
      <c r="DBL55" s="44"/>
      <c r="DBM55" s="44"/>
      <c r="DBN55" s="44"/>
      <c r="DBO55" s="44"/>
      <c r="DBP55" s="44"/>
      <c r="DBQ55" s="44"/>
      <c r="DBR55" s="44"/>
      <c r="DBS55" s="44"/>
      <c r="DBT55" s="44"/>
      <c r="DBU55" s="44"/>
      <c r="DBV55" s="44"/>
      <c r="DBW55" s="44"/>
      <c r="DBX55" s="44"/>
      <c r="DBY55" s="44"/>
      <c r="DBZ55" s="44"/>
      <c r="DCA55" s="44"/>
      <c r="DCB55" s="44"/>
      <c r="DCC55" s="44"/>
      <c r="DCD55" s="44"/>
      <c r="DCE55" s="44"/>
      <c r="DCF55" s="44"/>
      <c r="DCG55" s="44"/>
      <c r="DCH55" s="44"/>
      <c r="DCI55" s="44"/>
      <c r="DCJ55" s="44"/>
      <c r="DCK55" s="44"/>
      <c r="DCL55" s="44"/>
      <c r="DCM55" s="44"/>
      <c r="DCN55" s="44"/>
      <c r="DCO55" s="44"/>
      <c r="DCP55" s="44"/>
      <c r="DCQ55" s="44"/>
      <c r="DCR55" s="44"/>
      <c r="DCS55" s="44"/>
      <c r="DCT55" s="44"/>
      <c r="DCU55" s="44"/>
      <c r="DCV55" s="44"/>
      <c r="DCW55" s="44"/>
      <c r="DCX55" s="44"/>
      <c r="DCY55" s="44"/>
      <c r="DCZ55" s="44"/>
      <c r="DDA55" s="44"/>
      <c r="DDB55" s="44"/>
      <c r="DDC55" s="44"/>
      <c r="DDD55" s="44"/>
      <c r="DDE55" s="44"/>
      <c r="DDF55" s="44"/>
      <c r="DDG55" s="44"/>
      <c r="DDH55" s="44"/>
      <c r="DDI55" s="44"/>
      <c r="DDJ55" s="44"/>
      <c r="DDK55" s="44"/>
      <c r="DDL55" s="44"/>
      <c r="DDM55" s="44"/>
      <c r="DDN55" s="44"/>
      <c r="DDO55" s="44"/>
      <c r="DDP55" s="44"/>
      <c r="DDQ55" s="44"/>
      <c r="DDR55" s="44"/>
      <c r="DDS55" s="44"/>
      <c r="DDT55" s="44"/>
      <c r="DDU55" s="44"/>
      <c r="DDV55" s="44"/>
      <c r="DDW55" s="44"/>
      <c r="DDX55" s="44"/>
      <c r="DDY55" s="44"/>
      <c r="DDZ55" s="44"/>
      <c r="DEA55" s="44"/>
      <c r="DEB55" s="44"/>
      <c r="DEC55" s="44"/>
      <c r="DED55" s="44"/>
      <c r="DEE55" s="44"/>
      <c r="DEF55" s="44"/>
      <c r="DEG55" s="44"/>
      <c r="DEH55" s="44"/>
      <c r="DEI55" s="44"/>
      <c r="DEJ55" s="44"/>
      <c r="DEK55" s="44"/>
      <c r="DEL55" s="44"/>
      <c r="DEM55" s="44"/>
      <c r="DEN55" s="44"/>
      <c r="DEO55" s="44"/>
      <c r="DEP55" s="44"/>
      <c r="DEQ55" s="44"/>
      <c r="DER55" s="44"/>
      <c r="DES55" s="44"/>
      <c r="DET55" s="44"/>
      <c r="DEU55" s="44"/>
      <c r="DEV55" s="44"/>
      <c r="DEW55" s="44"/>
      <c r="DEX55" s="44"/>
      <c r="DEY55" s="44"/>
      <c r="DEZ55" s="44"/>
      <c r="DFA55" s="44"/>
      <c r="DFB55" s="44"/>
      <c r="DFC55" s="44"/>
      <c r="DFD55" s="44"/>
      <c r="DFE55" s="44"/>
      <c r="DFF55" s="44"/>
      <c r="DFG55" s="44"/>
      <c r="DFH55" s="44"/>
      <c r="DFI55" s="44"/>
      <c r="DFJ55" s="44"/>
      <c r="DFK55" s="44"/>
      <c r="DFL55" s="44"/>
      <c r="DFM55" s="44"/>
      <c r="DFN55" s="44"/>
      <c r="DFO55" s="44"/>
      <c r="DFP55" s="44"/>
      <c r="DFQ55" s="44"/>
      <c r="DFR55" s="44"/>
      <c r="DFS55" s="44"/>
      <c r="DFT55" s="44"/>
      <c r="DFU55" s="44"/>
      <c r="DFV55" s="44"/>
      <c r="DFW55" s="44"/>
      <c r="DFX55" s="44"/>
      <c r="DFY55" s="44"/>
      <c r="DFZ55" s="44"/>
      <c r="DGA55" s="44"/>
      <c r="DGB55" s="44"/>
      <c r="DGC55" s="44"/>
      <c r="DGD55" s="44"/>
      <c r="DGE55" s="44"/>
      <c r="DGF55" s="44"/>
      <c r="DGG55" s="44"/>
      <c r="DGH55" s="44"/>
      <c r="DGI55" s="44"/>
      <c r="DGJ55" s="44"/>
      <c r="DGK55" s="44"/>
      <c r="DGL55" s="44"/>
      <c r="DGM55" s="44"/>
      <c r="DGN55" s="44"/>
      <c r="DGO55" s="44"/>
      <c r="DGP55" s="44"/>
      <c r="DGQ55" s="44"/>
      <c r="DGR55" s="44"/>
      <c r="DGS55" s="44"/>
      <c r="DGT55" s="44"/>
      <c r="DGU55" s="44"/>
      <c r="DGV55" s="44"/>
      <c r="DGW55" s="44"/>
      <c r="DGX55" s="44"/>
      <c r="DGY55" s="44"/>
      <c r="DGZ55" s="44"/>
      <c r="DHA55" s="44"/>
      <c r="DHB55" s="44"/>
      <c r="DHC55" s="44"/>
      <c r="DHD55" s="44"/>
      <c r="DHE55" s="44"/>
      <c r="DHF55" s="44"/>
      <c r="DHG55" s="44"/>
      <c r="DHH55" s="44"/>
      <c r="DHI55" s="44"/>
      <c r="DHJ55" s="44"/>
      <c r="DHK55" s="44"/>
      <c r="DHL55" s="44"/>
      <c r="DHM55" s="44"/>
      <c r="DHN55" s="44"/>
      <c r="DHO55" s="44"/>
      <c r="DHP55" s="44"/>
      <c r="DHQ55" s="44"/>
      <c r="DHR55" s="44"/>
      <c r="DHS55" s="44"/>
      <c r="DHT55" s="44"/>
      <c r="DHU55" s="44"/>
      <c r="DHV55" s="44"/>
      <c r="DHW55" s="44"/>
      <c r="DHX55" s="44"/>
      <c r="DHY55" s="44"/>
      <c r="DHZ55" s="44"/>
      <c r="DIA55" s="44"/>
      <c r="DIB55" s="44"/>
      <c r="DIC55" s="44"/>
      <c r="DID55" s="44"/>
      <c r="DIE55" s="44"/>
      <c r="DIF55" s="44"/>
      <c r="DIG55" s="44"/>
      <c r="DIH55" s="44"/>
      <c r="DII55" s="44"/>
      <c r="DIJ55" s="44"/>
      <c r="DIK55" s="44"/>
      <c r="DIL55" s="44"/>
      <c r="DIM55" s="44"/>
      <c r="DIN55" s="44"/>
      <c r="DIO55" s="44"/>
      <c r="DIP55" s="44"/>
      <c r="DIQ55" s="44"/>
      <c r="DIR55" s="44"/>
      <c r="DIS55" s="44"/>
      <c r="DIT55" s="44"/>
      <c r="DIU55" s="44"/>
      <c r="DIV55" s="44"/>
      <c r="DIW55" s="44"/>
      <c r="DIX55" s="44"/>
      <c r="DIY55" s="44"/>
      <c r="DIZ55" s="44"/>
      <c r="DJA55" s="44"/>
      <c r="DJB55" s="44"/>
      <c r="DJC55" s="44"/>
      <c r="DJD55" s="44"/>
      <c r="DJE55" s="44"/>
      <c r="DJF55" s="44"/>
      <c r="DJG55" s="44"/>
      <c r="DJH55" s="44"/>
      <c r="DJI55" s="44"/>
      <c r="DJJ55" s="44"/>
      <c r="DJK55" s="44"/>
      <c r="DJL55" s="44"/>
      <c r="DJM55" s="44"/>
      <c r="DJN55" s="44"/>
      <c r="DJO55" s="44"/>
      <c r="DJP55" s="44"/>
      <c r="DJQ55" s="44"/>
      <c r="DJR55" s="44"/>
      <c r="DJS55" s="44"/>
      <c r="DJT55" s="44"/>
      <c r="DJU55" s="44"/>
      <c r="DJV55" s="44"/>
      <c r="DJW55" s="44"/>
      <c r="DJX55" s="44"/>
      <c r="DJY55" s="44"/>
      <c r="DJZ55" s="44"/>
      <c r="DKA55" s="44"/>
      <c r="DKB55" s="44"/>
      <c r="DKC55" s="44"/>
      <c r="DKD55" s="44"/>
      <c r="DKE55" s="44"/>
      <c r="DKF55" s="44"/>
      <c r="DKG55" s="44"/>
      <c r="DKH55" s="44"/>
      <c r="DKI55" s="44"/>
      <c r="DKJ55" s="44"/>
      <c r="DKK55" s="44"/>
      <c r="DKL55" s="44"/>
      <c r="DKM55" s="44"/>
      <c r="DKN55" s="44"/>
      <c r="DKO55" s="44"/>
      <c r="DKP55" s="44"/>
      <c r="DKQ55" s="44"/>
      <c r="DKR55" s="44"/>
      <c r="DKS55" s="44"/>
      <c r="DKT55" s="44"/>
      <c r="DKU55" s="44"/>
      <c r="DKV55" s="44"/>
      <c r="DKW55" s="44"/>
      <c r="DKX55" s="44"/>
      <c r="DKY55" s="44"/>
      <c r="DKZ55" s="44"/>
      <c r="DLA55" s="44"/>
      <c r="DLB55" s="44"/>
      <c r="DLC55" s="44"/>
      <c r="DLD55" s="44"/>
      <c r="DLE55" s="44"/>
      <c r="DLF55" s="44"/>
      <c r="DLG55" s="44"/>
      <c r="DLH55" s="44"/>
      <c r="DLI55" s="44"/>
      <c r="DLJ55" s="44"/>
      <c r="DLK55" s="44"/>
      <c r="DLL55" s="44"/>
      <c r="DLM55" s="44"/>
      <c r="DLN55" s="44"/>
      <c r="DLO55" s="44"/>
      <c r="DLP55" s="44"/>
      <c r="DLQ55" s="44"/>
      <c r="DLR55" s="44"/>
      <c r="DLS55" s="44"/>
      <c r="DLT55" s="44"/>
      <c r="DLU55" s="44"/>
      <c r="DLV55" s="44"/>
      <c r="DLW55" s="44"/>
      <c r="DLX55" s="44"/>
      <c r="DLY55" s="44"/>
      <c r="DLZ55" s="44"/>
      <c r="DMA55" s="44"/>
      <c r="DMB55" s="44"/>
      <c r="DMC55" s="44"/>
      <c r="DMD55" s="44"/>
      <c r="DME55" s="44"/>
      <c r="DMF55" s="44"/>
      <c r="DMG55" s="44"/>
      <c r="DMH55" s="44"/>
      <c r="DMI55" s="44"/>
      <c r="DMJ55" s="44"/>
      <c r="DMK55" s="44"/>
      <c r="DML55" s="44"/>
      <c r="DMM55" s="44"/>
      <c r="DMN55" s="44"/>
      <c r="DMO55" s="44"/>
      <c r="DMP55" s="44"/>
      <c r="DMQ55" s="44"/>
      <c r="DMR55" s="44"/>
      <c r="DMS55" s="44"/>
      <c r="DMT55" s="44"/>
      <c r="DMU55" s="44"/>
      <c r="DMV55" s="44"/>
      <c r="DMW55" s="44"/>
      <c r="DMX55" s="44"/>
      <c r="DMY55" s="44"/>
      <c r="DMZ55" s="44"/>
      <c r="DNA55" s="44"/>
      <c r="DNB55" s="44"/>
      <c r="DNC55" s="44"/>
      <c r="DND55" s="44"/>
      <c r="DNE55" s="44"/>
      <c r="DNF55" s="44"/>
      <c r="DNG55" s="44"/>
      <c r="DNH55" s="44"/>
      <c r="DNI55" s="44"/>
      <c r="DNJ55" s="44"/>
      <c r="DNK55" s="44"/>
      <c r="DNL55" s="44"/>
      <c r="DNM55" s="44"/>
      <c r="DNN55" s="44"/>
      <c r="DNO55" s="44"/>
      <c r="DNP55" s="44"/>
      <c r="DNQ55" s="44"/>
      <c r="DNR55" s="44"/>
      <c r="DNS55" s="44"/>
      <c r="DNT55" s="44"/>
      <c r="DNU55" s="44"/>
      <c r="DNV55" s="44"/>
      <c r="DNW55" s="44"/>
      <c r="DNX55" s="44"/>
      <c r="DNY55" s="44"/>
      <c r="DNZ55" s="44"/>
      <c r="DOA55" s="44"/>
      <c r="DOB55" s="44"/>
      <c r="DOC55" s="44"/>
      <c r="DOD55" s="44"/>
      <c r="DOE55" s="44"/>
      <c r="DOF55" s="44"/>
      <c r="DOG55" s="44"/>
      <c r="DOH55" s="44"/>
      <c r="DOI55" s="44"/>
      <c r="DOJ55" s="44"/>
      <c r="DOK55" s="44"/>
      <c r="DOL55" s="44"/>
      <c r="DOM55" s="44"/>
      <c r="DON55" s="44"/>
      <c r="DOO55" s="44"/>
      <c r="DOP55" s="44"/>
      <c r="DOQ55" s="44"/>
      <c r="DOR55" s="44"/>
      <c r="DOS55" s="44"/>
      <c r="DOT55" s="44"/>
      <c r="DOU55" s="44"/>
      <c r="DOV55" s="44"/>
      <c r="DOW55" s="44"/>
      <c r="DOX55" s="44"/>
      <c r="DOY55" s="44"/>
      <c r="DOZ55" s="44"/>
      <c r="DPA55" s="44"/>
      <c r="DPB55" s="44"/>
      <c r="DPC55" s="44"/>
      <c r="DPD55" s="44"/>
      <c r="DPE55" s="44"/>
      <c r="DPF55" s="44"/>
      <c r="DPG55" s="44"/>
      <c r="DPH55" s="44"/>
      <c r="DPI55" s="44"/>
      <c r="DPJ55" s="44"/>
      <c r="DPK55" s="44"/>
      <c r="DPL55" s="44"/>
      <c r="DPM55" s="44"/>
      <c r="DPN55" s="44"/>
      <c r="DPO55" s="44"/>
      <c r="DPP55" s="44"/>
      <c r="DPQ55" s="44"/>
      <c r="DPR55" s="44"/>
      <c r="DPS55" s="44"/>
      <c r="DPT55" s="44"/>
      <c r="DPU55" s="44"/>
      <c r="DPV55" s="44"/>
      <c r="DPW55" s="44"/>
      <c r="DPX55" s="44"/>
      <c r="DPY55" s="44"/>
      <c r="DPZ55" s="44"/>
      <c r="DQA55" s="44"/>
      <c r="DQB55" s="44"/>
      <c r="DQC55" s="44"/>
      <c r="DQD55" s="44"/>
      <c r="DQE55" s="44"/>
      <c r="DQF55" s="44"/>
      <c r="DQG55" s="44"/>
      <c r="DQH55" s="44"/>
      <c r="DQI55" s="44"/>
      <c r="DQJ55" s="44"/>
      <c r="DQK55" s="44"/>
      <c r="DQL55" s="44"/>
      <c r="DQM55" s="44"/>
      <c r="DQN55" s="44"/>
      <c r="DQO55" s="44"/>
      <c r="DQP55" s="44"/>
      <c r="DQQ55" s="44"/>
      <c r="DQR55" s="44"/>
      <c r="DQS55" s="44"/>
      <c r="DQT55" s="44"/>
      <c r="DQU55" s="44"/>
      <c r="DQV55" s="44"/>
      <c r="DQW55" s="44"/>
      <c r="DQX55" s="44"/>
      <c r="DQY55" s="44"/>
      <c r="DQZ55" s="44"/>
      <c r="DRA55" s="44"/>
      <c r="DRB55" s="44"/>
      <c r="DRC55" s="44"/>
      <c r="DRD55" s="44"/>
      <c r="DRE55" s="44"/>
      <c r="DRF55" s="44"/>
      <c r="DRG55" s="44"/>
      <c r="DRH55" s="44"/>
      <c r="DRI55" s="44"/>
      <c r="DRJ55" s="44"/>
      <c r="DRK55" s="44"/>
      <c r="DRL55" s="44"/>
      <c r="DRM55" s="44"/>
      <c r="DRN55" s="44"/>
      <c r="DRO55" s="44"/>
      <c r="DRP55" s="44"/>
      <c r="DRQ55" s="44"/>
      <c r="DRR55" s="44"/>
      <c r="DRS55" s="44"/>
      <c r="DRT55" s="44"/>
      <c r="DRU55" s="44"/>
      <c r="DRV55" s="44"/>
      <c r="DRW55" s="44"/>
      <c r="DRX55" s="44"/>
      <c r="DRY55" s="44"/>
      <c r="DRZ55" s="44"/>
      <c r="DSA55" s="44"/>
      <c r="DSB55" s="44"/>
      <c r="DSC55" s="44"/>
      <c r="DSD55" s="44"/>
      <c r="DSE55" s="44"/>
      <c r="DSF55" s="44"/>
      <c r="DSG55" s="44"/>
      <c r="DSH55" s="44"/>
      <c r="DSI55" s="44"/>
      <c r="DSJ55" s="44"/>
      <c r="DSK55" s="44"/>
      <c r="DSL55" s="44"/>
      <c r="DSM55" s="44"/>
      <c r="DSN55" s="44"/>
      <c r="DSO55" s="44"/>
      <c r="DSP55" s="44"/>
      <c r="DSQ55" s="44"/>
      <c r="DSR55" s="44"/>
      <c r="DSS55" s="44"/>
      <c r="DST55" s="44"/>
      <c r="DSU55" s="44"/>
      <c r="DSV55" s="44"/>
      <c r="DSW55" s="44"/>
      <c r="DSX55" s="44"/>
      <c r="DSY55" s="44"/>
      <c r="DSZ55" s="44"/>
      <c r="DTA55" s="44"/>
      <c r="DTB55" s="44"/>
      <c r="DTC55" s="44"/>
      <c r="DTD55" s="44"/>
      <c r="DTE55" s="44"/>
      <c r="DTF55" s="44"/>
      <c r="DTG55" s="44"/>
      <c r="DTH55" s="44"/>
      <c r="DTI55" s="44"/>
      <c r="DTJ55" s="44"/>
      <c r="DTK55" s="44"/>
      <c r="DTL55" s="44"/>
      <c r="DTM55" s="44"/>
      <c r="DTN55" s="44"/>
      <c r="DTO55" s="44"/>
      <c r="DTP55" s="44"/>
      <c r="DTQ55" s="44"/>
      <c r="DTR55" s="44"/>
      <c r="DTS55" s="44"/>
      <c r="DTT55" s="44"/>
      <c r="DTU55" s="44"/>
      <c r="DTV55" s="44"/>
      <c r="DTW55" s="44"/>
      <c r="DTX55" s="44"/>
      <c r="DTY55" s="44"/>
      <c r="DTZ55" s="44"/>
      <c r="DUA55" s="44"/>
      <c r="DUB55" s="44"/>
      <c r="DUC55" s="44"/>
      <c r="DUD55" s="44"/>
      <c r="DUE55" s="44"/>
      <c r="DUF55" s="44"/>
      <c r="DUG55" s="44"/>
      <c r="DUH55" s="44"/>
      <c r="DUI55" s="44"/>
      <c r="DUJ55" s="44"/>
      <c r="DUK55" s="44"/>
      <c r="DUL55" s="44"/>
      <c r="DUM55" s="44"/>
      <c r="DUN55" s="44"/>
      <c r="DUO55" s="44"/>
      <c r="DUP55" s="44"/>
      <c r="DUQ55" s="44"/>
      <c r="DUR55" s="44"/>
      <c r="DUS55" s="44"/>
      <c r="DUT55" s="44"/>
      <c r="DUU55" s="44"/>
      <c r="DUV55" s="44"/>
      <c r="DUW55" s="44"/>
      <c r="DUX55" s="44"/>
      <c r="DUY55" s="44"/>
      <c r="DUZ55" s="44"/>
      <c r="DVA55" s="44"/>
      <c r="DVB55" s="44"/>
      <c r="DVC55" s="44"/>
      <c r="DVD55" s="44"/>
      <c r="DVE55" s="44"/>
      <c r="DVF55" s="44"/>
      <c r="DVG55" s="44"/>
      <c r="DVH55" s="44"/>
      <c r="DVI55" s="44"/>
      <c r="DVJ55" s="44"/>
      <c r="DVK55" s="44"/>
      <c r="DVL55" s="44"/>
      <c r="DVM55" s="44"/>
      <c r="DVN55" s="44"/>
      <c r="DVO55" s="44"/>
      <c r="DVP55" s="44"/>
      <c r="DVQ55" s="44"/>
      <c r="DVR55" s="44"/>
      <c r="DVS55" s="44"/>
      <c r="DVT55" s="44"/>
      <c r="DVU55" s="44"/>
      <c r="DVV55" s="44"/>
      <c r="DVW55" s="44"/>
      <c r="DVX55" s="44"/>
      <c r="DVY55" s="44"/>
      <c r="DVZ55" s="44"/>
      <c r="DWA55" s="44"/>
      <c r="DWB55" s="44"/>
      <c r="DWC55" s="44"/>
      <c r="DWD55" s="44"/>
      <c r="DWE55" s="44"/>
      <c r="DWF55" s="44"/>
      <c r="DWG55" s="44"/>
      <c r="DWH55" s="44"/>
      <c r="DWI55" s="44"/>
      <c r="DWJ55" s="44"/>
      <c r="DWK55" s="44"/>
      <c r="DWL55" s="44"/>
      <c r="DWM55" s="44"/>
      <c r="DWN55" s="44"/>
      <c r="DWO55" s="44"/>
      <c r="DWP55" s="44"/>
      <c r="DWQ55" s="44"/>
      <c r="DWR55" s="44"/>
      <c r="DWS55" s="44"/>
      <c r="DWT55" s="44"/>
      <c r="DWU55" s="44"/>
      <c r="DWV55" s="44"/>
      <c r="DWW55" s="44"/>
      <c r="DWX55" s="44"/>
      <c r="DWY55" s="44"/>
      <c r="DWZ55" s="44"/>
      <c r="DXA55" s="44"/>
      <c r="DXB55" s="44"/>
      <c r="DXC55" s="44"/>
      <c r="DXD55" s="44"/>
      <c r="DXE55" s="44"/>
      <c r="DXF55" s="44"/>
      <c r="DXG55" s="44"/>
      <c r="DXH55" s="44"/>
      <c r="DXI55" s="44"/>
      <c r="DXJ55" s="44"/>
      <c r="DXK55" s="44"/>
      <c r="DXL55" s="44"/>
      <c r="DXM55" s="44"/>
      <c r="DXN55" s="44"/>
      <c r="DXO55" s="44"/>
      <c r="DXP55" s="44"/>
      <c r="DXQ55" s="44"/>
      <c r="DXR55" s="44"/>
      <c r="DXS55" s="44"/>
      <c r="DXT55" s="44"/>
      <c r="DXU55" s="44"/>
      <c r="DXV55" s="44"/>
      <c r="DXW55" s="44"/>
      <c r="DXX55" s="44"/>
      <c r="DXY55" s="44"/>
      <c r="DXZ55" s="44"/>
      <c r="DYA55" s="44"/>
      <c r="DYB55" s="44"/>
      <c r="DYC55" s="44"/>
      <c r="DYD55" s="44"/>
      <c r="DYE55" s="44"/>
      <c r="DYF55" s="44"/>
      <c r="DYG55" s="44"/>
      <c r="DYH55" s="44"/>
      <c r="DYI55" s="44"/>
      <c r="DYJ55" s="44"/>
      <c r="DYK55" s="44"/>
      <c r="DYL55" s="44"/>
      <c r="DYM55" s="44"/>
      <c r="DYN55" s="44"/>
      <c r="DYO55" s="44"/>
      <c r="DYP55" s="44"/>
      <c r="DYQ55" s="44"/>
      <c r="DYR55" s="44"/>
      <c r="DYS55" s="44"/>
      <c r="DYT55" s="44"/>
      <c r="DYU55" s="44"/>
      <c r="DYV55" s="44"/>
      <c r="DYW55" s="44"/>
      <c r="DYX55" s="44"/>
      <c r="DYY55" s="44"/>
      <c r="DYZ55" s="44"/>
      <c r="DZA55" s="44"/>
      <c r="DZB55" s="44"/>
      <c r="DZC55" s="44"/>
      <c r="DZD55" s="44"/>
      <c r="DZE55" s="44"/>
      <c r="DZF55" s="44"/>
      <c r="DZG55" s="44"/>
      <c r="DZH55" s="44"/>
      <c r="DZI55" s="44"/>
      <c r="DZJ55" s="44"/>
      <c r="DZK55" s="44"/>
      <c r="DZL55" s="44"/>
      <c r="DZM55" s="44"/>
      <c r="DZN55" s="44"/>
      <c r="DZO55" s="44"/>
      <c r="DZP55" s="44"/>
      <c r="DZQ55" s="44"/>
      <c r="DZR55" s="44"/>
      <c r="DZS55" s="44"/>
      <c r="DZT55" s="44"/>
      <c r="DZU55" s="44"/>
      <c r="DZV55" s="44"/>
      <c r="DZW55" s="44"/>
      <c r="DZX55" s="44"/>
      <c r="DZY55" s="44"/>
      <c r="DZZ55" s="44"/>
      <c r="EAA55" s="44"/>
      <c r="EAB55" s="44"/>
      <c r="EAC55" s="44"/>
      <c r="EAD55" s="44"/>
      <c r="EAE55" s="44"/>
      <c r="EAF55" s="44"/>
      <c r="EAG55" s="44"/>
      <c r="EAH55" s="44"/>
      <c r="EAI55" s="44"/>
      <c r="EAJ55" s="44"/>
      <c r="EAK55" s="44"/>
      <c r="EAL55" s="44"/>
      <c r="EAM55" s="44"/>
      <c r="EAN55" s="44"/>
      <c r="EAO55" s="44"/>
      <c r="EAP55" s="44"/>
      <c r="EAQ55" s="44"/>
      <c r="EAR55" s="44"/>
      <c r="EAS55" s="44"/>
      <c r="EAT55" s="44"/>
      <c r="EAU55" s="44"/>
      <c r="EAV55" s="44"/>
      <c r="EAW55" s="44"/>
      <c r="EAX55" s="44"/>
      <c r="EAY55" s="44"/>
      <c r="EAZ55" s="44"/>
      <c r="EBA55" s="44"/>
      <c r="EBB55" s="44"/>
      <c r="EBC55" s="44"/>
      <c r="EBD55" s="44"/>
      <c r="EBE55" s="44"/>
      <c r="EBF55" s="44"/>
      <c r="EBG55" s="44"/>
      <c r="EBH55" s="44"/>
      <c r="EBI55" s="44"/>
      <c r="EBJ55" s="44"/>
      <c r="EBK55" s="44"/>
      <c r="EBL55" s="44"/>
      <c r="EBM55" s="44"/>
      <c r="EBN55" s="44"/>
      <c r="EBO55" s="44"/>
      <c r="EBP55" s="44"/>
      <c r="EBQ55" s="44"/>
      <c r="EBR55" s="44"/>
      <c r="EBS55" s="44"/>
      <c r="EBT55" s="44"/>
      <c r="EBU55" s="44"/>
      <c r="EBV55" s="44"/>
      <c r="EBW55" s="44"/>
      <c r="EBX55" s="44"/>
      <c r="EBY55" s="44"/>
      <c r="EBZ55" s="44"/>
      <c r="ECA55" s="44"/>
      <c r="ECB55" s="44"/>
      <c r="ECC55" s="44"/>
      <c r="ECD55" s="44"/>
      <c r="ECE55" s="44"/>
      <c r="ECF55" s="44"/>
      <c r="ECG55" s="44"/>
      <c r="ECH55" s="44"/>
      <c r="ECI55" s="44"/>
      <c r="ECJ55" s="44"/>
      <c r="ECK55" s="44"/>
      <c r="ECL55" s="44"/>
      <c r="ECM55" s="44"/>
      <c r="ECN55" s="44"/>
      <c r="ECO55" s="44"/>
      <c r="ECP55" s="44"/>
      <c r="ECQ55" s="44"/>
      <c r="ECR55" s="44"/>
      <c r="ECS55" s="44"/>
      <c r="ECT55" s="44"/>
      <c r="ECU55" s="44"/>
      <c r="ECV55" s="44"/>
      <c r="ECW55" s="44"/>
      <c r="ECX55" s="44"/>
      <c r="ECY55" s="44"/>
      <c r="ECZ55" s="44"/>
      <c r="EDA55" s="44"/>
      <c r="EDB55" s="44"/>
      <c r="EDC55" s="44"/>
      <c r="EDD55" s="44"/>
      <c r="EDE55" s="44"/>
      <c r="EDF55" s="44"/>
      <c r="EDG55" s="44"/>
      <c r="EDH55" s="44"/>
      <c r="EDI55" s="44"/>
      <c r="EDJ55" s="44"/>
      <c r="EDK55" s="44"/>
      <c r="EDL55" s="44"/>
      <c r="EDM55" s="44"/>
      <c r="EDN55" s="44"/>
      <c r="EDO55" s="44"/>
      <c r="EDP55" s="44"/>
      <c r="EDQ55" s="44"/>
      <c r="EDR55" s="44"/>
      <c r="EDS55" s="44"/>
      <c r="EDT55" s="44"/>
      <c r="EDU55" s="44"/>
      <c r="EDV55" s="44"/>
      <c r="EDW55" s="44"/>
      <c r="EDX55" s="44"/>
      <c r="EDY55" s="44"/>
      <c r="EDZ55" s="44"/>
      <c r="EEA55" s="44"/>
      <c r="EEB55" s="44"/>
      <c r="EEC55" s="44"/>
      <c r="EED55" s="44"/>
      <c r="EEE55" s="44"/>
      <c r="EEF55" s="44"/>
      <c r="EEG55" s="44"/>
      <c r="EEH55" s="44"/>
      <c r="EEI55" s="44"/>
      <c r="EEJ55" s="44"/>
      <c r="EEK55" s="44"/>
      <c r="EEL55" s="44"/>
      <c r="EEM55" s="44"/>
      <c r="EEN55" s="44"/>
      <c r="EEO55" s="44"/>
      <c r="EEP55" s="44"/>
      <c r="EEQ55" s="44"/>
      <c r="EER55" s="44"/>
      <c r="EES55" s="44"/>
      <c r="EET55" s="44"/>
      <c r="EEU55" s="44"/>
      <c r="EEV55" s="44"/>
      <c r="EEW55" s="44"/>
      <c r="EEX55" s="44"/>
      <c r="EEY55" s="44"/>
      <c r="EEZ55" s="44"/>
      <c r="EFA55" s="44"/>
      <c r="EFB55" s="44"/>
      <c r="EFC55" s="44"/>
      <c r="EFD55" s="44"/>
      <c r="EFE55" s="44"/>
      <c r="EFF55" s="44"/>
      <c r="EFG55" s="44"/>
      <c r="EFH55" s="44"/>
      <c r="EFI55" s="44"/>
      <c r="EFJ55" s="44"/>
      <c r="EFK55" s="44"/>
      <c r="EFL55" s="44"/>
      <c r="EFM55" s="44"/>
      <c r="EFN55" s="44"/>
      <c r="EFO55" s="44"/>
      <c r="EFP55" s="44"/>
      <c r="EFQ55" s="44"/>
      <c r="EFR55" s="44"/>
      <c r="EFS55" s="44"/>
      <c r="EFT55" s="44"/>
      <c r="EFU55" s="44"/>
      <c r="EFV55" s="44"/>
      <c r="EFW55" s="44"/>
      <c r="EFX55" s="44"/>
      <c r="EFY55" s="44"/>
      <c r="EFZ55" s="44"/>
      <c r="EGA55" s="44"/>
      <c r="EGB55" s="44"/>
      <c r="EGC55" s="44"/>
      <c r="EGD55" s="44"/>
      <c r="EGE55" s="44"/>
      <c r="EGF55" s="44"/>
      <c r="EGG55" s="44"/>
      <c r="EGH55" s="44"/>
      <c r="EGI55" s="44"/>
      <c r="EGJ55" s="44"/>
      <c r="EGK55" s="44"/>
      <c r="EGL55" s="44"/>
      <c r="EGM55" s="44"/>
      <c r="EGN55" s="44"/>
      <c r="EGO55" s="44"/>
      <c r="EGP55" s="44"/>
      <c r="EGQ55" s="44"/>
      <c r="EGR55" s="44"/>
      <c r="EGS55" s="44"/>
      <c r="EGT55" s="44"/>
      <c r="EGU55" s="44"/>
      <c r="EGV55" s="44"/>
      <c r="EGW55" s="44"/>
      <c r="EGX55" s="44"/>
      <c r="EGY55" s="44"/>
      <c r="EGZ55" s="44"/>
      <c r="EHA55" s="44"/>
      <c r="EHB55" s="44"/>
      <c r="EHC55" s="44"/>
      <c r="EHD55" s="44"/>
      <c r="EHE55" s="44"/>
      <c r="EHF55" s="44"/>
      <c r="EHG55" s="44"/>
      <c r="EHH55" s="44"/>
      <c r="EHI55" s="44"/>
      <c r="EHJ55" s="44"/>
      <c r="EHK55" s="44"/>
      <c r="EHL55" s="44"/>
      <c r="EHM55" s="44"/>
      <c r="EHN55" s="44"/>
      <c r="EHO55" s="44"/>
      <c r="EHP55" s="44"/>
      <c r="EHQ55" s="44"/>
      <c r="EHR55" s="44"/>
      <c r="EHS55" s="44"/>
      <c r="EHT55" s="44"/>
      <c r="EHU55" s="44"/>
      <c r="EHV55" s="44"/>
      <c r="EHW55" s="44"/>
      <c r="EHX55" s="44"/>
      <c r="EHY55" s="44"/>
      <c r="EHZ55" s="44"/>
      <c r="EIA55" s="44"/>
      <c r="EIB55" s="44"/>
      <c r="EIC55" s="44"/>
      <c r="EID55" s="44"/>
      <c r="EIE55" s="44"/>
      <c r="EIF55" s="44"/>
      <c r="EIG55" s="44"/>
      <c r="EIH55" s="44"/>
      <c r="EII55" s="44"/>
      <c r="EIJ55" s="44"/>
      <c r="EIK55" s="44"/>
      <c r="EIL55" s="44"/>
      <c r="EIM55" s="44"/>
      <c r="EIN55" s="44"/>
      <c r="EIO55" s="44"/>
      <c r="EIP55" s="44"/>
      <c r="EIQ55" s="44"/>
      <c r="EIR55" s="44"/>
      <c r="EIS55" s="44"/>
      <c r="EIT55" s="44"/>
      <c r="EIU55" s="44"/>
      <c r="EIV55" s="44"/>
      <c r="EIW55" s="44"/>
      <c r="EIX55" s="44"/>
      <c r="EIY55" s="44"/>
      <c r="EIZ55" s="44"/>
      <c r="EJA55" s="44"/>
      <c r="EJB55" s="44"/>
      <c r="EJC55" s="44"/>
      <c r="EJD55" s="44"/>
      <c r="EJE55" s="44"/>
      <c r="EJF55" s="44"/>
      <c r="EJG55" s="44"/>
      <c r="EJH55" s="44"/>
      <c r="EJI55" s="44"/>
      <c r="EJJ55" s="44"/>
      <c r="EJK55" s="44"/>
      <c r="EJL55" s="44"/>
      <c r="EJM55" s="44"/>
      <c r="EJN55" s="44"/>
      <c r="EJO55" s="44"/>
      <c r="EJP55" s="44"/>
      <c r="EJQ55" s="44"/>
      <c r="EJR55" s="44"/>
      <c r="EJS55" s="44"/>
      <c r="EJT55" s="44"/>
      <c r="EJU55" s="44"/>
      <c r="EJV55" s="44"/>
      <c r="EJW55" s="44"/>
      <c r="EJX55" s="44"/>
      <c r="EJY55" s="44"/>
      <c r="EJZ55" s="44"/>
      <c r="EKA55" s="44"/>
      <c r="EKB55" s="44"/>
      <c r="EKC55" s="44"/>
      <c r="EKD55" s="44"/>
      <c r="EKE55" s="44"/>
      <c r="EKF55" s="44"/>
      <c r="EKG55" s="44"/>
      <c r="EKH55" s="44"/>
      <c r="EKI55" s="44"/>
      <c r="EKJ55" s="44"/>
      <c r="EKK55" s="44"/>
      <c r="EKL55" s="44"/>
      <c r="EKM55" s="44"/>
      <c r="EKN55" s="44"/>
      <c r="EKO55" s="44"/>
      <c r="EKP55" s="44"/>
      <c r="EKQ55" s="44"/>
      <c r="EKR55" s="44"/>
      <c r="EKS55" s="44"/>
      <c r="EKT55" s="44"/>
      <c r="EKU55" s="44"/>
      <c r="EKV55" s="44"/>
      <c r="EKW55" s="44"/>
      <c r="EKX55" s="44"/>
      <c r="EKY55" s="44"/>
      <c r="EKZ55" s="44"/>
      <c r="ELA55" s="44"/>
      <c r="ELB55" s="44"/>
      <c r="ELC55" s="44"/>
      <c r="ELD55" s="44"/>
      <c r="ELE55" s="44"/>
      <c r="ELF55" s="44"/>
      <c r="ELG55" s="44"/>
      <c r="ELH55" s="44"/>
      <c r="ELI55" s="44"/>
      <c r="ELJ55" s="44"/>
      <c r="ELK55" s="44"/>
      <c r="ELL55" s="44"/>
      <c r="ELM55" s="44"/>
      <c r="ELN55" s="44"/>
      <c r="ELO55" s="44"/>
      <c r="ELP55" s="44"/>
      <c r="ELQ55" s="44"/>
      <c r="ELR55" s="44"/>
      <c r="ELS55" s="44"/>
      <c r="ELT55" s="44"/>
      <c r="ELU55" s="44"/>
      <c r="ELV55" s="44"/>
      <c r="ELW55" s="44"/>
      <c r="ELX55" s="44"/>
      <c r="ELY55" s="44"/>
      <c r="ELZ55" s="44"/>
      <c r="EMA55" s="44"/>
      <c r="EMB55" s="44"/>
      <c r="EMC55" s="44"/>
      <c r="EMD55" s="44"/>
      <c r="EME55" s="44"/>
      <c r="EMF55" s="44"/>
      <c r="EMG55" s="44"/>
      <c r="EMH55" s="44"/>
      <c r="EMI55" s="44"/>
      <c r="EMJ55" s="44"/>
      <c r="EMK55" s="44"/>
      <c r="EML55" s="44"/>
      <c r="EMM55" s="44"/>
      <c r="EMN55" s="44"/>
      <c r="EMO55" s="44"/>
      <c r="EMP55" s="44"/>
      <c r="EMQ55" s="44"/>
      <c r="EMR55" s="44"/>
      <c r="EMS55" s="44"/>
      <c r="EMT55" s="44"/>
      <c r="EMU55" s="44"/>
      <c r="EMV55" s="44"/>
      <c r="EMW55" s="44"/>
      <c r="EMX55" s="44"/>
      <c r="EMY55" s="44"/>
      <c r="EMZ55" s="44"/>
      <c r="ENA55" s="44"/>
      <c r="ENB55" s="44"/>
      <c r="ENC55" s="44"/>
      <c r="END55" s="44"/>
      <c r="ENE55" s="44"/>
      <c r="ENF55" s="44"/>
      <c r="ENG55" s="44"/>
      <c r="ENH55" s="44"/>
      <c r="ENI55" s="44"/>
      <c r="ENJ55" s="44"/>
      <c r="ENK55" s="44"/>
      <c r="ENL55" s="44"/>
      <c r="ENM55" s="44"/>
      <c r="ENN55" s="44"/>
      <c r="ENO55" s="44"/>
      <c r="ENP55" s="44"/>
      <c r="ENQ55" s="44"/>
      <c r="ENR55" s="44"/>
      <c r="ENS55" s="44"/>
      <c r="ENT55" s="44"/>
      <c r="ENU55" s="44"/>
      <c r="ENV55" s="44"/>
      <c r="ENW55" s="44"/>
      <c r="ENX55" s="44"/>
      <c r="ENY55" s="44"/>
      <c r="ENZ55" s="44"/>
      <c r="EOA55" s="44"/>
      <c r="EOB55" s="44"/>
      <c r="EOC55" s="44"/>
      <c r="EOD55" s="44"/>
      <c r="EOE55" s="44"/>
      <c r="EOF55" s="44"/>
      <c r="EOG55" s="44"/>
      <c r="EOH55" s="44"/>
      <c r="EOI55" s="44"/>
      <c r="EOJ55" s="44"/>
      <c r="EOK55" s="44"/>
      <c r="EOL55" s="44"/>
      <c r="EOM55" s="44"/>
      <c r="EON55" s="44"/>
      <c r="EOO55" s="44"/>
      <c r="EOP55" s="44"/>
      <c r="EOQ55" s="44"/>
      <c r="EOR55" s="44"/>
      <c r="EOS55" s="44"/>
      <c r="EOT55" s="44"/>
      <c r="EOU55" s="44"/>
      <c r="EOV55" s="44"/>
      <c r="EOW55" s="44"/>
      <c r="EOX55" s="44"/>
      <c r="EOY55" s="44"/>
      <c r="EOZ55" s="44"/>
      <c r="EPA55" s="44"/>
      <c r="EPB55" s="44"/>
      <c r="EPC55" s="44"/>
      <c r="EPD55" s="44"/>
      <c r="EPE55" s="44"/>
      <c r="EPF55" s="44"/>
      <c r="EPG55" s="44"/>
      <c r="EPH55" s="44"/>
      <c r="EPI55" s="44"/>
      <c r="EPJ55" s="44"/>
      <c r="EPK55" s="44"/>
      <c r="EPL55" s="44"/>
      <c r="EPM55" s="44"/>
      <c r="EPN55" s="44"/>
      <c r="EPO55" s="44"/>
      <c r="EPP55" s="44"/>
      <c r="EPQ55" s="44"/>
      <c r="EPR55" s="44"/>
      <c r="EPS55" s="44"/>
      <c r="EPT55" s="44"/>
      <c r="EPU55" s="44"/>
      <c r="EPV55" s="44"/>
      <c r="EPW55" s="44"/>
      <c r="EPX55" s="44"/>
      <c r="EPY55" s="44"/>
      <c r="EPZ55" s="44"/>
      <c r="EQA55" s="44"/>
      <c r="EQB55" s="44"/>
      <c r="EQC55" s="44"/>
      <c r="EQD55" s="44"/>
      <c r="EQE55" s="44"/>
      <c r="EQF55" s="44"/>
      <c r="EQG55" s="44"/>
      <c r="EQH55" s="44"/>
      <c r="EQI55" s="44"/>
      <c r="EQJ55" s="44"/>
      <c r="EQK55" s="44"/>
      <c r="EQL55" s="44"/>
      <c r="EQM55" s="44"/>
      <c r="EQN55" s="44"/>
      <c r="EQO55" s="44"/>
      <c r="EQP55" s="44"/>
      <c r="EQQ55" s="44"/>
      <c r="EQR55" s="44"/>
      <c r="EQS55" s="44"/>
      <c r="EQT55" s="44"/>
      <c r="EQU55" s="44"/>
      <c r="EQV55" s="44"/>
      <c r="EQW55" s="44"/>
      <c r="EQX55" s="44"/>
      <c r="EQY55" s="44"/>
      <c r="EQZ55" s="44"/>
      <c r="ERA55" s="44"/>
      <c r="ERB55" s="44"/>
      <c r="ERC55" s="44"/>
      <c r="ERD55" s="44"/>
      <c r="ERE55" s="44"/>
      <c r="ERF55" s="44"/>
      <c r="ERG55" s="44"/>
      <c r="ERH55" s="44"/>
      <c r="ERI55" s="44"/>
      <c r="ERJ55" s="44"/>
      <c r="ERK55" s="44"/>
      <c r="ERL55" s="44"/>
      <c r="ERM55" s="44"/>
      <c r="ERN55" s="44"/>
      <c r="ERO55" s="44"/>
      <c r="ERP55" s="44"/>
      <c r="ERQ55" s="44"/>
      <c r="ERR55" s="44"/>
      <c r="ERS55" s="44"/>
      <c r="ERT55" s="44"/>
      <c r="ERU55" s="44"/>
      <c r="ERV55" s="44"/>
      <c r="ERW55" s="44"/>
      <c r="ERX55" s="44"/>
      <c r="ERY55" s="44"/>
      <c r="ERZ55" s="44"/>
      <c r="ESA55" s="44"/>
      <c r="ESB55" s="44"/>
      <c r="ESC55" s="44"/>
      <c r="ESD55" s="44"/>
      <c r="ESE55" s="44"/>
      <c r="ESF55" s="44"/>
      <c r="ESG55" s="44"/>
      <c r="ESH55" s="44"/>
      <c r="ESI55" s="44"/>
      <c r="ESJ55" s="44"/>
      <c r="ESK55" s="44"/>
      <c r="ESL55" s="44"/>
      <c r="ESM55" s="44"/>
      <c r="ESN55" s="44"/>
      <c r="ESO55" s="44"/>
      <c r="ESP55" s="44"/>
      <c r="ESQ55" s="44"/>
      <c r="ESR55" s="44"/>
      <c r="ESS55" s="44"/>
      <c r="EST55" s="44"/>
      <c r="ESU55" s="44"/>
      <c r="ESV55" s="44"/>
      <c r="ESW55" s="44"/>
      <c r="ESX55" s="44"/>
      <c r="ESY55" s="44"/>
      <c r="ESZ55" s="44"/>
      <c r="ETA55" s="44"/>
      <c r="ETB55" s="44"/>
      <c r="ETC55" s="44"/>
      <c r="ETD55" s="44"/>
      <c r="ETE55" s="44"/>
      <c r="ETF55" s="44"/>
      <c r="ETG55" s="44"/>
      <c r="ETH55" s="44"/>
      <c r="ETI55" s="44"/>
      <c r="ETJ55" s="44"/>
      <c r="ETK55" s="44"/>
      <c r="ETL55" s="44"/>
      <c r="ETM55" s="44"/>
      <c r="ETN55" s="44"/>
      <c r="ETO55" s="44"/>
      <c r="ETP55" s="44"/>
      <c r="ETQ55" s="44"/>
      <c r="ETR55" s="44"/>
      <c r="ETS55" s="44"/>
      <c r="ETT55" s="44"/>
      <c r="ETU55" s="44"/>
      <c r="ETV55" s="44"/>
      <c r="ETW55" s="44"/>
      <c r="ETX55" s="44"/>
      <c r="ETY55" s="44"/>
      <c r="ETZ55" s="44"/>
      <c r="EUA55" s="44"/>
      <c r="EUB55" s="44"/>
      <c r="EUC55" s="44"/>
      <c r="EUD55" s="44"/>
      <c r="EUE55" s="44"/>
      <c r="EUF55" s="44"/>
      <c r="EUG55" s="44"/>
      <c r="EUH55" s="44"/>
      <c r="EUI55" s="44"/>
      <c r="EUJ55" s="44"/>
      <c r="EUK55" s="44"/>
      <c r="EUL55" s="44"/>
      <c r="EUM55" s="44"/>
      <c r="EUN55" s="44"/>
      <c r="EUO55" s="44"/>
      <c r="EUP55" s="44"/>
      <c r="EUQ55" s="44"/>
      <c r="EUR55" s="44"/>
      <c r="EUS55" s="44"/>
      <c r="EUT55" s="44"/>
      <c r="EUU55" s="44"/>
      <c r="EUV55" s="44"/>
      <c r="EUW55" s="44"/>
      <c r="EUX55" s="44"/>
      <c r="EUY55" s="44"/>
      <c r="EUZ55" s="44"/>
      <c r="EVA55" s="44"/>
      <c r="EVB55" s="44"/>
      <c r="EVC55" s="44"/>
      <c r="EVD55" s="44"/>
      <c r="EVE55" s="44"/>
      <c r="EVF55" s="44"/>
      <c r="EVG55" s="44"/>
      <c r="EVH55" s="44"/>
      <c r="EVI55" s="44"/>
      <c r="EVJ55" s="44"/>
      <c r="EVK55" s="44"/>
      <c r="EVL55" s="44"/>
      <c r="EVM55" s="44"/>
      <c r="EVN55" s="44"/>
      <c r="EVO55" s="44"/>
      <c r="EVP55" s="44"/>
      <c r="EVQ55" s="44"/>
      <c r="EVR55" s="44"/>
      <c r="EVS55" s="44"/>
      <c r="EVT55" s="44"/>
      <c r="EVU55" s="44"/>
      <c r="EVV55" s="44"/>
      <c r="EVW55" s="44"/>
      <c r="EVX55" s="44"/>
      <c r="EVY55" s="44"/>
      <c r="EVZ55" s="44"/>
      <c r="EWA55" s="44"/>
      <c r="EWB55" s="44"/>
      <c r="EWC55" s="44"/>
      <c r="EWD55" s="44"/>
      <c r="EWE55" s="44"/>
      <c r="EWF55" s="44"/>
      <c r="EWG55" s="44"/>
      <c r="EWH55" s="44"/>
      <c r="EWI55" s="44"/>
      <c r="EWJ55" s="44"/>
      <c r="EWK55" s="44"/>
      <c r="EWL55" s="44"/>
      <c r="EWM55" s="44"/>
      <c r="EWN55" s="44"/>
      <c r="EWO55" s="44"/>
      <c r="EWP55" s="44"/>
      <c r="EWQ55" s="44"/>
      <c r="EWR55" s="44"/>
      <c r="EWS55" s="44"/>
      <c r="EWT55" s="44"/>
      <c r="EWU55" s="44"/>
      <c r="EWV55" s="44"/>
      <c r="EWW55" s="44"/>
      <c r="EWX55" s="44"/>
      <c r="EWY55" s="44"/>
      <c r="EWZ55" s="44"/>
      <c r="EXA55" s="44"/>
      <c r="EXB55" s="44"/>
      <c r="EXC55" s="44"/>
      <c r="EXD55" s="44"/>
      <c r="EXE55" s="44"/>
      <c r="EXF55" s="44"/>
      <c r="EXG55" s="44"/>
      <c r="EXH55" s="44"/>
      <c r="EXI55" s="44"/>
      <c r="EXJ55" s="44"/>
      <c r="EXK55" s="44"/>
      <c r="EXL55" s="44"/>
      <c r="EXM55" s="44"/>
      <c r="EXN55" s="44"/>
      <c r="EXO55" s="44"/>
      <c r="EXP55" s="44"/>
      <c r="EXQ55" s="44"/>
      <c r="EXR55" s="44"/>
      <c r="EXS55" s="44"/>
      <c r="EXT55" s="44"/>
      <c r="EXU55" s="44"/>
      <c r="EXV55" s="44"/>
      <c r="EXW55" s="44"/>
      <c r="EXX55" s="44"/>
      <c r="EXY55" s="44"/>
      <c r="EXZ55" s="44"/>
      <c r="EYA55" s="44"/>
      <c r="EYB55" s="44"/>
      <c r="EYC55" s="44"/>
      <c r="EYD55" s="44"/>
      <c r="EYE55" s="44"/>
      <c r="EYF55" s="44"/>
      <c r="EYG55" s="44"/>
      <c r="EYH55" s="44"/>
      <c r="EYI55" s="44"/>
      <c r="EYJ55" s="44"/>
      <c r="EYK55" s="44"/>
      <c r="EYL55" s="44"/>
      <c r="EYM55" s="44"/>
      <c r="EYN55" s="44"/>
      <c r="EYO55" s="44"/>
      <c r="EYP55" s="44"/>
      <c r="EYQ55" s="44"/>
      <c r="EYR55" s="44"/>
      <c r="EYS55" s="44"/>
      <c r="EYT55" s="44"/>
      <c r="EYU55" s="44"/>
      <c r="EYV55" s="44"/>
      <c r="EYW55" s="44"/>
      <c r="EYX55" s="44"/>
      <c r="EYY55" s="44"/>
      <c r="EYZ55" s="44"/>
      <c r="EZA55" s="44"/>
      <c r="EZB55" s="44"/>
      <c r="EZC55" s="44"/>
      <c r="EZD55" s="44"/>
      <c r="EZE55" s="44"/>
      <c r="EZF55" s="44"/>
      <c r="EZG55" s="44"/>
      <c r="EZH55" s="44"/>
      <c r="EZI55" s="44"/>
      <c r="EZJ55" s="44"/>
      <c r="EZK55" s="44"/>
      <c r="EZL55" s="44"/>
      <c r="EZM55" s="44"/>
      <c r="EZN55" s="44"/>
      <c r="EZO55" s="44"/>
      <c r="EZP55" s="44"/>
      <c r="EZQ55" s="44"/>
      <c r="EZR55" s="44"/>
      <c r="EZS55" s="44"/>
      <c r="EZT55" s="44"/>
      <c r="EZU55" s="44"/>
      <c r="EZV55" s="44"/>
      <c r="EZW55" s="44"/>
      <c r="EZX55" s="44"/>
      <c r="EZY55" s="44"/>
      <c r="EZZ55" s="44"/>
      <c r="FAA55" s="44"/>
      <c r="FAB55" s="44"/>
      <c r="FAC55" s="44"/>
      <c r="FAD55" s="44"/>
      <c r="FAE55" s="44"/>
      <c r="FAF55" s="44"/>
      <c r="FAG55" s="44"/>
      <c r="FAH55" s="44"/>
      <c r="FAI55" s="44"/>
      <c r="FAJ55" s="44"/>
      <c r="FAK55" s="44"/>
      <c r="FAL55" s="44"/>
      <c r="FAM55" s="44"/>
      <c r="FAN55" s="44"/>
      <c r="FAO55" s="44"/>
      <c r="FAP55" s="44"/>
      <c r="FAQ55" s="44"/>
      <c r="FAR55" s="44"/>
      <c r="FAS55" s="44"/>
      <c r="FAT55" s="44"/>
      <c r="FAU55" s="44"/>
      <c r="FAV55" s="44"/>
      <c r="FAW55" s="44"/>
      <c r="FAX55" s="44"/>
      <c r="FAY55" s="44"/>
      <c r="FAZ55" s="44"/>
      <c r="FBA55" s="44"/>
      <c r="FBB55" s="44"/>
      <c r="FBC55" s="44"/>
      <c r="FBD55" s="44"/>
      <c r="FBE55" s="44"/>
      <c r="FBF55" s="44"/>
      <c r="FBG55" s="44"/>
      <c r="FBH55" s="44"/>
      <c r="FBI55" s="44"/>
      <c r="FBJ55" s="44"/>
      <c r="FBK55" s="44"/>
      <c r="FBL55" s="44"/>
      <c r="FBM55" s="44"/>
      <c r="FBN55" s="44"/>
      <c r="FBO55" s="44"/>
      <c r="FBP55" s="44"/>
      <c r="FBQ55" s="44"/>
      <c r="FBR55" s="44"/>
      <c r="FBS55" s="44"/>
      <c r="FBT55" s="44"/>
      <c r="FBU55" s="44"/>
      <c r="FBV55" s="44"/>
      <c r="FBW55" s="44"/>
      <c r="FBX55" s="44"/>
      <c r="FBY55" s="44"/>
      <c r="FBZ55" s="44"/>
      <c r="FCA55" s="44"/>
      <c r="FCB55" s="44"/>
      <c r="FCC55" s="44"/>
      <c r="FCD55" s="44"/>
      <c r="FCE55" s="44"/>
      <c r="FCF55" s="44"/>
      <c r="FCG55" s="44"/>
      <c r="FCH55" s="44"/>
      <c r="FCI55" s="44"/>
      <c r="FCJ55" s="44"/>
      <c r="FCK55" s="44"/>
      <c r="FCL55" s="44"/>
      <c r="FCM55" s="44"/>
      <c r="FCN55" s="44"/>
      <c r="FCO55" s="44"/>
      <c r="FCP55" s="44"/>
      <c r="FCQ55" s="44"/>
      <c r="FCR55" s="44"/>
      <c r="FCS55" s="44"/>
      <c r="FCT55" s="44"/>
      <c r="FCU55" s="44"/>
      <c r="FCV55" s="44"/>
      <c r="FCW55" s="44"/>
      <c r="FCX55" s="44"/>
      <c r="FCY55" s="44"/>
      <c r="FCZ55" s="44"/>
      <c r="FDA55" s="44"/>
      <c r="FDB55" s="44"/>
      <c r="FDC55" s="44"/>
      <c r="FDD55" s="44"/>
      <c r="FDE55" s="44"/>
      <c r="FDF55" s="44"/>
      <c r="FDG55" s="44"/>
      <c r="FDH55" s="44"/>
      <c r="FDI55" s="44"/>
      <c r="FDJ55" s="44"/>
      <c r="FDK55" s="44"/>
      <c r="FDL55" s="44"/>
      <c r="FDM55" s="44"/>
      <c r="FDN55" s="44"/>
      <c r="FDO55" s="44"/>
      <c r="FDP55" s="44"/>
      <c r="FDQ55" s="44"/>
      <c r="FDR55" s="44"/>
      <c r="FDS55" s="44"/>
      <c r="FDT55" s="44"/>
      <c r="FDU55" s="44"/>
      <c r="FDV55" s="44"/>
      <c r="FDW55" s="44"/>
      <c r="FDX55" s="44"/>
      <c r="FDY55" s="44"/>
      <c r="FDZ55" s="44"/>
      <c r="FEA55" s="44"/>
      <c r="FEB55" s="44"/>
      <c r="FEC55" s="44"/>
      <c r="FED55" s="44"/>
      <c r="FEE55" s="44"/>
      <c r="FEF55" s="44"/>
      <c r="FEG55" s="44"/>
      <c r="FEH55" s="44"/>
      <c r="FEI55" s="44"/>
      <c r="FEJ55" s="44"/>
      <c r="FEK55" s="44"/>
      <c r="FEL55" s="44"/>
      <c r="FEM55" s="44"/>
      <c r="FEN55" s="44"/>
      <c r="FEO55" s="44"/>
      <c r="FEP55" s="44"/>
      <c r="FEQ55" s="44"/>
      <c r="FER55" s="44"/>
      <c r="FES55" s="44"/>
      <c r="FET55" s="44"/>
      <c r="FEU55" s="44"/>
      <c r="FEV55" s="44"/>
      <c r="FEW55" s="44"/>
      <c r="FEX55" s="44"/>
      <c r="FEY55" s="44"/>
      <c r="FEZ55" s="44"/>
      <c r="FFA55" s="44"/>
      <c r="FFB55" s="44"/>
      <c r="FFC55" s="44"/>
      <c r="FFD55" s="44"/>
      <c r="FFE55" s="44"/>
      <c r="FFF55" s="44"/>
      <c r="FFG55" s="44"/>
      <c r="FFH55" s="44"/>
      <c r="FFI55" s="44"/>
      <c r="FFJ55" s="44"/>
      <c r="FFK55" s="44"/>
      <c r="FFL55" s="44"/>
      <c r="FFM55" s="44"/>
      <c r="FFN55" s="44"/>
      <c r="FFO55" s="44"/>
      <c r="FFP55" s="44"/>
      <c r="FFQ55" s="44"/>
      <c r="FFR55" s="44"/>
      <c r="FFS55" s="44"/>
      <c r="FFT55" s="44"/>
      <c r="FFU55" s="44"/>
      <c r="FFV55" s="44"/>
      <c r="FFW55" s="44"/>
      <c r="FFX55" s="44"/>
      <c r="FFY55" s="44"/>
      <c r="FFZ55" s="44"/>
      <c r="FGA55" s="44"/>
      <c r="FGB55" s="44"/>
      <c r="FGC55" s="44"/>
      <c r="FGD55" s="44"/>
      <c r="FGE55" s="44"/>
      <c r="FGF55" s="44"/>
      <c r="FGG55" s="44"/>
      <c r="FGH55" s="44"/>
      <c r="FGI55" s="44"/>
      <c r="FGJ55" s="44"/>
      <c r="FGK55" s="44"/>
      <c r="FGL55" s="44"/>
      <c r="FGM55" s="44"/>
      <c r="FGN55" s="44"/>
      <c r="FGO55" s="44"/>
      <c r="FGP55" s="44"/>
      <c r="FGQ55" s="44"/>
      <c r="FGR55" s="44"/>
      <c r="FGS55" s="44"/>
      <c r="FGT55" s="44"/>
      <c r="FGU55" s="44"/>
      <c r="FGV55" s="44"/>
      <c r="FGW55" s="44"/>
      <c r="FGX55" s="44"/>
      <c r="FGY55" s="44"/>
      <c r="FGZ55" s="44"/>
      <c r="FHA55" s="44"/>
      <c r="FHB55" s="44"/>
      <c r="FHC55" s="44"/>
      <c r="FHD55" s="44"/>
      <c r="FHE55" s="44"/>
      <c r="FHF55" s="44"/>
      <c r="FHG55" s="44"/>
      <c r="FHH55" s="44"/>
      <c r="FHI55" s="44"/>
      <c r="FHJ55" s="44"/>
      <c r="FHK55" s="44"/>
      <c r="FHL55" s="44"/>
      <c r="FHM55" s="44"/>
      <c r="FHN55" s="44"/>
      <c r="FHO55" s="44"/>
      <c r="FHP55" s="44"/>
      <c r="FHQ55" s="44"/>
      <c r="FHR55" s="44"/>
      <c r="FHS55" s="44"/>
      <c r="FHT55" s="44"/>
      <c r="FHU55" s="44"/>
      <c r="FHV55" s="44"/>
      <c r="FHW55" s="44"/>
      <c r="FHX55" s="44"/>
      <c r="FHY55" s="44"/>
      <c r="FHZ55" s="44"/>
      <c r="FIA55" s="44"/>
      <c r="FIB55" s="44"/>
      <c r="FIC55" s="44"/>
      <c r="FID55" s="44"/>
      <c r="FIE55" s="44"/>
      <c r="FIF55" s="44"/>
      <c r="FIG55" s="44"/>
      <c r="FIH55" s="44"/>
      <c r="FII55" s="44"/>
      <c r="FIJ55" s="44"/>
      <c r="FIK55" s="44"/>
      <c r="FIL55" s="44"/>
      <c r="FIM55" s="44"/>
      <c r="FIN55" s="44"/>
      <c r="FIO55" s="44"/>
      <c r="FIP55" s="44"/>
      <c r="FIQ55" s="44"/>
      <c r="FIR55" s="44"/>
      <c r="FIS55" s="44"/>
      <c r="FIT55" s="44"/>
      <c r="FIU55" s="44"/>
      <c r="FIV55" s="44"/>
      <c r="FIW55" s="44"/>
      <c r="FIX55" s="44"/>
      <c r="FIY55" s="44"/>
      <c r="FIZ55" s="44"/>
      <c r="FJA55" s="44"/>
      <c r="FJB55" s="44"/>
      <c r="FJC55" s="44"/>
      <c r="FJD55" s="44"/>
      <c r="FJE55" s="44"/>
      <c r="FJF55" s="44"/>
      <c r="FJG55" s="44"/>
      <c r="FJH55" s="44"/>
      <c r="FJI55" s="44"/>
      <c r="FJJ55" s="44"/>
      <c r="FJK55" s="44"/>
      <c r="FJL55" s="44"/>
      <c r="FJM55" s="44"/>
      <c r="FJN55" s="44"/>
      <c r="FJO55" s="44"/>
      <c r="FJP55" s="44"/>
      <c r="FJQ55" s="44"/>
      <c r="FJR55" s="44"/>
      <c r="FJS55" s="44"/>
      <c r="FJT55" s="44"/>
      <c r="FJU55" s="44"/>
      <c r="FJV55" s="44"/>
      <c r="FJW55" s="44"/>
      <c r="FJX55" s="44"/>
      <c r="FJY55" s="44"/>
      <c r="FJZ55" s="44"/>
      <c r="FKA55" s="44"/>
      <c r="FKB55" s="44"/>
      <c r="FKC55" s="44"/>
      <c r="FKD55" s="44"/>
      <c r="FKE55" s="44"/>
      <c r="FKF55" s="44"/>
      <c r="FKG55" s="44"/>
      <c r="FKH55" s="44"/>
      <c r="FKI55" s="44"/>
      <c r="FKJ55" s="44"/>
      <c r="FKK55" s="44"/>
      <c r="FKL55" s="44"/>
      <c r="FKM55" s="44"/>
      <c r="FKN55" s="44"/>
      <c r="FKO55" s="44"/>
      <c r="FKP55" s="44"/>
      <c r="FKQ55" s="44"/>
      <c r="FKR55" s="44"/>
      <c r="FKS55" s="44"/>
      <c r="FKT55" s="44"/>
      <c r="FKU55" s="44"/>
      <c r="FKV55" s="44"/>
      <c r="FKW55" s="44"/>
      <c r="FKX55" s="44"/>
      <c r="FKY55" s="44"/>
      <c r="FKZ55" s="44"/>
      <c r="FLA55" s="44"/>
      <c r="FLB55" s="44"/>
      <c r="FLC55" s="44"/>
      <c r="FLD55" s="44"/>
      <c r="FLE55" s="44"/>
      <c r="FLF55" s="44"/>
      <c r="FLG55" s="44"/>
      <c r="FLH55" s="44"/>
      <c r="FLI55" s="44"/>
      <c r="FLJ55" s="44"/>
      <c r="FLK55" s="44"/>
      <c r="FLL55" s="44"/>
      <c r="FLM55" s="44"/>
      <c r="FLN55" s="44"/>
      <c r="FLO55" s="44"/>
      <c r="FLP55" s="44"/>
      <c r="FLQ55" s="44"/>
      <c r="FLR55" s="44"/>
      <c r="FLS55" s="44"/>
      <c r="FLT55" s="44"/>
      <c r="FLU55" s="44"/>
      <c r="FLV55" s="44"/>
      <c r="FLW55" s="44"/>
      <c r="FLX55" s="44"/>
      <c r="FLY55" s="44"/>
      <c r="FLZ55" s="44"/>
      <c r="FMA55" s="44"/>
      <c r="FMB55" s="44"/>
      <c r="FMC55" s="44"/>
      <c r="FMD55" s="44"/>
      <c r="FME55" s="44"/>
      <c r="FMF55" s="44"/>
      <c r="FMG55" s="44"/>
      <c r="FMH55" s="44"/>
      <c r="FMI55" s="44"/>
      <c r="FMJ55" s="44"/>
      <c r="FMK55" s="44"/>
      <c r="FML55" s="44"/>
      <c r="FMM55" s="44"/>
      <c r="FMN55" s="44"/>
      <c r="FMO55" s="44"/>
      <c r="FMP55" s="44"/>
      <c r="FMQ55" s="44"/>
      <c r="FMR55" s="44"/>
      <c r="FMS55" s="44"/>
      <c r="FMT55" s="44"/>
      <c r="FMU55" s="44"/>
      <c r="FMV55" s="44"/>
      <c r="FMW55" s="44"/>
      <c r="FMX55" s="44"/>
      <c r="FMY55" s="44"/>
      <c r="FMZ55" s="44"/>
      <c r="FNA55" s="44"/>
      <c r="FNB55" s="44"/>
      <c r="FNC55" s="44"/>
      <c r="FND55" s="44"/>
      <c r="FNE55" s="44"/>
      <c r="FNF55" s="44"/>
      <c r="FNG55" s="44"/>
      <c r="FNH55" s="44"/>
      <c r="FNI55" s="44"/>
      <c r="FNJ55" s="44"/>
      <c r="FNK55" s="44"/>
      <c r="FNL55" s="44"/>
      <c r="FNM55" s="44"/>
      <c r="FNN55" s="44"/>
      <c r="FNO55" s="44"/>
      <c r="FNP55" s="44"/>
      <c r="FNQ55" s="44"/>
      <c r="FNR55" s="44"/>
      <c r="FNS55" s="44"/>
      <c r="FNT55" s="44"/>
      <c r="FNU55" s="44"/>
      <c r="FNV55" s="44"/>
      <c r="FNW55" s="44"/>
      <c r="FNX55" s="44"/>
      <c r="FNY55" s="44"/>
      <c r="FNZ55" s="44"/>
      <c r="FOA55" s="44"/>
      <c r="FOB55" s="44"/>
      <c r="FOC55" s="44"/>
      <c r="FOD55" s="44"/>
      <c r="FOE55" s="44"/>
      <c r="FOF55" s="44"/>
      <c r="FOG55" s="44"/>
      <c r="FOH55" s="44"/>
      <c r="FOI55" s="44"/>
      <c r="FOJ55" s="44"/>
      <c r="FOK55" s="44"/>
      <c r="FOL55" s="44"/>
      <c r="FOM55" s="44"/>
      <c r="FON55" s="44"/>
      <c r="FOO55" s="44"/>
      <c r="FOP55" s="44"/>
      <c r="FOQ55" s="44"/>
      <c r="FOR55" s="44"/>
      <c r="FOS55" s="44"/>
      <c r="FOT55" s="44"/>
      <c r="FOU55" s="44"/>
      <c r="FOV55" s="44"/>
      <c r="FOW55" s="44"/>
      <c r="FOX55" s="44"/>
      <c r="FOY55" s="44"/>
      <c r="FOZ55" s="44"/>
      <c r="FPA55" s="44"/>
      <c r="FPB55" s="44"/>
      <c r="FPC55" s="44"/>
      <c r="FPD55" s="44"/>
      <c r="FPE55" s="44"/>
      <c r="FPF55" s="44"/>
      <c r="FPG55" s="44"/>
      <c r="FPH55" s="44"/>
      <c r="FPI55" s="44"/>
      <c r="FPJ55" s="44"/>
      <c r="FPK55" s="44"/>
      <c r="FPL55" s="44"/>
      <c r="FPM55" s="44"/>
      <c r="FPN55" s="44"/>
      <c r="FPO55" s="44"/>
      <c r="FPP55" s="44"/>
      <c r="FPQ55" s="44"/>
      <c r="FPR55" s="44"/>
      <c r="FPS55" s="44"/>
      <c r="FPT55" s="44"/>
      <c r="FPU55" s="44"/>
      <c r="FPV55" s="44"/>
      <c r="FPW55" s="44"/>
      <c r="FPX55" s="44"/>
      <c r="FPY55" s="44"/>
      <c r="FPZ55" s="44"/>
      <c r="FQA55" s="44"/>
      <c r="FQB55" s="44"/>
      <c r="FQC55" s="44"/>
      <c r="FQD55" s="44"/>
      <c r="FQE55" s="44"/>
      <c r="FQF55" s="44"/>
      <c r="FQG55" s="44"/>
      <c r="FQH55" s="44"/>
      <c r="FQI55" s="44"/>
      <c r="FQJ55" s="44"/>
      <c r="FQK55" s="44"/>
      <c r="FQL55" s="44"/>
      <c r="FQM55" s="44"/>
      <c r="FQN55" s="44"/>
      <c r="FQO55" s="44"/>
      <c r="FQP55" s="44"/>
      <c r="FQQ55" s="44"/>
      <c r="FQR55" s="44"/>
      <c r="FQS55" s="44"/>
      <c r="FQT55" s="44"/>
      <c r="FQU55" s="44"/>
      <c r="FQV55" s="44"/>
      <c r="FQW55" s="44"/>
      <c r="FQX55" s="44"/>
      <c r="FQY55" s="44"/>
      <c r="FQZ55" s="44"/>
      <c r="FRA55" s="44"/>
      <c r="FRB55" s="44"/>
      <c r="FRC55" s="44"/>
      <c r="FRD55" s="44"/>
      <c r="FRE55" s="44"/>
      <c r="FRF55" s="44"/>
      <c r="FRG55" s="44"/>
      <c r="FRH55" s="44"/>
      <c r="FRI55" s="44"/>
      <c r="FRJ55" s="44"/>
      <c r="FRK55" s="44"/>
      <c r="FRL55" s="44"/>
      <c r="FRM55" s="44"/>
      <c r="FRN55" s="44"/>
      <c r="FRO55" s="44"/>
      <c r="FRP55" s="44"/>
      <c r="FRQ55" s="44"/>
      <c r="FRR55" s="44"/>
      <c r="FRS55" s="44"/>
      <c r="FRT55" s="44"/>
      <c r="FRU55" s="44"/>
      <c r="FRV55" s="44"/>
      <c r="FRW55" s="44"/>
      <c r="FRX55" s="44"/>
      <c r="FRY55" s="44"/>
      <c r="FRZ55" s="44"/>
      <c r="FSA55" s="44"/>
      <c r="FSB55" s="44"/>
      <c r="FSC55" s="44"/>
      <c r="FSD55" s="44"/>
      <c r="FSE55" s="44"/>
      <c r="FSF55" s="44"/>
      <c r="FSG55" s="44"/>
      <c r="FSH55" s="44"/>
      <c r="FSI55" s="44"/>
      <c r="FSJ55" s="44"/>
      <c r="FSK55" s="44"/>
      <c r="FSL55" s="44"/>
      <c r="FSM55" s="44"/>
      <c r="FSN55" s="44"/>
      <c r="FSO55" s="44"/>
      <c r="FSP55" s="44"/>
      <c r="FSQ55" s="44"/>
      <c r="FSR55" s="44"/>
      <c r="FSS55" s="44"/>
      <c r="FST55" s="44"/>
      <c r="FSU55" s="44"/>
      <c r="FSV55" s="44"/>
      <c r="FSW55" s="44"/>
      <c r="FSX55" s="44"/>
      <c r="FSY55" s="44"/>
      <c r="FSZ55" s="44"/>
      <c r="FTA55" s="44"/>
      <c r="FTB55" s="44"/>
      <c r="FTC55" s="44"/>
      <c r="FTD55" s="44"/>
      <c r="FTE55" s="44"/>
      <c r="FTF55" s="44"/>
      <c r="FTG55" s="44"/>
      <c r="FTH55" s="44"/>
      <c r="FTI55" s="44"/>
      <c r="FTJ55" s="44"/>
      <c r="FTK55" s="44"/>
      <c r="FTL55" s="44"/>
      <c r="FTM55" s="44"/>
      <c r="FTN55" s="44"/>
      <c r="FTO55" s="44"/>
      <c r="FTP55" s="44"/>
      <c r="FTQ55" s="44"/>
      <c r="FTR55" s="44"/>
      <c r="FTS55" s="44"/>
      <c r="FTT55" s="44"/>
      <c r="FTU55" s="44"/>
      <c r="FTV55" s="44"/>
      <c r="FTW55" s="44"/>
      <c r="FTX55" s="44"/>
      <c r="FTY55" s="44"/>
      <c r="FTZ55" s="44"/>
      <c r="FUA55" s="44"/>
      <c r="FUB55" s="44"/>
      <c r="FUC55" s="44"/>
      <c r="FUD55" s="44"/>
      <c r="FUE55" s="44"/>
      <c r="FUF55" s="44"/>
      <c r="FUG55" s="44"/>
      <c r="FUH55" s="44"/>
      <c r="FUI55" s="44"/>
      <c r="FUJ55" s="44"/>
      <c r="FUK55" s="44"/>
      <c r="FUL55" s="44"/>
      <c r="FUM55" s="44"/>
      <c r="FUN55" s="44"/>
      <c r="FUO55" s="44"/>
      <c r="FUP55" s="44"/>
      <c r="FUQ55" s="44"/>
      <c r="FUR55" s="44"/>
      <c r="FUS55" s="44"/>
      <c r="FUT55" s="44"/>
      <c r="FUU55" s="44"/>
      <c r="FUV55" s="44"/>
      <c r="FUW55" s="44"/>
      <c r="FUX55" s="44"/>
      <c r="FUY55" s="44"/>
      <c r="FUZ55" s="44"/>
      <c r="FVA55" s="44"/>
      <c r="FVB55" s="44"/>
      <c r="FVC55" s="44"/>
      <c r="FVD55" s="44"/>
      <c r="FVE55" s="44"/>
      <c r="FVF55" s="44"/>
      <c r="FVG55" s="44"/>
      <c r="FVH55" s="44"/>
      <c r="FVI55" s="44"/>
      <c r="FVJ55" s="44"/>
      <c r="FVK55" s="44"/>
      <c r="FVL55" s="44"/>
      <c r="FVM55" s="44"/>
      <c r="FVN55" s="44"/>
      <c r="FVO55" s="44"/>
      <c r="FVP55" s="44"/>
      <c r="FVQ55" s="44"/>
      <c r="FVR55" s="44"/>
      <c r="FVS55" s="44"/>
      <c r="FVT55" s="44"/>
      <c r="FVU55" s="44"/>
      <c r="FVV55" s="44"/>
      <c r="FVW55" s="44"/>
      <c r="FVX55" s="44"/>
      <c r="FVY55" s="44"/>
      <c r="FVZ55" s="44"/>
      <c r="FWA55" s="44"/>
      <c r="FWB55" s="44"/>
      <c r="FWC55" s="44"/>
      <c r="FWD55" s="44"/>
      <c r="FWE55" s="44"/>
      <c r="FWF55" s="44"/>
      <c r="FWG55" s="44"/>
      <c r="FWH55" s="44"/>
      <c r="FWI55" s="44"/>
      <c r="FWJ55" s="44"/>
      <c r="FWK55" s="44"/>
      <c r="FWL55" s="44"/>
      <c r="FWM55" s="44"/>
      <c r="FWN55" s="44"/>
      <c r="FWO55" s="44"/>
      <c r="FWP55" s="44"/>
      <c r="FWQ55" s="44"/>
      <c r="FWR55" s="44"/>
      <c r="FWS55" s="44"/>
      <c r="FWT55" s="44"/>
      <c r="FWU55" s="44"/>
      <c r="FWV55" s="44"/>
      <c r="FWW55" s="44"/>
      <c r="FWX55" s="44"/>
      <c r="FWY55" s="44"/>
      <c r="FWZ55" s="44"/>
      <c r="FXA55" s="44"/>
      <c r="FXB55" s="44"/>
      <c r="FXC55" s="44"/>
      <c r="FXD55" s="44"/>
      <c r="FXE55" s="44"/>
      <c r="FXF55" s="44"/>
      <c r="FXG55" s="44"/>
      <c r="FXH55" s="44"/>
      <c r="FXI55" s="44"/>
      <c r="FXJ55" s="44"/>
      <c r="FXK55" s="44"/>
      <c r="FXL55" s="44"/>
      <c r="FXM55" s="44"/>
      <c r="FXN55" s="44"/>
      <c r="FXO55" s="44"/>
      <c r="FXP55" s="44"/>
      <c r="FXQ55" s="44"/>
      <c r="FXR55" s="44"/>
      <c r="FXS55" s="44"/>
      <c r="FXT55" s="44"/>
      <c r="FXU55" s="44"/>
      <c r="FXV55" s="44"/>
      <c r="FXW55" s="44"/>
      <c r="FXX55" s="44"/>
      <c r="FXY55" s="44"/>
      <c r="FXZ55" s="44"/>
      <c r="FYA55" s="44"/>
      <c r="FYB55" s="44"/>
      <c r="FYC55" s="44"/>
      <c r="FYD55" s="44"/>
      <c r="FYE55" s="44"/>
      <c r="FYF55" s="44"/>
      <c r="FYG55" s="44"/>
      <c r="FYH55" s="44"/>
      <c r="FYI55" s="44"/>
      <c r="FYJ55" s="44"/>
      <c r="FYK55" s="44"/>
      <c r="FYL55" s="44"/>
      <c r="FYM55" s="44"/>
      <c r="FYN55" s="44"/>
      <c r="FYO55" s="44"/>
      <c r="FYP55" s="44"/>
      <c r="FYQ55" s="44"/>
      <c r="FYR55" s="44"/>
      <c r="FYS55" s="44"/>
      <c r="FYT55" s="44"/>
      <c r="FYU55" s="44"/>
      <c r="FYV55" s="44"/>
      <c r="FYW55" s="44"/>
      <c r="FYX55" s="44"/>
      <c r="FYY55" s="44"/>
      <c r="FYZ55" s="44"/>
      <c r="FZA55" s="44"/>
      <c r="FZB55" s="44"/>
      <c r="FZC55" s="44"/>
      <c r="FZD55" s="44"/>
      <c r="FZE55" s="44"/>
      <c r="FZF55" s="44"/>
      <c r="FZG55" s="44"/>
      <c r="FZH55" s="44"/>
      <c r="FZI55" s="44"/>
      <c r="FZJ55" s="44"/>
      <c r="FZK55" s="44"/>
      <c r="FZL55" s="44"/>
      <c r="FZM55" s="44"/>
      <c r="FZN55" s="44"/>
      <c r="FZO55" s="44"/>
      <c r="FZP55" s="44"/>
      <c r="FZQ55" s="44"/>
      <c r="FZR55" s="44"/>
      <c r="FZS55" s="44"/>
      <c r="FZT55" s="44"/>
      <c r="FZU55" s="44"/>
      <c r="FZV55" s="44"/>
      <c r="FZW55" s="44"/>
      <c r="FZX55" s="44"/>
      <c r="FZY55" s="44"/>
      <c r="FZZ55" s="44"/>
      <c r="GAA55" s="44"/>
      <c r="GAB55" s="44"/>
      <c r="GAC55" s="44"/>
      <c r="GAD55" s="44"/>
      <c r="GAE55" s="44"/>
      <c r="GAF55" s="44"/>
      <c r="GAG55" s="44"/>
      <c r="GAH55" s="44"/>
      <c r="GAI55" s="44"/>
      <c r="GAJ55" s="44"/>
      <c r="GAK55" s="44"/>
      <c r="GAL55" s="44"/>
      <c r="GAM55" s="44"/>
      <c r="GAN55" s="44"/>
      <c r="GAO55" s="44"/>
      <c r="GAP55" s="44"/>
      <c r="GAQ55" s="44"/>
      <c r="GAR55" s="44"/>
      <c r="GAS55" s="44"/>
      <c r="GAT55" s="44"/>
      <c r="GAU55" s="44"/>
      <c r="GAV55" s="44"/>
      <c r="GAW55" s="44"/>
      <c r="GAX55" s="44"/>
      <c r="GAY55" s="44"/>
      <c r="GAZ55" s="44"/>
      <c r="GBA55" s="44"/>
      <c r="GBB55" s="44"/>
      <c r="GBC55" s="44"/>
      <c r="GBD55" s="44"/>
      <c r="GBE55" s="44"/>
      <c r="GBF55" s="44"/>
      <c r="GBG55" s="44"/>
      <c r="GBH55" s="44"/>
      <c r="GBI55" s="44"/>
      <c r="GBJ55" s="44"/>
      <c r="GBK55" s="44"/>
      <c r="GBL55" s="44"/>
      <c r="GBM55" s="44"/>
      <c r="GBN55" s="44"/>
      <c r="GBO55" s="44"/>
      <c r="GBP55" s="44"/>
      <c r="GBQ55" s="44"/>
      <c r="GBR55" s="44"/>
      <c r="GBS55" s="44"/>
      <c r="GBT55" s="44"/>
      <c r="GBU55" s="44"/>
      <c r="GBV55" s="44"/>
      <c r="GBW55" s="44"/>
      <c r="GBX55" s="44"/>
      <c r="GBY55" s="44"/>
      <c r="GBZ55" s="44"/>
      <c r="GCA55" s="44"/>
      <c r="GCB55" s="44"/>
      <c r="GCC55" s="44"/>
      <c r="GCD55" s="44"/>
      <c r="GCE55" s="44"/>
      <c r="GCF55" s="44"/>
      <c r="GCG55" s="44"/>
      <c r="GCH55" s="44"/>
      <c r="GCI55" s="44"/>
      <c r="GCJ55" s="44"/>
      <c r="GCK55" s="44"/>
      <c r="GCL55" s="44"/>
      <c r="GCM55" s="44"/>
      <c r="GCN55" s="44"/>
      <c r="GCO55" s="44"/>
      <c r="GCP55" s="44"/>
      <c r="GCQ55" s="44"/>
      <c r="GCR55" s="44"/>
      <c r="GCS55" s="44"/>
      <c r="GCT55" s="44"/>
      <c r="GCU55" s="44"/>
      <c r="GCV55" s="44"/>
      <c r="GCW55" s="44"/>
      <c r="GCX55" s="44"/>
      <c r="GCY55" s="44"/>
      <c r="GCZ55" s="44"/>
      <c r="GDA55" s="44"/>
      <c r="GDB55" s="44"/>
      <c r="GDC55" s="44"/>
      <c r="GDD55" s="44"/>
      <c r="GDE55" s="44"/>
      <c r="GDF55" s="44"/>
      <c r="GDG55" s="44"/>
      <c r="GDH55" s="44"/>
      <c r="GDI55" s="44"/>
      <c r="GDJ55" s="44"/>
      <c r="GDK55" s="44"/>
      <c r="GDL55" s="44"/>
      <c r="GDM55" s="44"/>
      <c r="GDN55" s="44"/>
      <c r="GDO55" s="44"/>
      <c r="GDP55" s="44"/>
      <c r="GDQ55" s="44"/>
      <c r="GDR55" s="44"/>
      <c r="GDS55" s="44"/>
      <c r="GDT55" s="44"/>
      <c r="GDU55" s="44"/>
      <c r="GDV55" s="44"/>
      <c r="GDW55" s="44"/>
      <c r="GDX55" s="44"/>
      <c r="GDY55" s="44"/>
      <c r="GDZ55" s="44"/>
      <c r="GEA55" s="44"/>
      <c r="GEB55" s="44"/>
      <c r="GEC55" s="44"/>
      <c r="GED55" s="44"/>
      <c r="GEE55" s="44"/>
      <c r="GEF55" s="44"/>
      <c r="GEG55" s="44"/>
      <c r="GEH55" s="44"/>
      <c r="GEI55" s="44"/>
      <c r="GEJ55" s="44"/>
      <c r="GEK55" s="44"/>
      <c r="GEL55" s="44"/>
      <c r="GEM55" s="44"/>
      <c r="GEN55" s="44"/>
      <c r="GEO55" s="44"/>
      <c r="GEP55" s="44"/>
      <c r="GEQ55" s="44"/>
      <c r="GER55" s="44"/>
      <c r="GES55" s="44"/>
      <c r="GET55" s="44"/>
      <c r="GEU55" s="44"/>
      <c r="GEV55" s="44"/>
      <c r="GEW55" s="44"/>
      <c r="GEX55" s="44"/>
      <c r="GEY55" s="44"/>
      <c r="GEZ55" s="44"/>
      <c r="GFA55" s="44"/>
      <c r="GFB55" s="44"/>
      <c r="GFC55" s="44"/>
      <c r="GFD55" s="44"/>
      <c r="GFE55" s="44"/>
      <c r="GFF55" s="44"/>
      <c r="GFG55" s="44"/>
      <c r="GFH55" s="44"/>
      <c r="GFI55" s="44"/>
      <c r="GFJ55" s="44"/>
      <c r="GFK55" s="44"/>
      <c r="GFL55" s="44"/>
      <c r="GFM55" s="44"/>
      <c r="GFN55" s="44"/>
      <c r="GFO55" s="44"/>
      <c r="GFP55" s="44"/>
      <c r="GFQ55" s="44"/>
      <c r="GFR55" s="44"/>
      <c r="GFS55" s="44"/>
      <c r="GFT55" s="44"/>
      <c r="GFU55" s="44"/>
      <c r="GFV55" s="44"/>
      <c r="GFW55" s="44"/>
      <c r="GFX55" s="44"/>
      <c r="GFY55" s="44"/>
      <c r="GFZ55" s="44"/>
      <c r="GGA55" s="44"/>
      <c r="GGB55" s="44"/>
      <c r="GGC55" s="44"/>
      <c r="GGD55" s="44"/>
      <c r="GGE55" s="44"/>
      <c r="GGF55" s="44"/>
      <c r="GGG55" s="44"/>
      <c r="GGH55" s="44"/>
      <c r="GGI55" s="44"/>
      <c r="GGJ55" s="44"/>
      <c r="GGK55" s="44"/>
      <c r="GGL55" s="44"/>
      <c r="GGM55" s="44"/>
      <c r="GGN55" s="44"/>
      <c r="GGO55" s="44"/>
      <c r="GGP55" s="44"/>
      <c r="GGQ55" s="44"/>
      <c r="GGR55" s="44"/>
      <c r="GGS55" s="44"/>
      <c r="GGT55" s="44"/>
      <c r="GGU55" s="44"/>
      <c r="GGV55" s="44"/>
      <c r="GGW55" s="44"/>
      <c r="GGX55" s="44"/>
      <c r="GGY55" s="44"/>
      <c r="GGZ55" s="44"/>
      <c r="GHA55" s="44"/>
      <c r="GHB55" s="44"/>
      <c r="GHC55" s="44"/>
      <c r="GHD55" s="44"/>
      <c r="GHE55" s="44"/>
      <c r="GHF55" s="44"/>
      <c r="GHG55" s="44"/>
      <c r="GHH55" s="44"/>
      <c r="GHI55" s="44"/>
      <c r="GHJ55" s="44"/>
      <c r="GHK55" s="44"/>
      <c r="GHL55" s="44"/>
      <c r="GHM55" s="44"/>
      <c r="GHN55" s="44"/>
      <c r="GHO55" s="44"/>
      <c r="GHP55" s="44"/>
      <c r="GHQ55" s="44"/>
      <c r="GHR55" s="44"/>
      <c r="GHS55" s="44"/>
      <c r="GHT55" s="44"/>
      <c r="GHU55" s="44"/>
      <c r="GHV55" s="44"/>
      <c r="GHW55" s="44"/>
      <c r="GHX55" s="44"/>
      <c r="GHY55" s="44"/>
      <c r="GHZ55" s="44"/>
      <c r="GIA55" s="44"/>
      <c r="GIB55" s="44"/>
      <c r="GIC55" s="44"/>
      <c r="GID55" s="44"/>
      <c r="GIE55" s="44"/>
      <c r="GIF55" s="44"/>
      <c r="GIG55" s="44"/>
      <c r="GIH55" s="44"/>
      <c r="GII55" s="44"/>
      <c r="GIJ55" s="44"/>
      <c r="GIK55" s="44"/>
      <c r="GIL55" s="44"/>
      <c r="GIM55" s="44"/>
      <c r="GIN55" s="44"/>
      <c r="GIO55" s="44"/>
      <c r="GIP55" s="44"/>
      <c r="GIQ55" s="44"/>
      <c r="GIR55" s="44"/>
      <c r="GIS55" s="44"/>
      <c r="GIT55" s="44"/>
      <c r="GIU55" s="44"/>
      <c r="GIV55" s="44"/>
      <c r="GIW55" s="44"/>
      <c r="GIX55" s="44"/>
      <c r="GIY55" s="44"/>
      <c r="GIZ55" s="44"/>
      <c r="GJA55" s="44"/>
      <c r="GJB55" s="44"/>
      <c r="GJC55" s="44"/>
      <c r="GJD55" s="44"/>
      <c r="GJE55" s="44"/>
      <c r="GJF55" s="44"/>
      <c r="GJG55" s="44"/>
      <c r="GJH55" s="44"/>
      <c r="GJI55" s="44"/>
      <c r="GJJ55" s="44"/>
      <c r="GJK55" s="44"/>
      <c r="GJL55" s="44"/>
      <c r="GJM55" s="44"/>
      <c r="GJN55" s="44"/>
      <c r="GJO55" s="44"/>
      <c r="GJP55" s="44"/>
      <c r="GJQ55" s="44"/>
      <c r="GJR55" s="44"/>
      <c r="GJS55" s="44"/>
      <c r="GJT55" s="44"/>
      <c r="GJU55" s="44"/>
      <c r="GJV55" s="44"/>
      <c r="GJW55" s="44"/>
      <c r="GJX55" s="44"/>
      <c r="GJY55" s="44"/>
      <c r="GJZ55" s="44"/>
      <c r="GKA55" s="44"/>
      <c r="GKB55" s="44"/>
      <c r="GKC55" s="44"/>
      <c r="GKD55" s="44"/>
      <c r="GKE55" s="44"/>
      <c r="GKF55" s="44"/>
      <c r="GKG55" s="44"/>
      <c r="GKH55" s="44"/>
      <c r="GKI55" s="44"/>
      <c r="GKJ55" s="44"/>
      <c r="GKK55" s="44"/>
      <c r="GKL55" s="44"/>
      <c r="GKM55" s="44"/>
      <c r="GKN55" s="44"/>
      <c r="GKO55" s="44"/>
      <c r="GKP55" s="44"/>
      <c r="GKQ55" s="44"/>
      <c r="GKR55" s="44"/>
      <c r="GKS55" s="44"/>
      <c r="GKT55" s="44"/>
      <c r="GKU55" s="44"/>
      <c r="GKV55" s="44"/>
      <c r="GKW55" s="44"/>
      <c r="GKX55" s="44"/>
      <c r="GKY55" s="44"/>
      <c r="GKZ55" s="44"/>
      <c r="GLA55" s="44"/>
      <c r="GLB55" s="44"/>
      <c r="GLC55" s="44"/>
      <c r="GLD55" s="44"/>
      <c r="GLE55" s="44"/>
      <c r="GLF55" s="44"/>
      <c r="GLG55" s="44"/>
      <c r="GLH55" s="44"/>
      <c r="GLI55" s="44"/>
      <c r="GLJ55" s="44"/>
      <c r="GLK55" s="44"/>
      <c r="GLL55" s="44"/>
      <c r="GLM55" s="44"/>
      <c r="GLN55" s="44"/>
      <c r="GLO55" s="44"/>
      <c r="GLP55" s="44"/>
      <c r="GLQ55" s="44"/>
      <c r="GLR55" s="44"/>
      <c r="GLS55" s="44"/>
      <c r="GLT55" s="44"/>
      <c r="GLU55" s="44"/>
      <c r="GLV55" s="44"/>
      <c r="GLW55" s="44"/>
      <c r="GLX55" s="44"/>
      <c r="GLY55" s="44"/>
      <c r="GLZ55" s="44"/>
      <c r="GMA55" s="44"/>
      <c r="GMB55" s="44"/>
      <c r="GMC55" s="44"/>
      <c r="GMD55" s="44"/>
      <c r="GME55" s="44"/>
      <c r="GMF55" s="44"/>
      <c r="GMG55" s="44"/>
      <c r="GMH55" s="44"/>
      <c r="GMI55" s="44"/>
      <c r="GMJ55" s="44"/>
      <c r="GMK55" s="44"/>
      <c r="GML55" s="44"/>
      <c r="GMM55" s="44"/>
      <c r="GMN55" s="44"/>
      <c r="GMO55" s="44"/>
      <c r="GMP55" s="44"/>
      <c r="GMQ55" s="44"/>
      <c r="GMR55" s="44"/>
      <c r="GMS55" s="44"/>
      <c r="GMT55" s="44"/>
      <c r="GMU55" s="44"/>
      <c r="GMV55" s="44"/>
      <c r="GMW55" s="44"/>
      <c r="GMX55" s="44"/>
      <c r="GMY55" s="44"/>
      <c r="GMZ55" s="44"/>
      <c r="GNA55" s="44"/>
      <c r="GNB55" s="44"/>
      <c r="GNC55" s="44"/>
      <c r="GND55" s="44"/>
      <c r="GNE55" s="44"/>
      <c r="GNF55" s="44"/>
      <c r="GNG55" s="44"/>
      <c r="GNH55" s="44"/>
      <c r="GNI55" s="44"/>
      <c r="GNJ55" s="44"/>
      <c r="GNK55" s="44"/>
      <c r="GNL55" s="44"/>
      <c r="GNM55" s="44"/>
      <c r="GNN55" s="44"/>
      <c r="GNO55" s="44"/>
      <c r="GNP55" s="44"/>
      <c r="GNQ55" s="44"/>
      <c r="GNR55" s="44"/>
      <c r="GNS55" s="44"/>
      <c r="GNT55" s="44"/>
      <c r="GNU55" s="44"/>
      <c r="GNV55" s="44"/>
      <c r="GNW55" s="44"/>
      <c r="GNX55" s="44"/>
      <c r="GNY55" s="44"/>
      <c r="GNZ55" s="44"/>
      <c r="GOA55" s="44"/>
      <c r="GOB55" s="44"/>
      <c r="GOC55" s="44"/>
      <c r="GOD55" s="44"/>
      <c r="GOE55" s="44"/>
      <c r="GOF55" s="44"/>
      <c r="GOG55" s="44"/>
      <c r="GOH55" s="44"/>
      <c r="GOI55" s="44"/>
      <c r="GOJ55" s="44"/>
      <c r="GOK55" s="44"/>
      <c r="GOL55" s="44"/>
      <c r="GOM55" s="44"/>
      <c r="GON55" s="44"/>
      <c r="GOO55" s="44"/>
      <c r="GOP55" s="44"/>
      <c r="GOQ55" s="44"/>
      <c r="GOR55" s="44"/>
      <c r="GOS55" s="44"/>
      <c r="GOT55" s="44"/>
      <c r="GOU55" s="44"/>
      <c r="GOV55" s="44"/>
      <c r="GOW55" s="44"/>
      <c r="GOX55" s="44"/>
      <c r="GOY55" s="44"/>
      <c r="GOZ55" s="44"/>
      <c r="GPA55" s="44"/>
      <c r="GPB55" s="44"/>
      <c r="GPC55" s="44"/>
      <c r="GPD55" s="44"/>
      <c r="GPE55" s="44"/>
      <c r="GPF55" s="44"/>
      <c r="GPG55" s="44"/>
      <c r="GPH55" s="44"/>
      <c r="GPI55" s="44"/>
      <c r="GPJ55" s="44"/>
      <c r="GPK55" s="44"/>
      <c r="GPL55" s="44"/>
      <c r="GPM55" s="44"/>
      <c r="GPN55" s="44"/>
      <c r="GPO55" s="44"/>
      <c r="GPP55" s="44"/>
      <c r="GPQ55" s="44"/>
      <c r="GPR55" s="44"/>
      <c r="GPS55" s="44"/>
      <c r="GPT55" s="44"/>
      <c r="GPU55" s="44"/>
      <c r="GPV55" s="44"/>
      <c r="GPW55" s="44"/>
      <c r="GPX55" s="44"/>
      <c r="GPY55" s="44"/>
      <c r="GPZ55" s="44"/>
      <c r="GQA55" s="44"/>
      <c r="GQB55" s="44"/>
      <c r="GQC55" s="44"/>
      <c r="GQD55" s="44"/>
      <c r="GQE55" s="44"/>
      <c r="GQF55" s="44"/>
      <c r="GQG55" s="44"/>
      <c r="GQH55" s="44"/>
      <c r="GQI55" s="44"/>
      <c r="GQJ55" s="44"/>
      <c r="GQK55" s="44"/>
      <c r="GQL55" s="44"/>
      <c r="GQM55" s="44"/>
      <c r="GQN55" s="44"/>
      <c r="GQO55" s="44"/>
      <c r="GQP55" s="44"/>
      <c r="GQQ55" s="44"/>
      <c r="GQR55" s="44"/>
      <c r="GQS55" s="44"/>
      <c r="GQT55" s="44"/>
      <c r="GQU55" s="44"/>
      <c r="GQV55" s="44"/>
      <c r="GQW55" s="44"/>
      <c r="GQX55" s="44"/>
      <c r="GQY55" s="44"/>
      <c r="GQZ55" s="44"/>
      <c r="GRA55" s="44"/>
      <c r="GRB55" s="44"/>
      <c r="GRC55" s="44"/>
      <c r="GRD55" s="44"/>
      <c r="GRE55" s="44"/>
      <c r="GRF55" s="44"/>
      <c r="GRG55" s="44"/>
      <c r="GRH55" s="44"/>
      <c r="GRI55" s="44"/>
      <c r="GRJ55" s="44"/>
      <c r="GRK55" s="44"/>
      <c r="GRL55" s="44"/>
      <c r="GRM55" s="44"/>
      <c r="GRN55" s="44"/>
      <c r="GRO55" s="44"/>
      <c r="GRP55" s="44"/>
      <c r="GRQ55" s="44"/>
      <c r="GRR55" s="44"/>
      <c r="GRS55" s="44"/>
      <c r="GRT55" s="44"/>
      <c r="GRU55" s="44"/>
      <c r="GRV55" s="44"/>
      <c r="GRW55" s="44"/>
      <c r="GRX55" s="44"/>
      <c r="GRY55" s="44"/>
      <c r="GRZ55" s="44"/>
      <c r="GSA55" s="44"/>
      <c r="GSB55" s="44"/>
      <c r="GSC55" s="44"/>
      <c r="GSD55" s="44"/>
      <c r="GSE55" s="44"/>
      <c r="GSF55" s="44"/>
      <c r="GSG55" s="44"/>
      <c r="GSH55" s="44"/>
      <c r="GSI55" s="44"/>
      <c r="GSJ55" s="44"/>
      <c r="GSK55" s="44"/>
      <c r="GSL55" s="44"/>
      <c r="GSM55" s="44"/>
      <c r="GSN55" s="44"/>
      <c r="GSO55" s="44"/>
      <c r="GSP55" s="44"/>
      <c r="GSQ55" s="44"/>
      <c r="GSR55" s="44"/>
      <c r="GSS55" s="44"/>
      <c r="GST55" s="44"/>
      <c r="GSU55" s="44"/>
      <c r="GSV55" s="44"/>
      <c r="GSW55" s="44"/>
      <c r="GSX55" s="44"/>
      <c r="GSY55" s="44"/>
      <c r="GSZ55" s="44"/>
      <c r="GTA55" s="44"/>
      <c r="GTB55" s="44"/>
      <c r="GTC55" s="44"/>
      <c r="GTD55" s="44"/>
      <c r="GTE55" s="44"/>
      <c r="GTF55" s="44"/>
      <c r="GTG55" s="44"/>
      <c r="GTH55" s="44"/>
      <c r="GTI55" s="44"/>
      <c r="GTJ55" s="44"/>
      <c r="GTK55" s="44"/>
      <c r="GTL55" s="44"/>
      <c r="GTM55" s="44"/>
      <c r="GTN55" s="44"/>
      <c r="GTO55" s="44"/>
      <c r="GTP55" s="44"/>
      <c r="GTQ55" s="44"/>
      <c r="GTR55" s="44"/>
      <c r="GTS55" s="44"/>
      <c r="GTT55" s="44"/>
      <c r="GTU55" s="44"/>
      <c r="GTV55" s="44"/>
      <c r="GTW55" s="44"/>
      <c r="GTX55" s="44"/>
      <c r="GTY55" s="44"/>
      <c r="GTZ55" s="44"/>
      <c r="GUA55" s="44"/>
      <c r="GUB55" s="44"/>
      <c r="GUC55" s="44"/>
      <c r="GUD55" s="44"/>
      <c r="GUE55" s="44"/>
      <c r="GUF55" s="44"/>
      <c r="GUG55" s="44"/>
      <c r="GUH55" s="44"/>
      <c r="GUI55" s="44"/>
      <c r="GUJ55" s="44"/>
      <c r="GUK55" s="44"/>
      <c r="GUL55" s="44"/>
      <c r="GUM55" s="44"/>
      <c r="GUN55" s="44"/>
      <c r="GUO55" s="44"/>
      <c r="GUP55" s="44"/>
      <c r="GUQ55" s="44"/>
      <c r="GUR55" s="44"/>
      <c r="GUS55" s="44"/>
      <c r="GUT55" s="44"/>
      <c r="GUU55" s="44"/>
      <c r="GUV55" s="44"/>
      <c r="GUW55" s="44"/>
      <c r="GUX55" s="44"/>
      <c r="GUY55" s="44"/>
      <c r="GUZ55" s="44"/>
      <c r="GVA55" s="44"/>
      <c r="GVB55" s="44"/>
      <c r="GVC55" s="44"/>
      <c r="GVD55" s="44"/>
      <c r="GVE55" s="44"/>
      <c r="GVF55" s="44"/>
      <c r="GVG55" s="44"/>
      <c r="GVH55" s="44"/>
      <c r="GVI55" s="44"/>
      <c r="GVJ55" s="44"/>
      <c r="GVK55" s="44"/>
      <c r="GVL55" s="44"/>
      <c r="GVM55" s="44"/>
      <c r="GVN55" s="44"/>
      <c r="GVO55" s="44"/>
      <c r="GVP55" s="44"/>
      <c r="GVQ55" s="44"/>
      <c r="GVR55" s="44"/>
      <c r="GVS55" s="44"/>
      <c r="GVT55" s="44"/>
      <c r="GVU55" s="44"/>
      <c r="GVV55" s="44"/>
      <c r="GVW55" s="44"/>
      <c r="GVX55" s="44"/>
      <c r="GVY55" s="44"/>
      <c r="GVZ55" s="44"/>
      <c r="GWA55" s="44"/>
      <c r="GWB55" s="44"/>
      <c r="GWC55" s="44"/>
      <c r="GWD55" s="44"/>
      <c r="GWE55" s="44"/>
      <c r="GWF55" s="44"/>
      <c r="GWG55" s="44"/>
      <c r="GWH55" s="44"/>
      <c r="GWI55" s="44"/>
      <c r="GWJ55" s="44"/>
      <c r="GWK55" s="44"/>
      <c r="GWL55" s="44"/>
      <c r="GWM55" s="44"/>
      <c r="GWN55" s="44"/>
      <c r="GWO55" s="44"/>
      <c r="GWP55" s="44"/>
      <c r="GWQ55" s="44"/>
      <c r="GWR55" s="44"/>
      <c r="GWS55" s="44"/>
      <c r="GWT55" s="44"/>
      <c r="GWU55" s="44"/>
      <c r="GWV55" s="44"/>
      <c r="GWW55" s="44"/>
      <c r="GWX55" s="44"/>
      <c r="GWY55" s="44"/>
      <c r="GWZ55" s="44"/>
      <c r="GXA55" s="44"/>
      <c r="GXB55" s="44"/>
      <c r="GXC55" s="44"/>
      <c r="GXD55" s="44"/>
      <c r="GXE55" s="44"/>
      <c r="GXF55" s="44"/>
      <c r="GXG55" s="44"/>
      <c r="GXH55" s="44"/>
      <c r="GXI55" s="44"/>
      <c r="GXJ55" s="44"/>
      <c r="GXK55" s="44"/>
      <c r="GXL55" s="44"/>
      <c r="GXM55" s="44"/>
      <c r="GXN55" s="44"/>
      <c r="GXO55" s="44"/>
      <c r="GXP55" s="44"/>
      <c r="GXQ55" s="44"/>
      <c r="GXR55" s="44"/>
      <c r="GXS55" s="44"/>
      <c r="GXT55" s="44"/>
      <c r="GXU55" s="44"/>
      <c r="GXV55" s="44"/>
      <c r="GXW55" s="44"/>
      <c r="GXX55" s="44"/>
      <c r="GXY55" s="44"/>
      <c r="GXZ55" s="44"/>
      <c r="GYA55" s="44"/>
      <c r="GYB55" s="44"/>
      <c r="GYC55" s="44"/>
      <c r="GYD55" s="44"/>
      <c r="GYE55" s="44"/>
      <c r="GYF55" s="44"/>
      <c r="GYG55" s="44"/>
      <c r="GYH55" s="44"/>
      <c r="GYI55" s="44"/>
      <c r="GYJ55" s="44"/>
      <c r="GYK55" s="44"/>
      <c r="GYL55" s="44"/>
      <c r="GYM55" s="44"/>
      <c r="GYN55" s="44"/>
      <c r="GYO55" s="44"/>
      <c r="GYP55" s="44"/>
      <c r="GYQ55" s="44"/>
      <c r="GYR55" s="44"/>
      <c r="GYS55" s="44"/>
      <c r="GYT55" s="44"/>
      <c r="GYU55" s="44"/>
      <c r="GYV55" s="44"/>
      <c r="GYW55" s="44"/>
      <c r="GYX55" s="44"/>
      <c r="GYY55" s="44"/>
      <c r="GYZ55" s="44"/>
      <c r="GZA55" s="44"/>
      <c r="GZB55" s="44"/>
      <c r="GZC55" s="44"/>
      <c r="GZD55" s="44"/>
      <c r="GZE55" s="44"/>
      <c r="GZF55" s="44"/>
      <c r="GZG55" s="44"/>
      <c r="GZH55" s="44"/>
      <c r="GZI55" s="44"/>
      <c r="GZJ55" s="44"/>
      <c r="GZK55" s="44"/>
      <c r="GZL55" s="44"/>
      <c r="GZM55" s="44"/>
      <c r="GZN55" s="44"/>
      <c r="GZO55" s="44"/>
      <c r="GZP55" s="44"/>
      <c r="GZQ55" s="44"/>
      <c r="GZR55" s="44"/>
      <c r="GZS55" s="44"/>
      <c r="GZT55" s="44"/>
      <c r="GZU55" s="44"/>
      <c r="GZV55" s="44"/>
      <c r="GZW55" s="44"/>
      <c r="GZX55" s="44"/>
      <c r="GZY55" s="44"/>
      <c r="GZZ55" s="44"/>
      <c r="HAA55" s="44"/>
      <c r="HAB55" s="44"/>
      <c r="HAC55" s="44"/>
      <c r="HAD55" s="44"/>
      <c r="HAE55" s="44"/>
      <c r="HAF55" s="44"/>
      <c r="HAG55" s="44"/>
      <c r="HAH55" s="44"/>
      <c r="HAI55" s="44"/>
      <c r="HAJ55" s="44"/>
      <c r="HAK55" s="44"/>
      <c r="HAL55" s="44"/>
      <c r="HAM55" s="44"/>
      <c r="HAN55" s="44"/>
      <c r="HAO55" s="44"/>
      <c r="HAP55" s="44"/>
      <c r="HAQ55" s="44"/>
      <c r="HAR55" s="44"/>
      <c r="HAS55" s="44"/>
      <c r="HAT55" s="44"/>
      <c r="HAU55" s="44"/>
      <c r="HAV55" s="44"/>
      <c r="HAW55" s="44"/>
      <c r="HAX55" s="44"/>
      <c r="HAY55" s="44"/>
      <c r="HAZ55" s="44"/>
      <c r="HBA55" s="44"/>
      <c r="HBB55" s="44"/>
      <c r="HBC55" s="44"/>
      <c r="HBD55" s="44"/>
      <c r="HBE55" s="44"/>
      <c r="HBF55" s="44"/>
      <c r="HBG55" s="44"/>
      <c r="HBH55" s="44"/>
      <c r="HBI55" s="44"/>
      <c r="HBJ55" s="44"/>
      <c r="HBK55" s="44"/>
      <c r="HBL55" s="44"/>
      <c r="HBM55" s="44"/>
      <c r="HBN55" s="44"/>
      <c r="HBO55" s="44"/>
      <c r="HBP55" s="44"/>
      <c r="HBQ55" s="44"/>
      <c r="HBR55" s="44"/>
      <c r="HBS55" s="44"/>
      <c r="HBT55" s="44"/>
      <c r="HBU55" s="44"/>
      <c r="HBV55" s="44"/>
      <c r="HBW55" s="44"/>
      <c r="HBX55" s="44"/>
      <c r="HBY55" s="44"/>
      <c r="HBZ55" s="44"/>
      <c r="HCA55" s="44"/>
      <c r="HCB55" s="44"/>
      <c r="HCC55" s="44"/>
      <c r="HCD55" s="44"/>
      <c r="HCE55" s="44"/>
      <c r="HCF55" s="44"/>
      <c r="HCG55" s="44"/>
      <c r="HCH55" s="44"/>
      <c r="HCI55" s="44"/>
      <c r="HCJ55" s="44"/>
      <c r="HCK55" s="44"/>
      <c r="HCL55" s="44"/>
      <c r="HCM55" s="44"/>
      <c r="HCN55" s="44"/>
      <c r="HCO55" s="44"/>
      <c r="HCP55" s="44"/>
      <c r="HCQ55" s="44"/>
      <c r="HCR55" s="44"/>
      <c r="HCS55" s="44"/>
      <c r="HCT55" s="44"/>
      <c r="HCU55" s="44"/>
      <c r="HCV55" s="44"/>
      <c r="HCW55" s="44"/>
      <c r="HCX55" s="44"/>
      <c r="HCY55" s="44"/>
      <c r="HCZ55" s="44"/>
      <c r="HDA55" s="44"/>
      <c r="HDB55" s="44"/>
      <c r="HDC55" s="44"/>
      <c r="HDD55" s="44"/>
      <c r="HDE55" s="44"/>
      <c r="HDF55" s="44"/>
      <c r="HDG55" s="44"/>
      <c r="HDH55" s="44"/>
      <c r="HDI55" s="44"/>
      <c r="HDJ55" s="44"/>
      <c r="HDK55" s="44"/>
      <c r="HDL55" s="44"/>
      <c r="HDM55" s="44"/>
      <c r="HDN55" s="44"/>
      <c r="HDO55" s="44"/>
      <c r="HDP55" s="44"/>
      <c r="HDQ55" s="44"/>
      <c r="HDR55" s="44"/>
      <c r="HDS55" s="44"/>
      <c r="HDT55" s="44"/>
      <c r="HDU55" s="44"/>
      <c r="HDV55" s="44"/>
      <c r="HDW55" s="44"/>
      <c r="HDX55" s="44"/>
      <c r="HDY55" s="44"/>
      <c r="HDZ55" s="44"/>
      <c r="HEA55" s="44"/>
      <c r="HEB55" s="44"/>
      <c r="HEC55" s="44"/>
      <c r="HED55" s="44"/>
      <c r="HEE55" s="44"/>
      <c r="HEF55" s="44"/>
      <c r="HEG55" s="44"/>
      <c r="HEH55" s="44"/>
      <c r="HEI55" s="44"/>
      <c r="HEJ55" s="44"/>
      <c r="HEK55" s="44"/>
      <c r="HEL55" s="44"/>
      <c r="HEM55" s="44"/>
      <c r="HEN55" s="44"/>
      <c r="HEO55" s="44"/>
      <c r="HEP55" s="44"/>
      <c r="HEQ55" s="44"/>
      <c r="HER55" s="44"/>
      <c r="HES55" s="44"/>
      <c r="HET55" s="44"/>
      <c r="HEU55" s="44"/>
      <c r="HEV55" s="44"/>
      <c r="HEW55" s="44"/>
      <c r="HEX55" s="44"/>
      <c r="HEY55" s="44"/>
      <c r="HEZ55" s="44"/>
      <c r="HFA55" s="44"/>
      <c r="HFB55" s="44"/>
      <c r="HFC55" s="44"/>
      <c r="HFD55" s="44"/>
      <c r="HFE55" s="44"/>
      <c r="HFF55" s="44"/>
      <c r="HFG55" s="44"/>
      <c r="HFH55" s="44"/>
      <c r="HFI55" s="44"/>
      <c r="HFJ55" s="44"/>
      <c r="HFK55" s="44"/>
      <c r="HFL55" s="44"/>
      <c r="HFM55" s="44"/>
      <c r="HFN55" s="44"/>
      <c r="HFO55" s="44"/>
      <c r="HFP55" s="44"/>
      <c r="HFQ55" s="44"/>
      <c r="HFR55" s="44"/>
      <c r="HFS55" s="44"/>
      <c r="HFT55" s="44"/>
      <c r="HFU55" s="44"/>
      <c r="HFV55" s="44"/>
      <c r="HFW55" s="44"/>
      <c r="HFX55" s="44"/>
      <c r="HFY55" s="44"/>
      <c r="HFZ55" s="44"/>
      <c r="HGA55" s="44"/>
      <c r="HGB55" s="44"/>
      <c r="HGC55" s="44"/>
      <c r="HGD55" s="44"/>
      <c r="HGE55" s="44"/>
      <c r="HGF55" s="44"/>
      <c r="HGG55" s="44"/>
      <c r="HGH55" s="44"/>
      <c r="HGI55" s="44"/>
      <c r="HGJ55" s="44"/>
      <c r="HGK55" s="44"/>
      <c r="HGL55" s="44"/>
      <c r="HGM55" s="44"/>
      <c r="HGN55" s="44"/>
      <c r="HGO55" s="44"/>
      <c r="HGP55" s="44"/>
      <c r="HGQ55" s="44"/>
      <c r="HGR55" s="44"/>
      <c r="HGS55" s="44"/>
      <c r="HGT55" s="44"/>
      <c r="HGU55" s="44"/>
      <c r="HGV55" s="44"/>
      <c r="HGW55" s="44"/>
      <c r="HGX55" s="44"/>
      <c r="HGY55" s="44"/>
      <c r="HGZ55" s="44"/>
      <c r="HHA55" s="44"/>
      <c r="HHB55" s="44"/>
      <c r="HHC55" s="44"/>
      <c r="HHD55" s="44"/>
      <c r="HHE55" s="44"/>
      <c r="HHF55" s="44"/>
      <c r="HHG55" s="44"/>
      <c r="HHH55" s="44"/>
      <c r="HHI55" s="44"/>
      <c r="HHJ55" s="44"/>
      <c r="HHK55" s="44"/>
      <c r="HHL55" s="44"/>
      <c r="HHM55" s="44"/>
      <c r="HHN55" s="44"/>
      <c r="HHO55" s="44"/>
      <c r="HHP55" s="44"/>
      <c r="HHQ55" s="44"/>
      <c r="HHR55" s="44"/>
      <c r="HHS55" s="44"/>
      <c r="HHT55" s="44"/>
      <c r="HHU55" s="44"/>
      <c r="HHV55" s="44"/>
      <c r="HHW55" s="44"/>
      <c r="HHX55" s="44"/>
      <c r="HHY55" s="44"/>
      <c r="HHZ55" s="44"/>
      <c r="HIA55" s="44"/>
      <c r="HIB55" s="44"/>
      <c r="HIC55" s="44"/>
      <c r="HID55" s="44"/>
      <c r="HIE55" s="44"/>
      <c r="HIF55" s="44"/>
      <c r="HIG55" s="44"/>
      <c r="HIH55" s="44"/>
      <c r="HII55" s="44"/>
      <c r="HIJ55" s="44"/>
      <c r="HIK55" s="44"/>
      <c r="HIL55" s="44"/>
      <c r="HIM55" s="44"/>
      <c r="HIN55" s="44"/>
      <c r="HIO55" s="44"/>
      <c r="HIP55" s="44"/>
      <c r="HIQ55" s="44"/>
      <c r="HIR55" s="44"/>
      <c r="HIS55" s="44"/>
      <c r="HIT55" s="44"/>
      <c r="HIU55" s="44"/>
      <c r="HIV55" s="44"/>
      <c r="HIW55" s="44"/>
      <c r="HIX55" s="44"/>
      <c r="HIY55" s="44"/>
      <c r="HIZ55" s="44"/>
      <c r="HJA55" s="44"/>
      <c r="HJB55" s="44"/>
      <c r="HJC55" s="44"/>
      <c r="HJD55" s="44"/>
      <c r="HJE55" s="44"/>
      <c r="HJF55" s="44"/>
      <c r="HJG55" s="44"/>
      <c r="HJH55" s="44"/>
      <c r="HJI55" s="44"/>
      <c r="HJJ55" s="44"/>
      <c r="HJK55" s="44"/>
      <c r="HJL55" s="44"/>
      <c r="HJM55" s="44"/>
      <c r="HJN55" s="44"/>
      <c r="HJO55" s="44"/>
      <c r="HJP55" s="44"/>
      <c r="HJQ55" s="44"/>
      <c r="HJR55" s="44"/>
      <c r="HJS55" s="44"/>
      <c r="HJT55" s="44"/>
      <c r="HJU55" s="44"/>
      <c r="HJV55" s="44"/>
      <c r="HJW55" s="44"/>
      <c r="HJX55" s="44"/>
      <c r="HJY55" s="44"/>
      <c r="HJZ55" s="44"/>
      <c r="HKA55" s="44"/>
      <c r="HKB55" s="44"/>
      <c r="HKC55" s="44"/>
      <c r="HKD55" s="44"/>
      <c r="HKE55" s="44"/>
      <c r="HKF55" s="44"/>
      <c r="HKG55" s="44"/>
      <c r="HKH55" s="44"/>
      <c r="HKI55" s="44"/>
      <c r="HKJ55" s="44"/>
      <c r="HKK55" s="44"/>
      <c r="HKL55" s="44"/>
      <c r="HKM55" s="44"/>
      <c r="HKN55" s="44"/>
      <c r="HKO55" s="44"/>
      <c r="HKP55" s="44"/>
      <c r="HKQ55" s="44"/>
      <c r="HKR55" s="44"/>
      <c r="HKS55" s="44"/>
      <c r="HKT55" s="44"/>
      <c r="HKU55" s="44"/>
      <c r="HKV55" s="44"/>
      <c r="HKW55" s="44"/>
      <c r="HKX55" s="44"/>
      <c r="HKY55" s="44"/>
      <c r="HKZ55" s="44"/>
      <c r="HLA55" s="44"/>
      <c r="HLB55" s="44"/>
      <c r="HLC55" s="44"/>
      <c r="HLD55" s="44"/>
      <c r="HLE55" s="44"/>
      <c r="HLF55" s="44"/>
      <c r="HLG55" s="44"/>
      <c r="HLH55" s="44"/>
      <c r="HLI55" s="44"/>
      <c r="HLJ55" s="44"/>
      <c r="HLK55" s="44"/>
      <c r="HLL55" s="44"/>
      <c r="HLM55" s="44"/>
      <c r="HLN55" s="44"/>
      <c r="HLO55" s="44"/>
      <c r="HLP55" s="44"/>
      <c r="HLQ55" s="44"/>
      <c r="HLR55" s="44"/>
      <c r="HLS55" s="44"/>
      <c r="HLT55" s="44"/>
      <c r="HLU55" s="44"/>
      <c r="HLV55" s="44"/>
      <c r="HLW55" s="44"/>
      <c r="HLX55" s="44"/>
      <c r="HLY55" s="44"/>
      <c r="HLZ55" s="44"/>
      <c r="HMA55" s="44"/>
      <c r="HMB55" s="44"/>
      <c r="HMC55" s="44"/>
      <c r="HMD55" s="44"/>
      <c r="HME55" s="44"/>
      <c r="HMF55" s="44"/>
      <c r="HMG55" s="44"/>
      <c r="HMH55" s="44"/>
      <c r="HMI55" s="44"/>
      <c r="HMJ55" s="44"/>
      <c r="HMK55" s="44"/>
      <c r="HML55" s="44"/>
      <c r="HMM55" s="44"/>
      <c r="HMN55" s="44"/>
      <c r="HMO55" s="44"/>
      <c r="HMP55" s="44"/>
      <c r="HMQ55" s="44"/>
      <c r="HMR55" s="44"/>
      <c r="HMS55" s="44"/>
      <c r="HMT55" s="44"/>
      <c r="HMU55" s="44"/>
      <c r="HMV55" s="44"/>
      <c r="HMW55" s="44"/>
      <c r="HMX55" s="44"/>
      <c r="HMY55" s="44"/>
      <c r="HMZ55" s="44"/>
      <c r="HNA55" s="44"/>
      <c r="HNB55" s="44"/>
      <c r="HNC55" s="44"/>
      <c r="HND55" s="44"/>
      <c r="HNE55" s="44"/>
      <c r="HNF55" s="44"/>
      <c r="HNG55" s="44"/>
      <c r="HNH55" s="44"/>
      <c r="HNI55" s="44"/>
      <c r="HNJ55" s="44"/>
      <c r="HNK55" s="44"/>
      <c r="HNL55" s="44"/>
      <c r="HNM55" s="44"/>
      <c r="HNN55" s="44"/>
      <c r="HNO55" s="44"/>
      <c r="HNP55" s="44"/>
      <c r="HNQ55" s="44"/>
      <c r="HNR55" s="44"/>
      <c r="HNS55" s="44"/>
      <c r="HNT55" s="44"/>
      <c r="HNU55" s="44"/>
      <c r="HNV55" s="44"/>
      <c r="HNW55" s="44"/>
      <c r="HNX55" s="44"/>
      <c r="HNY55" s="44"/>
      <c r="HNZ55" s="44"/>
      <c r="HOA55" s="44"/>
      <c r="HOB55" s="44"/>
      <c r="HOC55" s="44"/>
      <c r="HOD55" s="44"/>
      <c r="HOE55" s="44"/>
      <c r="HOF55" s="44"/>
      <c r="HOG55" s="44"/>
      <c r="HOH55" s="44"/>
      <c r="HOI55" s="44"/>
      <c r="HOJ55" s="44"/>
      <c r="HOK55" s="44"/>
      <c r="HOL55" s="44"/>
      <c r="HOM55" s="44"/>
      <c r="HON55" s="44"/>
      <c r="HOO55" s="44"/>
      <c r="HOP55" s="44"/>
      <c r="HOQ55" s="44"/>
      <c r="HOR55" s="44"/>
      <c r="HOS55" s="44"/>
      <c r="HOT55" s="44"/>
      <c r="HOU55" s="44"/>
      <c r="HOV55" s="44"/>
      <c r="HOW55" s="44"/>
      <c r="HOX55" s="44"/>
      <c r="HOY55" s="44"/>
      <c r="HOZ55" s="44"/>
      <c r="HPA55" s="44"/>
      <c r="HPB55" s="44"/>
      <c r="HPC55" s="44"/>
      <c r="HPD55" s="44"/>
      <c r="HPE55" s="44"/>
      <c r="HPF55" s="44"/>
      <c r="HPG55" s="44"/>
      <c r="HPH55" s="44"/>
      <c r="HPI55" s="44"/>
      <c r="HPJ55" s="44"/>
      <c r="HPK55" s="44"/>
      <c r="HPL55" s="44"/>
      <c r="HPM55" s="44"/>
      <c r="HPN55" s="44"/>
      <c r="HPO55" s="44"/>
      <c r="HPP55" s="44"/>
      <c r="HPQ55" s="44"/>
      <c r="HPR55" s="44"/>
      <c r="HPS55" s="44"/>
      <c r="HPT55" s="44"/>
      <c r="HPU55" s="44"/>
      <c r="HPV55" s="44"/>
      <c r="HPW55" s="44"/>
      <c r="HPX55" s="44"/>
      <c r="HPY55" s="44"/>
      <c r="HPZ55" s="44"/>
      <c r="HQA55" s="44"/>
      <c r="HQB55" s="44"/>
      <c r="HQC55" s="44"/>
      <c r="HQD55" s="44"/>
      <c r="HQE55" s="44"/>
      <c r="HQF55" s="44"/>
      <c r="HQG55" s="44"/>
      <c r="HQH55" s="44"/>
      <c r="HQI55" s="44"/>
      <c r="HQJ55" s="44"/>
      <c r="HQK55" s="44"/>
      <c r="HQL55" s="44"/>
      <c r="HQM55" s="44"/>
      <c r="HQN55" s="44"/>
      <c r="HQO55" s="44"/>
      <c r="HQP55" s="44"/>
      <c r="HQQ55" s="44"/>
      <c r="HQR55" s="44"/>
      <c r="HQS55" s="44"/>
      <c r="HQT55" s="44"/>
      <c r="HQU55" s="44"/>
      <c r="HQV55" s="44"/>
      <c r="HQW55" s="44"/>
      <c r="HQX55" s="44"/>
      <c r="HQY55" s="44"/>
      <c r="HQZ55" s="44"/>
      <c r="HRA55" s="44"/>
      <c r="HRB55" s="44"/>
      <c r="HRC55" s="44"/>
      <c r="HRD55" s="44"/>
      <c r="HRE55" s="44"/>
      <c r="HRF55" s="44"/>
      <c r="HRG55" s="44"/>
      <c r="HRH55" s="44"/>
      <c r="HRI55" s="44"/>
      <c r="HRJ55" s="44"/>
      <c r="HRK55" s="44"/>
      <c r="HRL55" s="44"/>
      <c r="HRM55" s="44"/>
      <c r="HRN55" s="44"/>
      <c r="HRO55" s="44"/>
      <c r="HRP55" s="44"/>
      <c r="HRQ55" s="44"/>
      <c r="HRR55" s="44"/>
      <c r="HRS55" s="44"/>
      <c r="HRT55" s="44"/>
      <c r="HRU55" s="44"/>
      <c r="HRV55" s="44"/>
      <c r="HRW55" s="44"/>
      <c r="HRX55" s="44"/>
      <c r="HRY55" s="44"/>
      <c r="HRZ55" s="44"/>
      <c r="HSA55" s="44"/>
      <c r="HSB55" s="44"/>
      <c r="HSC55" s="44"/>
      <c r="HSD55" s="44"/>
      <c r="HSE55" s="44"/>
      <c r="HSF55" s="44"/>
      <c r="HSG55" s="44"/>
      <c r="HSH55" s="44"/>
      <c r="HSI55" s="44"/>
      <c r="HSJ55" s="44"/>
      <c r="HSK55" s="44"/>
      <c r="HSL55" s="44"/>
      <c r="HSM55" s="44"/>
      <c r="HSN55" s="44"/>
      <c r="HSO55" s="44"/>
      <c r="HSP55" s="44"/>
      <c r="HSQ55" s="44"/>
      <c r="HSR55" s="44"/>
      <c r="HSS55" s="44"/>
      <c r="HST55" s="44"/>
      <c r="HSU55" s="44"/>
      <c r="HSV55" s="44"/>
      <c r="HSW55" s="44"/>
      <c r="HSX55" s="44"/>
      <c r="HSY55" s="44"/>
      <c r="HSZ55" s="44"/>
      <c r="HTA55" s="44"/>
      <c r="HTB55" s="44"/>
      <c r="HTC55" s="44"/>
      <c r="HTD55" s="44"/>
      <c r="HTE55" s="44"/>
      <c r="HTF55" s="44"/>
      <c r="HTG55" s="44"/>
      <c r="HTH55" s="44"/>
      <c r="HTI55" s="44"/>
      <c r="HTJ55" s="44"/>
      <c r="HTK55" s="44"/>
      <c r="HTL55" s="44"/>
      <c r="HTM55" s="44"/>
      <c r="HTN55" s="44"/>
      <c r="HTO55" s="44"/>
      <c r="HTP55" s="44"/>
      <c r="HTQ55" s="44"/>
      <c r="HTR55" s="44"/>
      <c r="HTS55" s="44"/>
      <c r="HTT55" s="44"/>
      <c r="HTU55" s="44"/>
      <c r="HTV55" s="44"/>
      <c r="HTW55" s="44"/>
      <c r="HTX55" s="44"/>
      <c r="HTY55" s="44"/>
      <c r="HTZ55" s="44"/>
      <c r="HUA55" s="44"/>
      <c r="HUB55" s="44"/>
      <c r="HUC55" s="44"/>
      <c r="HUD55" s="44"/>
      <c r="HUE55" s="44"/>
      <c r="HUF55" s="44"/>
      <c r="HUG55" s="44"/>
      <c r="HUH55" s="44"/>
      <c r="HUI55" s="44"/>
      <c r="HUJ55" s="44"/>
      <c r="HUK55" s="44"/>
      <c r="HUL55" s="44"/>
      <c r="HUM55" s="44"/>
      <c r="HUN55" s="44"/>
      <c r="HUO55" s="44"/>
      <c r="HUP55" s="44"/>
      <c r="HUQ55" s="44"/>
      <c r="HUR55" s="44"/>
      <c r="HUS55" s="44"/>
      <c r="HUT55" s="44"/>
      <c r="HUU55" s="44"/>
      <c r="HUV55" s="44"/>
      <c r="HUW55" s="44"/>
      <c r="HUX55" s="44"/>
      <c r="HUY55" s="44"/>
      <c r="HUZ55" s="44"/>
      <c r="HVA55" s="44"/>
      <c r="HVB55" s="44"/>
      <c r="HVC55" s="44"/>
      <c r="HVD55" s="44"/>
      <c r="HVE55" s="44"/>
      <c r="HVF55" s="44"/>
      <c r="HVG55" s="44"/>
      <c r="HVH55" s="44"/>
      <c r="HVI55" s="44"/>
      <c r="HVJ55" s="44"/>
      <c r="HVK55" s="44"/>
      <c r="HVL55" s="44"/>
      <c r="HVM55" s="44"/>
      <c r="HVN55" s="44"/>
      <c r="HVO55" s="44"/>
      <c r="HVP55" s="44"/>
      <c r="HVQ55" s="44"/>
      <c r="HVR55" s="44"/>
      <c r="HVS55" s="44"/>
      <c r="HVT55" s="44"/>
      <c r="HVU55" s="44"/>
      <c r="HVV55" s="44"/>
      <c r="HVW55" s="44"/>
      <c r="HVX55" s="44"/>
      <c r="HVY55" s="44"/>
      <c r="HVZ55" s="44"/>
      <c r="HWA55" s="44"/>
      <c r="HWB55" s="44"/>
      <c r="HWC55" s="44"/>
      <c r="HWD55" s="44"/>
      <c r="HWE55" s="44"/>
      <c r="HWF55" s="44"/>
      <c r="HWG55" s="44"/>
      <c r="HWH55" s="44"/>
      <c r="HWI55" s="44"/>
      <c r="HWJ55" s="44"/>
      <c r="HWK55" s="44"/>
      <c r="HWL55" s="44"/>
      <c r="HWM55" s="44"/>
      <c r="HWN55" s="44"/>
      <c r="HWO55" s="44"/>
      <c r="HWP55" s="44"/>
      <c r="HWQ55" s="44"/>
      <c r="HWR55" s="44"/>
      <c r="HWS55" s="44"/>
      <c r="HWT55" s="44"/>
      <c r="HWU55" s="44"/>
      <c r="HWV55" s="44"/>
      <c r="HWW55" s="44"/>
      <c r="HWX55" s="44"/>
      <c r="HWY55" s="44"/>
      <c r="HWZ55" s="44"/>
      <c r="HXA55" s="44"/>
      <c r="HXB55" s="44"/>
      <c r="HXC55" s="44"/>
      <c r="HXD55" s="44"/>
      <c r="HXE55" s="44"/>
      <c r="HXF55" s="44"/>
      <c r="HXG55" s="44"/>
      <c r="HXH55" s="44"/>
      <c r="HXI55" s="44"/>
      <c r="HXJ55" s="44"/>
      <c r="HXK55" s="44"/>
      <c r="HXL55" s="44"/>
      <c r="HXM55" s="44"/>
      <c r="HXN55" s="44"/>
      <c r="HXO55" s="44"/>
      <c r="HXP55" s="44"/>
      <c r="HXQ55" s="44"/>
      <c r="HXR55" s="44"/>
      <c r="HXS55" s="44"/>
      <c r="HXT55" s="44"/>
      <c r="HXU55" s="44"/>
      <c r="HXV55" s="44"/>
      <c r="HXW55" s="44"/>
      <c r="HXX55" s="44"/>
      <c r="HXY55" s="44"/>
      <c r="HXZ55" s="44"/>
      <c r="HYA55" s="44"/>
      <c r="HYB55" s="44"/>
      <c r="HYC55" s="44"/>
      <c r="HYD55" s="44"/>
      <c r="HYE55" s="44"/>
      <c r="HYF55" s="44"/>
      <c r="HYG55" s="44"/>
      <c r="HYH55" s="44"/>
      <c r="HYI55" s="44"/>
      <c r="HYJ55" s="44"/>
      <c r="HYK55" s="44"/>
      <c r="HYL55" s="44"/>
      <c r="HYM55" s="44"/>
      <c r="HYN55" s="44"/>
      <c r="HYO55" s="44"/>
      <c r="HYP55" s="44"/>
      <c r="HYQ55" s="44"/>
      <c r="HYR55" s="44"/>
      <c r="HYS55" s="44"/>
      <c r="HYT55" s="44"/>
      <c r="HYU55" s="44"/>
      <c r="HYV55" s="44"/>
      <c r="HYW55" s="44"/>
      <c r="HYX55" s="44"/>
      <c r="HYY55" s="44"/>
      <c r="HYZ55" s="44"/>
      <c r="HZA55" s="44"/>
      <c r="HZB55" s="44"/>
      <c r="HZC55" s="44"/>
      <c r="HZD55" s="44"/>
      <c r="HZE55" s="44"/>
      <c r="HZF55" s="44"/>
      <c r="HZG55" s="44"/>
      <c r="HZH55" s="44"/>
      <c r="HZI55" s="44"/>
      <c r="HZJ55" s="44"/>
      <c r="HZK55" s="44"/>
      <c r="HZL55" s="44"/>
      <c r="HZM55" s="44"/>
      <c r="HZN55" s="44"/>
      <c r="HZO55" s="44"/>
      <c r="HZP55" s="44"/>
      <c r="HZQ55" s="44"/>
      <c r="HZR55" s="44"/>
      <c r="HZS55" s="44"/>
      <c r="HZT55" s="44"/>
      <c r="HZU55" s="44"/>
      <c r="HZV55" s="44"/>
      <c r="HZW55" s="44"/>
      <c r="HZX55" s="44"/>
      <c r="HZY55" s="44"/>
      <c r="HZZ55" s="44"/>
      <c r="IAA55" s="44"/>
      <c r="IAB55" s="44"/>
      <c r="IAC55" s="44"/>
      <c r="IAD55" s="44"/>
      <c r="IAE55" s="44"/>
      <c r="IAF55" s="44"/>
      <c r="IAG55" s="44"/>
      <c r="IAH55" s="44"/>
      <c r="IAI55" s="44"/>
      <c r="IAJ55" s="44"/>
      <c r="IAK55" s="44"/>
      <c r="IAL55" s="44"/>
      <c r="IAM55" s="44"/>
      <c r="IAN55" s="44"/>
      <c r="IAO55" s="44"/>
      <c r="IAP55" s="44"/>
      <c r="IAQ55" s="44"/>
      <c r="IAR55" s="44"/>
      <c r="IAS55" s="44"/>
      <c r="IAT55" s="44"/>
      <c r="IAU55" s="44"/>
      <c r="IAV55" s="44"/>
      <c r="IAW55" s="44"/>
      <c r="IAX55" s="44"/>
      <c r="IAY55" s="44"/>
      <c r="IAZ55" s="44"/>
      <c r="IBA55" s="44"/>
      <c r="IBB55" s="44"/>
      <c r="IBC55" s="44"/>
      <c r="IBD55" s="44"/>
      <c r="IBE55" s="44"/>
      <c r="IBF55" s="44"/>
      <c r="IBG55" s="44"/>
      <c r="IBH55" s="44"/>
      <c r="IBI55" s="44"/>
      <c r="IBJ55" s="44"/>
      <c r="IBK55" s="44"/>
      <c r="IBL55" s="44"/>
      <c r="IBM55" s="44"/>
      <c r="IBN55" s="44"/>
      <c r="IBO55" s="44"/>
      <c r="IBP55" s="44"/>
      <c r="IBQ55" s="44"/>
      <c r="IBR55" s="44"/>
      <c r="IBS55" s="44"/>
      <c r="IBT55" s="44"/>
      <c r="IBU55" s="44"/>
      <c r="IBV55" s="44"/>
      <c r="IBW55" s="44"/>
      <c r="IBX55" s="44"/>
      <c r="IBY55" s="44"/>
      <c r="IBZ55" s="44"/>
      <c r="ICA55" s="44"/>
      <c r="ICB55" s="44"/>
      <c r="ICC55" s="44"/>
      <c r="ICD55" s="44"/>
      <c r="ICE55" s="44"/>
      <c r="ICF55" s="44"/>
      <c r="ICG55" s="44"/>
      <c r="ICH55" s="44"/>
      <c r="ICI55" s="44"/>
      <c r="ICJ55" s="44"/>
      <c r="ICK55" s="44"/>
      <c r="ICL55" s="44"/>
      <c r="ICM55" s="44"/>
      <c r="ICN55" s="44"/>
      <c r="ICO55" s="44"/>
      <c r="ICP55" s="44"/>
      <c r="ICQ55" s="44"/>
      <c r="ICR55" s="44"/>
      <c r="ICS55" s="44"/>
      <c r="ICT55" s="44"/>
      <c r="ICU55" s="44"/>
      <c r="ICV55" s="44"/>
      <c r="ICW55" s="44"/>
      <c r="ICX55" s="44"/>
      <c r="ICY55" s="44"/>
      <c r="ICZ55" s="44"/>
      <c r="IDA55" s="44"/>
      <c r="IDB55" s="44"/>
      <c r="IDC55" s="44"/>
      <c r="IDD55" s="44"/>
      <c r="IDE55" s="44"/>
      <c r="IDF55" s="44"/>
      <c r="IDG55" s="44"/>
      <c r="IDH55" s="44"/>
      <c r="IDI55" s="44"/>
      <c r="IDJ55" s="44"/>
      <c r="IDK55" s="44"/>
      <c r="IDL55" s="44"/>
      <c r="IDM55" s="44"/>
      <c r="IDN55" s="44"/>
      <c r="IDO55" s="44"/>
      <c r="IDP55" s="44"/>
      <c r="IDQ55" s="44"/>
      <c r="IDR55" s="44"/>
      <c r="IDS55" s="44"/>
      <c r="IDT55" s="44"/>
      <c r="IDU55" s="44"/>
      <c r="IDV55" s="44"/>
      <c r="IDW55" s="44"/>
      <c r="IDX55" s="44"/>
      <c r="IDY55" s="44"/>
      <c r="IDZ55" s="44"/>
      <c r="IEA55" s="44"/>
      <c r="IEB55" s="44"/>
      <c r="IEC55" s="44"/>
      <c r="IED55" s="44"/>
      <c r="IEE55" s="44"/>
      <c r="IEF55" s="44"/>
      <c r="IEG55" s="44"/>
      <c r="IEH55" s="44"/>
      <c r="IEI55" s="44"/>
      <c r="IEJ55" s="44"/>
      <c r="IEK55" s="44"/>
      <c r="IEL55" s="44"/>
      <c r="IEM55" s="44"/>
      <c r="IEN55" s="44"/>
      <c r="IEO55" s="44"/>
      <c r="IEP55" s="44"/>
      <c r="IEQ55" s="44"/>
      <c r="IER55" s="44"/>
      <c r="IES55" s="44"/>
      <c r="IET55" s="44"/>
      <c r="IEU55" s="44"/>
      <c r="IEV55" s="44"/>
      <c r="IEW55" s="44"/>
      <c r="IEX55" s="44"/>
      <c r="IEY55" s="44"/>
      <c r="IEZ55" s="44"/>
      <c r="IFA55" s="44"/>
      <c r="IFB55" s="44"/>
      <c r="IFC55" s="44"/>
      <c r="IFD55" s="44"/>
      <c r="IFE55" s="44"/>
      <c r="IFF55" s="44"/>
      <c r="IFG55" s="44"/>
      <c r="IFH55" s="44"/>
      <c r="IFI55" s="44"/>
      <c r="IFJ55" s="44"/>
      <c r="IFK55" s="44"/>
      <c r="IFL55" s="44"/>
      <c r="IFM55" s="44"/>
      <c r="IFN55" s="44"/>
      <c r="IFO55" s="44"/>
      <c r="IFP55" s="44"/>
      <c r="IFQ55" s="44"/>
      <c r="IFR55" s="44"/>
      <c r="IFS55" s="44"/>
      <c r="IFT55" s="44"/>
      <c r="IFU55" s="44"/>
      <c r="IFV55" s="44"/>
      <c r="IFW55" s="44"/>
      <c r="IFX55" s="44"/>
      <c r="IFY55" s="44"/>
      <c r="IFZ55" s="44"/>
      <c r="IGA55" s="44"/>
      <c r="IGB55" s="44"/>
      <c r="IGC55" s="44"/>
      <c r="IGD55" s="44"/>
      <c r="IGE55" s="44"/>
      <c r="IGF55" s="44"/>
      <c r="IGG55" s="44"/>
      <c r="IGH55" s="44"/>
      <c r="IGI55" s="44"/>
      <c r="IGJ55" s="44"/>
      <c r="IGK55" s="44"/>
      <c r="IGL55" s="44"/>
      <c r="IGM55" s="44"/>
      <c r="IGN55" s="44"/>
      <c r="IGO55" s="44"/>
      <c r="IGP55" s="44"/>
      <c r="IGQ55" s="44"/>
      <c r="IGR55" s="44"/>
      <c r="IGS55" s="44"/>
      <c r="IGT55" s="44"/>
      <c r="IGU55" s="44"/>
      <c r="IGV55" s="44"/>
      <c r="IGW55" s="44"/>
      <c r="IGX55" s="44"/>
      <c r="IGY55" s="44"/>
      <c r="IGZ55" s="44"/>
      <c r="IHA55" s="44"/>
      <c r="IHB55" s="44"/>
      <c r="IHC55" s="44"/>
      <c r="IHD55" s="44"/>
      <c r="IHE55" s="44"/>
      <c r="IHF55" s="44"/>
      <c r="IHG55" s="44"/>
      <c r="IHH55" s="44"/>
      <c r="IHI55" s="44"/>
      <c r="IHJ55" s="44"/>
      <c r="IHK55" s="44"/>
      <c r="IHL55" s="44"/>
      <c r="IHM55" s="44"/>
      <c r="IHN55" s="44"/>
      <c r="IHO55" s="44"/>
      <c r="IHP55" s="44"/>
      <c r="IHQ55" s="44"/>
      <c r="IHR55" s="44"/>
      <c r="IHS55" s="44"/>
      <c r="IHT55" s="44"/>
      <c r="IHU55" s="44"/>
      <c r="IHV55" s="44"/>
      <c r="IHW55" s="44"/>
      <c r="IHX55" s="44"/>
      <c r="IHY55" s="44"/>
      <c r="IHZ55" s="44"/>
      <c r="IIA55" s="44"/>
      <c r="IIB55" s="44"/>
      <c r="IIC55" s="44"/>
      <c r="IID55" s="44"/>
      <c r="IIE55" s="44"/>
      <c r="IIF55" s="44"/>
      <c r="IIG55" s="44"/>
      <c r="IIH55" s="44"/>
      <c r="III55" s="44"/>
      <c r="IIJ55" s="44"/>
      <c r="IIK55" s="44"/>
      <c r="IIL55" s="44"/>
      <c r="IIM55" s="44"/>
      <c r="IIN55" s="44"/>
      <c r="IIO55" s="44"/>
      <c r="IIP55" s="44"/>
      <c r="IIQ55" s="44"/>
      <c r="IIR55" s="44"/>
      <c r="IIS55" s="44"/>
      <c r="IIT55" s="44"/>
      <c r="IIU55" s="44"/>
      <c r="IIV55" s="44"/>
      <c r="IIW55" s="44"/>
      <c r="IIX55" s="44"/>
      <c r="IIY55" s="44"/>
      <c r="IIZ55" s="44"/>
      <c r="IJA55" s="44"/>
      <c r="IJB55" s="44"/>
      <c r="IJC55" s="44"/>
      <c r="IJD55" s="44"/>
      <c r="IJE55" s="44"/>
      <c r="IJF55" s="44"/>
      <c r="IJG55" s="44"/>
      <c r="IJH55" s="44"/>
      <c r="IJI55" s="44"/>
      <c r="IJJ55" s="44"/>
      <c r="IJK55" s="44"/>
      <c r="IJL55" s="44"/>
      <c r="IJM55" s="44"/>
      <c r="IJN55" s="44"/>
      <c r="IJO55" s="44"/>
      <c r="IJP55" s="44"/>
      <c r="IJQ55" s="44"/>
      <c r="IJR55" s="44"/>
      <c r="IJS55" s="44"/>
      <c r="IJT55" s="44"/>
      <c r="IJU55" s="44"/>
      <c r="IJV55" s="44"/>
      <c r="IJW55" s="44"/>
      <c r="IJX55" s="44"/>
      <c r="IJY55" s="44"/>
      <c r="IJZ55" s="44"/>
      <c r="IKA55" s="44"/>
      <c r="IKB55" s="44"/>
      <c r="IKC55" s="44"/>
      <c r="IKD55" s="44"/>
      <c r="IKE55" s="44"/>
      <c r="IKF55" s="44"/>
      <c r="IKG55" s="44"/>
      <c r="IKH55" s="44"/>
      <c r="IKI55" s="44"/>
      <c r="IKJ55" s="44"/>
      <c r="IKK55" s="44"/>
      <c r="IKL55" s="44"/>
      <c r="IKM55" s="44"/>
      <c r="IKN55" s="44"/>
      <c r="IKO55" s="44"/>
      <c r="IKP55" s="44"/>
      <c r="IKQ55" s="44"/>
      <c r="IKR55" s="44"/>
      <c r="IKS55" s="44"/>
      <c r="IKT55" s="44"/>
      <c r="IKU55" s="44"/>
      <c r="IKV55" s="44"/>
      <c r="IKW55" s="44"/>
      <c r="IKX55" s="44"/>
      <c r="IKY55" s="44"/>
      <c r="IKZ55" s="44"/>
      <c r="ILA55" s="44"/>
      <c r="ILB55" s="44"/>
      <c r="ILC55" s="44"/>
      <c r="ILD55" s="44"/>
      <c r="ILE55" s="44"/>
      <c r="ILF55" s="44"/>
      <c r="ILG55" s="44"/>
      <c r="ILH55" s="44"/>
      <c r="ILI55" s="44"/>
      <c r="ILJ55" s="44"/>
      <c r="ILK55" s="44"/>
      <c r="ILL55" s="44"/>
      <c r="ILM55" s="44"/>
      <c r="ILN55" s="44"/>
      <c r="ILO55" s="44"/>
      <c r="ILP55" s="44"/>
      <c r="ILQ55" s="44"/>
      <c r="ILR55" s="44"/>
      <c r="ILS55" s="44"/>
      <c r="ILT55" s="44"/>
      <c r="ILU55" s="44"/>
      <c r="ILV55" s="44"/>
      <c r="ILW55" s="44"/>
      <c r="ILX55" s="44"/>
      <c r="ILY55" s="44"/>
      <c r="ILZ55" s="44"/>
      <c r="IMA55" s="44"/>
      <c r="IMB55" s="44"/>
      <c r="IMC55" s="44"/>
      <c r="IMD55" s="44"/>
      <c r="IME55" s="44"/>
      <c r="IMF55" s="44"/>
      <c r="IMG55" s="44"/>
      <c r="IMH55" s="44"/>
      <c r="IMI55" s="44"/>
      <c r="IMJ55" s="44"/>
      <c r="IMK55" s="44"/>
      <c r="IML55" s="44"/>
      <c r="IMM55" s="44"/>
      <c r="IMN55" s="44"/>
      <c r="IMO55" s="44"/>
      <c r="IMP55" s="44"/>
      <c r="IMQ55" s="44"/>
      <c r="IMR55" s="44"/>
      <c r="IMS55" s="44"/>
      <c r="IMT55" s="44"/>
      <c r="IMU55" s="44"/>
      <c r="IMV55" s="44"/>
      <c r="IMW55" s="44"/>
      <c r="IMX55" s="44"/>
      <c r="IMY55" s="44"/>
      <c r="IMZ55" s="44"/>
      <c r="INA55" s="44"/>
      <c r="INB55" s="44"/>
      <c r="INC55" s="44"/>
      <c r="IND55" s="44"/>
      <c r="INE55" s="44"/>
      <c r="INF55" s="44"/>
      <c r="ING55" s="44"/>
      <c r="INH55" s="44"/>
      <c r="INI55" s="44"/>
      <c r="INJ55" s="44"/>
      <c r="INK55" s="44"/>
      <c r="INL55" s="44"/>
      <c r="INM55" s="44"/>
      <c r="INN55" s="44"/>
      <c r="INO55" s="44"/>
      <c r="INP55" s="44"/>
      <c r="INQ55" s="44"/>
      <c r="INR55" s="44"/>
      <c r="INS55" s="44"/>
      <c r="INT55" s="44"/>
      <c r="INU55" s="44"/>
      <c r="INV55" s="44"/>
      <c r="INW55" s="44"/>
      <c r="INX55" s="44"/>
      <c r="INY55" s="44"/>
      <c r="INZ55" s="44"/>
      <c r="IOA55" s="44"/>
      <c r="IOB55" s="44"/>
      <c r="IOC55" s="44"/>
      <c r="IOD55" s="44"/>
      <c r="IOE55" s="44"/>
      <c r="IOF55" s="44"/>
      <c r="IOG55" s="44"/>
      <c r="IOH55" s="44"/>
      <c r="IOI55" s="44"/>
      <c r="IOJ55" s="44"/>
      <c r="IOK55" s="44"/>
      <c r="IOL55" s="44"/>
      <c r="IOM55" s="44"/>
      <c r="ION55" s="44"/>
      <c r="IOO55" s="44"/>
      <c r="IOP55" s="44"/>
      <c r="IOQ55" s="44"/>
      <c r="IOR55" s="44"/>
      <c r="IOS55" s="44"/>
      <c r="IOT55" s="44"/>
      <c r="IOU55" s="44"/>
      <c r="IOV55" s="44"/>
      <c r="IOW55" s="44"/>
      <c r="IOX55" s="44"/>
      <c r="IOY55" s="44"/>
      <c r="IOZ55" s="44"/>
      <c r="IPA55" s="44"/>
      <c r="IPB55" s="44"/>
      <c r="IPC55" s="44"/>
      <c r="IPD55" s="44"/>
      <c r="IPE55" s="44"/>
      <c r="IPF55" s="44"/>
      <c r="IPG55" s="44"/>
      <c r="IPH55" s="44"/>
      <c r="IPI55" s="44"/>
      <c r="IPJ55" s="44"/>
      <c r="IPK55" s="44"/>
      <c r="IPL55" s="44"/>
      <c r="IPM55" s="44"/>
      <c r="IPN55" s="44"/>
      <c r="IPO55" s="44"/>
      <c r="IPP55" s="44"/>
      <c r="IPQ55" s="44"/>
      <c r="IPR55" s="44"/>
      <c r="IPS55" s="44"/>
      <c r="IPT55" s="44"/>
      <c r="IPU55" s="44"/>
      <c r="IPV55" s="44"/>
      <c r="IPW55" s="44"/>
      <c r="IPX55" s="44"/>
      <c r="IPY55" s="44"/>
      <c r="IPZ55" s="44"/>
      <c r="IQA55" s="44"/>
      <c r="IQB55" s="44"/>
      <c r="IQC55" s="44"/>
      <c r="IQD55" s="44"/>
      <c r="IQE55" s="44"/>
      <c r="IQF55" s="44"/>
      <c r="IQG55" s="44"/>
      <c r="IQH55" s="44"/>
      <c r="IQI55" s="44"/>
      <c r="IQJ55" s="44"/>
      <c r="IQK55" s="44"/>
      <c r="IQL55" s="44"/>
      <c r="IQM55" s="44"/>
      <c r="IQN55" s="44"/>
      <c r="IQO55" s="44"/>
      <c r="IQP55" s="44"/>
      <c r="IQQ55" s="44"/>
      <c r="IQR55" s="44"/>
      <c r="IQS55" s="44"/>
      <c r="IQT55" s="44"/>
      <c r="IQU55" s="44"/>
      <c r="IQV55" s="44"/>
      <c r="IQW55" s="44"/>
      <c r="IQX55" s="44"/>
      <c r="IQY55" s="44"/>
      <c r="IQZ55" s="44"/>
      <c r="IRA55" s="44"/>
      <c r="IRB55" s="44"/>
      <c r="IRC55" s="44"/>
      <c r="IRD55" s="44"/>
      <c r="IRE55" s="44"/>
      <c r="IRF55" s="44"/>
      <c r="IRG55" s="44"/>
      <c r="IRH55" s="44"/>
      <c r="IRI55" s="44"/>
      <c r="IRJ55" s="44"/>
      <c r="IRK55" s="44"/>
      <c r="IRL55" s="44"/>
      <c r="IRM55" s="44"/>
      <c r="IRN55" s="44"/>
      <c r="IRO55" s="44"/>
      <c r="IRP55" s="44"/>
      <c r="IRQ55" s="44"/>
      <c r="IRR55" s="44"/>
      <c r="IRS55" s="44"/>
      <c r="IRT55" s="44"/>
      <c r="IRU55" s="44"/>
      <c r="IRV55" s="44"/>
      <c r="IRW55" s="44"/>
      <c r="IRX55" s="44"/>
      <c r="IRY55" s="44"/>
      <c r="IRZ55" s="44"/>
      <c r="ISA55" s="44"/>
      <c r="ISB55" s="44"/>
      <c r="ISC55" s="44"/>
      <c r="ISD55" s="44"/>
      <c r="ISE55" s="44"/>
      <c r="ISF55" s="44"/>
      <c r="ISG55" s="44"/>
      <c r="ISH55" s="44"/>
      <c r="ISI55" s="44"/>
      <c r="ISJ55" s="44"/>
      <c r="ISK55" s="44"/>
      <c r="ISL55" s="44"/>
      <c r="ISM55" s="44"/>
      <c r="ISN55" s="44"/>
      <c r="ISO55" s="44"/>
      <c r="ISP55" s="44"/>
      <c r="ISQ55" s="44"/>
      <c r="ISR55" s="44"/>
      <c r="ISS55" s="44"/>
      <c r="IST55" s="44"/>
      <c r="ISU55" s="44"/>
      <c r="ISV55" s="44"/>
      <c r="ISW55" s="44"/>
      <c r="ISX55" s="44"/>
      <c r="ISY55" s="44"/>
      <c r="ISZ55" s="44"/>
      <c r="ITA55" s="44"/>
      <c r="ITB55" s="44"/>
      <c r="ITC55" s="44"/>
      <c r="ITD55" s="44"/>
      <c r="ITE55" s="44"/>
      <c r="ITF55" s="44"/>
      <c r="ITG55" s="44"/>
      <c r="ITH55" s="44"/>
      <c r="ITI55" s="44"/>
      <c r="ITJ55" s="44"/>
      <c r="ITK55" s="44"/>
      <c r="ITL55" s="44"/>
      <c r="ITM55" s="44"/>
      <c r="ITN55" s="44"/>
      <c r="ITO55" s="44"/>
      <c r="ITP55" s="44"/>
      <c r="ITQ55" s="44"/>
      <c r="ITR55" s="44"/>
      <c r="ITS55" s="44"/>
      <c r="ITT55" s="44"/>
      <c r="ITU55" s="44"/>
      <c r="ITV55" s="44"/>
      <c r="ITW55" s="44"/>
      <c r="ITX55" s="44"/>
      <c r="ITY55" s="44"/>
      <c r="ITZ55" s="44"/>
      <c r="IUA55" s="44"/>
      <c r="IUB55" s="44"/>
      <c r="IUC55" s="44"/>
      <c r="IUD55" s="44"/>
      <c r="IUE55" s="44"/>
      <c r="IUF55" s="44"/>
      <c r="IUG55" s="44"/>
      <c r="IUH55" s="44"/>
      <c r="IUI55" s="44"/>
      <c r="IUJ55" s="44"/>
      <c r="IUK55" s="44"/>
      <c r="IUL55" s="44"/>
      <c r="IUM55" s="44"/>
      <c r="IUN55" s="44"/>
      <c r="IUO55" s="44"/>
      <c r="IUP55" s="44"/>
      <c r="IUQ55" s="44"/>
      <c r="IUR55" s="44"/>
      <c r="IUS55" s="44"/>
      <c r="IUT55" s="44"/>
      <c r="IUU55" s="44"/>
      <c r="IUV55" s="44"/>
      <c r="IUW55" s="44"/>
      <c r="IUX55" s="44"/>
      <c r="IUY55" s="44"/>
      <c r="IUZ55" s="44"/>
      <c r="IVA55" s="44"/>
      <c r="IVB55" s="44"/>
      <c r="IVC55" s="44"/>
      <c r="IVD55" s="44"/>
      <c r="IVE55" s="44"/>
      <c r="IVF55" s="44"/>
      <c r="IVG55" s="44"/>
      <c r="IVH55" s="44"/>
      <c r="IVI55" s="44"/>
      <c r="IVJ55" s="44"/>
      <c r="IVK55" s="44"/>
      <c r="IVL55" s="44"/>
      <c r="IVM55" s="44"/>
      <c r="IVN55" s="44"/>
      <c r="IVO55" s="44"/>
      <c r="IVP55" s="44"/>
      <c r="IVQ55" s="44"/>
      <c r="IVR55" s="44"/>
      <c r="IVS55" s="44"/>
      <c r="IVT55" s="44"/>
      <c r="IVU55" s="44"/>
      <c r="IVV55" s="44"/>
      <c r="IVW55" s="44"/>
      <c r="IVX55" s="44"/>
      <c r="IVY55" s="44"/>
      <c r="IVZ55" s="44"/>
      <c r="IWA55" s="44"/>
      <c r="IWB55" s="44"/>
      <c r="IWC55" s="44"/>
      <c r="IWD55" s="44"/>
      <c r="IWE55" s="44"/>
      <c r="IWF55" s="44"/>
      <c r="IWG55" s="44"/>
      <c r="IWH55" s="44"/>
      <c r="IWI55" s="44"/>
      <c r="IWJ55" s="44"/>
      <c r="IWK55" s="44"/>
      <c r="IWL55" s="44"/>
      <c r="IWM55" s="44"/>
      <c r="IWN55" s="44"/>
      <c r="IWO55" s="44"/>
      <c r="IWP55" s="44"/>
      <c r="IWQ55" s="44"/>
      <c r="IWR55" s="44"/>
      <c r="IWS55" s="44"/>
      <c r="IWT55" s="44"/>
      <c r="IWU55" s="44"/>
      <c r="IWV55" s="44"/>
      <c r="IWW55" s="44"/>
      <c r="IWX55" s="44"/>
      <c r="IWY55" s="44"/>
      <c r="IWZ55" s="44"/>
      <c r="IXA55" s="44"/>
      <c r="IXB55" s="44"/>
      <c r="IXC55" s="44"/>
      <c r="IXD55" s="44"/>
      <c r="IXE55" s="44"/>
      <c r="IXF55" s="44"/>
      <c r="IXG55" s="44"/>
      <c r="IXH55" s="44"/>
      <c r="IXI55" s="44"/>
      <c r="IXJ55" s="44"/>
      <c r="IXK55" s="44"/>
      <c r="IXL55" s="44"/>
      <c r="IXM55" s="44"/>
      <c r="IXN55" s="44"/>
      <c r="IXO55" s="44"/>
      <c r="IXP55" s="44"/>
      <c r="IXQ55" s="44"/>
      <c r="IXR55" s="44"/>
      <c r="IXS55" s="44"/>
      <c r="IXT55" s="44"/>
      <c r="IXU55" s="44"/>
      <c r="IXV55" s="44"/>
      <c r="IXW55" s="44"/>
      <c r="IXX55" s="44"/>
      <c r="IXY55" s="44"/>
      <c r="IXZ55" s="44"/>
      <c r="IYA55" s="44"/>
      <c r="IYB55" s="44"/>
      <c r="IYC55" s="44"/>
      <c r="IYD55" s="44"/>
      <c r="IYE55" s="44"/>
      <c r="IYF55" s="44"/>
      <c r="IYG55" s="44"/>
      <c r="IYH55" s="44"/>
      <c r="IYI55" s="44"/>
      <c r="IYJ55" s="44"/>
      <c r="IYK55" s="44"/>
      <c r="IYL55" s="44"/>
      <c r="IYM55" s="44"/>
      <c r="IYN55" s="44"/>
      <c r="IYO55" s="44"/>
      <c r="IYP55" s="44"/>
      <c r="IYQ55" s="44"/>
      <c r="IYR55" s="44"/>
      <c r="IYS55" s="44"/>
      <c r="IYT55" s="44"/>
      <c r="IYU55" s="44"/>
      <c r="IYV55" s="44"/>
      <c r="IYW55" s="44"/>
      <c r="IYX55" s="44"/>
      <c r="IYY55" s="44"/>
      <c r="IYZ55" s="44"/>
      <c r="IZA55" s="44"/>
      <c r="IZB55" s="44"/>
      <c r="IZC55" s="44"/>
      <c r="IZD55" s="44"/>
      <c r="IZE55" s="44"/>
      <c r="IZF55" s="44"/>
      <c r="IZG55" s="44"/>
      <c r="IZH55" s="44"/>
      <c r="IZI55" s="44"/>
      <c r="IZJ55" s="44"/>
      <c r="IZK55" s="44"/>
      <c r="IZL55" s="44"/>
      <c r="IZM55" s="44"/>
      <c r="IZN55" s="44"/>
      <c r="IZO55" s="44"/>
      <c r="IZP55" s="44"/>
      <c r="IZQ55" s="44"/>
      <c r="IZR55" s="44"/>
      <c r="IZS55" s="44"/>
      <c r="IZT55" s="44"/>
      <c r="IZU55" s="44"/>
      <c r="IZV55" s="44"/>
      <c r="IZW55" s="44"/>
      <c r="IZX55" s="44"/>
      <c r="IZY55" s="44"/>
      <c r="IZZ55" s="44"/>
      <c r="JAA55" s="44"/>
      <c r="JAB55" s="44"/>
      <c r="JAC55" s="44"/>
      <c r="JAD55" s="44"/>
      <c r="JAE55" s="44"/>
      <c r="JAF55" s="44"/>
      <c r="JAG55" s="44"/>
      <c r="JAH55" s="44"/>
      <c r="JAI55" s="44"/>
      <c r="JAJ55" s="44"/>
      <c r="JAK55" s="44"/>
      <c r="JAL55" s="44"/>
      <c r="JAM55" s="44"/>
      <c r="JAN55" s="44"/>
      <c r="JAO55" s="44"/>
      <c r="JAP55" s="44"/>
      <c r="JAQ55" s="44"/>
      <c r="JAR55" s="44"/>
      <c r="JAS55" s="44"/>
      <c r="JAT55" s="44"/>
      <c r="JAU55" s="44"/>
      <c r="JAV55" s="44"/>
      <c r="JAW55" s="44"/>
      <c r="JAX55" s="44"/>
      <c r="JAY55" s="44"/>
      <c r="JAZ55" s="44"/>
      <c r="JBA55" s="44"/>
      <c r="JBB55" s="44"/>
      <c r="JBC55" s="44"/>
      <c r="JBD55" s="44"/>
      <c r="JBE55" s="44"/>
      <c r="JBF55" s="44"/>
      <c r="JBG55" s="44"/>
      <c r="JBH55" s="44"/>
      <c r="JBI55" s="44"/>
      <c r="JBJ55" s="44"/>
      <c r="JBK55" s="44"/>
      <c r="JBL55" s="44"/>
      <c r="JBM55" s="44"/>
      <c r="JBN55" s="44"/>
      <c r="JBO55" s="44"/>
      <c r="JBP55" s="44"/>
      <c r="JBQ55" s="44"/>
      <c r="JBR55" s="44"/>
      <c r="JBS55" s="44"/>
      <c r="JBT55" s="44"/>
      <c r="JBU55" s="44"/>
      <c r="JBV55" s="44"/>
      <c r="JBW55" s="44"/>
      <c r="JBX55" s="44"/>
      <c r="JBY55" s="44"/>
      <c r="JBZ55" s="44"/>
      <c r="JCA55" s="44"/>
      <c r="JCB55" s="44"/>
      <c r="JCC55" s="44"/>
      <c r="JCD55" s="44"/>
      <c r="JCE55" s="44"/>
      <c r="JCF55" s="44"/>
      <c r="JCG55" s="44"/>
      <c r="JCH55" s="44"/>
      <c r="JCI55" s="44"/>
      <c r="JCJ55" s="44"/>
      <c r="JCK55" s="44"/>
      <c r="JCL55" s="44"/>
      <c r="JCM55" s="44"/>
      <c r="JCN55" s="44"/>
      <c r="JCO55" s="44"/>
      <c r="JCP55" s="44"/>
      <c r="JCQ55" s="44"/>
      <c r="JCR55" s="44"/>
      <c r="JCS55" s="44"/>
      <c r="JCT55" s="44"/>
      <c r="JCU55" s="44"/>
      <c r="JCV55" s="44"/>
      <c r="JCW55" s="44"/>
      <c r="JCX55" s="44"/>
      <c r="JCY55" s="44"/>
      <c r="JCZ55" s="44"/>
      <c r="JDA55" s="44"/>
      <c r="JDB55" s="44"/>
      <c r="JDC55" s="44"/>
      <c r="JDD55" s="44"/>
      <c r="JDE55" s="44"/>
      <c r="JDF55" s="44"/>
      <c r="JDG55" s="44"/>
      <c r="JDH55" s="44"/>
      <c r="JDI55" s="44"/>
      <c r="JDJ55" s="44"/>
      <c r="JDK55" s="44"/>
      <c r="JDL55" s="44"/>
      <c r="JDM55" s="44"/>
      <c r="JDN55" s="44"/>
      <c r="JDO55" s="44"/>
      <c r="JDP55" s="44"/>
      <c r="JDQ55" s="44"/>
      <c r="JDR55" s="44"/>
      <c r="JDS55" s="44"/>
      <c r="JDT55" s="44"/>
      <c r="JDU55" s="44"/>
      <c r="JDV55" s="44"/>
      <c r="JDW55" s="44"/>
      <c r="JDX55" s="44"/>
      <c r="JDY55" s="44"/>
      <c r="JDZ55" s="44"/>
      <c r="JEA55" s="44"/>
      <c r="JEB55" s="44"/>
      <c r="JEC55" s="44"/>
      <c r="JED55" s="44"/>
      <c r="JEE55" s="44"/>
      <c r="JEF55" s="44"/>
      <c r="JEG55" s="44"/>
      <c r="JEH55" s="44"/>
      <c r="JEI55" s="44"/>
      <c r="JEJ55" s="44"/>
      <c r="JEK55" s="44"/>
      <c r="JEL55" s="44"/>
      <c r="JEM55" s="44"/>
      <c r="JEN55" s="44"/>
      <c r="JEO55" s="44"/>
      <c r="JEP55" s="44"/>
      <c r="JEQ55" s="44"/>
      <c r="JER55" s="44"/>
      <c r="JES55" s="44"/>
      <c r="JET55" s="44"/>
      <c r="JEU55" s="44"/>
      <c r="JEV55" s="44"/>
      <c r="JEW55" s="44"/>
      <c r="JEX55" s="44"/>
      <c r="JEY55" s="44"/>
      <c r="JEZ55" s="44"/>
      <c r="JFA55" s="44"/>
      <c r="JFB55" s="44"/>
      <c r="JFC55" s="44"/>
      <c r="JFD55" s="44"/>
      <c r="JFE55" s="44"/>
      <c r="JFF55" s="44"/>
      <c r="JFG55" s="44"/>
      <c r="JFH55" s="44"/>
      <c r="JFI55" s="44"/>
      <c r="JFJ55" s="44"/>
      <c r="JFK55" s="44"/>
      <c r="JFL55" s="44"/>
      <c r="JFM55" s="44"/>
      <c r="JFN55" s="44"/>
      <c r="JFO55" s="44"/>
      <c r="JFP55" s="44"/>
      <c r="JFQ55" s="44"/>
      <c r="JFR55" s="44"/>
      <c r="JFS55" s="44"/>
      <c r="JFT55" s="44"/>
      <c r="JFU55" s="44"/>
      <c r="JFV55" s="44"/>
      <c r="JFW55" s="44"/>
      <c r="JFX55" s="44"/>
      <c r="JFY55" s="44"/>
      <c r="JFZ55" s="44"/>
      <c r="JGA55" s="44"/>
      <c r="JGB55" s="44"/>
      <c r="JGC55" s="44"/>
      <c r="JGD55" s="44"/>
      <c r="JGE55" s="44"/>
      <c r="JGF55" s="44"/>
      <c r="JGG55" s="44"/>
      <c r="JGH55" s="44"/>
      <c r="JGI55" s="44"/>
      <c r="JGJ55" s="44"/>
      <c r="JGK55" s="44"/>
      <c r="JGL55" s="44"/>
      <c r="JGM55" s="44"/>
      <c r="JGN55" s="44"/>
      <c r="JGO55" s="44"/>
      <c r="JGP55" s="44"/>
      <c r="JGQ55" s="44"/>
      <c r="JGR55" s="44"/>
      <c r="JGS55" s="44"/>
      <c r="JGT55" s="44"/>
      <c r="JGU55" s="44"/>
      <c r="JGV55" s="44"/>
      <c r="JGW55" s="44"/>
      <c r="JGX55" s="44"/>
      <c r="JGY55" s="44"/>
      <c r="JGZ55" s="44"/>
      <c r="JHA55" s="44"/>
      <c r="JHB55" s="44"/>
      <c r="JHC55" s="44"/>
      <c r="JHD55" s="44"/>
      <c r="JHE55" s="44"/>
      <c r="JHF55" s="44"/>
      <c r="JHG55" s="44"/>
      <c r="JHH55" s="44"/>
      <c r="JHI55" s="44"/>
      <c r="JHJ55" s="44"/>
      <c r="JHK55" s="44"/>
      <c r="JHL55" s="44"/>
      <c r="JHM55" s="44"/>
      <c r="JHN55" s="44"/>
      <c r="JHO55" s="44"/>
      <c r="JHP55" s="44"/>
      <c r="JHQ55" s="44"/>
      <c r="JHR55" s="44"/>
      <c r="JHS55" s="44"/>
      <c r="JHT55" s="44"/>
      <c r="JHU55" s="44"/>
      <c r="JHV55" s="44"/>
      <c r="JHW55" s="44"/>
      <c r="JHX55" s="44"/>
      <c r="JHY55" s="44"/>
      <c r="JHZ55" s="44"/>
      <c r="JIA55" s="44"/>
      <c r="JIB55" s="44"/>
      <c r="JIC55" s="44"/>
      <c r="JID55" s="44"/>
      <c r="JIE55" s="44"/>
      <c r="JIF55" s="44"/>
      <c r="JIG55" s="44"/>
      <c r="JIH55" s="44"/>
      <c r="JII55" s="44"/>
      <c r="JIJ55" s="44"/>
      <c r="JIK55" s="44"/>
      <c r="JIL55" s="44"/>
      <c r="JIM55" s="44"/>
      <c r="JIN55" s="44"/>
      <c r="JIO55" s="44"/>
      <c r="JIP55" s="44"/>
      <c r="JIQ55" s="44"/>
      <c r="JIR55" s="44"/>
      <c r="JIS55" s="44"/>
      <c r="JIT55" s="44"/>
      <c r="JIU55" s="44"/>
      <c r="JIV55" s="44"/>
      <c r="JIW55" s="44"/>
      <c r="JIX55" s="44"/>
      <c r="JIY55" s="44"/>
      <c r="JIZ55" s="44"/>
      <c r="JJA55" s="44"/>
      <c r="JJB55" s="44"/>
      <c r="JJC55" s="44"/>
      <c r="JJD55" s="44"/>
      <c r="JJE55" s="44"/>
      <c r="JJF55" s="44"/>
      <c r="JJG55" s="44"/>
      <c r="JJH55" s="44"/>
      <c r="JJI55" s="44"/>
      <c r="JJJ55" s="44"/>
      <c r="JJK55" s="44"/>
      <c r="JJL55" s="44"/>
      <c r="JJM55" s="44"/>
      <c r="JJN55" s="44"/>
      <c r="JJO55" s="44"/>
      <c r="JJP55" s="44"/>
      <c r="JJQ55" s="44"/>
      <c r="JJR55" s="44"/>
      <c r="JJS55" s="44"/>
      <c r="JJT55" s="44"/>
      <c r="JJU55" s="44"/>
      <c r="JJV55" s="44"/>
      <c r="JJW55" s="44"/>
      <c r="JJX55" s="44"/>
      <c r="JJY55" s="44"/>
      <c r="JJZ55" s="44"/>
      <c r="JKA55" s="44"/>
      <c r="JKB55" s="44"/>
      <c r="JKC55" s="44"/>
      <c r="JKD55" s="44"/>
      <c r="JKE55" s="44"/>
      <c r="JKF55" s="44"/>
      <c r="JKG55" s="44"/>
      <c r="JKH55" s="44"/>
      <c r="JKI55" s="44"/>
      <c r="JKJ55" s="44"/>
      <c r="JKK55" s="44"/>
      <c r="JKL55" s="44"/>
      <c r="JKM55" s="44"/>
      <c r="JKN55" s="44"/>
      <c r="JKO55" s="44"/>
      <c r="JKP55" s="44"/>
      <c r="JKQ55" s="44"/>
      <c r="JKR55" s="44"/>
      <c r="JKS55" s="44"/>
      <c r="JKT55" s="44"/>
      <c r="JKU55" s="44"/>
      <c r="JKV55" s="44"/>
      <c r="JKW55" s="44"/>
      <c r="JKX55" s="44"/>
      <c r="JKY55" s="44"/>
      <c r="JKZ55" s="44"/>
      <c r="JLA55" s="44"/>
      <c r="JLB55" s="44"/>
      <c r="JLC55" s="44"/>
      <c r="JLD55" s="44"/>
      <c r="JLE55" s="44"/>
      <c r="JLF55" s="44"/>
      <c r="JLG55" s="44"/>
      <c r="JLH55" s="44"/>
      <c r="JLI55" s="44"/>
      <c r="JLJ55" s="44"/>
      <c r="JLK55" s="44"/>
      <c r="JLL55" s="44"/>
      <c r="JLM55" s="44"/>
      <c r="JLN55" s="44"/>
      <c r="JLO55" s="44"/>
      <c r="JLP55" s="44"/>
      <c r="JLQ55" s="44"/>
      <c r="JLR55" s="44"/>
      <c r="JLS55" s="44"/>
      <c r="JLT55" s="44"/>
      <c r="JLU55" s="44"/>
      <c r="JLV55" s="44"/>
      <c r="JLW55" s="44"/>
      <c r="JLX55" s="44"/>
      <c r="JLY55" s="44"/>
      <c r="JLZ55" s="44"/>
      <c r="JMA55" s="44"/>
      <c r="JMB55" s="44"/>
      <c r="JMC55" s="44"/>
      <c r="JMD55" s="44"/>
      <c r="JME55" s="44"/>
      <c r="JMF55" s="44"/>
      <c r="JMG55" s="44"/>
      <c r="JMH55" s="44"/>
      <c r="JMI55" s="44"/>
      <c r="JMJ55" s="44"/>
      <c r="JMK55" s="44"/>
      <c r="JML55" s="44"/>
      <c r="JMM55" s="44"/>
      <c r="JMN55" s="44"/>
      <c r="JMO55" s="44"/>
      <c r="JMP55" s="44"/>
      <c r="JMQ55" s="44"/>
      <c r="JMR55" s="44"/>
      <c r="JMS55" s="44"/>
      <c r="JMT55" s="44"/>
      <c r="JMU55" s="44"/>
      <c r="JMV55" s="44"/>
      <c r="JMW55" s="44"/>
      <c r="JMX55" s="44"/>
      <c r="JMY55" s="44"/>
      <c r="JMZ55" s="44"/>
      <c r="JNA55" s="44"/>
      <c r="JNB55" s="44"/>
      <c r="JNC55" s="44"/>
      <c r="JND55" s="44"/>
      <c r="JNE55" s="44"/>
      <c r="JNF55" s="44"/>
      <c r="JNG55" s="44"/>
      <c r="JNH55" s="44"/>
      <c r="JNI55" s="44"/>
      <c r="JNJ55" s="44"/>
      <c r="JNK55" s="44"/>
      <c r="JNL55" s="44"/>
      <c r="JNM55" s="44"/>
      <c r="JNN55" s="44"/>
      <c r="JNO55" s="44"/>
      <c r="JNP55" s="44"/>
      <c r="JNQ55" s="44"/>
      <c r="JNR55" s="44"/>
      <c r="JNS55" s="44"/>
      <c r="JNT55" s="44"/>
      <c r="JNU55" s="44"/>
      <c r="JNV55" s="44"/>
      <c r="JNW55" s="44"/>
      <c r="JNX55" s="44"/>
      <c r="JNY55" s="44"/>
      <c r="JNZ55" s="44"/>
      <c r="JOA55" s="44"/>
      <c r="JOB55" s="44"/>
      <c r="JOC55" s="44"/>
      <c r="JOD55" s="44"/>
      <c r="JOE55" s="44"/>
      <c r="JOF55" s="44"/>
      <c r="JOG55" s="44"/>
      <c r="JOH55" s="44"/>
      <c r="JOI55" s="44"/>
      <c r="JOJ55" s="44"/>
      <c r="JOK55" s="44"/>
      <c r="JOL55" s="44"/>
      <c r="JOM55" s="44"/>
      <c r="JON55" s="44"/>
      <c r="JOO55" s="44"/>
      <c r="JOP55" s="44"/>
      <c r="JOQ55" s="44"/>
      <c r="JOR55" s="44"/>
      <c r="JOS55" s="44"/>
      <c r="JOT55" s="44"/>
      <c r="JOU55" s="44"/>
      <c r="JOV55" s="44"/>
      <c r="JOW55" s="44"/>
      <c r="JOX55" s="44"/>
      <c r="JOY55" s="44"/>
      <c r="JOZ55" s="44"/>
      <c r="JPA55" s="44"/>
      <c r="JPB55" s="44"/>
      <c r="JPC55" s="44"/>
      <c r="JPD55" s="44"/>
      <c r="JPE55" s="44"/>
      <c r="JPF55" s="44"/>
      <c r="JPG55" s="44"/>
      <c r="JPH55" s="44"/>
      <c r="JPI55" s="44"/>
      <c r="JPJ55" s="44"/>
      <c r="JPK55" s="44"/>
      <c r="JPL55" s="44"/>
      <c r="JPM55" s="44"/>
      <c r="JPN55" s="44"/>
      <c r="JPO55" s="44"/>
      <c r="JPP55" s="44"/>
      <c r="JPQ55" s="44"/>
      <c r="JPR55" s="44"/>
      <c r="JPS55" s="44"/>
      <c r="JPT55" s="44"/>
      <c r="JPU55" s="44"/>
      <c r="JPV55" s="44"/>
      <c r="JPW55" s="44"/>
      <c r="JPX55" s="44"/>
      <c r="JPY55" s="44"/>
      <c r="JPZ55" s="44"/>
      <c r="JQA55" s="44"/>
      <c r="JQB55" s="44"/>
      <c r="JQC55" s="44"/>
      <c r="JQD55" s="44"/>
      <c r="JQE55" s="44"/>
      <c r="JQF55" s="44"/>
      <c r="JQG55" s="44"/>
      <c r="JQH55" s="44"/>
      <c r="JQI55" s="44"/>
      <c r="JQJ55" s="44"/>
      <c r="JQK55" s="44"/>
      <c r="JQL55" s="44"/>
      <c r="JQM55" s="44"/>
      <c r="JQN55" s="44"/>
      <c r="JQO55" s="44"/>
      <c r="JQP55" s="44"/>
      <c r="JQQ55" s="44"/>
      <c r="JQR55" s="44"/>
      <c r="JQS55" s="44"/>
      <c r="JQT55" s="44"/>
      <c r="JQU55" s="44"/>
      <c r="JQV55" s="44"/>
      <c r="JQW55" s="44"/>
      <c r="JQX55" s="44"/>
      <c r="JQY55" s="44"/>
      <c r="JQZ55" s="44"/>
      <c r="JRA55" s="44"/>
      <c r="JRB55" s="44"/>
      <c r="JRC55" s="44"/>
      <c r="JRD55" s="44"/>
      <c r="JRE55" s="44"/>
      <c r="JRF55" s="44"/>
      <c r="JRG55" s="44"/>
      <c r="JRH55" s="44"/>
      <c r="JRI55" s="44"/>
      <c r="JRJ55" s="44"/>
      <c r="JRK55" s="44"/>
      <c r="JRL55" s="44"/>
      <c r="JRM55" s="44"/>
      <c r="JRN55" s="44"/>
      <c r="JRO55" s="44"/>
      <c r="JRP55" s="44"/>
      <c r="JRQ55" s="44"/>
      <c r="JRR55" s="44"/>
      <c r="JRS55" s="44"/>
      <c r="JRT55" s="44"/>
      <c r="JRU55" s="44"/>
      <c r="JRV55" s="44"/>
      <c r="JRW55" s="44"/>
      <c r="JRX55" s="44"/>
      <c r="JRY55" s="44"/>
      <c r="JRZ55" s="44"/>
      <c r="JSA55" s="44"/>
      <c r="JSB55" s="44"/>
      <c r="JSC55" s="44"/>
      <c r="JSD55" s="44"/>
      <c r="JSE55" s="44"/>
      <c r="JSF55" s="44"/>
      <c r="JSG55" s="44"/>
      <c r="JSH55" s="44"/>
      <c r="JSI55" s="44"/>
      <c r="JSJ55" s="44"/>
      <c r="JSK55" s="44"/>
      <c r="JSL55" s="44"/>
      <c r="JSM55" s="44"/>
      <c r="JSN55" s="44"/>
      <c r="JSO55" s="44"/>
      <c r="JSP55" s="44"/>
      <c r="JSQ55" s="44"/>
      <c r="JSR55" s="44"/>
      <c r="JSS55" s="44"/>
      <c r="JST55" s="44"/>
      <c r="JSU55" s="44"/>
      <c r="JSV55" s="44"/>
      <c r="JSW55" s="44"/>
      <c r="JSX55" s="44"/>
      <c r="JSY55" s="44"/>
      <c r="JSZ55" s="44"/>
      <c r="JTA55" s="44"/>
      <c r="JTB55" s="44"/>
      <c r="JTC55" s="44"/>
      <c r="JTD55" s="44"/>
      <c r="JTE55" s="44"/>
      <c r="JTF55" s="44"/>
      <c r="JTG55" s="44"/>
      <c r="JTH55" s="44"/>
      <c r="JTI55" s="44"/>
      <c r="JTJ55" s="44"/>
      <c r="JTK55" s="44"/>
      <c r="JTL55" s="44"/>
      <c r="JTM55" s="44"/>
      <c r="JTN55" s="44"/>
      <c r="JTO55" s="44"/>
      <c r="JTP55" s="44"/>
      <c r="JTQ55" s="44"/>
      <c r="JTR55" s="44"/>
      <c r="JTS55" s="44"/>
      <c r="JTT55" s="44"/>
      <c r="JTU55" s="44"/>
      <c r="JTV55" s="44"/>
      <c r="JTW55" s="44"/>
      <c r="JTX55" s="44"/>
      <c r="JTY55" s="44"/>
      <c r="JTZ55" s="44"/>
      <c r="JUA55" s="44"/>
      <c r="JUB55" s="44"/>
      <c r="JUC55" s="44"/>
      <c r="JUD55" s="44"/>
      <c r="JUE55" s="44"/>
      <c r="JUF55" s="44"/>
      <c r="JUG55" s="44"/>
      <c r="JUH55" s="44"/>
      <c r="JUI55" s="44"/>
      <c r="JUJ55" s="44"/>
      <c r="JUK55" s="44"/>
      <c r="JUL55" s="44"/>
      <c r="JUM55" s="44"/>
      <c r="JUN55" s="44"/>
      <c r="JUO55" s="44"/>
      <c r="JUP55" s="44"/>
      <c r="JUQ55" s="44"/>
      <c r="JUR55" s="44"/>
      <c r="JUS55" s="44"/>
      <c r="JUT55" s="44"/>
      <c r="JUU55" s="44"/>
      <c r="JUV55" s="44"/>
      <c r="JUW55" s="44"/>
      <c r="JUX55" s="44"/>
      <c r="JUY55" s="44"/>
      <c r="JUZ55" s="44"/>
      <c r="JVA55" s="44"/>
      <c r="JVB55" s="44"/>
      <c r="JVC55" s="44"/>
      <c r="JVD55" s="44"/>
      <c r="JVE55" s="44"/>
      <c r="JVF55" s="44"/>
      <c r="JVG55" s="44"/>
      <c r="JVH55" s="44"/>
      <c r="JVI55" s="44"/>
      <c r="JVJ55" s="44"/>
      <c r="JVK55" s="44"/>
      <c r="JVL55" s="44"/>
      <c r="JVM55" s="44"/>
      <c r="JVN55" s="44"/>
      <c r="JVO55" s="44"/>
      <c r="JVP55" s="44"/>
      <c r="JVQ55" s="44"/>
      <c r="JVR55" s="44"/>
      <c r="JVS55" s="44"/>
      <c r="JVT55" s="44"/>
      <c r="JVU55" s="44"/>
      <c r="JVV55" s="44"/>
      <c r="JVW55" s="44"/>
      <c r="JVX55" s="44"/>
      <c r="JVY55" s="44"/>
      <c r="JVZ55" s="44"/>
      <c r="JWA55" s="44"/>
      <c r="JWB55" s="44"/>
      <c r="JWC55" s="44"/>
      <c r="JWD55" s="44"/>
      <c r="JWE55" s="44"/>
      <c r="JWF55" s="44"/>
      <c r="JWG55" s="44"/>
      <c r="JWH55" s="44"/>
      <c r="JWI55" s="44"/>
      <c r="JWJ55" s="44"/>
      <c r="JWK55" s="44"/>
      <c r="JWL55" s="44"/>
      <c r="JWM55" s="44"/>
      <c r="JWN55" s="44"/>
      <c r="JWO55" s="44"/>
      <c r="JWP55" s="44"/>
      <c r="JWQ55" s="44"/>
      <c r="JWR55" s="44"/>
      <c r="JWS55" s="44"/>
      <c r="JWT55" s="44"/>
      <c r="JWU55" s="44"/>
      <c r="JWV55" s="44"/>
      <c r="JWW55" s="44"/>
      <c r="JWX55" s="44"/>
      <c r="JWY55" s="44"/>
      <c r="JWZ55" s="44"/>
      <c r="JXA55" s="44"/>
      <c r="JXB55" s="44"/>
      <c r="JXC55" s="44"/>
      <c r="JXD55" s="44"/>
      <c r="JXE55" s="44"/>
      <c r="JXF55" s="44"/>
      <c r="JXG55" s="44"/>
      <c r="JXH55" s="44"/>
      <c r="JXI55" s="44"/>
      <c r="JXJ55" s="44"/>
      <c r="JXK55" s="44"/>
      <c r="JXL55" s="44"/>
      <c r="JXM55" s="44"/>
      <c r="JXN55" s="44"/>
      <c r="JXO55" s="44"/>
      <c r="JXP55" s="44"/>
      <c r="JXQ55" s="44"/>
      <c r="JXR55" s="44"/>
      <c r="JXS55" s="44"/>
      <c r="JXT55" s="44"/>
      <c r="JXU55" s="44"/>
      <c r="JXV55" s="44"/>
      <c r="JXW55" s="44"/>
      <c r="JXX55" s="44"/>
      <c r="JXY55" s="44"/>
      <c r="JXZ55" s="44"/>
      <c r="JYA55" s="44"/>
      <c r="JYB55" s="44"/>
      <c r="JYC55" s="44"/>
      <c r="JYD55" s="44"/>
      <c r="JYE55" s="44"/>
      <c r="JYF55" s="44"/>
      <c r="JYG55" s="44"/>
      <c r="JYH55" s="44"/>
      <c r="JYI55" s="44"/>
      <c r="JYJ55" s="44"/>
      <c r="JYK55" s="44"/>
      <c r="JYL55" s="44"/>
      <c r="JYM55" s="44"/>
      <c r="JYN55" s="44"/>
      <c r="JYO55" s="44"/>
      <c r="JYP55" s="44"/>
      <c r="JYQ55" s="44"/>
      <c r="JYR55" s="44"/>
      <c r="JYS55" s="44"/>
      <c r="JYT55" s="44"/>
      <c r="JYU55" s="44"/>
      <c r="JYV55" s="44"/>
      <c r="JYW55" s="44"/>
      <c r="JYX55" s="44"/>
      <c r="JYY55" s="44"/>
      <c r="JYZ55" s="44"/>
      <c r="JZA55" s="44"/>
      <c r="JZB55" s="44"/>
      <c r="JZC55" s="44"/>
      <c r="JZD55" s="44"/>
      <c r="JZE55" s="44"/>
      <c r="JZF55" s="44"/>
      <c r="JZG55" s="44"/>
      <c r="JZH55" s="44"/>
      <c r="JZI55" s="44"/>
      <c r="JZJ55" s="44"/>
      <c r="JZK55" s="44"/>
      <c r="JZL55" s="44"/>
      <c r="JZM55" s="44"/>
      <c r="JZN55" s="44"/>
      <c r="JZO55" s="44"/>
      <c r="JZP55" s="44"/>
      <c r="JZQ55" s="44"/>
      <c r="JZR55" s="44"/>
      <c r="JZS55" s="44"/>
      <c r="JZT55" s="44"/>
      <c r="JZU55" s="44"/>
      <c r="JZV55" s="44"/>
      <c r="JZW55" s="44"/>
      <c r="JZX55" s="44"/>
      <c r="JZY55" s="44"/>
      <c r="JZZ55" s="44"/>
      <c r="KAA55" s="44"/>
      <c r="KAB55" s="44"/>
      <c r="KAC55" s="44"/>
      <c r="KAD55" s="44"/>
      <c r="KAE55" s="44"/>
      <c r="KAF55" s="44"/>
      <c r="KAG55" s="44"/>
      <c r="KAH55" s="44"/>
      <c r="KAI55" s="44"/>
      <c r="KAJ55" s="44"/>
      <c r="KAK55" s="44"/>
      <c r="KAL55" s="44"/>
      <c r="KAM55" s="44"/>
      <c r="KAN55" s="44"/>
      <c r="KAO55" s="44"/>
      <c r="KAP55" s="44"/>
      <c r="KAQ55" s="44"/>
      <c r="KAR55" s="44"/>
      <c r="KAS55" s="44"/>
      <c r="KAT55" s="44"/>
      <c r="KAU55" s="44"/>
      <c r="KAV55" s="44"/>
      <c r="KAW55" s="44"/>
      <c r="KAX55" s="44"/>
      <c r="KAY55" s="44"/>
      <c r="KAZ55" s="44"/>
      <c r="KBA55" s="44"/>
      <c r="KBB55" s="44"/>
      <c r="KBC55" s="44"/>
      <c r="KBD55" s="44"/>
      <c r="KBE55" s="44"/>
      <c r="KBF55" s="44"/>
      <c r="KBG55" s="44"/>
      <c r="KBH55" s="44"/>
      <c r="KBI55" s="44"/>
      <c r="KBJ55" s="44"/>
      <c r="KBK55" s="44"/>
      <c r="KBL55" s="44"/>
      <c r="KBM55" s="44"/>
      <c r="KBN55" s="44"/>
      <c r="KBO55" s="44"/>
      <c r="KBP55" s="44"/>
      <c r="KBQ55" s="44"/>
      <c r="KBR55" s="44"/>
      <c r="KBS55" s="44"/>
      <c r="KBT55" s="44"/>
      <c r="KBU55" s="44"/>
      <c r="KBV55" s="44"/>
      <c r="KBW55" s="44"/>
      <c r="KBX55" s="44"/>
      <c r="KBY55" s="44"/>
      <c r="KBZ55" s="44"/>
      <c r="KCA55" s="44"/>
      <c r="KCB55" s="44"/>
      <c r="KCC55" s="44"/>
      <c r="KCD55" s="44"/>
      <c r="KCE55" s="44"/>
      <c r="KCF55" s="44"/>
      <c r="KCG55" s="44"/>
      <c r="KCH55" s="44"/>
      <c r="KCI55" s="44"/>
      <c r="KCJ55" s="44"/>
      <c r="KCK55" s="44"/>
      <c r="KCL55" s="44"/>
      <c r="KCM55" s="44"/>
      <c r="KCN55" s="44"/>
      <c r="KCO55" s="44"/>
      <c r="KCP55" s="44"/>
      <c r="KCQ55" s="44"/>
      <c r="KCR55" s="44"/>
      <c r="KCS55" s="44"/>
      <c r="KCT55" s="44"/>
      <c r="KCU55" s="44"/>
      <c r="KCV55" s="44"/>
      <c r="KCW55" s="44"/>
      <c r="KCX55" s="44"/>
      <c r="KCY55" s="44"/>
      <c r="KCZ55" s="44"/>
      <c r="KDA55" s="44"/>
      <c r="KDB55" s="44"/>
      <c r="KDC55" s="44"/>
      <c r="KDD55" s="44"/>
      <c r="KDE55" s="44"/>
      <c r="KDF55" s="44"/>
      <c r="KDG55" s="44"/>
      <c r="KDH55" s="44"/>
      <c r="KDI55" s="44"/>
      <c r="KDJ55" s="44"/>
      <c r="KDK55" s="44"/>
      <c r="KDL55" s="44"/>
      <c r="KDM55" s="44"/>
      <c r="KDN55" s="44"/>
      <c r="KDO55" s="44"/>
      <c r="KDP55" s="44"/>
      <c r="KDQ55" s="44"/>
      <c r="KDR55" s="44"/>
      <c r="KDS55" s="44"/>
      <c r="KDT55" s="44"/>
      <c r="KDU55" s="44"/>
      <c r="KDV55" s="44"/>
      <c r="KDW55" s="44"/>
      <c r="KDX55" s="44"/>
      <c r="KDY55" s="44"/>
      <c r="KDZ55" s="44"/>
      <c r="KEA55" s="44"/>
      <c r="KEB55" s="44"/>
      <c r="KEC55" s="44"/>
      <c r="KED55" s="44"/>
      <c r="KEE55" s="44"/>
      <c r="KEF55" s="44"/>
      <c r="KEG55" s="44"/>
      <c r="KEH55" s="44"/>
      <c r="KEI55" s="44"/>
      <c r="KEJ55" s="44"/>
      <c r="KEK55" s="44"/>
      <c r="KEL55" s="44"/>
      <c r="KEM55" s="44"/>
      <c r="KEN55" s="44"/>
      <c r="KEO55" s="44"/>
      <c r="KEP55" s="44"/>
      <c r="KEQ55" s="44"/>
      <c r="KER55" s="44"/>
      <c r="KES55" s="44"/>
      <c r="KET55" s="44"/>
      <c r="KEU55" s="44"/>
      <c r="KEV55" s="44"/>
      <c r="KEW55" s="44"/>
      <c r="KEX55" s="44"/>
      <c r="KEY55" s="44"/>
      <c r="KEZ55" s="44"/>
      <c r="KFA55" s="44"/>
      <c r="KFB55" s="44"/>
      <c r="KFC55" s="44"/>
      <c r="KFD55" s="44"/>
      <c r="KFE55" s="44"/>
      <c r="KFF55" s="44"/>
      <c r="KFG55" s="44"/>
      <c r="KFH55" s="44"/>
      <c r="KFI55" s="44"/>
      <c r="KFJ55" s="44"/>
      <c r="KFK55" s="44"/>
      <c r="KFL55" s="44"/>
      <c r="KFM55" s="44"/>
      <c r="KFN55" s="44"/>
      <c r="KFO55" s="44"/>
      <c r="KFP55" s="44"/>
      <c r="KFQ55" s="44"/>
      <c r="KFR55" s="44"/>
      <c r="KFS55" s="44"/>
      <c r="KFT55" s="44"/>
      <c r="KFU55" s="44"/>
      <c r="KFV55" s="44"/>
      <c r="KFW55" s="44"/>
      <c r="KFX55" s="44"/>
      <c r="KFY55" s="44"/>
      <c r="KFZ55" s="44"/>
      <c r="KGA55" s="44"/>
      <c r="KGB55" s="44"/>
      <c r="KGC55" s="44"/>
      <c r="KGD55" s="44"/>
      <c r="KGE55" s="44"/>
      <c r="KGF55" s="44"/>
      <c r="KGG55" s="44"/>
      <c r="KGH55" s="44"/>
      <c r="KGI55" s="44"/>
      <c r="KGJ55" s="44"/>
      <c r="KGK55" s="44"/>
      <c r="KGL55" s="44"/>
      <c r="KGM55" s="44"/>
      <c r="KGN55" s="44"/>
      <c r="KGO55" s="44"/>
      <c r="KGP55" s="44"/>
      <c r="KGQ55" s="44"/>
      <c r="KGR55" s="44"/>
      <c r="KGS55" s="44"/>
      <c r="KGT55" s="44"/>
      <c r="KGU55" s="44"/>
      <c r="KGV55" s="44"/>
      <c r="KGW55" s="44"/>
      <c r="KGX55" s="44"/>
      <c r="KGY55" s="44"/>
      <c r="KGZ55" s="44"/>
      <c r="KHA55" s="44"/>
      <c r="KHB55" s="44"/>
      <c r="KHC55" s="44"/>
      <c r="KHD55" s="44"/>
      <c r="KHE55" s="44"/>
      <c r="KHF55" s="44"/>
      <c r="KHG55" s="44"/>
      <c r="KHH55" s="44"/>
      <c r="KHI55" s="44"/>
      <c r="KHJ55" s="44"/>
      <c r="KHK55" s="44"/>
      <c r="KHL55" s="44"/>
      <c r="KHM55" s="44"/>
      <c r="KHN55" s="44"/>
      <c r="KHO55" s="44"/>
      <c r="KHP55" s="44"/>
      <c r="KHQ55" s="44"/>
      <c r="KHR55" s="44"/>
      <c r="KHS55" s="44"/>
      <c r="KHT55" s="44"/>
      <c r="KHU55" s="44"/>
      <c r="KHV55" s="44"/>
      <c r="KHW55" s="44"/>
      <c r="KHX55" s="44"/>
      <c r="KHY55" s="44"/>
      <c r="KHZ55" s="44"/>
      <c r="KIA55" s="44"/>
      <c r="KIB55" s="44"/>
      <c r="KIC55" s="44"/>
      <c r="KID55" s="44"/>
      <c r="KIE55" s="44"/>
      <c r="KIF55" s="44"/>
      <c r="KIG55" s="44"/>
      <c r="KIH55" s="44"/>
      <c r="KII55" s="44"/>
      <c r="KIJ55" s="44"/>
      <c r="KIK55" s="44"/>
      <c r="KIL55" s="44"/>
      <c r="KIM55" s="44"/>
      <c r="KIN55" s="44"/>
      <c r="KIO55" s="44"/>
      <c r="KIP55" s="44"/>
      <c r="KIQ55" s="44"/>
      <c r="KIR55" s="44"/>
      <c r="KIS55" s="44"/>
      <c r="KIT55" s="44"/>
      <c r="KIU55" s="44"/>
      <c r="KIV55" s="44"/>
      <c r="KIW55" s="44"/>
      <c r="KIX55" s="44"/>
      <c r="KIY55" s="44"/>
      <c r="KIZ55" s="44"/>
      <c r="KJA55" s="44"/>
      <c r="KJB55" s="44"/>
      <c r="KJC55" s="44"/>
      <c r="KJD55" s="44"/>
      <c r="KJE55" s="44"/>
      <c r="KJF55" s="44"/>
      <c r="KJG55" s="44"/>
      <c r="KJH55" s="44"/>
      <c r="KJI55" s="44"/>
      <c r="KJJ55" s="44"/>
      <c r="KJK55" s="44"/>
      <c r="KJL55" s="44"/>
      <c r="KJM55" s="44"/>
      <c r="KJN55" s="44"/>
      <c r="KJO55" s="44"/>
      <c r="KJP55" s="44"/>
      <c r="KJQ55" s="44"/>
      <c r="KJR55" s="44"/>
      <c r="KJS55" s="44"/>
      <c r="KJT55" s="44"/>
      <c r="KJU55" s="44"/>
      <c r="KJV55" s="44"/>
      <c r="KJW55" s="44"/>
      <c r="KJX55" s="44"/>
      <c r="KJY55" s="44"/>
      <c r="KJZ55" s="44"/>
      <c r="KKA55" s="44"/>
      <c r="KKB55" s="44"/>
      <c r="KKC55" s="44"/>
      <c r="KKD55" s="44"/>
      <c r="KKE55" s="44"/>
      <c r="KKF55" s="44"/>
      <c r="KKG55" s="44"/>
      <c r="KKH55" s="44"/>
      <c r="KKI55" s="44"/>
      <c r="KKJ55" s="44"/>
      <c r="KKK55" s="44"/>
      <c r="KKL55" s="44"/>
      <c r="KKM55" s="44"/>
      <c r="KKN55" s="44"/>
      <c r="KKO55" s="44"/>
      <c r="KKP55" s="44"/>
      <c r="KKQ55" s="44"/>
      <c r="KKR55" s="44"/>
      <c r="KKS55" s="44"/>
      <c r="KKT55" s="44"/>
      <c r="KKU55" s="44"/>
      <c r="KKV55" s="44"/>
      <c r="KKW55" s="44"/>
      <c r="KKX55" s="44"/>
      <c r="KKY55" s="44"/>
      <c r="KKZ55" s="44"/>
      <c r="KLA55" s="44"/>
      <c r="KLB55" s="44"/>
      <c r="KLC55" s="44"/>
      <c r="KLD55" s="44"/>
      <c r="KLE55" s="44"/>
      <c r="KLF55" s="44"/>
      <c r="KLG55" s="44"/>
      <c r="KLH55" s="44"/>
      <c r="KLI55" s="44"/>
      <c r="KLJ55" s="44"/>
      <c r="KLK55" s="44"/>
      <c r="KLL55" s="44"/>
      <c r="KLM55" s="44"/>
      <c r="KLN55" s="44"/>
      <c r="KLO55" s="44"/>
      <c r="KLP55" s="44"/>
      <c r="KLQ55" s="44"/>
      <c r="KLR55" s="44"/>
      <c r="KLS55" s="44"/>
      <c r="KLT55" s="44"/>
      <c r="KLU55" s="44"/>
      <c r="KLV55" s="44"/>
      <c r="KLW55" s="44"/>
      <c r="KLX55" s="44"/>
      <c r="KLY55" s="44"/>
      <c r="KLZ55" s="44"/>
      <c r="KMA55" s="44"/>
      <c r="KMB55" s="44"/>
      <c r="KMC55" s="44"/>
      <c r="KMD55" s="44"/>
      <c r="KME55" s="44"/>
      <c r="KMF55" s="44"/>
      <c r="KMG55" s="44"/>
      <c r="KMH55" s="44"/>
      <c r="KMI55" s="44"/>
      <c r="KMJ55" s="44"/>
      <c r="KMK55" s="44"/>
      <c r="KML55" s="44"/>
      <c r="KMM55" s="44"/>
      <c r="KMN55" s="44"/>
      <c r="KMO55" s="44"/>
      <c r="KMP55" s="44"/>
      <c r="KMQ55" s="44"/>
      <c r="KMR55" s="44"/>
      <c r="KMS55" s="44"/>
      <c r="KMT55" s="44"/>
      <c r="KMU55" s="44"/>
      <c r="KMV55" s="44"/>
      <c r="KMW55" s="44"/>
      <c r="KMX55" s="44"/>
      <c r="KMY55" s="44"/>
      <c r="KMZ55" s="44"/>
      <c r="KNA55" s="44"/>
      <c r="KNB55" s="44"/>
      <c r="KNC55" s="44"/>
      <c r="KND55" s="44"/>
      <c r="KNE55" s="44"/>
      <c r="KNF55" s="44"/>
      <c r="KNG55" s="44"/>
      <c r="KNH55" s="44"/>
      <c r="KNI55" s="44"/>
      <c r="KNJ55" s="44"/>
      <c r="KNK55" s="44"/>
      <c r="KNL55" s="44"/>
      <c r="KNM55" s="44"/>
      <c r="KNN55" s="44"/>
      <c r="KNO55" s="44"/>
      <c r="KNP55" s="44"/>
      <c r="KNQ55" s="44"/>
      <c r="KNR55" s="44"/>
      <c r="KNS55" s="44"/>
      <c r="KNT55" s="44"/>
      <c r="KNU55" s="44"/>
      <c r="KNV55" s="44"/>
      <c r="KNW55" s="44"/>
      <c r="KNX55" s="44"/>
      <c r="KNY55" s="44"/>
      <c r="KNZ55" s="44"/>
      <c r="KOA55" s="44"/>
      <c r="KOB55" s="44"/>
      <c r="KOC55" s="44"/>
      <c r="KOD55" s="44"/>
      <c r="KOE55" s="44"/>
      <c r="KOF55" s="44"/>
      <c r="KOG55" s="44"/>
      <c r="KOH55" s="44"/>
      <c r="KOI55" s="44"/>
      <c r="KOJ55" s="44"/>
      <c r="KOK55" s="44"/>
      <c r="KOL55" s="44"/>
      <c r="KOM55" s="44"/>
      <c r="KON55" s="44"/>
      <c r="KOO55" s="44"/>
      <c r="KOP55" s="44"/>
      <c r="KOQ55" s="44"/>
      <c r="KOR55" s="44"/>
      <c r="KOS55" s="44"/>
      <c r="KOT55" s="44"/>
      <c r="KOU55" s="44"/>
      <c r="KOV55" s="44"/>
      <c r="KOW55" s="44"/>
      <c r="KOX55" s="44"/>
      <c r="KOY55" s="44"/>
      <c r="KOZ55" s="44"/>
      <c r="KPA55" s="44"/>
      <c r="KPB55" s="44"/>
      <c r="KPC55" s="44"/>
      <c r="KPD55" s="44"/>
      <c r="KPE55" s="44"/>
      <c r="KPF55" s="44"/>
      <c r="KPG55" s="44"/>
      <c r="KPH55" s="44"/>
      <c r="KPI55" s="44"/>
      <c r="KPJ55" s="44"/>
      <c r="KPK55" s="44"/>
      <c r="KPL55" s="44"/>
      <c r="KPM55" s="44"/>
      <c r="KPN55" s="44"/>
      <c r="KPO55" s="44"/>
      <c r="KPP55" s="44"/>
      <c r="KPQ55" s="44"/>
      <c r="KPR55" s="44"/>
      <c r="KPS55" s="44"/>
      <c r="KPT55" s="44"/>
      <c r="KPU55" s="44"/>
      <c r="KPV55" s="44"/>
      <c r="KPW55" s="44"/>
      <c r="KPX55" s="44"/>
      <c r="KPY55" s="44"/>
      <c r="KPZ55" s="44"/>
      <c r="KQA55" s="44"/>
      <c r="KQB55" s="44"/>
      <c r="KQC55" s="44"/>
      <c r="KQD55" s="44"/>
      <c r="KQE55" s="44"/>
      <c r="KQF55" s="44"/>
      <c r="KQG55" s="44"/>
      <c r="KQH55" s="44"/>
      <c r="KQI55" s="44"/>
      <c r="KQJ55" s="44"/>
      <c r="KQK55" s="44"/>
      <c r="KQL55" s="44"/>
      <c r="KQM55" s="44"/>
      <c r="KQN55" s="44"/>
      <c r="KQO55" s="44"/>
      <c r="KQP55" s="44"/>
      <c r="KQQ55" s="44"/>
      <c r="KQR55" s="44"/>
      <c r="KQS55" s="44"/>
      <c r="KQT55" s="44"/>
      <c r="KQU55" s="44"/>
      <c r="KQV55" s="44"/>
      <c r="KQW55" s="44"/>
      <c r="KQX55" s="44"/>
      <c r="KQY55" s="44"/>
      <c r="KQZ55" s="44"/>
      <c r="KRA55" s="44"/>
      <c r="KRB55" s="44"/>
      <c r="KRC55" s="44"/>
      <c r="KRD55" s="44"/>
      <c r="KRE55" s="44"/>
      <c r="KRF55" s="44"/>
      <c r="KRG55" s="44"/>
      <c r="KRH55" s="44"/>
      <c r="KRI55" s="44"/>
      <c r="KRJ55" s="44"/>
      <c r="KRK55" s="44"/>
      <c r="KRL55" s="44"/>
      <c r="KRM55" s="44"/>
      <c r="KRN55" s="44"/>
      <c r="KRO55" s="44"/>
      <c r="KRP55" s="44"/>
      <c r="KRQ55" s="44"/>
      <c r="KRR55" s="44"/>
      <c r="KRS55" s="44"/>
      <c r="KRT55" s="44"/>
      <c r="KRU55" s="44"/>
      <c r="KRV55" s="44"/>
      <c r="KRW55" s="44"/>
      <c r="KRX55" s="44"/>
      <c r="KRY55" s="44"/>
      <c r="KRZ55" s="44"/>
      <c r="KSA55" s="44"/>
      <c r="KSB55" s="44"/>
      <c r="KSC55" s="44"/>
      <c r="KSD55" s="44"/>
      <c r="KSE55" s="44"/>
      <c r="KSF55" s="44"/>
      <c r="KSG55" s="44"/>
      <c r="KSH55" s="44"/>
      <c r="KSI55" s="44"/>
      <c r="KSJ55" s="44"/>
      <c r="KSK55" s="44"/>
      <c r="KSL55" s="44"/>
      <c r="KSM55" s="44"/>
      <c r="KSN55" s="44"/>
      <c r="KSO55" s="44"/>
      <c r="KSP55" s="44"/>
      <c r="KSQ55" s="44"/>
      <c r="KSR55" s="44"/>
      <c r="KSS55" s="44"/>
      <c r="KST55" s="44"/>
      <c r="KSU55" s="44"/>
      <c r="KSV55" s="44"/>
      <c r="KSW55" s="44"/>
      <c r="KSX55" s="44"/>
      <c r="KSY55" s="44"/>
      <c r="KSZ55" s="44"/>
      <c r="KTA55" s="44"/>
      <c r="KTB55" s="44"/>
      <c r="KTC55" s="44"/>
      <c r="KTD55" s="44"/>
      <c r="KTE55" s="44"/>
      <c r="KTF55" s="44"/>
      <c r="KTG55" s="44"/>
      <c r="KTH55" s="44"/>
      <c r="KTI55" s="44"/>
      <c r="KTJ55" s="44"/>
      <c r="KTK55" s="44"/>
      <c r="KTL55" s="44"/>
      <c r="KTM55" s="44"/>
      <c r="KTN55" s="44"/>
      <c r="KTO55" s="44"/>
      <c r="KTP55" s="44"/>
      <c r="KTQ55" s="44"/>
      <c r="KTR55" s="44"/>
      <c r="KTS55" s="44"/>
      <c r="KTT55" s="44"/>
      <c r="KTU55" s="44"/>
      <c r="KTV55" s="44"/>
      <c r="KTW55" s="44"/>
      <c r="KTX55" s="44"/>
      <c r="KTY55" s="44"/>
      <c r="KTZ55" s="44"/>
      <c r="KUA55" s="44"/>
      <c r="KUB55" s="44"/>
      <c r="KUC55" s="44"/>
      <c r="KUD55" s="44"/>
      <c r="KUE55" s="44"/>
      <c r="KUF55" s="44"/>
      <c r="KUG55" s="44"/>
      <c r="KUH55" s="44"/>
      <c r="KUI55" s="44"/>
      <c r="KUJ55" s="44"/>
      <c r="KUK55" s="44"/>
      <c r="KUL55" s="44"/>
      <c r="KUM55" s="44"/>
      <c r="KUN55" s="44"/>
      <c r="KUO55" s="44"/>
      <c r="KUP55" s="44"/>
      <c r="KUQ55" s="44"/>
      <c r="KUR55" s="44"/>
      <c r="KUS55" s="44"/>
      <c r="KUT55" s="44"/>
      <c r="KUU55" s="44"/>
      <c r="KUV55" s="44"/>
      <c r="KUW55" s="44"/>
      <c r="KUX55" s="44"/>
      <c r="KUY55" s="44"/>
      <c r="KUZ55" s="44"/>
      <c r="KVA55" s="44"/>
      <c r="KVB55" s="44"/>
      <c r="KVC55" s="44"/>
      <c r="KVD55" s="44"/>
      <c r="KVE55" s="44"/>
      <c r="KVF55" s="44"/>
      <c r="KVG55" s="44"/>
      <c r="KVH55" s="44"/>
      <c r="KVI55" s="44"/>
      <c r="KVJ55" s="44"/>
      <c r="KVK55" s="44"/>
      <c r="KVL55" s="44"/>
      <c r="KVM55" s="44"/>
      <c r="KVN55" s="44"/>
      <c r="KVO55" s="44"/>
      <c r="KVP55" s="44"/>
      <c r="KVQ55" s="44"/>
      <c r="KVR55" s="44"/>
      <c r="KVS55" s="44"/>
      <c r="KVT55" s="44"/>
      <c r="KVU55" s="44"/>
      <c r="KVV55" s="44"/>
      <c r="KVW55" s="44"/>
      <c r="KVX55" s="44"/>
      <c r="KVY55" s="44"/>
      <c r="KVZ55" s="44"/>
      <c r="KWA55" s="44"/>
      <c r="KWB55" s="44"/>
      <c r="KWC55" s="44"/>
      <c r="KWD55" s="44"/>
      <c r="KWE55" s="44"/>
      <c r="KWF55" s="44"/>
      <c r="KWG55" s="44"/>
      <c r="KWH55" s="44"/>
      <c r="KWI55" s="44"/>
      <c r="KWJ55" s="44"/>
      <c r="KWK55" s="44"/>
      <c r="KWL55" s="44"/>
      <c r="KWM55" s="44"/>
      <c r="KWN55" s="44"/>
      <c r="KWO55" s="44"/>
      <c r="KWP55" s="44"/>
      <c r="KWQ55" s="44"/>
      <c r="KWR55" s="44"/>
      <c r="KWS55" s="44"/>
      <c r="KWT55" s="44"/>
      <c r="KWU55" s="44"/>
      <c r="KWV55" s="44"/>
      <c r="KWW55" s="44"/>
      <c r="KWX55" s="44"/>
      <c r="KWY55" s="44"/>
      <c r="KWZ55" s="44"/>
      <c r="KXA55" s="44"/>
      <c r="KXB55" s="44"/>
      <c r="KXC55" s="44"/>
      <c r="KXD55" s="44"/>
      <c r="KXE55" s="44"/>
      <c r="KXF55" s="44"/>
      <c r="KXG55" s="44"/>
      <c r="KXH55" s="44"/>
      <c r="KXI55" s="44"/>
      <c r="KXJ55" s="44"/>
      <c r="KXK55" s="44"/>
      <c r="KXL55" s="44"/>
      <c r="KXM55" s="44"/>
      <c r="KXN55" s="44"/>
      <c r="KXO55" s="44"/>
      <c r="KXP55" s="44"/>
      <c r="KXQ55" s="44"/>
      <c r="KXR55" s="44"/>
      <c r="KXS55" s="44"/>
      <c r="KXT55" s="44"/>
      <c r="KXU55" s="44"/>
      <c r="KXV55" s="44"/>
      <c r="KXW55" s="44"/>
      <c r="KXX55" s="44"/>
      <c r="KXY55" s="44"/>
      <c r="KXZ55" s="44"/>
      <c r="KYA55" s="44"/>
      <c r="KYB55" s="44"/>
      <c r="KYC55" s="44"/>
      <c r="KYD55" s="44"/>
      <c r="KYE55" s="44"/>
      <c r="KYF55" s="44"/>
      <c r="KYG55" s="44"/>
      <c r="KYH55" s="44"/>
      <c r="KYI55" s="44"/>
      <c r="KYJ55" s="44"/>
      <c r="KYK55" s="44"/>
      <c r="KYL55" s="44"/>
      <c r="KYM55" s="44"/>
      <c r="KYN55" s="44"/>
      <c r="KYO55" s="44"/>
      <c r="KYP55" s="44"/>
      <c r="KYQ55" s="44"/>
      <c r="KYR55" s="44"/>
      <c r="KYS55" s="44"/>
      <c r="KYT55" s="44"/>
      <c r="KYU55" s="44"/>
      <c r="KYV55" s="44"/>
      <c r="KYW55" s="44"/>
      <c r="KYX55" s="44"/>
      <c r="KYY55" s="44"/>
      <c r="KYZ55" s="44"/>
      <c r="KZA55" s="44"/>
      <c r="KZB55" s="44"/>
      <c r="KZC55" s="44"/>
      <c r="KZD55" s="44"/>
      <c r="KZE55" s="44"/>
      <c r="KZF55" s="44"/>
      <c r="KZG55" s="44"/>
      <c r="KZH55" s="44"/>
      <c r="KZI55" s="44"/>
      <c r="KZJ55" s="44"/>
      <c r="KZK55" s="44"/>
      <c r="KZL55" s="44"/>
      <c r="KZM55" s="44"/>
      <c r="KZN55" s="44"/>
      <c r="KZO55" s="44"/>
      <c r="KZP55" s="44"/>
      <c r="KZQ55" s="44"/>
      <c r="KZR55" s="44"/>
      <c r="KZS55" s="44"/>
      <c r="KZT55" s="44"/>
      <c r="KZU55" s="44"/>
      <c r="KZV55" s="44"/>
      <c r="KZW55" s="44"/>
      <c r="KZX55" s="44"/>
      <c r="KZY55" s="44"/>
      <c r="KZZ55" s="44"/>
      <c r="LAA55" s="44"/>
      <c r="LAB55" s="44"/>
      <c r="LAC55" s="44"/>
      <c r="LAD55" s="44"/>
      <c r="LAE55" s="44"/>
      <c r="LAF55" s="44"/>
      <c r="LAG55" s="44"/>
      <c r="LAH55" s="44"/>
      <c r="LAI55" s="44"/>
      <c r="LAJ55" s="44"/>
      <c r="LAK55" s="44"/>
      <c r="LAL55" s="44"/>
      <c r="LAM55" s="44"/>
      <c r="LAN55" s="44"/>
      <c r="LAO55" s="44"/>
      <c r="LAP55" s="44"/>
      <c r="LAQ55" s="44"/>
      <c r="LAR55" s="44"/>
      <c r="LAS55" s="44"/>
      <c r="LAT55" s="44"/>
      <c r="LAU55" s="44"/>
      <c r="LAV55" s="44"/>
      <c r="LAW55" s="44"/>
      <c r="LAX55" s="44"/>
      <c r="LAY55" s="44"/>
      <c r="LAZ55" s="44"/>
      <c r="LBA55" s="44"/>
      <c r="LBB55" s="44"/>
      <c r="LBC55" s="44"/>
      <c r="LBD55" s="44"/>
      <c r="LBE55" s="44"/>
      <c r="LBF55" s="44"/>
      <c r="LBG55" s="44"/>
      <c r="LBH55" s="44"/>
      <c r="LBI55" s="44"/>
      <c r="LBJ55" s="44"/>
      <c r="LBK55" s="44"/>
      <c r="LBL55" s="44"/>
      <c r="LBM55" s="44"/>
      <c r="LBN55" s="44"/>
      <c r="LBO55" s="44"/>
      <c r="LBP55" s="44"/>
      <c r="LBQ55" s="44"/>
      <c r="LBR55" s="44"/>
      <c r="LBS55" s="44"/>
      <c r="LBT55" s="44"/>
      <c r="LBU55" s="44"/>
      <c r="LBV55" s="44"/>
      <c r="LBW55" s="44"/>
      <c r="LBX55" s="44"/>
      <c r="LBY55" s="44"/>
      <c r="LBZ55" s="44"/>
      <c r="LCA55" s="44"/>
      <c r="LCB55" s="44"/>
      <c r="LCC55" s="44"/>
      <c r="LCD55" s="44"/>
      <c r="LCE55" s="44"/>
      <c r="LCF55" s="44"/>
      <c r="LCG55" s="44"/>
      <c r="LCH55" s="44"/>
      <c r="LCI55" s="44"/>
      <c r="LCJ55" s="44"/>
      <c r="LCK55" s="44"/>
      <c r="LCL55" s="44"/>
      <c r="LCM55" s="44"/>
      <c r="LCN55" s="44"/>
      <c r="LCO55" s="44"/>
      <c r="LCP55" s="44"/>
      <c r="LCQ55" s="44"/>
      <c r="LCR55" s="44"/>
      <c r="LCS55" s="44"/>
      <c r="LCT55" s="44"/>
      <c r="LCU55" s="44"/>
      <c r="LCV55" s="44"/>
      <c r="LCW55" s="44"/>
      <c r="LCX55" s="44"/>
      <c r="LCY55" s="44"/>
      <c r="LCZ55" s="44"/>
      <c r="LDA55" s="44"/>
      <c r="LDB55" s="44"/>
      <c r="LDC55" s="44"/>
      <c r="LDD55" s="44"/>
      <c r="LDE55" s="44"/>
      <c r="LDF55" s="44"/>
      <c r="LDG55" s="44"/>
      <c r="LDH55" s="44"/>
      <c r="LDI55" s="44"/>
      <c r="LDJ55" s="44"/>
      <c r="LDK55" s="44"/>
      <c r="LDL55" s="44"/>
      <c r="LDM55" s="44"/>
      <c r="LDN55" s="44"/>
      <c r="LDO55" s="44"/>
      <c r="LDP55" s="44"/>
      <c r="LDQ55" s="44"/>
      <c r="LDR55" s="44"/>
      <c r="LDS55" s="44"/>
      <c r="LDT55" s="44"/>
      <c r="LDU55" s="44"/>
      <c r="LDV55" s="44"/>
      <c r="LDW55" s="44"/>
      <c r="LDX55" s="44"/>
      <c r="LDY55" s="44"/>
      <c r="LDZ55" s="44"/>
      <c r="LEA55" s="44"/>
      <c r="LEB55" s="44"/>
      <c r="LEC55" s="44"/>
      <c r="LED55" s="44"/>
      <c r="LEE55" s="44"/>
      <c r="LEF55" s="44"/>
      <c r="LEG55" s="44"/>
      <c r="LEH55" s="44"/>
      <c r="LEI55" s="44"/>
      <c r="LEJ55" s="44"/>
      <c r="LEK55" s="44"/>
      <c r="LEL55" s="44"/>
      <c r="LEM55" s="44"/>
      <c r="LEN55" s="44"/>
      <c r="LEO55" s="44"/>
      <c r="LEP55" s="44"/>
      <c r="LEQ55" s="44"/>
      <c r="LER55" s="44"/>
      <c r="LES55" s="44"/>
      <c r="LET55" s="44"/>
      <c r="LEU55" s="44"/>
      <c r="LEV55" s="44"/>
      <c r="LEW55" s="44"/>
      <c r="LEX55" s="44"/>
      <c r="LEY55" s="44"/>
      <c r="LEZ55" s="44"/>
      <c r="LFA55" s="44"/>
      <c r="LFB55" s="44"/>
      <c r="LFC55" s="44"/>
      <c r="LFD55" s="44"/>
      <c r="LFE55" s="44"/>
      <c r="LFF55" s="44"/>
      <c r="LFG55" s="44"/>
      <c r="LFH55" s="44"/>
      <c r="LFI55" s="44"/>
      <c r="LFJ55" s="44"/>
      <c r="LFK55" s="44"/>
      <c r="LFL55" s="44"/>
      <c r="LFM55" s="44"/>
      <c r="LFN55" s="44"/>
      <c r="LFO55" s="44"/>
      <c r="LFP55" s="44"/>
      <c r="LFQ55" s="44"/>
      <c r="LFR55" s="44"/>
      <c r="LFS55" s="44"/>
      <c r="LFT55" s="44"/>
      <c r="LFU55" s="44"/>
      <c r="LFV55" s="44"/>
      <c r="LFW55" s="44"/>
      <c r="LFX55" s="44"/>
      <c r="LFY55" s="44"/>
      <c r="LFZ55" s="44"/>
      <c r="LGA55" s="44"/>
      <c r="LGB55" s="44"/>
      <c r="LGC55" s="44"/>
      <c r="LGD55" s="44"/>
      <c r="LGE55" s="44"/>
      <c r="LGF55" s="44"/>
      <c r="LGG55" s="44"/>
      <c r="LGH55" s="44"/>
      <c r="LGI55" s="44"/>
      <c r="LGJ55" s="44"/>
      <c r="LGK55" s="44"/>
      <c r="LGL55" s="44"/>
      <c r="LGM55" s="44"/>
      <c r="LGN55" s="44"/>
      <c r="LGO55" s="44"/>
      <c r="LGP55" s="44"/>
      <c r="LGQ55" s="44"/>
      <c r="LGR55" s="44"/>
      <c r="LGS55" s="44"/>
      <c r="LGT55" s="44"/>
      <c r="LGU55" s="44"/>
      <c r="LGV55" s="44"/>
      <c r="LGW55" s="44"/>
      <c r="LGX55" s="44"/>
      <c r="LGY55" s="44"/>
      <c r="LGZ55" s="44"/>
      <c r="LHA55" s="44"/>
      <c r="LHB55" s="44"/>
      <c r="LHC55" s="44"/>
      <c r="LHD55" s="44"/>
      <c r="LHE55" s="44"/>
      <c r="LHF55" s="44"/>
      <c r="LHG55" s="44"/>
      <c r="LHH55" s="44"/>
      <c r="LHI55" s="44"/>
      <c r="LHJ55" s="44"/>
      <c r="LHK55" s="44"/>
      <c r="LHL55" s="44"/>
      <c r="LHM55" s="44"/>
      <c r="LHN55" s="44"/>
      <c r="LHO55" s="44"/>
      <c r="LHP55" s="44"/>
      <c r="LHQ55" s="44"/>
      <c r="LHR55" s="44"/>
      <c r="LHS55" s="44"/>
      <c r="LHT55" s="44"/>
      <c r="LHU55" s="44"/>
      <c r="LHV55" s="44"/>
      <c r="LHW55" s="44"/>
      <c r="LHX55" s="44"/>
      <c r="LHY55" s="44"/>
      <c r="LHZ55" s="44"/>
      <c r="LIA55" s="44"/>
      <c r="LIB55" s="44"/>
      <c r="LIC55" s="44"/>
      <c r="LID55" s="44"/>
      <c r="LIE55" s="44"/>
      <c r="LIF55" s="44"/>
      <c r="LIG55" s="44"/>
      <c r="LIH55" s="44"/>
      <c r="LII55" s="44"/>
      <c r="LIJ55" s="44"/>
      <c r="LIK55" s="44"/>
      <c r="LIL55" s="44"/>
      <c r="LIM55" s="44"/>
      <c r="LIN55" s="44"/>
      <c r="LIO55" s="44"/>
      <c r="LIP55" s="44"/>
      <c r="LIQ55" s="44"/>
      <c r="LIR55" s="44"/>
      <c r="LIS55" s="44"/>
      <c r="LIT55" s="44"/>
      <c r="LIU55" s="44"/>
      <c r="LIV55" s="44"/>
      <c r="LIW55" s="44"/>
      <c r="LIX55" s="44"/>
      <c r="LIY55" s="44"/>
      <c r="LIZ55" s="44"/>
      <c r="LJA55" s="44"/>
      <c r="LJB55" s="44"/>
      <c r="LJC55" s="44"/>
      <c r="LJD55" s="44"/>
      <c r="LJE55" s="44"/>
      <c r="LJF55" s="44"/>
      <c r="LJG55" s="44"/>
      <c r="LJH55" s="44"/>
      <c r="LJI55" s="44"/>
      <c r="LJJ55" s="44"/>
      <c r="LJK55" s="44"/>
      <c r="LJL55" s="44"/>
      <c r="LJM55" s="44"/>
      <c r="LJN55" s="44"/>
      <c r="LJO55" s="44"/>
      <c r="LJP55" s="44"/>
      <c r="LJQ55" s="44"/>
      <c r="LJR55" s="44"/>
      <c r="LJS55" s="44"/>
      <c r="LJT55" s="44"/>
      <c r="LJU55" s="44"/>
      <c r="LJV55" s="44"/>
      <c r="LJW55" s="44"/>
      <c r="LJX55" s="44"/>
      <c r="LJY55" s="44"/>
      <c r="LJZ55" s="44"/>
      <c r="LKA55" s="44"/>
      <c r="LKB55" s="44"/>
      <c r="LKC55" s="44"/>
      <c r="LKD55" s="44"/>
      <c r="LKE55" s="44"/>
      <c r="LKF55" s="44"/>
      <c r="LKG55" s="44"/>
      <c r="LKH55" s="44"/>
      <c r="LKI55" s="44"/>
      <c r="LKJ55" s="44"/>
      <c r="LKK55" s="44"/>
      <c r="LKL55" s="44"/>
      <c r="LKM55" s="44"/>
      <c r="LKN55" s="44"/>
      <c r="LKO55" s="44"/>
      <c r="LKP55" s="44"/>
      <c r="LKQ55" s="44"/>
      <c r="LKR55" s="44"/>
      <c r="LKS55" s="44"/>
      <c r="LKT55" s="44"/>
      <c r="LKU55" s="44"/>
      <c r="LKV55" s="44"/>
      <c r="LKW55" s="44"/>
      <c r="LKX55" s="44"/>
      <c r="LKY55" s="44"/>
      <c r="LKZ55" s="44"/>
      <c r="LLA55" s="44"/>
      <c r="LLB55" s="44"/>
      <c r="LLC55" s="44"/>
      <c r="LLD55" s="44"/>
      <c r="LLE55" s="44"/>
      <c r="LLF55" s="44"/>
      <c r="LLG55" s="44"/>
      <c r="LLH55" s="44"/>
      <c r="LLI55" s="44"/>
      <c r="LLJ55" s="44"/>
      <c r="LLK55" s="44"/>
      <c r="LLL55" s="44"/>
      <c r="LLM55" s="44"/>
      <c r="LLN55" s="44"/>
      <c r="LLO55" s="44"/>
      <c r="LLP55" s="44"/>
      <c r="LLQ55" s="44"/>
      <c r="LLR55" s="44"/>
      <c r="LLS55" s="44"/>
      <c r="LLT55" s="44"/>
      <c r="LLU55" s="44"/>
      <c r="LLV55" s="44"/>
      <c r="LLW55" s="44"/>
      <c r="LLX55" s="44"/>
      <c r="LLY55" s="44"/>
      <c r="LLZ55" s="44"/>
      <c r="LMA55" s="44"/>
      <c r="LMB55" s="44"/>
      <c r="LMC55" s="44"/>
      <c r="LMD55" s="44"/>
      <c r="LME55" s="44"/>
      <c r="LMF55" s="44"/>
      <c r="LMG55" s="44"/>
      <c r="LMH55" s="44"/>
      <c r="LMI55" s="44"/>
      <c r="LMJ55" s="44"/>
      <c r="LMK55" s="44"/>
      <c r="LML55" s="44"/>
      <c r="LMM55" s="44"/>
      <c r="LMN55" s="44"/>
      <c r="LMO55" s="44"/>
      <c r="LMP55" s="44"/>
      <c r="LMQ55" s="44"/>
      <c r="LMR55" s="44"/>
      <c r="LMS55" s="44"/>
      <c r="LMT55" s="44"/>
      <c r="LMU55" s="44"/>
      <c r="LMV55" s="44"/>
      <c r="LMW55" s="44"/>
      <c r="LMX55" s="44"/>
      <c r="LMY55" s="44"/>
      <c r="LMZ55" s="44"/>
      <c r="LNA55" s="44"/>
      <c r="LNB55" s="44"/>
      <c r="LNC55" s="44"/>
      <c r="LND55" s="44"/>
      <c r="LNE55" s="44"/>
      <c r="LNF55" s="44"/>
      <c r="LNG55" s="44"/>
      <c r="LNH55" s="44"/>
      <c r="LNI55" s="44"/>
      <c r="LNJ55" s="44"/>
      <c r="LNK55" s="44"/>
      <c r="LNL55" s="44"/>
      <c r="LNM55" s="44"/>
      <c r="LNN55" s="44"/>
      <c r="LNO55" s="44"/>
      <c r="LNP55" s="44"/>
      <c r="LNQ55" s="44"/>
      <c r="LNR55" s="44"/>
      <c r="LNS55" s="44"/>
      <c r="LNT55" s="44"/>
      <c r="LNU55" s="44"/>
      <c r="LNV55" s="44"/>
      <c r="LNW55" s="44"/>
      <c r="LNX55" s="44"/>
      <c r="LNY55" s="44"/>
      <c r="LNZ55" s="44"/>
      <c r="LOA55" s="44"/>
      <c r="LOB55" s="44"/>
      <c r="LOC55" s="44"/>
      <c r="LOD55" s="44"/>
      <c r="LOE55" s="44"/>
      <c r="LOF55" s="44"/>
      <c r="LOG55" s="44"/>
      <c r="LOH55" s="44"/>
      <c r="LOI55" s="44"/>
      <c r="LOJ55" s="44"/>
      <c r="LOK55" s="44"/>
      <c r="LOL55" s="44"/>
      <c r="LOM55" s="44"/>
      <c r="LON55" s="44"/>
      <c r="LOO55" s="44"/>
      <c r="LOP55" s="44"/>
      <c r="LOQ55" s="44"/>
      <c r="LOR55" s="44"/>
      <c r="LOS55" s="44"/>
      <c r="LOT55" s="44"/>
      <c r="LOU55" s="44"/>
      <c r="LOV55" s="44"/>
      <c r="LOW55" s="44"/>
      <c r="LOX55" s="44"/>
      <c r="LOY55" s="44"/>
      <c r="LOZ55" s="44"/>
      <c r="LPA55" s="44"/>
      <c r="LPB55" s="44"/>
      <c r="LPC55" s="44"/>
      <c r="LPD55" s="44"/>
      <c r="LPE55" s="44"/>
      <c r="LPF55" s="44"/>
      <c r="LPG55" s="44"/>
      <c r="LPH55" s="44"/>
      <c r="LPI55" s="44"/>
      <c r="LPJ55" s="44"/>
      <c r="LPK55" s="44"/>
      <c r="LPL55" s="44"/>
      <c r="LPM55" s="44"/>
      <c r="LPN55" s="44"/>
      <c r="LPO55" s="44"/>
      <c r="LPP55" s="44"/>
      <c r="LPQ55" s="44"/>
      <c r="LPR55" s="44"/>
      <c r="LPS55" s="44"/>
      <c r="LPT55" s="44"/>
      <c r="LPU55" s="44"/>
      <c r="LPV55" s="44"/>
      <c r="LPW55" s="44"/>
      <c r="LPX55" s="44"/>
      <c r="LPY55" s="44"/>
      <c r="LPZ55" s="44"/>
      <c r="LQA55" s="44"/>
      <c r="LQB55" s="44"/>
      <c r="LQC55" s="44"/>
      <c r="LQD55" s="44"/>
      <c r="LQE55" s="44"/>
      <c r="LQF55" s="44"/>
      <c r="LQG55" s="44"/>
      <c r="LQH55" s="44"/>
      <c r="LQI55" s="44"/>
      <c r="LQJ55" s="44"/>
      <c r="LQK55" s="44"/>
      <c r="LQL55" s="44"/>
      <c r="LQM55" s="44"/>
      <c r="LQN55" s="44"/>
      <c r="LQO55" s="44"/>
      <c r="LQP55" s="44"/>
      <c r="LQQ55" s="44"/>
      <c r="LQR55" s="44"/>
      <c r="LQS55" s="44"/>
      <c r="LQT55" s="44"/>
      <c r="LQU55" s="44"/>
      <c r="LQV55" s="44"/>
      <c r="LQW55" s="44"/>
      <c r="LQX55" s="44"/>
      <c r="LQY55" s="44"/>
      <c r="LQZ55" s="44"/>
      <c r="LRA55" s="44"/>
      <c r="LRB55" s="44"/>
      <c r="LRC55" s="44"/>
      <c r="LRD55" s="44"/>
      <c r="LRE55" s="44"/>
      <c r="LRF55" s="44"/>
      <c r="LRG55" s="44"/>
      <c r="LRH55" s="44"/>
      <c r="LRI55" s="44"/>
      <c r="LRJ55" s="44"/>
      <c r="LRK55" s="44"/>
      <c r="LRL55" s="44"/>
      <c r="LRM55" s="44"/>
      <c r="LRN55" s="44"/>
      <c r="LRO55" s="44"/>
      <c r="LRP55" s="44"/>
      <c r="LRQ55" s="44"/>
      <c r="LRR55" s="44"/>
      <c r="LRS55" s="44"/>
      <c r="LRT55" s="44"/>
      <c r="LRU55" s="44"/>
      <c r="LRV55" s="44"/>
      <c r="LRW55" s="44"/>
      <c r="LRX55" s="44"/>
      <c r="LRY55" s="44"/>
      <c r="LRZ55" s="44"/>
      <c r="LSA55" s="44"/>
      <c r="LSB55" s="44"/>
      <c r="LSC55" s="44"/>
      <c r="LSD55" s="44"/>
      <c r="LSE55" s="44"/>
      <c r="LSF55" s="44"/>
      <c r="LSG55" s="44"/>
      <c r="LSH55" s="44"/>
      <c r="LSI55" s="44"/>
      <c r="LSJ55" s="44"/>
      <c r="LSK55" s="44"/>
      <c r="LSL55" s="44"/>
      <c r="LSM55" s="44"/>
      <c r="LSN55" s="44"/>
      <c r="LSO55" s="44"/>
      <c r="LSP55" s="44"/>
      <c r="LSQ55" s="44"/>
      <c r="LSR55" s="44"/>
      <c r="LSS55" s="44"/>
      <c r="LST55" s="44"/>
      <c r="LSU55" s="44"/>
      <c r="LSV55" s="44"/>
      <c r="LSW55" s="44"/>
      <c r="LSX55" s="44"/>
      <c r="LSY55" s="44"/>
      <c r="LSZ55" s="44"/>
      <c r="LTA55" s="44"/>
      <c r="LTB55" s="44"/>
      <c r="LTC55" s="44"/>
      <c r="LTD55" s="44"/>
      <c r="LTE55" s="44"/>
      <c r="LTF55" s="44"/>
      <c r="LTG55" s="44"/>
      <c r="LTH55" s="44"/>
      <c r="LTI55" s="44"/>
      <c r="LTJ55" s="44"/>
      <c r="LTK55" s="44"/>
      <c r="LTL55" s="44"/>
      <c r="LTM55" s="44"/>
      <c r="LTN55" s="44"/>
      <c r="LTO55" s="44"/>
      <c r="LTP55" s="44"/>
      <c r="LTQ55" s="44"/>
      <c r="LTR55" s="44"/>
      <c r="LTS55" s="44"/>
      <c r="LTT55" s="44"/>
      <c r="LTU55" s="44"/>
      <c r="LTV55" s="44"/>
      <c r="LTW55" s="44"/>
      <c r="LTX55" s="44"/>
      <c r="LTY55" s="44"/>
      <c r="LTZ55" s="44"/>
      <c r="LUA55" s="44"/>
      <c r="LUB55" s="44"/>
      <c r="LUC55" s="44"/>
      <c r="LUD55" s="44"/>
      <c r="LUE55" s="44"/>
      <c r="LUF55" s="44"/>
      <c r="LUG55" s="44"/>
      <c r="LUH55" s="44"/>
      <c r="LUI55" s="44"/>
      <c r="LUJ55" s="44"/>
      <c r="LUK55" s="44"/>
      <c r="LUL55" s="44"/>
      <c r="LUM55" s="44"/>
      <c r="LUN55" s="44"/>
      <c r="LUO55" s="44"/>
      <c r="LUP55" s="44"/>
      <c r="LUQ55" s="44"/>
      <c r="LUR55" s="44"/>
      <c r="LUS55" s="44"/>
      <c r="LUT55" s="44"/>
      <c r="LUU55" s="44"/>
      <c r="LUV55" s="44"/>
      <c r="LUW55" s="44"/>
      <c r="LUX55" s="44"/>
      <c r="LUY55" s="44"/>
      <c r="LUZ55" s="44"/>
      <c r="LVA55" s="44"/>
      <c r="LVB55" s="44"/>
      <c r="LVC55" s="44"/>
      <c r="LVD55" s="44"/>
      <c r="LVE55" s="44"/>
      <c r="LVF55" s="44"/>
      <c r="LVG55" s="44"/>
      <c r="LVH55" s="44"/>
      <c r="LVI55" s="44"/>
      <c r="LVJ55" s="44"/>
      <c r="LVK55" s="44"/>
      <c r="LVL55" s="44"/>
      <c r="LVM55" s="44"/>
      <c r="LVN55" s="44"/>
      <c r="LVO55" s="44"/>
      <c r="LVP55" s="44"/>
      <c r="LVQ55" s="44"/>
      <c r="LVR55" s="44"/>
      <c r="LVS55" s="44"/>
      <c r="LVT55" s="44"/>
      <c r="LVU55" s="44"/>
      <c r="LVV55" s="44"/>
      <c r="LVW55" s="44"/>
      <c r="LVX55" s="44"/>
      <c r="LVY55" s="44"/>
      <c r="LVZ55" s="44"/>
      <c r="LWA55" s="44"/>
      <c r="LWB55" s="44"/>
      <c r="LWC55" s="44"/>
      <c r="LWD55" s="44"/>
      <c r="LWE55" s="44"/>
      <c r="LWF55" s="44"/>
      <c r="LWG55" s="44"/>
      <c r="LWH55" s="44"/>
      <c r="LWI55" s="44"/>
      <c r="LWJ55" s="44"/>
      <c r="LWK55" s="44"/>
      <c r="LWL55" s="44"/>
      <c r="LWM55" s="44"/>
      <c r="LWN55" s="44"/>
      <c r="LWO55" s="44"/>
      <c r="LWP55" s="44"/>
      <c r="LWQ55" s="44"/>
      <c r="LWR55" s="44"/>
      <c r="LWS55" s="44"/>
      <c r="LWT55" s="44"/>
      <c r="LWU55" s="44"/>
      <c r="LWV55" s="44"/>
      <c r="LWW55" s="44"/>
      <c r="LWX55" s="44"/>
      <c r="LWY55" s="44"/>
      <c r="LWZ55" s="44"/>
      <c r="LXA55" s="44"/>
      <c r="LXB55" s="44"/>
      <c r="LXC55" s="44"/>
      <c r="LXD55" s="44"/>
      <c r="LXE55" s="44"/>
      <c r="LXF55" s="44"/>
      <c r="LXG55" s="44"/>
      <c r="LXH55" s="44"/>
      <c r="LXI55" s="44"/>
      <c r="LXJ55" s="44"/>
      <c r="LXK55" s="44"/>
      <c r="LXL55" s="44"/>
      <c r="LXM55" s="44"/>
      <c r="LXN55" s="44"/>
      <c r="LXO55" s="44"/>
      <c r="LXP55" s="44"/>
      <c r="LXQ55" s="44"/>
      <c r="LXR55" s="44"/>
      <c r="LXS55" s="44"/>
      <c r="LXT55" s="44"/>
      <c r="LXU55" s="44"/>
      <c r="LXV55" s="44"/>
      <c r="LXW55" s="44"/>
      <c r="LXX55" s="44"/>
      <c r="LXY55" s="44"/>
      <c r="LXZ55" s="44"/>
      <c r="LYA55" s="44"/>
      <c r="LYB55" s="44"/>
      <c r="LYC55" s="44"/>
      <c r="LYD55" s="44"/>
      <c r="LYE55" s="44"/>
      <c r="LYF55" s="44"/>
      <c r="LYG55" s="44"/>
      <c r="LYH55" s="44"/>
      <c r="LYI55" s="44"/>
      <c r="LYJ55" s="44"/>
      <c r="LYK55" s="44"/>
      <c r="LYL55" s="44"/>
      <c r="LYM55" s="44"/>
      <c r="LYN55" s="44"/>
      <c r="LYO55" s="44"/>
      <c r="LYP55" s="44"/>
      <c r="LYQ55" s="44"/>
      <c r="LYR55" s="44"/>
      <c r="LYS55" s="44"/>
      <c r="LYT55" s="44"/>
      <c r="LYU55" s="44"/>
      <c r="LYV55" s="44"/>
      <c r="LYW55" s="44"/>
      <c r="LYX55" s="44"/>
      <c r="LYY55" s="44"/>
      <c r="LYZ55" s="44"/>
      <c r="LZA55" s="44"/>
      <c r="LZB55" s="44"/>
      <c r="LZC55" s="44"/>
      <c r="LZD55" s="44"/>
      <c r="LZE55" s="44"/>
      <c r="LZF55" s="44"/>
      <c r="LZG55" s="44"/>
      <c r="LZH55" s="44"/>
      <c r="LZI55" s="44"/>
      <c r="LZJ55" s="44"/>
      <c r="LZK55" s="44"/>
      <c r="LZL55" s="44"/>
      <c r="LZM55" s="44"/>
      <c r="LZN55" s="44"/>
      <c r="LZO55" s="44"/>
      <c r="LZP55" s="44"/>
      <c r="LZQ55" s="44"/>
      <c r="LZR55" s="44"/>
      <c r="LZS55" s="44"/>
      <c r="LZT55" s="44"/>
      <c r="LZU55" s="44"/>
      <c r="LZV55" s="44"/>
      <c r="LZW55" s="44"/>
      <c r="LZX55" s="44"/>
      <c r="LZY55" s="44"/>
      <c r="LZZ55" s="44"/>
      <c r="MAA55" s="44"/>
      <c r="MAB55" s="44"/>
      <c r="MAC55" s="44"/>
      <c r="MAD55" s="44"/>
      <c r="MAE55" s="44"/>
      <c r="MAF55" s="44"/>
      <c r="MAG55" s="44"/>
      <c r="MAH55" s="44"/>
      <c r="MAI55" s="44"/>
      <c r="MAJ55" s="44"/>
      <c r="MAK55" s="44"/>
      <c r="MAL55" s="44"/>
      <c r="MAM55" s="44"/>
      <c r="MAN55" s="44"/>
      <c r="MAO55" s="44"/>
      <c r="MAP55" s="44"/>
      <c r="MAQ55" s="44"/>
      <c r="MAR55" s="44"/>
      <c r="MAS55" s="44"/>
      <c r="MAT55" s="44"/>
      <c r="MAU55" s="44"/>
      <c r="MAV55" s="44"/>
      <c r="MAW55" s="44"/>
      <c r="MAX55" s="44"/>
      <c r="MAY55" s="44"/>
      <c r="MAZ55" s="44"/>
      <c r="MBA55" s="44"/>
      <c r="MBB55" s="44"/>
      <c r="MBC55" s="44"/>
      <c r="MBD55" s="44"/>
      <c r="MBE55" s="44"/>
      <c r="MBF55" s="44"/>
      <c r="MBG55" s="44"/>
      <c r="MBH55" s="44"/>
      <c r="MBI55" s="44"/>
      <c r="MBJ55" s="44"/>
      <c r="MBK55" s="44"/>
      <c r="MBL55" s="44"/>
      <c r="MBM55" s="44"/>
      <c r="MBN55" s="44"/>
      <c r="MBO55" s="44"/>
      <c r="MBP55" s="44"/>
      <c r="MBQ55" s="44"/>
      <c r="MBR55" s="44"/>
      <c r="MBS55" s="44"/>
      <c r="MBT55" s="44"/>
      <c r="MBU55" s="44"/>
      <c r="MBV55" s="44"/>
      <c r="MBW55" s="44"/>
      <c r="MBX55" s="44"/>
      <c r="MBY55" s="44"/>
      <c r="MBZ55" s="44"/>
      <c r="MCA55" s="44"/>
      <c r="MCB55" s="44"/>
      <c r="MCC55" s="44"/>
      <c r="MCD55" s="44"/>
      <c r="MCE55" s="44"/>
      <c r="MCF55" s="44"/>
      <c r="MCG55" s="44"/>
      <c r="MCH55" s="44"/>
      <c r="MCI55" s="44"/>
      <c r="MCJ55" s="44"/>
      <c r="MCK55" s="44"/>
      <c r="MCL55" s="44"/>
      <c r="MCM55" s="44"/>
      <c r="MCN55" s="44"/>
      <c r="MCO55" s="44"/>
      <c r="MCP55" s="44"/>
      <c r="MCQ55" s="44"/>
      <c r="MCR55" s="44"/>
      <c r="MCS55" s="44"/>
      <c r="MCT55" s="44"/>
      <c r="MCU55" s="44"/>
      <c r="MCV55" s="44"/>
      <c r="MCW55" s="44"/>
      <c r="MCX55" s="44"/>
      <c r="MCY55" s="44"/>
      <c r="MCZ55" s="44"/>
      <c r="MDA55" s="44"/>
      <c r="MDB55" s="44"/>
      <c r="MDC55" s="44"/>
      <c r="MDD55" s="44"/>
      <c r="MDE55" s="44"/>
      <c r="MDF55" s="44"/>
      <c r="MDG55" s="44"/>
      <c r="MDH55" s="44"/>
      <c r="MDI55" s="44"/>
      <c r="MDJ55" s="44"/>
      <c r="MDK55" s="44"/>
      <c r="MDL55" s="44"/>
      <c r="MDM55" s="44"/>
      <c r="MDN55" s="44"/>
      <c r="MDO55" s="44"/>
      <c r="MDP55" s="44"/>
      <c r="MDQ55" s="44"/>
      <c r="MDR55" s="44"/>
      <c r="MDS55" s="44"/>
      <c r="MDT55" s="44"/>
      <c r="MDU55" s="44"/>
      <c r="MDV55" s="44"/>
      <c r="MDW55" s="44"/>
      <c r="MDX55" s="44"/>
      <c r="MDY55" s="44"/>
      <c r="MDZ55" s="44"/>
      <c r="MEA55" s="44"/>
      <c r="MEB55" s="44"/>
      <c r="MEC55" s="44"/>
      <c r="MED55" s="44"/>
      <c r="MEE55" s="44"/>
      <c r="MEF55" s="44"/>
      <c r="MEG55" s="44"/>
      <c r="MEH55" s="44"/>
      <c r="MEI55" s="44"/>
      <c r="MEJ55" s="44"/>
      <c r="MEK55" s="44"/>
      <c r="MEL55" s="44"/>
      <c r="MEM55" s="44"/>
      <c r="MEN55" s="44"/>
      <c r="MEO55" s="44"/>
      <c r="MEP55" s="44"/>
      <c r="MEQ55" s="44"/>
      <c r="MER55" s="44"/>
      <c r="MES55" s="44"/>
      <c r="MET55" s="44"/>
      <c r="MEU55" s="44"/>
      <c r="MEV55" s="44"/>
      <c r="MEW55" s="44"/>
      <c r="MEX55" s="44"/>
      <c r="MEY55" s="44"/>
      <c r="MEZ55" s="44"/>
      <c r="MFA55" s="44"/>
      <c r="MFB55" s="44"/>
      <c r="MFC55" s="44"/>
      <c r="MFD55" s="44"/>
      <c r="MFE55" s="44"/>
      <c r="MFF55" s="44"/>
      <c r="MFG55" s="44"/>
      <c r="MFH55" s="44"/>
      <c r="MFI55" s="44"/>
      <c r="MFJ55" s="44"/>
      <c r="MFK55" s="44"/>
      <c r="MFL55" s="44"/>
      <c r="MFM55" s="44"/>
      <c r="MFN55" s="44"/>
      <c r="MFO55" s="44"/>
      <c r="MFP55" s="44"/>
      <c r="MFQ55" s="44"/>
      <c r="MFR55" s="44"/>
      <c r="MFS55" s="44"/>
      <c r="MFT55" s="44"/>
      <c r="MFU55" s="44"/>
      <c r="MFV55" s="44"/>
      <c r="MFW55" s="44"/>
      <c r="MFX55" s="44"/>
      <c r="MFY55" s="44"/>
      <c r="MFZ55" s="44"/>
      <c r="MGA55" s="44"/>
      <c r="MGB55" s="44"/>
      <c r="MGC55" s="44"/>
      <c r="MGD55" s="44"/>
      <c r="MGE55" s="44"/>
      <c r="MGF55" s="44"/>
      <c r="MGG55" s="44"/>
      <c r="MGH55" s="44"/>
      <c r="MGI55" s="44"/>
      <c r="MGJ55" s="44"/>
      <c r="MGK55" s="44"/>
      <c r="MGL55" s="44"/>
      <c r="MGM55" s="44"/>
      <c r="MGN55" s="44"/>
      <c r="MGO55" s="44"/>
      <c r="MGP55" s="44"/>
      <c r="MGQ55" s="44"/>
      <c r="MGR55" s="44"/>
      <c r="MGS55" s="44"/>
      <c r="MGT55" s="44"/>
      <c r="MGU55" s="44"/>
      <c r="MGV55" s="44"/>
      <c r="MGW55" s="44"/>
      <c r="MGX55" s="44"/>
      <c r="MGY55" s="44"/>
      <c r="MGZ55" s="44"/>
      <c r="MHA55" s="44"/>
      <c r="MHB55" s="44"/>
      <c r="MHC55" s="44"/>
      <c r="MHD55" s="44"/>
      <c r="MHE55" s="44"/>
      <c r="MHF55" s="44"/>
      <c r="MHG55" s="44"/>
      <c r="MHH55" s="44"/>
      <c r="MHI55" s="44"/>
      <c r="MHJ55" s="44"/>
      <c r="MHK55" s="44"/>
      <c r="MHL55" s="44"/>
      <c r="MHM55" s="44"/>
      <c r="MHN55" s="44"/>
      <c r="MHO55" s="44"/>
      <c r="MHP55" s="44"/>
      <c r="MHQ55" s="44"/>
      <c r="MHR55" s="44"/>
      <c r="MHS55" s="44"/>
      <c r="MHT55" s="44"/>
      <c r="MHU55" s="44"/>
      <c r="MHV55" s="44"/>
      <c r="MHW55" s="44"/>
      <c r="MHX55" s="44"/>
      <c r="MHY55" s="44"/>
      <c r="MHZ55" s="44"/>
      <c r="MIA55" s="44"/>
      <c r="MIB55" s="44"/>
      <c r="MIC55" s="44"/>
      <c r="MID55" s="44"/>
      <c r="MIE55" s="44"/>
      <c r="MIF55" s="44"/>
      <c r="MIG55" s="44"/>
      <c r="MIH55" s="44"/>
      <c r="MII55" s="44"/>
      <c r="MIJ55" s="44"/>
      <c r="MIK55" s="44"/>
      <c r="MIL55" s="44"/>
      <c r="MIM55" s="44"/>
      <c r="MIN55" s="44"/>
      <c r="MIO55" s="44"/>
      <c r="MIP55" s="44"/>
      <c r="MIQ55" s="44"/>
      <c r="MIR55" s="44"/>
      <c r="MIS55" s="44"/>
      <c r="MIT55" s="44"/>
      <c r="MIU55" s="44"/>
      <c r="MIV55" s="44"/>
      <c r="MIW55" s="44"/>
      <c r="MIX55" s="44"/>
      <c r="MIY55" s="44"/>
      <c r="MIZ55" s="44"/>
      <c r="MJA55" s="44"/>
      <c r="MJB55" s="44"/>
      <c r="MJC55" s="44"/>
      <c r="MJD55" s="44"/>
      <c r="MJE55" s="44"/>
      <c r="MJF55" s="44"/>
      <c r="MJG55" s="44"/>
      <c r="MJH55" s="44"/>
      <c r="MJI55" s="44"/>
      <c r="MJJ55" s="44"/>
      <c r="MJK55" s="44"/>
      <c r="MJL55" s="44"/>
      <c r="MJM55" s="44"/>
      <c r="MJN55" s="44"/>
      <c r="MJO55" s="44"/>
      <c r="MJP55" s="44"/>
      <c r="MJQ55" s="44"/>
      <c r="MJR55" s="44"/>
      <c r="MJS55" s="44"/>
      <c r="MJT55" s="44"/>
      <c r="MJU55" s="44"/>
      <c r="MJV55" s="44"/>
      <c r="MJW55" s="44"/>
      <c r="MJX55" s="44"/>
      <c r="MJY55" s="44"/>
      <c r="MJZ55" s="44"/>
      <c r="MKA55" s="44"/>
      <c r="MKB55" s="44"/>
      <c r="MKC55" s="44"/>
      <c r="MKD55" s="44"/>
      <c r="MKE55" s="44"/>
      <c r="MKF55" s="44"/>
      <c r="MKG55" s="44"/>
      <c r="MKH55" s="44"/>
      <c r="MKI55" s="44"/>
      <c r="MKJ55" s="44"/>
      <c r="MKK55" s="44"/>
      <c r="MKL55" s="44"/>
      <c r="MKM55" s="44"/>
      <c r="MKN55" s="44"/>
      <c r="MKO55" s="44"/>
      <c r="MKP55" s="44"/>
      <c r="MKQ55" s="44"/>
      <c r="MKR55" s="44"/>
      <c r="MKS55" s="44"/>
      <c r="MKT55" s="44"/>
      <c r="MKU55" s="44"/>
      <c r="MKV55" s="44"/>
      <c r="MKW55" s="44"/>
      <c r="MKX55" s="44"/>
      <c r="MKY55" s="44"/>
      <c r="MKZ55" s="44"/>
      <c r="MLA55" s="44"/>
      <c r="MLB55" s="44"/>
      <c r="MLC55" s="44"/>
      <c r="MLD55" s="44"/>
      <c r="MLE55" s="44"/>
      <c r="MLF55" s="44"/>
      <c r="MLG55" s="44"/>
      <c r="MLH55" s="44"/>
      <c r="MLI55" s="44"/>
      <c r="MLJ55" s="44"/>
      <c r="MLK55" s="44"/>
      <c r="MLL55" s="44"/>
      <c r="MLM55" s="44"/>
      <c r="MLN55" s="44"/>
      <c r="MLO55" s="44"/>
      <c r="MLP55" s="44"/>
      <c r="MLQ55" s="44"/>
      <c r="MLR55" s="44"/>
      <c r="MLS55" s="44"/>
      <c r="MLT55" s="44"/>
      <c r="MLU55" s="44"/>
      <c r="MLV55" s="44"/>
      <c r="MLW55" s="44"/>
      <c r="MLX55" s="44"/>
      <c r="MLY55" s="44"/>
      <c r="MLZ55" s="44"/>
      <c r="MMA55" s="44"/>
      <c r="MMB55" s="44"/>
      <c r="MMC55" s="44"/>
      <c r="MMD55" s="44"/>
      <c r="MME55" s="44"/>
      <c r="MMF55" s="44"/>
      <c r="MMG55" s="44"/>
      <c r="MMH55" s="44"/>
      <c r="MMI55" s="44"/>
      <c r="MMJ55" s="44"/>
      <c r="MMK55" s="44"/>
      <c r="MML55" s="44"/>
      <c r="MMM55" s="44"/>
      <c r="MMN55" s="44"/>
      <c r="MMO55" s="44"/>
      <c r="MMP55" s="44"/>
      <c r="MMQ55" s="44"/>
      <c r="MMR55" s="44"/>
      <c r="MMS55" s="44"/>
      <c r="MMT55" s="44"/>
      <c r="MMU55" s="44"/>
      <c r="MMV55" s="44"/>
      <c r="MMW55" s="44"/>
      <c r="MMX55" s="44"/>
      <c r="MMY55" s="44"/>
      <c r="MMZ55" s="44"/>
      <c r="MNA55" s="44"/>
      <c r="MNB55" s="44"/>
      <c r="MNC55" s="44"/>
      <c r="MND55" s="44"/>
      <c r="MNE55" s="44"/>
      <c r="MNF55" s="44"/>
      <c r="MNG55" s="44"/>
      <c r="MNH55" s="44"/>
      <c r="MNI55" s="44"/>
      <c r="MNJ55" s="44"/>
      <c r="MNK55" s="44"/>
      <c r="MNL55" s="44"/>
      <c r="MNM55" s="44"/>
      <c r="MNN55" s="44"/>
      <c r="MNO55" s="44"/>
      <c r="MNP55" s="44"/>
      <c r="MNQ55" s="44"/>
      <c r="MNR55" s="44"/>
      <c r="MNS55" s="44"/>
      <c r="MNT55" s="44"/>
      <c r="MNU55" s="44"/>
      <c r="MNV55" s="44"/>
      <c r="MNW55" s="44"/>
      <c r="MNX55" s="44"/>
      <c r="MNY55" s="44"/>
      <c r="MNZ55" s="44"/>
      <c r="MOA55" s="44"/>
      <c r="MOB55" s="44"/>
      <c r="MOC55" s="44"/>
      <c r="MOD55" s="44"/>
      <c r="MOE55" s="44"/>
      <c r="MOF55" s="44"/>
      <c r="MOG55" s="44"/>
      <c r="MOH55" s="44"/>
      <c r="MOI55" s="44"/>
      <c r="MOJ55" s="44"/>
      <c r="MOK55" s="44"/>
      <c r="MOL55" s="44"/>
      <c r="MOM55" s="44"/>
      <c r="MON55" s="44"/>
      <c r="MOO55" s="44"/>
      <c r="MOP55" s="44"/>
      <c r="MOQ55" s="44"/>
      <c r="MOR55" s="44"/>
      <c r="MOS55" s="44"/>
      <c r="MOT55" s="44"/>
      <c r="MOU55" s="44"/>
      <c r="MOV55" s="44"/>
      <c r="MOW55" s="44"/>
      <c r="MOX55" s="44"/>
      <c r="MOY55" s="44"/>
      <c r="MOZ55" s="44"/>
      <c r="MPA55" s="44"/>
      <c r="MPB55" s="44"/>
      <c r="MPC55" s="44"/>
      <c r="MPD55" s="44"/>
      <c r="MPE55" s="44"/>
      <c r="MPF55" s="44"/>
      <c r="MPG55" s="44"/>
      <c r="MPH55" s="44"/>
      <c r="MPI55" s="44"/>
      <c r="MPJ55" s="44"/>
      <c r="MPK55" s="44"/>
      <c r="MPL55" s="44"/>
      <c r="MPM55" s="44"/>
      <c r="MPN55" s="44"/>
      <c r="MPO55" s="44"/>
      <c r="MPP55" s="44"/>
      <c r="MPQ55" s="44"/>
      <c r="MPR55" s="44"/>
      <c r="MPS55" s="44"/>
      <c r="MPT55" s="44"/>
      <c r="MPU55" s="44"/>
      <c r="MPV55" s="44"/>
      <c r="MPW55" s="44"/>
      <c r="MPX55" s="44"/>
      <c r="MPY55" s="44"/>
      <c r="MPZ55" s="44"/>
      <c r="MQA55" s="44"/>
      <c r="MQB55" s="44"/>
      <c r="MQC55" s="44"/>
      <c r="MQD55" s="44"/>
      <c r="MQE55" s="44"/>
      <c r="MQF55" s="44"/>
      <c r="MQG55" s="44"/>
      <c r="MQH55" s="44"/>
      <c r="MQI55" s="44"/>
      <c r="MQJ55" s="44"/>
      <c r="MQK55" s="44"/>
      <c r="MQL55" s="44"/>
      <c r="MQM55" s="44"/>
      <c r="MQN55" s="44"/>
      <c r="MQO55" s="44"/>
      <c r="MQP55" s="44"/>
      <c r="MQQ55" s="44"/>
      <c r="MQR55" s="44"/>
      <c r="MQS55" s="44"/>
      <c r="MQT55" s="44"/>
      <c r="MQU55" s="44"/>
      <c r="MQV55" s="44"/>
      <c r="MQW55" s="44"/>
      <c r="MQX55" s="44"/>
      <c r="MQY55" s="44"/>
      <c r="MQZ55" s="44"/>
      <c r="MRA55" s="44"/>
      <c r="MRB55" s="44"/>
      <c r="MRC55" s="44"/>
      <c r="MRD55" s="44"/>
      <c r="MRE55" s="44"/>
      <c r="MRF55" s="44"/>
      <c r="MRG55" s="44"/>
      <c r="MRH55" s="44"/>
      <c r="MRI55" s="44"/>
      <c r="MRJ55" s="44"/>
      <c r="MRK55" s="44"/>
      <c r="MRL55" s="44"/>
      <c r="MRM55" s="44"/>
      <c r="MRN55" s="44"/>
      <c r="MRO55" s="44"/>
      <c r="MRP55" s="44"/>
      <c r="MRQ55" s="44"/>
      <c r="MRR55" s="44"/>
      <c r="MRS55" s="44"/>
      <c r="MRT55" s="44"/>
      <c r="MRU55" s="44"/>
      <c r="MRV55" s="44"/>
      <c r="MRW55" s="44"/>
      <c r="MRX55" s="44"/>
      <c r="MRY55" s="44"/>
      <c r="MRZ55" s="44"/>
      <c r="MSA55" s="44"/>
      <c r="MSB55" s="44"/>
      <c r="MSC55" s="44"/>
      <c r="MSD55" s="44"/>
      <c r="MSE55" s="44"/>
      <c r="MSF55" s="44"/>
      <c r="MSG55" s="44"/>
      <c r="MSH55" s="44"/>
      <c r="MSI55" s="44"/>
      <c r="MSJ55" s="44"/>
      <c r="MSK55" s="44"/>
      <c r="MSL55" s="44"/>
      <c r="MSM55" s="44"/>
      <c r="MSN55" s="44"/>
      <c r="MSO55" s="44"/>
      <c r="MSP55" s="44"/>
      <c r="MSQ55" s="44"/>
      <c r="MSR55" s="44"/>
      <c r="MSS55" s="44"/>
      <c r="MST55" s="44"/>
      <c r="MSU55" s="44"/>
      <c r="MSV55" s="44"/>
      <c r="MSW55" s="44"/>
      <c r="MSX55" s="44"/>
      <c r="MSY55" s="44"/>
      <c r="MSZ55" s="44"/>
      <c r="MTA55" s="44"/>
      <c r="MTB55" s="44"/>
      <c r="MTC55" s="44"/>
      <c r="MTD55" s="44"/>
      <c r="MTE55" s="44"/>
      <c r="MTF55" s="44"/>
      <c r="MTG55" s="44"/>
      <c r="MTH55" s="44"/>
      <c r="MTI55" s="44"/>
      <c r="MTJ55" s="44"/>
      <c r="MTK55" s="44"/>
      <c r="MTL55" s="44"/>
      <c r="MTM55" s="44"/>
      <c r="MTN55" s="44"/>
      <c r="MTO55" s="44"/>
      <c r="MTP55" s="44"/>
      <c r="MTQ55" s="44"/>
      <c r="MTR55" s="44"/>
      <c r="MTS55" s="44"/>
      <c r="MTT55" s="44"/>
      <c r="MTU55" s="44"/>
      <c r="MTV55" s="44"/>
      <c r="MTW55" s="44"/>
      <c r="MTX55" s="44"/>
      <c r="MTY55" s="44"/>
      <c r="MTZ55" s="44"/>
      <c r="MUA55" s="44"/>
      <c r="MUB55" s="44"/>
      <c r="MUC55" s="44"/>
      <c r="MUD55" s="44"/>
      <c r="MUE55" s="44"/>
      <c r="MUF55" s="44"/>
      <c r="MUG55" s="44"/>
      <c r="MUH55" s="44"/>
      <c r="MUI55" s="44"/>
      <c r="MUJ55" s="44"/>
      <c r="MUK55" s="44"/>
      <c r="MUL55" s="44"/>
      <c r="MUM55" s="44"/>
      <c r="MUN55" s="44"/>
      <c r="MUO55" s="44"/>
      <c r="MUP55" s="44"/>
      <c r="MUQ55" s="44"/>
      <c r="MUR55" s="44"/>
      <c r="MUS55" s="44"/>
      <c r="MUT55" s="44"/>
      <c r="MUU55" s="44"/>
      <c r="MUV55" s="44"/>
      <c r="MUW55" s="44"/>
      <c r="MUX55" s="44"/>
      <c r="MUY55" s="44"/>
      <c r="MUZ55" s="44"/>
      <c r="MVA55" s="44"/>
      <c r="MVB55" s="44"/>
      <c r="MVC55" s="44"/>
      <c r="MVD55" s="44"/>
      <c r="MVE55" s="44"/>
      <c r="MVF55" s="44"/>
      <c r="MVG55" s="44"/>
      <c r="MVH55" s="44"/>
      <c r="MVI55" s="44"/>
      <c r="MVJ55" s="44"/>
      <c r="MVK55" s="44"/>
      <c r="MVL55" s="44"/>
      <c r="MVM55" s="44"/>
      <c r="MVN55" s="44"/>
      <c r="MVO55" s="44"/>
      <c r="MVP55" s="44"/>
      <c r="MVQ55" s="44"/>
      <c r="MVR55" s="44"/>
      <c r="MVS55" s="44"/>
      <c r="MVT55" s="44"/>
      <c r="MVU55" s="44"/>
      <c r="MVV55" s="44"/>
      <c r="MVW55" s="44"/>
      <c r="MVX55" s="44"/>
      <c r="MVY55" s="44"/>
      <c r="MVZ55" s="44"/>
      <c r="MWA55" s="44"/>
      <c r="MWB55" s="44"/>
      <c r="MWC55" s="44"/>
      <c r="MWD55" s="44"/>
      <c r="MWE55" s="44"/>
      <c r="MWF55" s="44"/>
      <c r="MWG55" s="44"/>
      <c r="MWH55" s="44"/>
      <c r="MWI55" s="44"/>
      <c r="MWJ55" s="44"/>
      <c r="MWK55" s="44"/>
      <c r="MWL55" s="44"/>
      <c r="MWM55" s="44"/>
      <c r="MWN55" s="44"/>
      <c r="MWO55" s="44"/>
      <c r="MWP55" s="44"/>
      <c r="MWQ55" s="44"/>
      <c r="MWR55" s="44"/>
      <c r="MWS55" s="44"/>
      <c r="MWT55" s="44"/>
      <c r="MWU55" s="44"/>
      <c r="MWV55" s="44"/>
      <c r="MWW55" s="44"/>
      <c r="MWX55" s="44"/>
      <c r="MWY55" s="44"/>
      <c r="MWZ55" s="44"/>
      <c r="MXA55" s="44"/>
      <c r="MXB55" s="44"/>
      <c r="MXC55" s="44"/>
      <c r="MXD55" s="44"/>
      <c r="MXE55" s="44"/>
      <c r="MXF55" s="44"/>
      <c r="MXG55" s="44"/>
      <c r="MXH55" s="44"/>
      <c r="MXI55" s="44"/>
      <c r="MXJ55" s="44"/>
      <c r="MXK55" s="44"/>
      <c r="MXL55" s="44"/>
      <c r="MXM55" s="44"/>
      <c r="MXN55" s="44"/>
      <c r="MXO55" s="44"/>
      <c r="MXP55" s="44"/>
      <c r="MXQ55" s="44"/>
      <c r="MXR55" s="44"/>
      <c r="MXS55" s="44"/>
      <c r="MXT55" s="44"/>
      <c r="MXU55" s="44"/>
      <c r="MXV55" s="44"/>
      <c r="MXW55" s="44"/>
      <c r="MXX55" s="44"/>
      <c r="MXY55" s="44"/>
      <c r="MXZ55" s="44"/>
      <c r="MYA55" s="44"/>
      <c r="MYB55" s="44"/>
      <c r="MYC55" s="44"/>
      <c r="MYD55" s="44"/>
      <c r="MYE55" s="44"/>
      <c r="MYF55" s="44"/>
      <c r="MYG55" s="44"/>
      <c r="MYH55" s="44"/>
      <c r="MYI55" s="44"/>
      <c r="MYJ55" s="44"/>
      <c r="MYK55" s="44"/>
      <c r="MYL55" s="44"/>
      <c r="MYM55" s="44"/>
      <c r="MYN55" s="44"/>
      <c r="MYO55" s="44"/>
      <c r="MYP55" s="44"/>
      <c r="MYQ55" s="44"/>
      <c r="MYR55" s="44"/>
      <c r="MYS55" s="44"/>
      <c r="MYT55" s="44"/>
      <c r="MYU55" s="44"/>
      <c r="MYV55" s="44"/>
      <c r="MYW55" s="44"/>
      <c r="MYX55" s="44"/>
      <c r="MYY55" s="44"/>
      <c r="MYZ55" s="44"/>
      <c r="MZA55" s="44"/>
      <c r="MZB55" s="44"/>
      <c r="MZC55" s="44"/>
      <c r="MZD55" s="44"/>
      <c r="MZE55" s="44"/>
      <c r="MZF55" s="44"/>
      <c r="MZG55" s="44"/>
      <c r="MZH55" s="44"/>
      <c r="MZI55" s="44"/>
      <c r="MZJ55" s="44"/>
      <c r="MZK55" s="44"/>
      <c r="MZL55" s="44"/>
      <c r="MZM55" s="44"/>
      <c r="MZN55" s="44"/>
      <c r="MZO55" s="44"/>
      <c r="MZP55" s="44"/>
      <c r="MZQ55" s="44"/>
      <c r="MZR55" s="44"/>
      <c r="MZS55" s="44"/>
      <c r="MZT55" s="44"/>
      <c r="MZU55" s="44"/>
      <c r="MZV55" s="44"/>
      <c r="MZW55" s="44"/>
      <c r="MZX55" s="44"/>
      <c r="MZY55" s="44"/>
      <c r="MZZ55" s="44"/>
      <c r="NAA55" s="44"/>
      <c r="NAB55" s="44"/>
      <c r="NAC55" s="44"/>
      <c r="NAD55" s="44"/>
      <c r="NAE55" s="44"/>
      <c r="NAF55" s="44"/>
      <c r="NAG55" s="44"/>
      <c r="NAH55" s="44"/>
      <c r="NAI55" s="44"/>
      <c r="NAJ55" s="44"/>
      <c r="NAK55" s="44"/>
      <c r="NAL55" s="44"/>
      <c r="NAM55" s="44"/>
      <c r="NAN55" s="44"/>
      <c r="NAO55" s="44"/>
      <c r="NAP55" s="44"/>
      <c r="NAQ55" s="44"/>
      <c r="NAR55" s="44"/>
      <c r="NAS55" s="44"/>
      <c r="NAT55" s="44"/>
      <c r="NAU55" s="44"/>
      <c r="NAV55" s="44"/>
      <c r="NAW55" s="44"/>
      <c r="NAX55" s="44"/>
      <c r="NAY55" s="44"/>
      <c r="NAZ55" s="44"/>
      <c r="NBA55" s="44"/>
      <c r="NBB55" s="44"/>
      <c r="NBC55" s="44"/>
      <c r="NBD55" s="44"/>
      <c r="NBE55" s="44"/>
      <c r="NBF55" s="44"/>
      <c r="NBG55" s="44"/>
      <c r="NBH55" s="44"/>
      <c r="NBI55" s="44"/>
      <c r="NBJ55" s="44"/>
      <c r="NBK55" s="44"/>
      <c r="NBL55" s="44"/>
      <c r="NBM55" s="44"/>
      <c r="NBN55" s="44"/>
      <c r="NBO55" s="44"/>
      <c r="NBP55" s="44"/>
      <c r="NBQ55" s="44"/>
      <c r="NBR55" s="44"/>
      <c r="NBS55" s="44"/>
      <c r="NBT55" s="44"/>
      <c r="NBU55" s="44"/>
      <c r="NBV55" s="44"/>
      <c r="NBW55" s="44"/>
      <c r="NBX55" s="44"/>
      <c r="NBY55" s="44"/>
      <c r="NBZ55" s="44"/>
      <c r="NCA55" s="44"/>
      <c r="NCB55" s="44"/>
      <c r="NCC55" s="44"/>
      <c r="NCD55" s="44"/>
      <c r="NCE55" s="44"/>
      <c r="NCF55" s="44"/>
      <c r="NCG55" s="44"/>
      <c r="NCH55" s="44"/>
      <c r="NCI55" s="44"/>
      <c r="NCJ55" s="44"/>
      <c r="NCK55" s="44"/>
      <c r="NCL55" s="44"/>
      <c r="NCM55" s="44"/>
      <c r="NCN55" s="44"/>
      <c r="NCO55" s="44"/>
      <c r="NCP55" s="44"/>
      <c r="NCQ55" s="44"/>
      <c r="NCR55" s="44"/>
      <c r="NCS55" s="44"/>
      <c r="NCT55" s="44"/>
      <c r="NCU55" s="44"/>
      <c r="NCV55" s="44"/>
      <c r="NCW55" s="44"/>
      <c r="NCX55" s="44"/>
      <c r="NCY55" s="44"/>
      <c r="NCZ55" s="44"/>
      <c r="NDA55" s="44"/>
      <c r="NDB55" s="44"/>
      <c r="NDC55" s="44"/>
      <c r="NDD55" s="44"/>
      <c r="NDE55" s="44"/>
      <c r="NDF55" s="44"/>
      <c r="NDG55" s="44"/>
      <c r="NDH55" s="44"/>
      <c r="NDI55" s="44"/>
      <c r="NDJ55" s="44"/>
      <c r="NDK55" s="44"/>
      <c r="NDL55" s="44"/>
      <c r="NDM55" s="44"/>
      <c r="NDN55" s="44"/>
      <c r="NDO55" s="44"/>
      <c r="NDP55" s="44"/>
      <c r="NDQ55" s="44"/>
      <c r="NDR55" s="44"/>
      <c r="NDS55" s="44"/>
      <c r="NDT55" s="44"/>
      <c r="NDU55" s="44"/>
      <c r="NDV55" s="44"/>
      <c r="NDW55" s="44"/>
      <c r="NDX55" s="44"/>
      <c r="NDY55" s="44"/>
      <c r="NDZ55" s="44"/>
      <c r="NEA55" s="44"/>
      <c r="NEB55" s="44"/>
      <c r="NEC55" s="44"/>
      <c r="NED55" s="44"/>
      <c r="NEE55" s="44"/>
      <c r="NEF55" s="44"/>
      <c r="NEG55" s="44"/>
      <c r="NEH55" s="44"/>
      <c r="NEI55" s="44"/>
      <c r="NEJ55" s="44"/>
      <c r="NEK55" s="44"/>
      <c r="NEL55" s="44"/>
      <c r="NEM55" s="44"/>
      <c r="NEN55" s="44"/>
      <c r="NEO55" s="44"/>
      <c r="NEP55" s="44"/>
      <c r="NEQ55" s="44"/>
      <c r="NER55" s="44"/>
      <c r="NES55" s="44"/>
      <c r="NET55" s="44"/>
      <c r="NEU55" s="44"/>
      <c r="NEV55" s="44"/>
      <c r="NEW55" s="44"/>
      <c r="NEX55" s="44"/>
      <c r="NEY55" s="44"/>
      <c r="NEZ55" s="44"/>
      <c r="NFA55" s="44"/>
      <c r="NFB55" s="44"/>
      <c r="NFC55" s="44"/>
      <c r="NFD55" s="44"/>
      <c r="NFE55" s="44"/>
      <c r="NFF55" s="44"/>
      <c r="NFG55" s="44"/>
      <c r="NFH55" s="44"/>
      <c r="NFI55" s="44"/>
      <c r="NFJ55" s="44"/>
      <c r="NFK55" s="44"/>
      <c r="NFL55" s="44"/>
      <c r="NFM55" s="44"/>
      <c r="NFN55" s="44"/>
      <c r="NFO55" s="44"/>
      <c r="NFP55" s="44"/>
      <c r="NFQ55" s="44"/>
      <c r="NFR55" s="44"/>
      <c r="NFS55" s="44"/>
      <c r="NFT55" s="44"/>
      <c r="NFU55" s="44"/>
      <c r="NFV55" s="44"/>
      <c r="NFW55" s="44"/>
      <c r="NFX55" s="44"/>
      <c r="NFY55" s="44"/>
      <c r="NFZ55" s="44"/>
      <c r="NGA55" s="44"/>
      <c r="NGB55" s="44"/>
      <c r="NGC55" s="44"/>
      <c r="NGD55" s="44"/>
      <c r="NGE55" s="44"/>
      <c r="NGF55" s="44"/>
      <c r="NGG55" s="44"/>
      <c r="NGH55" s="44"/>
      <c r="NGI55" s="44"/>
      <c r="NGJ55" s="44"/>
      <c r="NGK55" s="44"/>
      <c r="NGL55" s="44"/>
      <c r="NGM55" s="44"/>
      <c r="NGN55" s="44"/>
      <c r="NGO55" s="44"/>
      <c r="NGP55" s="44"/>
      <c r="NGQ55" s="44"/>
      <c r="NGR55" s="44"/>
      <c r="NGS55" s="44"/>
      <c r="NGT55" s="44"/>
      <c r="NGU55" s="44"/>
      <c r="NGV55" s="44"/>
      <c r="NGW55" s="44"/>
      <c r="NGX55" s="44"/>
      <c r="NGY55" s="44"/>
      <c r="NGZ55" s="44"/>
      <c r="NHA55" s="44"/>
      <c r="NHB55" s="44"/>
      <c r="NHC55" s="44"/>
      <c r="NHD55" s="44"/>
      <c r="NHE55" s="44"/>
      <c r="NHF55" s="44"/>
      <c r="NHG55" s="44"/>
      <c r="NHH55" s="44"/>
      <c r="NHI55" s="44"/>
      <c r="NHJ55" s="44"/>
      <c r="NHK55" s="44"/>
      <c r="NHL55" s="44"/>
      <c r="NHM55" s="44"/>
      <c r="NHN55" s="44"/>
      <c r="NHO55" s="44"/>
      <c r="NHP55" s="44"/>
      <c r="NHQ55" s="44"/>
      <c r="NHR55" s="44"/>
      <c r="NHS55" s="44"/>
      <c r="NHT55" s="44"/>
      <c r="NHU55" s="44"/>
      <c r="NHV55" s="44"/>
      <c r="NHW55" s="44"/>
      <c r="NHX55" s="44"/>
      <c r="NHY55" s="44"/>
      <c r="NHZ55" s="44"/>
      <c r="NIA55" s="44"/>
      <c r="NIB55" s="44"/>
      <c r="NIC55" s="44"/>
      <c r="NID55" s="44"/>
      <c r="NIE55" s="44"/>
      <c r="NIF55" s="44"/>
      <c r="NIG55" s="44"/>
      <c r="NIH55" s="44"/>
      <c r="NII55" s="44"/>
      <c r="NIJ55" s="44"/>
      <c r="NIK55" s="44"/>
      <c r="NIL55" s="44"/>
      <c r="NIM55" s="44"/>
      <c r="NIN55" s="44"/>
      <c r="NIO55" s="44"/>
      <c r="NIP55" s="44"/>
      <c r="NIQ55" s="44"/>
      <c r="NIR55" s="44"/>
      <c r="NIS55" s="44"/>
      <c r="NIT55" s="44"/>
      <c r="NIU55" s="44"/>
      <c r="NIV55" s="44"/>
      <c r="NIW55" s="44"/>
      <c r="NIX55" s="44"/>
      <c r="NIY55" s="44"/>
      <c r="NIZ55" s="44"/>
      <c r="NJA55" s="44"/>
      <c r="NJB55" s="44"/>
      <c r="NJC55" s="44"/>
      <c r="NJD55" s="44"/>
      <c r="NJE55" s="44"/>
      <c r="NJF55" s="44"/>
      <c r="NJG55" s="44"/>
      <c r="NJH55" s="44"/>
      <c r="NJI55" s="44"/>
      <c r="NJJ55" s="44"/>
      <c r="NJK55" s="44"/>
      <c r="NJL55" s="44"/>
      <c r="NJM55" s="44"/>
      <c r="NJN55" s="44"/>
      <c r="NJO55" s="44"/>
      <c r="NJP55" s="44"/>
      <c r="NJQ55" s="44"/>
      <c r="NJR55" s="44"/>
      <c r="NJS55" s="44"/>
      <c r="NJT55" s="44"/>
      <c r="NJU55" s="44"/>
      <c r="NJV55" s="44"/>
      <c r="NJW55" s="44"/>
      <c r="NJX55" s="44"/>
      <c r="NJY55" s="44"/>
      <c r="NJZ55" s="44"/>
      <c r="NKA55" s="44"/>
      <c r="NKB55" s="44"/>
      <c r="NKC55" s="44"/>
      <c r="NKD55" s="44"/>
      <c r="NKE55" s="44"/>
      <c r="NKF55" s="44"/>
      <c r="NKG55" s="44"/>
      <c r="NKH55" s="44"/>
      <c r="NKI55" s="44"/>
      <c r="NKJ55" s="44"/>
      <c r="NKK55" s="44"/>
      <c r="NKL55" s="44"/>
      <c r="NKM55" s="44"/>
      <c r="NKN55" s="44"/>
      <c r="NKO55" s="44"/>
      <c r="NKP55" s="44"/>
      <c r="NKQ55" s="44"/>
      <c r="NKR55" s="44"/>
      <c r="NKS55" s="44"/>
      <c r="NKT55" s="44"/>
      <c r="NKU55" s="44"/>
      <c r="NKV55" s="44"/>
      <c r="NKW55" s="44"/>
      <c r="NKX55" s="44"/>
      <c r="NKY55" s="44"/>
      <c r="NKZ55" s="44"/>
      <c r="NLA55" s="44"/>
      <c r="NLB55" s="44"/>
      <c r="NLC55" s="44"/>
      <c r="NLD55" s="44"/>
      <c r="NLE55" s="44"/>
      <c r="NLF55" s="44"/>
      <c r="NLG55" s="44"/>
      <c r="NLH55" s="44"/>
      <c r="NLI55" s="44"/>
      <c r="NLJ55" s="44"/>
      <c r="NLK55" s="44"/>
      <c r="NLL55" s="44"/>
      <c r="NLM55" s="44"/>
      <c r="NLN55" s="44"/>
      <c r="NLO55" s="44"/>
      <c r="NLP55" s="44"/>
      <c r="NLQ55" s="44"/>
      <c r="NLR55" s="44"/>
      <c r="NLS55" s="44"/>
      <c r="NLT55" s="44"/>
      <c r="NLU55" s="44"/>
      <c r="NLV55" s="44"/>
      <c r="NLW55" s="44"/>
      <c r="NLX55" s="44"/>
      <c r="NLY55" s="44"/>
      <c r="NLZ55" s="44"/>
      <c r="NMA55" s="44"/>
      <c r="NMB55" s="44"/>
      <c r="NMC55" s="44"/>
      <c r="NMD55" s="44"/>
      <c r="NME55" s="44"/>
      <c r="NMF55" s="44"/>
      <c r="NMG55" s="44"/>
      <c r="NMH55" s="44"/>
      <c r="NMI55" s="44"/>
      <c r="NMJ55" s="44"/>
      <c r="NMK55" s="44"/>
      <c r="NML55" s="44"/>
      <c r="NMM55" s="44"/>
      <c r="NMN55" s="44"/>
      <c r="NMO55" s="44"/>
      <c r="NMP55" s="44"/>
      <c r="NMQ55" s="44"/>
      <c r="NMR55" s="44"/>
      <c r="NMS55" s="44"/>
      <c r="NMT55" s="44"/>
      <c r="NMU55" s="44"/>
      <c r="NMV55" s="44"/>
      <c r="NMW55" s="44"/>
      <c r="NMX55" s="44"/>
      <c r="NMY55" s="44"/>
      <c r="NMZ55" s="44"/>
      <c r="NNA55" s="44"/>
      <c r="NNB55" s="44"/>
      <c r="NNC55" s="44"/>
      <c r="NND55" s="44"/>
      <c r="NNE55" s="44"/>
      <c r="NNF55" s="44"/>
      <c r="NNG55" s="44"/>
      <c r="NNH55" s="44"/>
      <c r="NNI55" s="44"/>
      <c r="NNJ55" s="44"/>
      <c r="NNK55" s="44"/>
      <c r="NNL55" s="44"/>
      <c r="NNM55" s="44"/>
      <c r="NNN55" s="44"/>
      <c r="NNO55" s="44"/>
      <c r="NNP55" s="44"/>
      <c r="NNQ55" s="44"/>
      <c r="NNR55" s="44"/>
      <c r="NNS55" s="44"/>
      <c r="NNT55" s="44"/>
      <c r="NNU55" s="44"/>
      <c r="NNV55" s="44"/>
      <c r="NNW55" s="44"/>
      <c r="NNX55" s="44"/>
      <c r="NNY55" s="44"/>
      <c r="NNZ55" s="44"/>
      <c r="NOA55" s="44"/>
      <c r="NOB55" s="44"/>
      <c r="NOC55" s="44"/>
      <c r="NOD55" s="44"/>
      <c r="NOE55" s="44"/>
      <c r="NOF55" s="44"/>
      <c r="NOG55" s="44"/>
      <c r="NOH55" s="44"/>
      <c r="NOI55" s="44"/>
      <c r="NOJ55" s="44"/>
      <c r="NOK55" s="44"/>
      <c r="NOL55" s="44"/>
      <c r="NOM55" s="44"/>
      <c r="NON55" s="44"/>
      <c r="NOO55" s="44"/>
      <c r="NOP55" s="44"/>
      <c r="NOQ55" s="44"/>
      <c r="NOR55" s="44"/>
      <c r="NOS55" s="44"/>
      <c r="NOT55" s="44"/>
      <c r="NOU55" s="44"/>
      <c r="NOV55" s="44"/>
      <c r="NOW55" s="44"/>
      <c r="NOX55" s="44"/>
      <c r="NOY55" s="44"/>
      <c r="NOZ55" s="44"/>
      <c r="NPA55" s="44"/>
      <c r="NPB55" s="44"/>
      <c r="NPC55" s="44"/>
      <c r="NPD55" s="44"/>
      <c r="NPE55" s="44"/>
      <c r="NPF55" s="44"/>
      <c r="NPG55" s="44"/>
      <c r="NPH55" s="44"/>
      <c r="NPI55" s="44"/>
      <c r="NPJ55" s="44"/>
      <c r="NPK55" s="44"/>
      <c r="NPL55" s="44"/>
      <c r="NPM55" s="44"/>
      <c r="NPN55" s="44"/>
      <c r="NPO55" s="44"/>
      <c r="NPP55" s="44"/>
      <c r="NPQ55" s="44"/>
      <c r="NPR55" s="44"/>
      <c r="NPS55" s="44"/>
      <c r="NPT55" s="44"/>
      <c r="NPU55" s="44"/>
      <c r="NPV55" s="44"/>
      <c r="NPW55" s="44"/>
      <c r="NPX55" s="44"/>
      <c r="NPY55" s="44"/>
      <c r="NPZ55" s="44"/>
      <c r="NQA55" s="44"/>
      <c r="NQB55" s="44"/>
      <c r="NQC55" s="44"/>
      <c r="NQD55" s="44"/>
      <c r="NQE55" s="44"/>
      <c r="NQF55" s="44"/>
      <c r="NQG55" s="44"/>
      <c r="NQH55" s="44"/>
      <c r="NQI55" s="44"/>
      <c r="NQJ55" s="44"/>
      <c r="NQK55" s="44"/>
      <c r="NQL55" s="44"/>
      <c r="NQM55" s="44"/>
      <c r="NQN55" s="44"/>
      <c r="NQO55" s="44"/>
      <c r="NQP55" s="44"/>
      <c r="NQQ55" s="44"/>
      <c r="NQR55" s="44"/>
      <c r="NQS55" s="44"/>
      <c r="NQT55" s="44"/>
      <c r="NQU55" s="44"/>
      <c r="NQV55" s="44"/>
      <c r="NQW55" s="44"/>
      <c r="NQX55" s="44"/>
      <c r="NQY55" s="44"/>
      <c r="NQZ55" s="44"/>
      <c r="NRA55" s="44"/>
      <c r="NRB55" s="44"/>
      <c r="NRC55" s="44"/>
      <c r="NRD55" s="44"/>
      <c r="NRE55" s="44"/>
      <c r="NRF55" s="44"/>
      <c r="NRG55" s="44"/>
      <c r="NRH55" s="44"/>
      <c r="NRI55" s="44"/>
      <c r="NRJ55" s="44"/>
      <c r="NRK55" s="44"/>
      <c r="NRL55" s="44"/>
      <c r="NRM55" s="44"/>
      <c r="NRN55" s="44"/>
      <c r="NRO55" s="44"/>
      <c r="NRP55" s="44"/>
      <c r="NRQ55" s="44"/>
      <c r="NRR55" s="44"/>
      <c r="NRS55" s="44"/>
      <c r="NRT55" s="44"/>
      <c r="NRU55" s="44"/>
      <c r="NRV55" s="44"/>
      <c r="NRW55" s="44"/>
      <c r="NRX55" s="44"/>
      <c r="NRY55" s="44"/>
      <c r="NRZ55" s="44"/>
      <c r="NSA55" s="44"/>
      <c r="NSB55" s="44"/>
      <c r="NSC55" s="44"/>
      <c r="NSD55" s="44"/>
      <c r="NSE55" s="44"/>
      <c r="NSF55" s="44"/>
      <c r="NSG55" s="44"/>
      <c r="NSH55" s="44"/>
      <c r="NSI55" s="44"/>
      <c r="NSJ55" s="44"/>
      <c r="NSK55" s="44"/>
      <c r="NSL55" s="44"/>
      <c r="NSM55" s="44"/>
      <c r="NSN55" s="44"/>
      <c r="NSO55" s="44"/>
      <c r="NSP55" s="44"/>
      <c r="NSQ55" s="44"/>
      <c r="NSR55" s="44"/>
      <c r="NSS55" s="44"/>
      <c r="NST55" s="44"/>
      <c r="NSU55" s="44"/>
      <c r="NSV55" s="44"/>
      <c r="NSW55" s="44"/>
      <c r="NSX55" s="44"/>
      <c r="NSY55" s="44"/>
      <c r="NSZ55" s="44"/>
      <c r="NTA55" s="44"/>
      <c r="NTB55" s="44"/>
      <c r="NTC55" s="44"/>
      <c r="NTD55" s="44"/>
      <c r="NTE55" s="44"/>
      <c r="NTF55" s="44"/>
      <c r="NTG55" s="44"/>
      <c r="NTH55" s="44"/>
      <c r="NTI55" s="44"/>
      <c r="NTJ55" s="44"/>
      <c r="NTK55" s="44"/>
      <c r="NTL55" s="44"/>
      <c r="NTM55" s="44"/>
      <c r="NTN55" s="44"/>
      <c r="NTO55" s="44"/>
      <c r="NTP55" s="44"/>
      <c r="NTQ55" s="44"/>
      <c r="NTR55" s="44"/>
      <c r="NTS55" s="44"/>
      <c r="NTT55" s="44"/>
      <c r="NTU55" s="44"/>
      <c r="NTV55" s="44"/>
      <c r="NTW55" s="44"/>
      <c r="NTX55" s="44"/>
      <c r="NTY55" s="44"/>
      <c r="NTZ55" s="44"/>
      <c r="NUA55" s="44"/>
      <c r="NUB55" s="44"/>
      <c r="NUC55" s="44"/>
      <c r="NUD55" s="44"/>
      <c r="NUE55" s="44"/>
      <c r="NUF55" s="44"/>
      <c r="NUG55" s="44"/>
      <c r="NUH55" s="44"/>
      <c r="NUI55" s="44"/>
      <c r="NUJ55" s="44"/>
      <c r="NUK55" s="44"/>
      <c r="NUL55" s="44"/>
      <c r="NUM55" s="44"/>
      <c r="NUN55" s="44"/>
      <c r="NUO55" s="44"/>
      <c r="NUP55" s="44"/>
      <c r="NUQ55" s="44"/>
      <c r="NUR55" s="44"/>
      <c r="NUS55" s="44"/>
      <c r="NUT55" s="44"/>
      <c r="NUU55" s="44"/>
      <c r="NUV55" s="44"/>
      <c r="NUW55" s="44"/>
      <c r="NUX55" s="44"/>
      <c r="NUY55" s="44"/>
      <c r="NUZ55" s="44"/>
      <c r="NVA55" s="44"/>
      <c r="NVB55" s="44"/>
      <c r="NVC55" s="44"/>
      <c r="NVD55" s="44"/>
      <c r="NVE55" s="44"/>
      <c r="NVF55" s="44"/>
      <c r="NVG55" s="44"/>
      <c r="NVH55" s="44"/>
      <c r="NVI55" s="44"/>
      <c r="NVJ55" s="44"/>
      <c r="NVK55" s="44"/>
      <c r="NVL55" s="44"/>
      <c r="NVM55" s="44"/>
      <c r="NVN55" s="44"/>
      <c r="NVO55" s="44"/>
      <c r="NVP55" s="44"/>
      <c r="NVQ55" s="44"/>
      <c r="NVR55" s="44"/>
      <c r="NVS55" s="44"/>
      <c r="NVT55" s="44"/>
      <c r="NVU55" s="44"/>
      <c r="NVV55" s="44"/>
      <c r="NVW55" s="44"/>
      <c r="NVX55" s="44"/>
      <c r="NVY55" s="44"/>
      <c r="NVZ55" s="44"/>
      <c r="NWA55" s="44"/>
      <c r="NWB55" s="44"/>
      <c r="NWC55" s="44"/>
      <c r="NWD55" s="44"/>
      <c r="NWE55" s="44"/>
      <c r="NWF55" s="44"/>
      <c r="NWG55" s="44"/>
      <c r="NWH55" s="44"/>
      <c r="NWI55" s="44"/>
      <c r="NWJ55" s="44"/>
      <c r="NWK55" s="44"/>
      <c r="NWL55" s="44"/>
      <c r="NWM55" s="44"/>
      <c r="NWN55" s="44"/>
      <c r="NWO55" s="44"/>
      <c r="NWP55" s="44"/>
      <c r="NWQ55" s="44"/>
      <c r="NWR55" s="44"/>
      <c r="NWS55" s="44"/>
      <c r="NWT55" s="44"/>
      <c r="NWU55" s="44"/>
      <c r="NWV55" s="44"/>
      <c r="NWW55" s="44"/>
      <c r="NWX55" s="44"/>
      <c r="NWY55" s="44"/>
      <c r="NWZ55" s="44"/>
      <c r="NXA55" s="44"/>
      <c r="NXB55" s="44"/>
      <c r="NXC55" s="44"/>
      <c r="NXD55" s="44"/>
      <c r="NXE55" s="44"/>
      <c r="NXF55" s="44"/>
      <c r="NXG55" s="44"/>
      <c r="NXH55" s="44"/>
      <c r="NXI55" s="44"/>
      <c r="NXJ55" s="44"/>
      <c r="NXK55" s="44"/>
      <c r="NXL55" s="44"/>
      <c r="NXM55" s="44"/>
      <c r="NXN55" s="44"/>
      <c r="NXO55" s="44"/>
      <c r="NXP55" s="44"/>
      <c r="NXQ55" s="44"/>
      <c r="NXR55" s="44"/>
      <c r="NXS55" s="44"/>
      <c r="NXT55" s="44"/>
      <c r="NXU55" s="44"/>
      <c r="NXV55" s="44"/>
      <c r="NXW55" s="44"/>
      <c r="NXX55" s="44"/>
      <c r="NXY55" s="44"/>
      <c r="NXZ55" s="44"/>
      <c r="NYA55" s="44"/>
      <c r="NYB55" s="44"/>
      <c r="NYC55" s="44"/>
      <c r="NYD55" s="44"/>
      <c r="NYE55" s="44"/>
      <c r="NYF55" s="44"/>
      <c r="NYG55" s="44"/>
      <c r="NYH55" s="44"/>
      <c r="NYI55" s="44"/>
      <c r="NYJ55" s="44"/>
      <c r="NYK55" s="44"/>
      <c r="NYL55" s="44"/>
      <c r="NYM55" s="44"/>
      <c r="NYN55" s="44"/>
      <c r="NYO55" s="44"/>
      <c r="NYP55" s="44"/>
      <c r="NYQ55" s="44"/>
      <c r="NYR55" s="44"/>
      <c r="NYS55" s="44"/>
      <c r="NYT55" s="44"/>
      <c r="NYU55" s="44"/>
      <c r="NYV55" s="44"/>
      <c r="NYW55" s="44"/>
      <c r="NYX55" s="44"/>
      <c r="NYY55" s="44"/>
      <c r="NYZ55" s="44"/>
      <c r="NZA55" s="44"/>
      <c r="NZB55" s="44"/>
      <c r="NZC55" s="44"/>
      <c r="NZD55" s="44"/>
      <c r="NZE55" s="44"/>
      <c r="NZF55" s="44"/>
      <c r="NZG55" s="44"/>
      <c r="NZH55" s="44"/>
      <c r="NZI55" s="44"/>
      <c r="NZJ55" s="44"/>
      <c r="NZK55" s="44"/>
      <c r="NZL55" s="44"/>
      <c r="NZM55" s="44"/>
      <c r="NZN55" s="44"/>
      <c r="NZO55" s="44"/>
      <c r="NZP55" s="44"/>
      <c r="NZQ55" s="44"/>
      <c r="NZR55" s="44"/>
      <c r="NZS55" s="44"/>
      <c r="NZT55" s="44"/>
      <c r="NZU55" s="44"/>
      <c r="NZV55" s="44"/>
      <c r="NZW55" s="44"/>
      <c r="NZX55" s="44"/>
      <c r="NZY55" s="44"/>
      <c r="NZZ55" s="44"/>
      <c r="OAA55" s="44"/>
      <c r="OAB55" s="44"/>
      <c r="OAC55" s="44"/>
      <c r="OAD55" s="44"/>
      <c r="OAE55" s="44"/>
      <c r="OAF55" s="44"/>
      <c r="OAG55" s="44"/>
      <c r="OAH55" s="44"/>
      <c r="OAI55" s="44"/>
      <c r="OAJ55" s="44"/>
      <c r="OAK55" s="44"/>
      <c r="OAL55" s="44"/>
      <c r="OAM55" s="44"/>
      <c r="OAN55" s="44"/>
      <c r="OAO55" s="44"/>
      <c r="OAP55" s="44"/>
      <c r="OAQ55" s="44"/>
      <c r="OAR55" s="44"/>
      <c r="OAS55" s="44"/>
      <c r="OAT55" s="44"/>
      <c r="OAU55" s="44"/>
      <c r="OAV55" s="44"/>
      <c r="OAW55" s="44"/>
      <c r="OAX55" s="44"/>
      <c r="OAY55" s="44"/>
      <c r="OAZ55" s="44"/>
      <c r="OBA55" s="44"/>
      <c r="OBB55" s="44"/>
      <c r="OBC55" s="44"/>
      <c r="OBD55" s="44"/>
      <c r="OBE55" s="44"/>
      <c r="OBF55" s="44"/>
      <c r="OBG55" s="44"/>
      <c r="OBH55" s="44"/>
      <c r="OBI55" s="44"/>
      <c r="OBJ55" s="44"/>
      <c r="OBK55" s="44"/>
      <c r="OBL55" s="44"/>
      <c r="OBM55" s="44"/>
      <c r="OBN55" s="44"/>
      <c r="OBO55" s="44"/>
      <c r="OBP55" s="44"/>
      <c r="OBQ55" s="44"/>
      <c r="OBR55" s="44"/>
      <c r="OBS55" s="44"/>
      <c r="OBT55" s="44"/>
      <c r="OBU55" s="44"/>
      <c r="OBV55" s="44"/>
      <c r="OBW55" s="44"/>
      <c r="OBX55" s="44"/>
      <c r="OBY55" s="44"/>
      <c r="OBZ55" s="44"/>
      <c r="OCA55" s="44"/>
      <c r="OCB55" s="44"/>
      <c r="OCC55" s="44"/>
      <c r="OCD55" s="44"/>
      <c r="OCE55" s="44"/>
      <c r="OCF55" s="44"/>
      <c r="OCG55" s="44"/>
      <c r="OCH55" s="44"/>
      <c r="OCI55" s="44"/>
      <c r="OCJ55" s="44"/>
      <c r="OCK55" s="44"/>
      <c r="OCL55" s="44"/>
      <c r="OCM55" s="44"/>
      <c r="OCN55" s="44"/>
      <c r="OCO55" s="44"/>
      <c r="OCP55" s="44"/>
      <c r="OCQ55" s="44"/>
      <c r="OCR55" s="44"/>
      <c r="OCS55" s="44"/>
      <c r="OCT55" s="44"/>
      <c r="OCU55" s="44"/>
      <c r="OCV55" s="44"/>
      <c r="OCW55" s="44"/>
      <c r="OCX55" s="44"/>
      <c r="OCY55" s="44"/>
      <c r="OCZ55" s="44"/>
      <c r="ODA55" s="44"/>
      <c r="ODB55" s="44"/>
      <c r="ODC55" s="44"/>
      <c r="ODD55" s="44"/>
      <c r="ODE55" s="44"/>
      <c r="ODF55" s="44"/>
      <c r="ODG55" s="44"/>
      <c r="ODH55" s="44"/>
      <c r="ODI55" s="44"/>
      <c r="ODJ55" s="44"/>
      <c r="ODK55" s="44"/>
      <c r="ODL55" s="44"/>
      <c r="ODM55" s="44"/>
      <c r="ODN55" s="44"/>
      <c r="ODO55" s="44"/>
      <c r="ODP55" s="44"/>
      <c r="ODQ55" s="44"/>
      <c r="ODR55" s="44"/>
      <c r="ODS55" s="44"/>
      <c r="ODT55" s="44"/>
      <c r="ODU55" s="44"/>
      <c r="ODV55" s="44"/>
      <c r="ODW55" s="44"/>
      <c r="ODX55" s="44"/>
      <c r="ODY55" s="44"/>
      <c r="ODZ55" s="44"/>
      <c r="OEA55" s="44"/>
      <c r="OEB55" s="44"/>
      <c r="OEC55" s="44"/>
      <c r="OED55" s="44"/>
      <c r="OEE55" s="44"/>
      <c r="OEF55" s="44"/>
      <c r="OEG55" s="44"/>
      <c r="OEH55" s="44"/>
      <c r="OEI55" s="44"/>
      <c r="OEJ55" s="44"/>
      <c r="OEK55" s="44"/>
      <c r="OEL55" s="44"/>
      <c r="OEM55" s="44"/>
      <c r="OEN55" s="44"/>
      <c r="OEO55" s="44"/>
      <c r="OEP55" s="44"/>
      <c r="OEQ55" s="44"/>
      <c r="OER55" s="44"/>
      <c r="OES55" s="44"/>
      <c r="OET55" s="44"/>
      <c r="OEU55" s="44"/>
      <c r="OEV55" s="44"/>
      <c r="OEW55" s="44"/>
      <c r="OEX55" s="44"/>
      <c r="OEY55" s="44"/>
      <c r="OEZ55" s="44"/>
      <c r="OFA55" s="44"/>
      <c r="OFB55" s="44"/>
      <c r="OFC55" s="44"/>
      <c r="OFD55" s="44"/>
      <c r="OFE55" s="44"/>
      <c r="OFF55" s="44"/>
      <c r="OFG55" s="44"/>
      <c r="OFH55" s="44"/>
      <c r="OFI55" s="44"/>
      <c r="OFJ55" s="44"/>
      <c r="OFK55" s="44"/>
      <c r="OFL55" s="44"/>
      <c r="OFM55" s="44"/>
      <c r="OFN55" s="44"/>
      <c r="OFO55" s="44"/>
      <c r="OFP55" s="44"/>
      <c r="OFQ55" s="44"/>
      <c r="OFR55" s="44"/>
      <c r="OFS55" s="44"/>
      <c r="OFT55" s="44"/>
      <c r="OFU55" s="44"/>
      <c r="OFV55" s="44"/>
      <c r="OFW55" s="44"/>
      <c r="OFX55" s="44"/>
      <c r="OFY55" s="44"/>
      <c r="OFZ55" s="44"/>
      <c r="OGA55" s="44"/>
      <c r="OGB55" s="44"/>
      <c r="OGC55" s="44"/>
      <c r="OGD55" s="44"/>
      <c r="OGE55" s="44"/>
      <c r="OGF55" s="44"/>
      <c r="OGG55" s="44"/>
      <c r="OGH55" s="44"/>
      <c r="OGI55" s="44"/>
      <c r="OGJ55" s="44"/>
      <c r="OGK55" s="44"/>
      <c r="OGL55" s="44"/>
      <c r="OGM55" s="44"/>
      <c r="OGN55" s="44"/>
      <c r="OGO55" s="44"/>
      <c r="OGP55" s="44"/>
      <c r="OGQ55" s="44"/>
      <c r="OGR55" s="44"/>
      <c r="OGS55" s="44"/>
      <c r="OGT55" s="44"/>
      <c r="OGU55" s="44"/>
      <c r="OGV55" s="44"/>
      <c r="OGW55" s="44"/>
      <c r="OGX55" s="44"/>
      <c r="OGY55" s="44"/>
      <c r="OGZ55" s="44"/>
      <c r="OHA55" s="44"/>
      <c r="OHB55" s="44"/>
      <c r="OHC55" s="44"/>
      <c r="OHD55" s="44"/>
      <c r="OHE55" s="44"/>
      <c r="OHF55" s="44"/>
      <c r="OHG55" s="44"/>
      <c r="OHH55" s="44"/>
      <c r="OHI55" s="44"/>
      <c r="OHJ55" s="44"/>
      <c r="OHK55" s="44"/>
      <c r="OHL55" s="44"/>
      <c r="OHM55" s="44"/>
      <c r="OHN55" s="44"/>
      <c r="OHO55" s="44"/>
      <c r="OHP55" s="44"/>
      <c r="OHQ55" s="44"/>
      <c r="OHR55" s="44"/>
      <c r="OHS55" s="44"/>
      <c r="OHT55" s="44"/>
      <c r="OHU55" s="44"/>
      <c r="OHV55" s="44"/>
      <c r="OHW55" s="44"/>
      <c r="OHX55" s="44"/>
      <c r="OHY55" s="44"/>
      <c r="OHZ55" s="44"/>
      <c r="OIA55" s="44"/>
      <c r="OIB55" s="44"/>
      <c r="OIC55" s="44"/>
      <c r="OID55" s="44"/>
      <c r="OIE55" s="44"/>
      <c r="OIF55" s="44"/>
      <c r="OIG55" s="44"/>
      <c r="OIH55" s="44"/>
      <c r="OII55" s="44"/>
      <c r="OIJ55" s="44"/>
      <c r="OIK55" s="44"/>
      <c r="OIL55" s="44"/>
      <c r="OIM55" s="44"/>
      <c r="OIN55" s="44"/>
      <c r="OIO55" s="44"/>
      <c r="OIP55" s="44"/>
      <c r="OIQ55" s="44"/>
      <c r="OIR55" s="44"/>
      <c r="OIS55" s="44"/>
      <c r="OIT55" s="44"/>
      <c r="OIU55" s="44"/>
      <c r="OIV55" s="44"/>
      <c r="OIW55" s="44"/>
      <c r="OIX55" s="44"/>
      <c r="OIY55" s="44"/>
      <c r="OIZ55" s="44"/>
      <c r="OJA55" s="44"/>
      <c r="OJB55" s="44"/>
      <c r="OJC55" s="44"/>
      <c r="OJD55" s="44"/>
      <c r="OJE55" s="44"/>
      <c r="OJF55" s="44"/>
      <c r="OJG55" s="44"/>
      <c r="OJH55" s="44"/>
      <c r="OJI55" s="44"/>
      <c r="OJJ55" s="44"/>
      <c r="OJK55" s="44"/>
      <c r="OJL55" s="44"/>
      <c r="OJM55" s="44"/>
      <c r="OJN55" s="44"/>
      <c r="OJO55" s="44"/>
      <c r="OJP55" s="44"/>
      <c r="OJQ55" s="44"/>
      <c r="OJR55" s="44"/>
      <c r="OJS55" s="44"/>
      <c r="OJT55" s="44"/>
      <c r="OJU55" s="44"/>
      <c r="OJV55" s="44"/>
      <c r="OJW55" s="44"/>
      <c r="OJX55" s="44"/>
      <c r="OJY55" s="44"/>
      <c r="OJZ55" s="44"/>
      <c r="OKA55" s="44"/>
      <c r="OKB55" s="44"/>
      <c r="OKC55" s="44"/>
      <c r="OKD55" s="44"/>
      <c r="OKE55" s="44"/>
      <c r="OKF55" s="44"/>
      <c r="OKG55" s="44"/>
      <c r="OKH55" s="44"/>
      <c r="OKI55" s="44"/>
      <c r="OKJ55" s="44"/>
      <c r="OKK55" s="44"/>
      <c r="OKL55" s="44"/>
      <c r="OKM55" s="44"/>
      <c r="OKN55" s="44"/>
      <c r="OKO55" s="44"/>
      <c r="OKP55" s="44"/>
      <c r="OKQ55" s="44"/>
      <c r="OKR55" s="44"/>
      <c r="OKS55" s="44"/>
      <c r="OKT55" s="44"/>
      <c r="OKU55" s="44"/>
      <c r="OKV55" s="44"/>
      <c r="OKW55" s="44"/>
      <c r="OKX55" s="44"/>
      <c r="OKY55" s="44"/>
      <c r="OKZ55" s="44"/>
      <c r="OLA55" s="44"/>
      <c r="OLB55" s="44"/>
      <c r="OLC55" s="44"/>
      <c r="OLD55" s="44"/>
      <c r="OLE55" s="44"/>
      <c r="OLF55" s="44"/>
      <c r="OLG55" s="44"/>
      <c r="OLH55" s="44"/>
      <c r="OLI55" s="44"/>
      <c r="OLJ55" s="44"/>
      <c r="OLK55" s="44"/>
      <c r="OLL55" s="44"/>
      <c r="OLM55" s="44"/>
      <c r="OLN55" s="44"/>
      <c r="OLO55" s="44"/>
      <c r="OLP55" s="44"/>
      <c r="OLQ55" s="44"/>
      <c r="OLR55" s="44"/>
      <c r="OLS55" s="44"/>
      <c r="OLT55" s="44"/>
      <c r="OLU55" s="44"/>
      <c r="OLV55" s="44"/>
      <c r="OLW55" s="44"/>
      <c r="OLX55" s="44"/>
      <c r="OLY55" s="44"/>
      <c r="OLZ55" s="44"/>
      <c r="OMA55" s="44"/>
      <c r="OMB55" s="44"/>
      <c r="OMC55" s="44"/>
      <c r="OMD55" s="44"/>
      <c r="OME55" s="44"/>
      <c r="OMF55" s="44"/>
      <c r="OMG55" s="44"/>
      <c r="OMH55" s="44"/>
      <c r="OMI55" s="44"/>
      <c r="OMJ55" s="44"/>
      <c r="OMK55" s="44"/>
      <c r="OML55" s="44"/>
      <c r="OMM55" s="44"/>
      <c r="OMN55" s="44"/>
      <c r="OMO55" s="44"/>
      <c r="OMP55" s="44"/>
      <c r="OMQ55" s="44"/>
      <c r="OMR55" s="44"/>
      <c r="OMS55" s="44"/>
      <c r="OMT55" s="44"/>
      <c r="OMU55" s="44"/>
      <c r="OMV55" s="44"/>
      <c r="OMW55" s="44"/>
      <c r="OMX55" s="44"/>
      <c r="OMY55" s="44"/>
      <c r="OMZ55" s="44"/>
      <c r="ONA55" s="44"/>
      <c r="ONB55" s="44"/>
      <c r="ONC55" s="44"/>
      <c r="OND55" s="44"/>
      <c r="ONE55" s="44"/>
      <c r="ONF55" s="44"/>
      <c r="ONG55" s="44"/>
      <c r="ONH55" s="44"/>
      <c r="ONI55" s="44"/>
      <c r="ONJ55" s="44"/>
      <c r="ONK55" s="44"/>
      <c r="ONL55" s="44"/>
      <c r="ONM55" s="44"/>
      <c r="ONN55" s="44"/>
      <c r="ONO55" s="44"/>
      <c r="ONP55" s="44"/>
      <c r="ONQ55" s="44"/>
      <c r="ONR55" s="44"/>
      <c r="ONS55" s="44"/>
      <c r="ONT55" s="44"/>
      <c r="ONU55" s="44"/>
      <c r="ONV55" s="44"/>
      <c r="ONW55" s="44"/>
      <c r="ONX55" s="44"/>
      <c r="ONY55" s="44"/>
      <c r="ONZ55" s="44"/>
      <c r="OOA55" s="44"/>
      <c r="OOB55" s="44"/>
      <c r="OOC55" s="44"/>
      <c r="OOD55" s="44"/>
      <c r="OOE55" s="44"/>
      <c r="OOF55" s="44"/>
      <c r="OOG55" s="44"/>
      <c r="OOH55" s="44"/>
      <c r="OOI55" s="44"/>
      <c r="OOJ55" s="44"/>
      <c r="OOK55" s="44"/>
      <c r="OOL55" s="44"/>
      <c r="OOM55" s="44"/>
      <c r="OON55" s="44"/>
      <c r="OOO55" s="44"/>
      <c r="OOP55" s="44"/>
      <c r="OOQ55" s="44"/>
      <c r="OOR55" s="44"/>
      <c r="OOS55" s="44"/>
      <c r="OOT55" s="44"/>
      <c r="OOU55" s="44"/>
      <c r="OOV55" s="44"/>
      <c r="OOW55" s="44"/>
      <c r="OOX55" s="44"/>
      <c r="OOY55" s="44"/>
      <c r="OOZ55" s="44"/>
      <c r="OPA55" s="44"/>
      <c r="OPB55" s="44"/>
      <c r="OPC55" s="44"/>
      <c r="OPD55" s="44"/>
      <c r="OPE55" s="44"/>
      <c r="OPF55" s="44"/>
      <c r="OPG55" s="44"/>
      <c r="OPH55" s="44"/>
      <c r="OPI55" s="44"/>
      <c r="OPJ55" s="44"/>
      <c r="OPK55" s="44"/>
      <c r="OPL55" s="44"/>
      <c r="OPM55" s="44"/>
      <c r="OPN55" s="44"/>
      <c r="OPO55" s="44"/>
      <c r="OPP55" s="44"/>
      <c r="OPQ55" s="44"/>
      <c r="OPR55" s="44"/>
      <c r="OPS55" s="44"/>
      <c r="OPT55" s="44"/>
      <c r="OPU55" s="44"/>
      <c r="OPV55" s="44"/>
      <c r="OPW55" s="44"/>
      <c r="OPX55" s="44"/>
      <c r="OPY55" s="44"/>
      <c r="OPZ55" s="44"/>
      <c r="OQA55" s="44"/>
      <c r="OQB55" s="44"/>
      <c r="OQC55" s="44"/>
      <c r="OQD55" s="44"/>
      <c r="OQE55" s="44"/>
      <c r="OQF55" s="44"/>
      <c r="OQG55" s="44"/>
      <c r="OQH55" s="44"/>
      <c r="OQI55" s="44"/>
      <c r="OQJ55" s="44"/>
      <c r="OQK55" s="44"/>
      <c r="OQL55" s="44"/>
      <c r="OQM55" s="44"/>
      <c r="OQN55" s="44"/>
      <c r="OQO55" s="44"/>
      <c r="OQP55" s="44"/>
      <c r="OQQ55" s="44"/>
      <c r="OQR55" s="44"/>
      <c r="OQS55" s="44"/>
      <c r="OQT55" s="44"/>
      <c r="OQU55" s="44"/>
      <c r="OQV55" s="44"/>
      <c r="OQW55" s="44"/>
      <c r="OQX55" s="44"/>
      <c r="OQY55" s="44"/>
      <c r="OQZ55" s="44"/>
      <c r="ORA55" s="44"/>
      <c r="ORB55" s="44"/>
      <c r="ORC55" s="44"/>
      <c r="ORD55" s="44"/>
      <c r="ORE55" s="44"/>
      <c r="ORF55" s="44"/>
      <c r="ORG55" s="44"/>
      <c r="ORH55" s="44"/>
      <c r="ORI55" s="44"/>
      <c r="ORJ55" s="44"/>
      <c r="ORK55" s="44"/>
      <c r="ORL55" s="44"/>
      <c r="ORM55" s="44"/>
      <c r="ORN55" s="44"/>
      <c r="ORO55" s="44"/>
      <c r="ORP55" s="44"/>
      <c r="ORQ55" s="44"/>
      <c r="ORR55" s="44"/>
      <c r="ORS55" s="44"/>
      <c r="ORT55" s="44"/>
      <c r="ORU55" s="44"/>
      <c r="ORV55" s="44"/>
      <c r="ORW55" s="44"/>
      <c r="ORX55" s="44"/>
      <c r="ORY55" s="44"/>
      <c r="ORZ55" s="44"/>
      <c r="OSA55" s="44"/>
      <c r="OSB55" s="44"/>
      <c r="OSC55" s="44"/>
      <c r="OSD55" s="44"/>
      <c r="OSE55" s="44"/>
      <c r="OSF55" s="44"/>
      <c r="OSG55" s="44"/>
      <c r="OSH55" s="44"/>
      <c r="OSI55" s="44"/>
      <c r="OSJ55" s="44"/>
      <c r="OSK55" s="44"/>
      <c r="OSL55" s="44"/>
      <c r="OSM55" s="44"/>
      <c r="OSN55" s="44"/>
      <c r="OSO55" s="44"/>
      <c r="OSP55" s="44"/>
      <c r="OSQ55" s="44"/>
      <c r="OSR55" s="44"/>
      <c r="OSS55" s="44"/>
      <c r="OST55" s="44"/>
      <c r="OSU55" s="44"/>
      <c r="OSV55" s="44"/>
      <c r="OSW55" s="44"/>
      <c r="OSX55" s="44"/>
      <c r="OSY55" s="44"/>
      <c r="OSZ55" s="44"/>
      <c r="OTA55" s="44"/>
      <c r="OTB55" s="44"/>
      <c r="OTC55" s="44"/>
      <c r="OTD55" s="44"/>
      <c r="OTE55" s="44"/>
      <c r="OTF55" s="44"/>
      <c r="OTG55" s="44"/>
      <c r="OTH55" s="44"/>
      <c r="OTI55" s="44"/>
      <c r="OTJ55" s="44"/>
      <c r="OTK55" s="44"/>
      <c r="OTL55" s="44"/>
      <c r="OTM55" s="44"/>
      <c r="OTN55" s="44"/>
      <c r="OTO55" s="44"/>
      <c r="OTP55" s="44"/>
      <c r="OTQ55" s="44"/>
      <c r="OTR55" s="44"/>
      <c r="OTS55" s="44"/>
      <c r="OTT55" s="44"/>
      <c r="OTU55" s="44"/>
      <c r="OTV55" s="44"/>
      <c r="OTW55" s="44"/>
      <c r="OTX55" s="44"/>
      <c r="OTY55" s="44"/>
      <c r="OTZ55" s="44"/>
      <c r="OUA55" s="44"/>
      <c r="OUB55" s="44"/>
      <c r="OUC55" s="44"/>
      <c r="OUD55" s="44"/>
      <c r="OUE55" s="44"/>
      <c r="OUF55" s="44"/>
      <c r="OUG55" s="44"/>
      <c r="OUH55" s="44"/>
      <c r="OUI55" s="44"/>
      <c r="OUJ55" s="44"/>
      <c r="OUK55" s="44"/>
      <c r="OUL55" s="44"/>
      <c r="OUM55" s="44"/>
      <c r="OUN55" s="44"/>
      <c r="OUO55" s="44"/>
      <c r="OUP55" s="44"/>
      <c r="OUQ55" s="44"/>
      <c r="OUR55" s="44"/>
      <c r="OUS55" s="44"/>
      <c r="OUT55" s="44"/>
      <c r="OUU55" s="44"/>
      <c r="OUV55" s="44"/>
      <c r="OUW55" s="44"/>
      <c r="OUX55" s="44"/>
      <c r="OUY55" s="44"/>
      <c r="OUZ55" s="44"/>
      <c r="OVA55" s="44"/>
      <c r="OVB55" s="44"/>
      <c r="OVC55" s="44"/>
      <c r="OVD55" s="44"/>
      <c r="OVE55" s="44"/>
      <c r="OVF55" s="44"/>
      <c r="OVG55" s="44"/>
      <c r="OVH55" s="44"/>
      <c r="OVI55" s="44"/>
      <c r="OVJ55" s="44"/>
      <c r="OVK55" s="44"/>
      <c r="OVL55" s="44"/>
      <c r="OVM55" s="44"/>
      <c r="OVN55" s="44"/>
      <c r="OVO55" s="44"/>
      <c r="OVP55" s="44"/>
      <c r="OVQ55" s="44"/>
      <c r="OVR55" s="44"/>
      <c r="OVS55" s="44"/>
      <c r="OVT55" s="44"/>
      <c r="OVU55" s="44"/>
      <c r="OVV55" s="44"/>
      <c r="OVW55" s="44"/>
      <c r="OVX55" s="44"/>
      <c r="OVY55" s="44"/>
      <c r="OVZ55" s="44"/>
      <c r="OWA55" s="44"/>
      <c r="OWB55" s="44"/>
      <c r="OWC55" s="44"/>
      <c r="OWD55" s="44"/>
      <c r="OWE55" s="44"/>
      <c r="OWF55" s="44"/>
      <c r="OWG55" s="44"/>
      <c r="OWH55" s="44"/>
      <c r="OWI55" s="44"/>
      <c r="OWJ55" s="44"/>
      <c r="OWK55" s="44"/>
      <c r="OWL55" s="44"/>
      <c r="OWM55" s="44"/>
      <c r="OWN55" s="44"/>
      <c r="OWO55" s="44"/>
      <c r="OWP55" s="44"/>
      <c r="OWQ55" s="44"/>
      <c r="OWR55" s="44"/>
      <c r="OWS55" s="44"/>
      <c r="OWT55" s="44"/>
      <c r="OWU55" s="44"/>
      <c r="OWV55" s="44"/>
      <c r="OWW55" s="44"/>
      <c r="OWX55" s="44"/>
      <c r="OWY55" s="44"/>
      <c r="OWZ55" s="44"/>
      <c r="OXA55" s="44"/>
      <c r="OXB55" s="44"/>
      <c r="OXC55" s="44"/>
      <c r="OXD55" s="44"/>
      <c r="OXE55" s="44"/>
      <c r="OXF55" s="44"/>
      <c r="OXG55" s="44"/>
      <c r="OXH55" s="44"/>
      <c r="OXI55" s="44"/>
      <c r="OXJ55" s="44"/>
      <c r="OXK55" s="44"/>
      <c r="OXL55" s="44"/>
      <c r="OXM55" s="44"/>
      <c r="OXN55" s="44"/>
      <c r="OXO55" s="44"/>
      <c r="OXP55" s="44"/>
      <c r="OXQ55" s="44"/>
      <c r="OXR55" s="44"/>
      <c r="OXS55" s="44"/>
      <c r="OXT55" s="44"/>
      <c r="OXU55" s="44"/>
      <c r="OXV55" s="44"/>
      <c r="OXW55" s="44"/>
      <c r="OXX55" s="44"/>
      <c r="OXY55" s="44"/>
      <c r="OXZ55" s="44"/>
      <c r="OYA55" s="44"/>
      <c r="OYB55" s="44"/>
      <c r="OYC55" s="44"/>
      <c r="OYD55" s="44"/>
      <c r="OYE55" s="44"/>
      <c r="OYF55" s="44"/>
      <c r="OYG55" s="44"/>
      <c r="OYH55" s="44"/>
      <c r="OYI55" s="44"/>
      <c r="OYJ55" s="44"/>
      <c r="OYK55" s="44"/>
      <c r="OYL55" s="44"/>
      <c r="OYM55" s="44"/>
      <c r="OYN55" s="44"/>
      <c r="OYO55" s="44"/>
      <c r="OYP55" s="44"/>
      <c r="OYQ55" s="44"/>
      <c r="OYR55" s="44"/>
      <c r="OYS55" s="44"/>
      <c r="OYT55" s="44"/>
      <c r="OYU55" s="44"/>
      <c r="OYV55" s="44"/>
      <c r="OYW55" s="44"/>
      <c r="OYX55" s="44"/>
      <c r="OYY55" s="44"/>
      <c r="OYZ55" s="44"/>
      <c r="OZA55" s="44"/>
      <c r="OZB55" s="44"/>
      <c r="OZC55" s="44"/>
      <c r="OZD55" s="44"/>
      <c r="OZE55" s="44"/>
      <c r="OZF55" s="44"/>
      <c r="OZG55" s="44"/>
      <c r="OZH55" s="44"/>
      <c r="OZI55" s="44"/>
      <c r="OZJ55" s="44"/>
      <c r="OZK55" s="44"/>
      <c r="OZL55" s="44"/>
      <c r="OZM55" s="44"/>
      <c r="OZN55" s="44"/>
      <c r="OZO55" s="44"/>
      <c r="OZP55" s="44"/>
      <c r="OZQ55" s="44"/>
      <c r="OZR55" s="44"/>
      <c r="OZS55" s="44"/>
      <c r="OZT55" s="44"/>
      <c r="OZU55" s="44"/>
      <c r="OZV55" s="44"/>
      <c r="OZW55" s="44"/>
      <c r="OZX55" s="44"/>
      <c r="OZY55" s="44"/>
      <c r="OZZ55" s="44"/>
      <c r="PAA55" s="44"/>
      <c r="PAB55" s="44"/>
      <c r="PAC55" s="44"/>
      <c r="PAD55" s="44"/>
      <c r="PAE55" s="44"/>
      <c r="PAF55" s="44"/>
      <c r="PAG55" s="44"/>
      <c r="PAH55" s="44"/>
      <c r="PAI55" s="44"/>
      <c r="PAJ55" s="44"/>
      <c r="PAK55" s="44"/>
      <c r="PAL55" s="44"/>
      <c r="PAM55" s="44"/>
      <c r="PAN55" s="44"/>
      <c r="PAO55" s="44"/>
      <c r="PAP55" s="44"/>
      <c r="PAQ55" s="44"/>
      <c r="PAR55" s="44"/>
      <c r="PAS55" s="44"/>
      <c r="PAT55" s="44"/>
      <c r="PAU55" s="44"/>
      <c r="PAV55" s="44"/>
      <c r="PAW55" s="44"/>
      <c r="PAX55" s="44"/>
      <c r="PAY55" s="44"/>
      <c r="PAZ55" s="44"/>
      <c r="PBA55" s="44"/>
      <c r="PBB55" s="44"/>
      <c r="PBC55" s="44"/>
      <c r="PBD55" s="44"/>
      <c r="PBE55" s="44"/>
      <c r="PBF55" s="44"/>
      <c r="PBG55" s="44"/>
      <c r="PBH55" s="44"/>
      <c r="PBI55" s="44"/>
      <c r="PBJ55" s="44"/>
      <c r="PBK55" s="44"/>
      <c r="PBL55" s="44"/>
      <c r="PBM55" s="44"/>
      <c r="PBN55" s="44"/>
      <c r="PBO55" s="44"/>
      <c r="PBP55" s="44"/>
      <c r="PBQ55" s="44"/>
      <c r="PBR55" s="44"/>
      <c r="PBS55" s="44"/>
      <c r="PBT55" s="44"/>
      <c r="PBU55" s="44"/>
      <c r="PBV55" s="44"/>
      <c r="PBW55" s="44"/>
      <c r="PBX55" s="44"/>
      <c r="PBY55" s="44"/>
      <c r="PBZ55" s="44"/>
      <c r="PCA55" s="44"/>
      <c r="PCB55" s="44"/>
      <c r="PCC55" s="44"/>
      <c r="PCD55" s="44"/>
      <c r="PCE55" s="44"/>
      <c r="PCF55" s="44"/>
      <c r="PCG55" s="44"/>
      <c r="PCH55" s="44"/>
      <c r="PCI55" s="44"/>
      <c r="PCJ55" s="44"/>
      <c r="PCK55" s="44"/>
      <c r="PCL55" s="44"/>
      <c r="PCM55" s="44"/>
      <c r="PCN55" s="44"/>
      <c r="PCO55" s="44"/>
      <c r="PCP55" s="44"/>
      <c r="PCQ55" s="44"/>
      <c r="PCR55" s="44"/>
      <c r="PCS55" s="44"/>
      <c r="PCT55" s="44"/>
      <c r="PCU55" s="44"/>
      <c r="PCV55" s="44"/>
      <c r="PCW55" s="44"/>
      <c r="PCX55" s="44"/>
      <c r="PCY55" s="44"/>
      <c r="PCZ55" s="44"/>
      <c r="PDA55" s="44"/>
      <c r="PDB55" s="44"/>
      <c r="PDC55" s="44"/>
      <c r="PDD55" s="44"/>
      <c r="PDE55" s="44"/>
      <c r="PDF55" s="44"/>
      <c r="PDG55" s="44"/>
      <c r="PDH55" s="44"/>
      <c r="PDI55" s="44"/>
      <c r="PDJ55" s="44"/>
      <c r="PDK55" s="44"/>
      <c r="PDL55" s="44"/>
      <c r="PDM55" s="44"/>
      <c r="PDN55" s="44"/>
      <c r="PDO55" s="44"/>
      <c r="PDP55" s="44"/>
      <c r="PDQ55" s="44"/>
      <c r="PDR55" s="44"/>
      <c r="PDS55" s="44"/>
      <c r="PDT55" s="44"/>
      <c r="PDU55" s="44"/>
      <c r="PDV55" s="44"/>
      <c r="PDW55" s="44"/>
      <c r="PDX55" s="44"/>
      <c r="PDY55" s="44"/>
      <c r="PDZ55" s="44"/>
      <c r="PEA55" s="44"/>
      <c r="PEB55" s="44"/>
      <c r="PEC55" s="44"/>
      <c r="PED55" s="44"/>
      <c r="PEE55" s="44"/>
      <c r="PEF55" s="44"/>
      <c r="PEG55" s="44"/>
      <c r="PEH55" s="44"/>
      <c r="PEI55" s="44"/>
      <c r="PEJ55" s="44"/>
      <c r="PEK55" s="44"/>
      <c r="PEL55" s="44"/>
      <c r="PEM55" s="44"/>
      <c r="PEN55" s="44"/>
      <c r="PEO55" s="44"/>
      <c r="PEP55" s="44"/>
      <c r="PEQ55" s="44"/>
      <c r="PER55" s="44"/>
      <c r="PES55" s="44"/>
      <c r="PET55" s="44"/>
      <c r="PEU55" s="44"/>
      <c r="PEV55" s="44"/>
      <c r="PEW55" s="44"/>
      <c r="PEX55" s="44"/>
      <c r="PEY55" s="44"/>
      <c r="PEZ55" s="44"/>
      <c r="PFA55" s="44"/>
      <c r="PFB55" s="44"/>
      <c r="PFC55" s="44"/>
      <c r="PFD55" s="44"/>
      <c r="PFE55" s="44"/>
      <c r="PFF55" s="44"/>
      <c r="PFG55" s="44"/>
      <c r="PFH55" s="44"/>
      <c r="PFI55" s="44"/>
      <c r="PFJ55" s="44"/>
      <c r="PFK55" s="44"/>
      <c r="PFL55" s="44"/>
      <c r="PFM55" s="44"/>
      <c r="PFN55" s="44"/>
      <c r="PFO55" s="44"/>
      <c r="PFP55" s="44"/>
      <c r="PFQ55" s="44"/>
      <c r="PFR55" s="44"/>
      <c r="PFS55" s="44"/>
      <c r="PFT55" s="44"/>
      <c r="PFU55" s="44"/>
      <c r="PFV55" s="44"/>
      <c r="PFW55" s="44"/>
      <c r="PFX55" s="44"/>
      <c r="PFY55" s="44"/>
      <c r="PFZ55" s="44"/>
      <c r="PGA55" s="44"/>
      <c r="PGB55" s="44"/>
      <c r="PGC55" s="44"/>
      <c r="PGD55" s="44"/>
      <c r="PGE55" s="44"/>
      <c r="PGF55" s="44"/>
      <c r="PGG55" s="44"/>
      <c r="PGH55" s="44"/>
      <c r="PGI55" s="44"/>
      <c r="PGJ55" s="44"/>
      <c r="PGK55" s="44"/>
      <c r="PGL55" s="44"/>
      <c r="PGM55" s="44"/>
      <c r="PGN55" s="44"/>
      <c r="PGO55" s="44"/>
      <c r="PGP55" s="44"/>
      <c r="PGQ55" s="44"/>
      <c r="PGR55" s="44"/>
      <c r="PGS55" s="44"/>
      <c r="PGT55" s="44"/>
      <c r="PGU55" s="44"/>
      <c r="PGV55" s="44"/>
      <c r="PGW55" s="44"/>
      <c r="PGX55" s="44"/>
      <c r="PGY55" s="44"/>
      <c r="PGZ55" s="44"/>
      <c r="PHA55" s="44"/>
      <c r="PHB55" s="44"/>
      <c r="PHC55" s="44"/>
      <c r="PHD55" s="44"/>
      <c r="PHE55" s="44"/>
      <c r="PHF55" s="44"/>
      <c r="PHG55" s="44"/>
      <c r="PHH55" s="44"/>
      <c r="PHI55" s="44"/>
      <c r="PHJ55" s="44"/>
      <c r="PHK55" s="44"/>
      <c r="PHL55" s="44"/>
      <c r="PHM55" s="44"/>
      <c r="PHN55" s="44"/>
      <c r="PHO55" s="44"/>
      <c r="PHP55" s="44"/>
      <c r="PHQ55" s="44"/>
      <c r="PHR55" s="44"/>
      <c r="PHS55" s="44"/>
      <c r="PHT55" s="44"/>
      <c r="PHU55" s="44"/>
      <c r="PHV55" s="44"/>
      <c r="PHW55" s="44"/>
      <c r="PHX55" s="44"/>
      <c r="PHY55" s="44"/>
      <c r="PHZ55" s="44"/>
      <c r="PIA55" s="44"/>
      <c r="PIB55" s="44"/>
      <c r="PIC55" s="44"/>
      <c r="PID55" s="44"/>
      <c r="PIE55" s="44"/>
      <c r="PIF55" s="44"/>
      <c r="PIG55" s="44"/>
      <c r="PIH55" s="44"/>
      <c r="PII55" s="44"/>
      <c r="PIJ55" s="44"/>
      <c r="PIK55" s="44"/>
      <c r="PIL55" s="44"/>
      <c r="PIM55" s="44"/>
      <c r="PIN55" s="44"/>
      <c r="PIO55" s="44"/>
      <c r="PIP55" s="44"/>
      <c r="PIQ55" s="44"/>
      <c r="PIR55" s="44"/>
      <c r="PIS55" s="44"/>
      <c r="PIT55" s="44"/>
      <c r="PIU55" s="44"/>
      <c r="PIV55" s="44"/>
      <c r="PIW55" s="44"/>
      <c r="PIX55" s="44"/>
      <c r="PIY55" s="44"/>
      <c r="PIZ55" s="44"/>
      <c r="PJA55" s="44"/>
      <c r="PJB55" s="44"/>
      <c r="PJC55" s="44"/>
      <c r="PJD55" s="44"/>
      <c r="PJE55" s="44"/>
      <c r="PJF55" s="44"/>
      <c r="PJG55" s="44"/>
      <c r="PJH55" s="44"/>
      <c r="PJI55" s="44"/>
      <c r="PJJ55" s="44"/>
      <c r="PJK55" s="44"/>
      <c r="PJL55" s="44"/>
      <c r="PJM55" s="44"/>
      <c r="PJN55" s="44"/>
      <c r="PJO55" s="44"/>
      <c r="PJP55" s="44"/>
      <c r="PJQ55" s="44"/>
      <c r="PJR55" s="44"/>
      <c r="PJS55" s="44"/>
      <c r="PJT55" s="44"/>
      <c r="PJU55" s="44"/>
      <c r="PJV55" s="44"/>
      <c r="PJW55" s="44"/>
      <c r="PJX55" s="44"/>
      <c r="PJY55" s="44"/>
      <c r="PJZ55" s="44"/>
      <c r="PKA55" s="44"/>
      <c r="PKB55" s="44"/>
      <c r="PKC55" s="44"/>
      <c r="PKD55" s="44"/>
      <c r="PKE55" s="44"/>
      <c r="PKF55" s="44"/>
      <c r="PKG55" s="44"/>
      <c r="PKH55" s="44"/>
      <c r="PKI55" s="44"/>
      <c r="PKJ55" s="44"/>
      <c r="PKK55" s="44"/>
      <c r="PKL55" s="44"/>
      <c r="PKM55" s="44"/>
      <c r="PKN55" s="44"/>
      <c r="PKO55" s="44"/>
      <c r="PKP55" s="44"/>
      <c r="PKQ55" s="44"/>
      <c r="PKR55" s="44"/>
      <c r="PKS55" s="44"/>
      <c r="PKT55" s="44"/>
      <c r="PKU55" s="44"/>
      <c r="PKV55" s="44"/>
      <c r="PKW55" s="44"/>
      <c r="PKX55" s="44"/>
      <c r="PKY55" s="44"/>
      <c r="PKZ55" s="44"/>
      <c r="PLA55" s="44"/>
      <c r="PLB55" s="44"/>
      <c r="PLC55" s="44"/>
      <c r="PLD55" s="44"/>
      <c r="PLE55" s="44"/>
      <c r="PLF55" s="44"/>
      <c r="PLG55" s="44"/>
      <c r="PLH55" s="44"/>
      <c r="PLI55" s="44"/>
      <c r="PLJ55" s="44"/>
      <c r="PLK55" s="44"/>
      <c r="PLL55" s="44"/>
      <c r="PLM55" s="44"/>
      <c r="PLN55" s="44"/>
      <c r="PLO55" s="44"/>
      <c r="PLP55" s="44"/>
      <c r="PLQ55" s="44"/>
      <c r="PLR55" s="44"/>
      <c r="PLS55" s="44"/>
      <c r="PLT55" s="44"/>
      <c r="PLU55" s="44"/>
      <c r="PLV55" s="44"/>
      <c r="PLW55" s="44"/>
      <c r="PLX55" s="44"/>
      <c r="PLY55" s="44"/>
      <c r="PLZ55" s="44"/>
      <c r="PMA55" s="44"/>
      <c r="PMB55" s="44"/>
      <c r="PMC55" s="44"/>
      <c r="PMD55" s="44"/>
      <c r="PME55" s="44"/>
      <c r="PMF55" s="44"/>
      <c r="PMG55" s="44"/>
      <c r="PMH55" s="44"/>
      <c r="PMI55" s="44"/>
      <c r="PMJ55" s="44"/>
      <c r="PMK55" s="44"/>
      <c r="PML55" s="44"/>
      <c r="PMM55" s="44"/>
      <c r="PMN55" s="44"/>
      <c r="PMO55" s="44"/>
      <c r="PMP55" s="44"/>
      <c r="PMQ55" s="44"/>
      <c r="PMR55" s="44"/>
      <c r="PMS55" s="44"/>
      <c r="PMT55" s="44"/>
      <c r="PMU55" s="44"/>
      <c r="PMV55" s="44"/>
      <c r="PMW55" s="44"/>
      <c r="PMX55" s="44"/>
      <c r="PMY55" s="44"/>
      <c r="PMZ55" s="44"/>
      <c r="PNA55" s="44"/>
      <c r="PNB55" s="44"/>
      <c r="PNC55" s="44"/>
      <c r="PND55" s="44"/>
      <c r="PNE55" s="44"/>
      <c r="PNF55" s="44"/>
      <c r="PNG55" s="44"/>
      <c r="PNH55" s="44"/>
      <c r="PNI55" s="44"/>
      <c r="PNJ55" s="44"/>
      <c r="PNK55" s="44"/>
      <c r="PNL55" s="44"/>
      <c r="PNM55" s="44"/>
      <c r="PNN55" s="44"/>
      <c r="PNO55" s="44"/>
      <c r="PNP55" s="44"/>
      <c r="PNQ55" s="44"/>
      <c r="PNR55" s="44"/>
      <c r="PNS55" s="44"/>
      <c r="PNT55" s="44"/>
      <c r="PNU55" s="44"/>
      <c r="PNV55" s="44"/>
      <c r="PNW55" s="44"/>
      <c r="PNX55" s="44"/>
      <c r="PNY55" s="44"/>
      <c r="PNZ55" s="44"/>
      <c r="POA55" s="44"/>
      <c r="POB55" s="44"/>
      <c r="POC55" s="44"/>
      <c r="POD55" s="44"/>
      <c r="POE55" s="44"/>
      <c r="POF55" s="44"/>
      <c r="POG55" s="44"/>
      <c r="POH55" s="44"/>
      <c r="POI55" s="44"/>
      <c r="POJ55" s="44"/>
      <c r="POK55" s="44"/>
      <c r="POL55" s="44"/>
      <c r="POM55" s="44"/>
      <c r="PON55" s="44"/>
      <c r="POO55" s="44"/>
      <c r="POP55" s="44"/>
      <c r="POQ55" s="44"/>
      <c r="POR55" s="44"/>
      <c r="POS55" s="44"/>
      <c r="POT55" s="44"/>
      <c r="POU55" s="44"/>
      <c r="POV55" s="44"/>
      <c r="POW55" s="44"/>
      <c r="POX55" s="44"/>
      <c r="POY55" s="44"/>
      <c r="POZ55" s="44"/>
      <c r="PPA55" s="44"/>
      <c r="PPB55" s="44"/>
      <c r="PPC55" s="44"/>
      <c r="PPD55" s="44"/>
      <c r="PPE55" s="44"/>
      <c r="PPF55" s="44"/>
      <c r="PPG55" s="44"/>
      <c r="PPH55" s="44"/>
      <c r="PPI55" s="44"/>
      <c r="PPJ55" s="44"/>
      <c r="PPK55" s="44"/>
      <c r="PPL55" s="44"/>
      <c r="PPM55" s="44"/>
      <c r="PPN55" s="44"/>
      <c r="PPO55" s="44"/>
      <c r="PPP55" s="44"/>
      <c r="PPQ55" s="44"/>
      <c r="PPR55" s="44"/>
      <c r="PPS55" s="44"/>
      <c r="PPT55" s="44"/>
      <c r="PPU55" s="44"/>
      <c r="PPV55" s="44"/>
      <c r="PPW55" s="44"/>
      <c r="PPX55" s="44"/>
      <c r="PPY55" s="44"/>
      <c r="PPZ55" s="44"/>
      <c r="PQA55" s="44"/>
      <c r="PQB55" s="44"/>
      <c r="PQC55" s="44"/>
      <c r="PQD55" s="44"/>
      <c r="PQE55" s="44"/>
      <c r="PQF55" s="44"/>
      <c r="PQG55" s="44"/>
      <c r="PQH55" s="44"/>
      <c r="PQI55" s="44"/>
      <c r="PQJ55" s="44"/>
      <c r="PQK55" s="44"/>
      <c r="PQL55" s="44"/>
      <c r="PQM55" s="44"/>
      <c r="PQN55" s="44"/>
      <c r="PQO55" s="44"/>
      <c r="PQP55" s="44"/>
      <c r="PQQ55" s="44"/>
      <c r="PQR55" s="44"/>
      <c r="PQS55" s="44"/>
      <c r="PQT55" s="44"/>
      <c r="PQU55" s="44"/>
      <c r="PQV55" s="44"/>
      <c r="PQW55" s="44"/>
      <c r="PQX55" s="44"/>
      <c r="PQY55" s="44"/>
      <c r="PQZ55" s="44"/>
      <c r="PRA55" s="44"/>
      <c r="PRB55" s="44"/>
      <c r="PRC55" s="44"/>
      <c r="PRD55" s="44"/>
      <c r="PRE55" s="44"/>
      <c r="PRF55" s="44"/>
      <c r="PRG55" s="44"/>
      <c r="PRH55" s="44"/>
      <c r="PRI55" s="44"/>
      <c r="PRJ55" s="44"/>
      <c r="PRK55" s="44"/>
      <c r="PRL55" s="44"/>
      <c r="PRM55" s="44"/>
      <c r="PRN55" s="44"/>
      <c r="PRO55" s="44"/>
      <c r="PRP55" s="44"/>
      <c r="PRQ55" s="44"/>
      <c r="PRR55" s="44"/>
      <c r="PRS55" s="44"/>
      <c r="PRT55" s="44"/>
      <c r="PRU55" s="44"/>
      <c r="PRV55" s="44"/>
      <c r="PRW55" s="44"/>
      <c r="PRX55" s="44"/>
      <c r="PRY55" s="44"/>
      <c r="PRZ55" s="44"/>
      <c r="PSA55" s="44"/>
      <c r="PSB55" s="44"/>
      <c r="PSC55" s="44"/>
      <c r="PSD55" s="44"/>
      <c r="PSE55" s="44"/>
      <c r="PSF55" s="44"/>
      <c r="PSG55" s="44"/>
      <c r="PSH55" s="44"/>
      <c r="PSI55" s="44"/>
      <c r="PSJ55" s="44"/>
      <c r="PSK55" s="44"/>
      <c r="PSL55" s="44"/>
      <c r="PSM55" s="44"/>
      <c r="PSN55" s="44"/>
      <c r="PSO55" s="44"/>
      <c r="PSP55" s="44"/>
      <c r="PSQ55" s="44"/>
      <c r="PSR55" s="44"/>
      <c r="PSS55" s="44"/>
      <c r="PST55" s="44"/>
      <c r="PSU55" s="44"/>
      <c r="PSV55" s="44"/>
      <c r="PSW55" s="44"/>
      <c r="PSX55" s="44"/>
      <c r="PSY55" s="44"/>
      <c r="PSZ55" s="44"/>
      <c r="PTA55" s="44"/>
      <c r="PTB55" s="44"/>
      <c r="PTC55" s="44"/>
      <c r="PTD55" s="44"/>
      <c r="PTE55" s="44"/>
      <c r="PTF55" s="44"/>
      <c r="PTG55" s="44"/>
      <c r="PTH55" s="44"/>
      <c r="PTI55" s="44"/>
      <c r="PTJ55" s="44"/>
      <c r="PTK55" s="44"/>
      <c r="PTL55" s="44"/>
      <c r="PTM55" s="44"/>
      <c r="PTN55" s="44"/>
      <c r="PTO55" s="44"/>
      <c r="PTP55" s="44"/>
      <c r="PTQ55" s="44"/>
      <c r="PTR55" s="44"/>
      <c r="PTS55" s="44"/>
      <c r="PTT55" s="44"/>
      <c r="PTU55" s="44"/>
      <c r="PTV55" s="44"/>
      <c r="PTW55" s="44"/>
      <c r="PTX55" s="44"/>
      <c r="PTY55" s="44"/>
      <c r="PTZ55" s="44"/>
      <c r="PUA55" s="44"/>
      <c r="PUB55" s="44"/>
      <c r="PUC55" s="44"/>
      <c r="PUD55" s="44"/>
      <c r="PUE55" s="44"/>
      <c r="PUF55" s="44"/>
      <c r="PUG55" s="44"/>
      <c r="PUH55" s="44"/>
      <c r="PUI55" s="44"/>
      <c r="PUJ55" s="44"/>
      <c r="PUK55" s="44"/>
      <c r="PUL55" s="44"/>
      <c r="PUM55" s="44"/>
      <c r="PUN55" s="44"/>
      <c r="PUO55" s="44"/>
      <c r="PUP55" s="44"/>
      <c r="PUQ55" s="44"/>
      <c r="PUR55" s="44"/>
      <c r="PUS55" s="44"/>
      <c r="PUT55" s="44"/>
      <c r="PUU55" s="44"/>
      <c r="PUV55" s="44"/>
      <c r="PUW55" s="44"/>
      <c r="PUX55" s="44"/>
      <c r="PUY55" s="44"/>
      <c r="PUZ55" s="44"/>
      <c r="PVA55" s="44"/>
      <c r="PVB55" s="44"/>
      <c r="PVC55" s="44"/>
      <c r="PVD55" s="44"/>
      <c r="PVE55" s="44"/>
      <c r="PVF55" s="44"/>
      <c r="PVG55" s="44"/>
      <c r="PVH55" s="44"/>
      <c r="PVI55" s="44"/>
      <c r="PVJ55" s="44"/>
      <c r="PVK55" s="44"/>
      <c r="PVL55" s="44"/>
      <c r="PVM55" s="44"/>
      <c r="PVN55" s="44"/>
      <c r="PVO55" s="44"/>
      <c r="PVP55" s="44"/>
      <c r="PVQ55" s="44"/>
      <c r="PVR55" s="44"/>
      <c r="PVS55" s="44"/>
      <c r="PVT55" s="44"/>
      <c r="PVU55" s="44"/>
      <c r="PVV55" s="44"/>
      <c r="PVW55" s="44"/>
      <c r="PVX55" s="44"/>
      <c r="PVY55" s="44"/>
      <c r="PVZ55" s="44"/>
      <c r="PWA55" s="44"/>
      <c r="PWB55" s="44"/>
      <c r="PWC55" s="44"/>
      <c r="PWD55" s="44"/>
      <c r="PWE55" s="44"/>
      <c r="PWF55" s="44"/>
      <c r="PWG55" s="44"/>
      <c r="PWH55" s="44"/>
      <c r="PWI55" s="44"/>
      <c r="PWJ55" s="44"/>
      <c r="PWK55" s="44"/>
      <c r="PWL55" s="44"/>
      <c r="PWM55" s="44"/>
      <c r="PWN55" s="44"/>
      <c r="PWO55" s="44"/>
      <c r="PWP55" s="44"/>
      <c r="PWQ55" s="44"/>
      <c r="PWR55" s="44"/>
      <c r="PWS55" s="44"/>
      <c r="PWT55" s="44"/>
      <c r="PWU55" s="44"/>
      <c r="PWV55" s="44"/>
      <c r="PWW55" s="44"/>
      <c r="PWX55" s="44"/>
      <c r="PWY55" s="44"/>
      <c r="PWZ55" s="44"/>
      <c r="PXA55" s="44"/>
      <c r="PXB55" s="44"/>
      <c r="PXC55" s="44"/>
      <c r="PXD55" s="44"/>
      <c r="PXE55" s="44"/>
      <c r="PXF55" s="44"/>
      <c r="PXG55" s="44"/>
      <c r="PXH55" s="44"/>
      <c r="PXI55" s="44"/>
      <c r="PXJ55" s="44"/>
      <c r="PXK55" s="44"/>
      <c r="PXL55" s="44"/>
      <c r="PXM55" s="44"/>
      <c r="PXN55" s="44"/>
      <c r="PXO55" s="44"/>
      <c r="PXP55" s="44"/>
      <c r="PXQ55" s="44"/>
      <c r="PXR55" s="44"/>
      <c r="PXS55" s="44"/>
      <c r="PXT55" s="44"/>
      <c r="PXU55" s="44"/>
      <c r="PXV55" s="44"/>
      <c r="PXW55" s="44"/>
      <c r="PXX55" s="44"/>
      <c r="PXY55" s="44"/>
      <c r="PXZ55" s="44"/>
      <c r="PYA55" s="44"/>
      <c r="PYB55" s="44"/>
      <c r="PYC55" s="44"/>
      <c r="PYD55" s="44"/>
      <c r="PYE55" s="44"/>
      <c r="PYF55" s="44"/>
      <c r="PYG55" s="44"/>
      <c r="PYH55" s="44"/>
      <c r="PYI55" s="44"/>
      <c r="PYJ55" s="44"/>
      <c r="PYK55" s="44"/>
      <c r="PYL55" s="44"/>
      <c r="PYM55" s="44"/>
      <c r="PYN55" s="44"/>
      <c r="PYO55" s="44"/>
      <c r="PYP55" s="44"/>
      <c r="PYQ55" s="44"/>
      <c r="PYR55" s="44"/>
      <c r="PYS55" s="44"/>
      <c r="PYT55" s="44"/>
      <c r="PYU55" s="44"/>
      <c r="PYV55" s="44"/>
      <c r="PYW55" s="44"/>
      <c r="PYX55" s="44"/>
      <c r="PYY55" s="44"/>
      <c r="PYZ55" s="44"/>
      <c r="PZA55" s="44"/>
      <c r="PZB55" s="44"/>
      <c r="PZC55" s="44"/>
      <c r="PZD55" s="44"/>
      <c r="PZE55" s="44"/>
      <c r="PZF55" s="44"/>
      <c r="PZG55" s="44"/>
      <c r="PZH55" s="44"/>
      <c r="PZI55" s="44"/>
      <c r="PZJ55" s="44"/>
      <c r="PZK55" s="44"/>
      <c r="PZL55" s="44"/>
      <c r="PZM55" s="44"/>
      <c r="PZN55" s="44"/>
      <c r="PZO55" s="44"/>
      <c r="PZP55" s="44"/>
      <c r="PZQ55" s="44"/>
      <c r="PZR55" s="44"/>
      <c r="PZS55" s="44"/>
      <c r="PZT55" s="44"/>
      <c r="PZU55" s="44"/>
      <c r="PZV55" s="44"/>
      <c r="PZW55" s="44"/>
      <c r="PZX55" s="44"/>
      <c r="PZY55" s="44"/>
      <c r="PZZ55" s="44"/>
      <c r="QAA55" s="44"/>
      <c r="QAB55" s="44"/>
      <c r="QAC55" s="44"/>
      <c r="QAD55" s="44"/>
      <c r="QAE55" s="44"/>
      <c r="QAF55" s="44"/>
      <c r="QAG55" s="44"/>
      <c r="QAH55" s="44"/>
      <c r="QAI55" s="44"/>
      <c r="QAJ55" s="44"/>
      <c r="QAK55" s="44"/>
      <c r="QAL55" s="44"/>
      <c r="QAM55" s="44"/>
      <c r="QAN55" s="44"/>
      <c r="QAO55" s="44"/>
      <c r="QAP55" s="44"/>
      <c r="QAQ55" s="44"/>
      <c r="QAR55" s="44"/>
      <c r="QAS55" s="44"/>
      <c r="QAT55" s="44"/>
      <c r="QAU55" s="44"/>
      <c r="QAV55" s="44"/>
      <c r="QAW55" s="44"/>
      <c r="QAX55" s="44"/>
      <c r="QAY55" s="44"/>
      <c r="QAZ55" s="44"/>
      <c r="QBA55" s="44"/>
      <c r="QBB55" s="44"/>
      <c r="QBC55" s="44"/>
      <c r="QBD55" s="44"/>
      <c r="QBE55" s="44"/>
      <c r="QBF55" s="44"/>
      <c r="QBG55" s="44"/>
      <c r="QBH55" s="44"/>
      <c r="QBI55" s="44"/>
      <c r="QBJ55" s="44"/>
      <c r="QBK55" s="44"/>
      <c r="QBL55" s="44"/>
      <c r="QBM55" s="44"/>
      <c r="QBN55" s="44"/>
      <c r="QBO55" s="44"/>
      <c r="QBP55" s="44"/>
      <c r="QBQ55" s="44"/>
      <c r="QBR55" s="44"/>
      <c r="QBS55" s="44"/>
      <c r="QBT55" s="44"/>
      <c r="QBU55" s="44"/>
      <c r="QBV55" s="44"/>
      <c r="QBW55" s="44"/>
      <c r="QBX55" s="44"/>
      <c r="QBY55" s="44"/>
      <c r="QBZ55" s="44"/>
      <c r="QCA55" s="44"/>
      <c r="QCB55" s="44"/>
      <c r="QCC55" s="44"/>
      <c r="QCD55" s="44"/>
      <c r="QCE55" s="44"/>
      <c r="QCF55" s="44"/>
      <c r="QCG55" s="44"/>
      <c r="QCH55" s="44"/>
      <c r="QCI55" s="44"/>
      <c r="QCJ55" s="44"/>
      <c r="QCK55" s="44"/>
      <c r="QCL55" s="44"/>
      <c r="QCM55" s="44"/>
      <c r="QCN55" s="44"/>
      <c r="QCO55" s="44"/>
      <c r="QCP55" s="44"/>
      <c r="QCQ55" s="44"/>
      <c r="QCR55" s="44"/>
      <c r="QCS55" s="44"/>
      <c r="QCT55" s="44"/>
      <c r="QCU55" s="44"/>
      <c r="QCV55" s="44"/>
      <c r="QCW55" s="44"/>
      <c r="QCX55" s="44"/>
      <c r="QCY55" s="44"/>
      <c r="QCZ55" s="44"/>
      <c r="QDA55" s="44"/>
      <c r="QDB55" s="44"/>
      <c r="QDC55" s="44"/>
      <c r="QDD55" s="44"/>
      <c r="QDE55" s="44"/>
      <c r="QDF55" s="44"/>
      <c r="QDG55" s="44"/>
      <c r="QDH55" s="44"/>
      <c r="QDI55" s="44"/>
      <c r="QDJ55" s="44"/>
      <c r="QDK55" s="44"/>
      <c r="QDL55" s="44"/>
      <c r="QDM55" s="44"/>
      <c r="QDN55" s="44"/>
      <c r="QDO55" s="44"/>
      <c r="QDP55" s="44"/>
      <c r="QDQ55" s="44"/>
      <c r="QDR55" s="44"/>
      <c r="QDS55" s="44"/>
      <c r="QDT55" s="44"/>
      <c r="QDU55" s="44"/>
      <c r="QDV55" s="44"/>
      <c r="QDW55" s="44"/>
      <c r="QDX55" s="44"/>
      <c r="QDY55" s="44"/>
      <c r="QDZ55" s="44"/>
      <c r="QEA55" s="44"/>
      <c r="QEB55" s="44"/>
      <c r="QEC55" s="44"/>
      <c r="QED55" s="44"/>
      <c r="QEE55" s="44"/>
      <c r="QEF55" s="44"/>
      <c r="QEG55" s="44"/>
      <c r="QEH55" s="44"/>
      <c r="QEI55" s="44"/>
      <c r="QEJ55" s="44"/>
      <c r="QEK55" s="44"/>
      <c r="QEL55" s="44"/>
      <c r="QEM55" s="44"/>
      <c r="QEN55" s="44"/>
      <c r="QEO55" s="44"/>
      <c r="QEP55" s="44"/>
      <c r="QEQ55" s="44"/>
      <c r="QER55" s="44"/>
      <c r="QES55" s="44"/>
      <c r="QET55" s="44"/>
      <c r="QEU55" s="44"/>
      <c r="QEV55" s="44"/>
      <c r="QEW55" s="44"/>
      <c r="QEX55" s="44"/>
      <c r="QEY55" s="44"/>
      <c r="QEZ55" s="44"/>
      <c r="QFA55" s="44"/>
      <c r="QFB55" s="44"/>
      <c r="QFC55" s="44"/>
      <c r="QFD55" s="44"/>
      <c r="QFE55" s="44"/>
      <c r="QFF55" s="44"/>
      <c r="QFG55" s="44"/>
      <c r="QFH55" s="44"/>
      <c r="QFI55" s="44"/>
      <c r="QFJ55" s="44"/>
      <c r="QFK55" s="44"/>
      <c r="QFL55" s="44"/>
      <c r="QFM55" s="44"/>
      <c r="QFN55" s="44"/>
      <c r="QFO55" s="44"/>
      <c r="QFP55" s="44"/>
      <c r="QFQ55" s="44"/>
      <c r="QFR55" s="44"/>
      <c r="QFS55" s="44"/>
      <c r="QFT55" s="44"/>
      <c r="QFU55" s="44"/>
      <c r="QFV55" s="44"/>
      <c r="QFW55" s="44"/>
      <c r="QFX55" s="44"/>
      <c r="QFY55" s="44"/>
      <c r="QFZ55" s="44"/>
      <c r="QGA55" s="44"/>
      <c r="QGB55" s="44"/>
      <c r="QGC55" s="44"/>
      <c r="QGD55" s="44"/>
      <c r="QGE55" s="44"/>
      <c r="QGF55" s="44"/>
      <c r="QGG55" s="44"/>
      <c r="QGH55" s="44"/>
      <c r="QGI55" s="44"/>
      <c r="QGJ55" s="44"/>
      <c r="QGK55" s="44"/>
      <c r="QGL55" s="44"/>
      <c r="QGM55" s="44"/>
      <c r="QGN55" s="44"/>
      <c r="QGO55" s="44"/>
      <c r="QGP55" s="44"/>
      <c r="QGQ55" s="44"/>
      <c r="QGR55" s="44"/>
      <c r="QGS55" s="44"/>
      <c r="QGT55" s="44"/>
      <c r="QGU55" s="44"/>
      <c r="QGV55" s="44"/>
      <c r="QGW55" s="44"/>
      <c r="QGX55" s="44"/>
      <c r="QGY55" s="44"/>
      <c r="QGZ55" s="44"/>
      <c r="QHA55" s="44"/>
      <c r="QHB55" s="44"/>
      <c r="QHC55" s="44"/>
      <c r="QHD55" s="44"/>
      <c r="QHE55" s="44"/>
      <c r="QHF55" s="44"/>
      <c r="QHG55" s="44"/>
      <c r="QHH55" s="44"/>
      <c r="QHI55" s="44"/>
      <c r="QHJ55" s="44"/>
      <c r="QHK55" s="44"/>
      <c r="QHL55" s="44"/>
      <c r="QHM55" s="44"/>
      <c r="QHN55" s="44"/>
      <c r="QHO55" s="44"/>
      <c r="QHP55" s="44"/>
      <c r="QHQ55" s="44"/>
      <c r="QHR55" s="44"/>
      <c r="QHS55" s="44"/>
      <c r="QHT55" s="44"/>
      <c r="QHU55" s="44"/>
      <c r="QHV55" s="44"/>
      <c r="QHW55" s="44"/>
      <c r="QHX55" s="44"/>
      <c r="QHY55" s="44"/>
      <c r="QHZ55" s="44"/>
      <c r="QIA55" s="44"/>
      <c r="QIB55" s="44"/>
      <c r="QIC55" s="44"/>
      <c r="QID55" s="44"/>
      <c r="QIE55" s="44"/>
      <c r="QIF55" s="44"/>
      <c r="QIG55" s="44"/>
      <c r="QIH55" s="44"/>
      <c r="QII55" s="44"/>
      <c r="QIJ55" s="44"/>
      <c r="QIK55" s="44"/>
      <c r="QIL55" s="44"/>
      <c r="QIM55" s="44"/>
      <c r="QIN55" s="44"/>
      <c r="QIO55" s="44"/>
      <c r="QIP55" s="44"/>
      <c r="QIQ55" s="44"/>
      <c r="QIR55" s="44"/>
      <c r="QIS55" s="44"/>
      <c r="QIT55" s="44"/>
      <c r="QIU55" s="44"/>
      <c r="QIV55" s="44"/>
      <c r="QIW55" s="44"/>
      <c r="QIX55" s="44"/>
      <c r="QIY55" s="44"/>
      <c r="QIZ55" s="44"/>
      <c r="QJA55" s="44"/>
      <c r="QJB55" s="44"/>
      <c r="QJC55" s="44"/>
      <c r="QJD55" s="44"/>
      <c r="QJE55" s="44"/>
      <c r="QJF55" s="44"/>
      <c r="QJG55" s="44"/>
      <c r="QJH55" s="44"/>
      <c r="QJI55" s="44"/>
      <c r="QJJ55" s="44"/>
      <c r="QJK55" s="44"/>
      <c r="QJL55" s="44"/>
      <c r="QJM55" s="44"/>
      <c r="QJN55" s="44"/>
      <c r="QJO55" s="44"/>
      <c r="QJP55" s="44"/>
      <c r="QJQ55" s="44"/>
      <c r="QJR55" s="44"/>
      <c r="QJS55" s="44"/>
      <c r="QJT55" s="44"/>
      <c r="QJU55" s="44"/>
      <c r="QJV55" s="44"/>
      <c r="QJW55" s="44"/>
      <c r="QJX55" s="44"/>
      <c r="QJY55" s="44"/>
      <c r="QJZ55" s="44"/>
      <c r="QKA55" s="44"/>
      <c r="QKB55" s="44"/>
      <c r="QKC55" s="44"/>
      <c r="QKD55" s="44"/>
      <c r="QKE55" s="44"/>
      <c r="QKF55" s="44"/>
      <c r="QKG55" s="44"/>
      <c r="QKH55" s="44"/>
      <c r="QKI55" s="44"/>
      <c r="QKJ55" s="44"/>
      <c r="QKK55" s="44"/>
      <c r="QKL55" s="44"/>
      <c r="QKM55" s="44"/>
      <c r="QKN55" s="44"/>
      <c r="QKO55" s="44"/>
      <c r="QKP55" s="44"/>
      <c r="QKQ55" s="44"/>
      <c r="QKR55" s="44"/>
      <c r="QKS55" s="44"/>
      <c r="QKT55" s="44"/>
      <c r="QKU55" s="44"/>
      <c r="QKV55" s="44"/>
      <c r="QKW55" s="44"/>
      <c r="QKX55" s="44"/>
      <c r="QKY55" s="44"/>
      <c r="QKZ55" s="44"/>
      <c r="QLA55" s="44"/>
      <c r="QLB55" s="44"/>
      <c r="QLC55" s="44"/>
      <c r="QLD55" s="44"/>
      <c r="QLE55" s="44"/>
      <c r="QLF55" s="44"/>
      <c r="QLG55" s="44"/>
      <c r="QLH55" s="44"/>
      <c r="QLI55" s="44"/>
      <c r="QLJ55" s="44"/>
      <c r="QLK55" s="44"/>
      <c r="QLL55" s="44"/>
      <c r="QLM55" s="44"/>
      <c r="QLN55" s="44"/>
      <c r="QLO55" s="44"/>
      <c r="QLP55" s="44"/>
      <c r="QLQ55" s="44"/>
      <c r="QLR55" s="44"/>
      <c r="QLS55" s="44"/>
      <c r="QLT55" s="44"/>
      <c r="QLU55" s="44"/>
      <c r="QLV55" s="44"/>
      <c r="QLW55" s="44"/>
      <c r="QLX55" s="44"/>
      <c r="QLY55" s="44"/>
      <c r="QLZ55" s="44"/>
      <c r="QMA55" s="44"/>
      <c r="QMB55" s="44"/>
      <c r="QMC55" s="44"/>
      <c r="QMD55" s="44"/>
      <c r="QME55" s="44"/>
      <c r="QMF55" s="44"/>
      <c r="QMG55" s="44"/>
      <c r="QMH55" s="44"/>
      <c r="QMI55" s="44"/>
      <c r="QMJ55" s="44"/>
      <c r="QMK55" s="44"/>
      <c r="QML55" s="44"/>
      <c r="QMM55" s="44"/>
      <c r="QMN55" s="44"/>
      <c r="QMO55" s="44"/>
      <c r="QMP55" s="44"/>
      <c r="QMQ55" s="44"/>
      <c r="QMR55" s="44"/>
      <c r="QMS55" s="44"/>
      <c r="QMT55" s="44"/>
      <c r="QMU55" s="44"/>
      <c r="QMV55" s="44"/>
      <c r="QMW55" s="44"/>
      <c r="QMX55" s="44"/>
      <c r="QMY55" s="44"/>
      <c r="QMZ55" s="44"/>
      <c r="QNA55" s="44"/>
      <c r="QNB55" s="44"/>
      <c r="QNC55" s="44"/>
      <c r="QND55" s="44"/>
      <c r="QNE55" s="44"/>
      <c r="QNF55" s="44"/>
      <c r="QNG55" s="44"/>
      <c r="QNH55" s="44"/>
      <c r="QNI55" s="44"/>
      <c r="QNJ55" s="44"/>
      <c r="QNK55" s="44"/>
      <c r="QNL55" s="44"/>
      <c r="QNM55" s="44"/>
      <c r="QNN55" s="44"/>
      <c r="QNO55" s="44"/>
      <c r="QNP55" s="44"/>
      <c r="QNQ55" s="44"/>
      <c r="QNR55" s="44"/>
      <c r="QNS55" s="44"/>
      <c r="QNT55" s="44"/>
      <c r="QNU55" s="44"/>
      <c r="QNV55" s="44"/>
      <c r="QNW55" s="44"/>
      <c r="QNX55" s="44"/>
      <c r="QNY55" s="44"/>
      <c r="QNZ55" s="44"/>
      <c r="QOA55" s="44"/>
      <c r="QOB55" s="44"/>
      <c r="QOC55" s="44"/>
      <c r="QOD55" s="44"/>
      <c r="QOE55" s="44"/>
      <c r="QOF55" s="44"/>
      <c r="QOG55" s="44"/>
      <c r="QOH55" s="44"/>
      <c r="QOI55" s="44"/>
      <c r="QOJ55" s="44"/>
      <c r="QOK55" s="44"/>
      <c r="QOL55" s="44"/>
      <c r="QOM55" s="44"/>
      <c r="QON55" s="44"/>
      <c r="QOO55" s="44"/>
      <c r="QOP55" s="44"/>
      <c r="QOQ55" s="44"/>
      <c r="QOR55" s="44"/>
      <c r="QOS55" s="44"/>
      <c r="QOT55" s="44"/>
      <c r="QOU55" s="44"/>
      <c r="QOV55" s="44"/>
      <c r="QOW55" s="44"/>
      <c r="QOX55" s="44"/>
      <c r="QOY55" s="44"/>
      <c r="QOZ55" s="44"/>
      <c r="QPA55" s="44"/>
      <c r="QPB55" s="44"/>
      <c r="QPC55" s="44"/>
      <c r="QPD55" s="44"/>
      <c r="QPE55" s="44"/>
      <c r="QPF55" s="44"/>
      <c r="QPG55" s="44"/>
      <c r="QPH55" s="44"/>
      <c r="QPI55" s="44"/>
      <c r="QPJ55" s="44"/>
      <c r="QPK55" s="44"/>
      <c r="QPL55" s="44"/>
      <c r="QPM55" s="44"/>
      <c r="QPN55" s="44"/>
      <c r="QPO55" s="44"/>
      <c r="QPP55" s="44"/>
      <c r="QPQ55" s="44"/>
      <c r="QPR55" s="44"/>
      <c r="QPS55" s="44"/>
      <c r="QPT55" s="44"/>
      <c r="QPU55" s="44"/>
      <c r="QPV55" s="44"/>
      <c r="QPW55" s="44"/>
      <c r="QPX55" s="44"/>
      <c r="QPY55" s="44"/>
      <c r="QPZ55" s="44"/>
      <c r="QQA55" s="44"/>
      <c r="QQB55" s="44"/>
      <c r="QQC55" s="44"/>
      <c r="QQD55" s="44"/>
      <c r="QQE55" s="44"/>
      <c r="QQF55" s="44"/>
      <c r="QQG55" s="44"/>
      <c r="QQH55" s="44"/>
      <c r="QQI55" s="44"/>
      <c r="QQJ55" s="44"/>
      <c r="QQK55" s="44"/>
      <c r="QQL55" s="44"/>
      <c r="QQM55" s="44"/>
      <c r="QQN55" s="44"/>
      <c r="QQO55" s="44"/>
      <c r="QQP55" s="44"/>
      <c r="QQQ55" s="44"/>
      <c r="QQR55" s="44"/>
      <c r="QQS55" s="44"/>
      <c r="QQT55" s="44"/>
      <c r="QQU55" s="44"/>
      <c r="QQV55" s="44"/>
      <c r="QQW55" s="44"/>
      <c r="QQX55" s="44"/>
      <c r="QQY55" s="44"/>
      <c r="QQZ55" s="44"/>
      <c r="QRA55" s="44"/>
      <c r="QRB55" s="44"/>
      <c r="QRC55" s="44"/>
      <c r="QRD55" s="44"/>
      <c r="QRE55" s="44"/>
      <c r="QRF55" s="44"/>
      <c r="QRG55" s="44"/>
      <c r="QRH55" s="44"/>
      <c r="QRI55" s="44"/>
      <c r="QRJ55" s="44"/>
      <c r="QRK55" s="44"/>
      <c r="QRL55" s="44"/>
      <c r="QRM55" s="44"/>
      <c r="QRN55" s="44"/>
      <c r="QRO55" s="44"/>
      <c r="QRP55" s="44"/>
      <c r="QRQ55" s="44"/>
      <c r="QRR55" s="44"/>
      <c r="QRS55" s="44"/>
      <c r="QRT55" s="44"/>
      <c r="QRU55" s="44"/>
      <c r="QRV55" s="44"/>
      <c r="QRW55" s="44"/>
      <c r="QRX55" s="44"/>
      <c r="QRY55" s="44"/>
      <c r="QRZ55" s="44"/>
      <c r="QSA55" s="44"/>
      <c r="QSB55" s="44"/>
      <c r="QSC55" s="44"/>
      <c r="QSD55" s="44"/>
      <c r="QSE55" s="44"/>
      <c r="QSF55" s="44"/>
      <c r="QSG55" s="44"/>
      <c r="QSH55" s="44"/>
      <c r="QSI55" s="44"/>
      <c r="QSJ55" s="44"/>
      <c r="QSK55" s="44"/>
      <c r="QSL55" s="44"/>
      <c r="QSM55" s="44"/>
      <c r="QSN55" s="44"/>
      <c r="QSO55" s="44"/>
      <c r="QSP55" s="44"/>
      <c r="QSQ55" s="44"/>
      <c r="QSR55" s="44"/>
      <c r="QSS55" s="44"/>
      <c r="QST55" s="44"/>
      <c r="QSU55" s="44"/>
      <c r="QSV55" s="44"/>
      <c r="QSW55" s="44"/>
      <c r="QSX55" s="44"/>
      <c r="QSY55" s="44"/>
      <c r="QSZ55" s="44"/>
      <c r="QTA55" s="44"/>
      <c r="QTB55" s="44"/>
      <c r="QTC55" s="44"/>
      <c r="QTD55" s="44"/>
      <c r="QTE55" s="44"/>
      <c r="QTF55" s="44"/>
      <c r="QTG55" s="44"/>
      <c r="QTH55" s="44"/>
      <c r="QTI55" s="44"/>
      <c r="QTJ55" s="44"/>
      <c r="QTK55" s="44"/>
      <c r="QTL55" s="44"/>
      <c r="QTM55" s="44"/>
      <c r="QTN55" s="44"/>
      <c r="QTO55" s="44"/>
      <c r="QTP55" s="44"/>
      <c r="QTQ55" s="44"/>
      <c r="QTR55" s="44"/>
      <c r="QTS55" s="44"/>
      <c r="QTT55" s="44"/>
      <c r="QTU55" s="44"/>
      <c r="QTV55" s="44"/>
      <c r="QTW55" s="44"/>
      <c r="QTX55" s="44"/>
      <c r="QTY55" s="44"/>
      <c r="QTZ55" s="44"/>
      <c r="QUA55" s="44"/>
      <c r="QUB55" s="44"/>
      <c r="QUC55" s="44"/>
      <c r="QUD55" s="44"/>
      <c r="QUE55" s="44"/>
      <c r="QUF55" s="44"/>
      <c r="QUG55" s="44"/>
      <c r="QUH55" s="44"/>
      <c r="QUI55" s="44"/>
      <c r="QUJ55" s="44"/>
      <c r="QUK55" s="44"/>
      <c r="QUL55" s="44"/>
      <c r="QUM55" s="44"/>
      <c r="QUN55" s="44"/>
      <c r="QUO55" s="44"/>
      <c r="QUP55" s="44"/>
      <c r="QUQ55" s="44"/>
      <c r="QUR55" s="44"/>
      <c r="QUS55" s="44"/>
      <c r="QUT55" s="44"/>
      <c r="QUU55" s="44"/>
      <c r="QUV55" s="44"/>
      <c r="QUW55" s="44"/>
      <c r="QUX55" s="44"/>
      <c r="QUY55" s="44"/>
      <c r="QUZ55" s="44"/>
      <c r="QVA55" s="44"/>
      <c r="QVB55" s="44"/>
      <c r="QVC55" s="44"/>
      <c r="QVD55" s="44"/>
      <c r="QVE55" s="44"/>
      <c r="QVF55" s="44"/>
      <c r="QVG55" s="44"/>
      <c r="QVH55" s="44"/>
      <c r="QVI55" s="44"/>
      <c r="QVJ55" s="44"/>
      <c r="QVK55" s="44"/>
      <c r="QVL55" s="44"/>
      <c r="QVM55" s="44"/>
      <c r="QVN55" s="44"/>
      <c r="QVO55" s="44"/>
      <c r="QVP55" s="44"/>
      <c r="QVQ55" s="44"/>
      <c r="QVR55" s="44"/>
      <c r="QVS55" s="44"/>
      <c r="QVT55" s="44"/>
      <c r="QVU55" s="44"/>
      <c r="QVV55" s="44"/>
      <c r="QVW55" s="44"/>
      <c r="QVX55" s="44"/>
      <c r="QVY55" s="44"/>
      <c r="QVZ55" s="44"/>
      <c r="QWA55" s="44"/>
      <c r="QWB55" s="44"/>
      <c r="QWC55" s="44"/>
      <c r="QWD55" s="44"/>
      <c r="QWE55" s="44"/>
      <c r="QWF55" s="44"/>
      <c r="QWG55" s="44"/>
      <c r="QWH55" s="44"/>
      <c r="QWI55" s="44"/>
      <c r="QWJ55" s="44"/>
      <c r="QWK55" s="44"/>
      <c r="QWL55" s="44"/>
      <c r="QWM55" s="44"/>
      <c r="QWN55" s="44"/>
      <c r="QWO55" s="44"/>
      <c r="QWP55" s="44"/>
      <c r="QWQ55" s="44"/>
      <c r="QWR55" s="44"/>
      <c r="QWS55" s="44"/>
      <c r="QWT55" s="44"/>
      <c r="QWU55" s="44"/>
      <c r="QWV55" s="44"/>
      <c r="QWW55" s="44"/>
      <c r="QWX55" s="44"/>
      <c r="QWY55" s="44"/>
      <c r="QWZ55" s="44"/>
      <c r="QXA55" s="44"/>
      <c r="QXB55" s="44"/>
      <c r="QXC55" s="44"/>
      <c r="QXD55" s="44"/>
      <c r="QXE55" s="44"/>
      <c r="QXF55" s="44"/>
      <c r="QXG55" s="44"/>
      <c r="QXH55" s="44"/>
      <c r="QXI55" s="44"/>
      <c r="QXJ55" s="44"/>
      <c r="QXK55" s="44"/>
      <c r="QXL55" s="44"/>
      <c r="QXM55" s="44"/>
      <c r="QXN55" s="44"/>
      <c r="QXO55" s="44"/>
      <c r="QXP55" s="44"/>
      <c r="QXQ55" s="44"/>
      <c r="QXR55" s="44"/>
      <c r="QXS55" s="44"/>
      <c r="QXT55" s="44"/>
      <c r="QXU55" s="44"/>
      <c r="QXV55" s="44"/>
      <c r="QXW55" s="44"/>
      <c r="QXX55" s="44"/>
      <c r="QXY55" s="44"/>
      <c r="QXZ55" s="44"/>
      <c r="QYA55" s="44"/>
      <c r="QYB55" s="44"/>
      <c r="QYC55" s="44"/>
      <c r="QYD55" s="44"/>
      <c r="QYE55" s="44"/>
      <c r="QYF55" s="44"/>
      <c r="QYG55" s="44"/>
      <c r="QYH55" s="44"/>
      <c r="QYI55" s="44"/>
      <c r="QYJ55" s="44"/>
      <c r="QYK55" s="44"/>
      <c r="QYL55" s="44"/>
      <c r="QYM55" s="44"/>
      <c r="QYN55" s="44"/>
      <c r="QYO55" s="44"/>
      <c r="QYP55" s="44"/>
      <c r="QYQ55" s="44"/>
      <c r="QYR55" s="44"/>
      <c r="QYS55" s="44"/>
      <c r="QYT55" s="44"/>
      <c r="QYU55" s="44"/>
      <c r="QYV55" s="44"/>
      <c r="QYW55" s="44"/>
      <c r="QYX55" s="44"/>
      <c r="QYY55" s="44"/>
      <c r="QYZ55" s="44"/>
      <c r="QZA55" s="44"/>
      <c r="QZB55" s="44"/>
      <c r="QZC55" s="44"/>
      <c r="QZD55" s="44"/>
      <c r="QZE55" s="44"/>
      <c r="QZF55" s="44"/>
      <c r="QZG55" s="44"/>
      <c r="QZH55" s="44"/>
      <c r="QZI55" s="44"/>
      <c r="QZJ55" s="44"/>
      <c r="QZK55" s="44"/>
      <c r="QZL55" s="44"/>
      <c r="QZM55" s="44"/>
      <c r="QZN55" s="44"/>
      <c r="QZO55" s="44"/>
      <c r="QZP55" s="44"/>
      <c r="QZQ55" s="44"/>
      <c r="QZR55" s="44"/>
      <c r="QZS55" s="44"/>
      <c r="QZT55" s="44"/>
      <c r="QZU55" s="44"/>
      <c r="QZV55" s="44"/>
      <c r="QZW55" s="44"/>
      <c r="QZX55" s="44"/>
      <c r="QZY55" s="44"/>
      <c r="QZZ55" s="44"/>
      <c r="RAA55" s="44"/>
      <c r="RAB55" s="44"/>
      <c r="RAC55" s="44"/>
      <c r="RAD55" s="44"/>
      <c r="RAE55" s="44"/>
      <c r="RAF55" s="44"/>
      <c r="RAG55" s="44"/>
      <c r="RAH55" s="44"/>
      <c r="RAI55" s="44"/>
      <c r="RAJ55" s="44"/>
      <c r="RAK55" s="44"/>
      <c r="RAL55" s="44"/>
      <c r="RAM55" s="44"/>
      <c r="RAN55" s="44"/>
      <c r="RAO55" s="44"/>
      <c r="RAP55" s="44"/>
      <c r="RAQ55" s="44"/>
      <c r="RAR55" s="44"/>
      <c r="RAS55" s="44"/>
      <c r="RAT55" s="44"/>
      <c r="RAU55" s="44"/>
      <c r="RAV55" s="44"/>
      <c r="RAW55" s="44"/>
      <c r="RAX55" s="44"/>
      <c r="RAY55" s="44"/>
      <c r="RAZ55" s="44"/>
      <c r="RBA55" s="44"/>
      <c r="RBB55" s="44"/>
      <c r="RBC55" s="44"/>
      <c r="RBD55" s="44"/>
      <c r="RBE55" s="44"/>
      <c r="RBF55" s="44"/>
      <c r="RBG55" s="44"/>
      <c r="RBH55" s="44"/>
      <c r="RBI55" s="44"/>
      <c r="RBJ55" s="44"/>
      <c r="RBK55" s="44"/>
      <c r="RBL55" s="44"/>
      <c r="RBM55" s="44"/>
      <c r="RBN55" s="44"/>
      <c r="RBO55" s="44"/>
      <c r="RBP55" s="44"/>
      <c r="RBQ55" s="44"/>
      <c r="RBR55" s="44"/>
      <c r="RBS55" s="44"/>
      <c r="RBT55" s="44"/>
      <c r="RBU55" s="44"/>
      <c r="RBV55" s="44"/>
      <c r="RBW55" s="44"/>
      <c r="RBX55" s="44"/>
      <c r="RBY55" s="44"/>
      <c r="RBZ55" s="44"/>
      <c r="RCA55" s="44"/>
      <c r="RCB55" s="44"/>
      <c r="RCC55" s="44"/>
      <c r="RCD55" s="44"/>
      <c r="RCE55" s="44"/>
      <c r="RCF55" s="44"/>
      <c r="RCG55" s="44"/>
      <c r="RCH55" s="44"/>
      <c r="RCI55" s="44"/>
      <c r="RCJ55" s="44"/>
      <c r="RCK55" s="44"/>
      <c r="RCL55" s="44"/>
      <c r="RCM55" s="44"/>
      <c r="RCN55" s="44"/>
      <c r="RCO55" s="44"/>
      <c r="RCP55" s="44"/>
      <c r="RCQ55" s="44"/>
      <c r="RCR55" s="44"/>
      <c r="RCS55" s="44"/>
      <c r="RCT55" s="44"/>
      <c r="RCU55" s="44"/>
      <c r="RCV55" s="44"/>
      <c r="RCW55" s="44"/>
      <c r="RCX55" s="44"/>
      <c r="RCY55" s="44"/>
      <c r="RCZ55" s="44"/>
      <c r="RDA55" s="44"/>
      <c r="RDB55" s="44"/>
      <c r="RDC55" s="44"/>
      <c r="RDD55" s="44"/>
      <c r="RDE55" s="44"/>
      <c r="RDF55" s="44"/>
      <c r="RDG55" s="44"/>
      <c r="RDH55" s="44"/>
      <c r="RDI55" s="44"/>
      <c r="RDJ55" s="44"/>
      <c r="RDK55" s="44"/>
      <c r="RDL55" s="44"/>
      <c r="RDM55" s="44"/>
      <c r="RDN55" s="44"/>
      <c r="RDO55" s="44"/>
      <c r="RDP55" s="44"/>
      <c r="RDQ55" s="44"/>
      <c r="RDR55" s="44"/>
      <c r="RDS55" s="44"/>
      <c r="RDT55" s="44"/>
      <c r="RDU55" s="44"/>
      <c r="RDV55" s="44"/>
      <c r="RDW55" s="44"/>
      <c r="RDX55" s="44"/>
      <c r="RDY55" s="44"/>
      <c r="RDZ55" s="44"/>
      <c r="REA55" s="44"/>
      <c r="REB55" s="44"/>
      <c r="REC55" s="44"/>
      <c r="RED55" s="44"/>
      <c r="REE55" s="44"/>
      <c r="REF55" s="44"/>
      <c r="REG55" s="44"/>
      <c r="REH55" s="44"/>
      <c r="REI55" s="44"/>
      <c r="REJ55" s="44"/>
      <c r="REK55" s="44"/>
      <c r="REL55" s="44"/>
      <c r="REM55" s="44"/>
      <c r="REN55" s="44"/>
      <c r="REO55" s="44"/>
      <c r="REP55" s="44"/>
      <c r="REQ55" s="44"/>
      <c r="RER55" s="44"/>
      <c r="RES55" s="44"/>
      <c r="RET55" s="44"/>
      <c r="REU55" s="44"/>
      <c r="REV55" s="44"/>
      <c r="REW55" s="44"/>
      <c r="REX55" s="44"/>
      <c r="REY55" s="44"/>
      <c r="REZ55" s="44"/>
      <c r="RFA55" s="44"/>
      <c r="RFB55" s="44"/>
      <c r="RFC55" s="44"/>
      <c r="RFD55" s="44"/>
      <c r="RFE55" s="44"/>
      <c r="RFF55" s="44"/>
      <c r="RFG55" s="44"/>
      <c r="RFH55" s="44"/>
      <c r="RFI55" s="44"/>
      <c r="RFJ55" s="44"/>
      <c r="RFK55" s="44"/>
      <c r="RFL55" s="44"/>
      <c r="RFM55" s="44"/>
      <c r="RFN55" s="44"/>
      <c r="RFO55" s="44"/>
      <c r="RFP55" s="44"/>
      <c r="RFQ55" s="44"/>
      <c r="RFR55" s="44"/>
      <c r="RFS55" s="44"/>
      <c r="RFT55" s="44"/>
      <c r="RFU55" s="44"/>
      <c r="RFV55" s="44"/>
      <c r="RFW55" s="44"/>
      <c r="RFX55" s="44"/>
      <c r="RFY55" s="44"/>
      <c r="RFZ55" s="44"/>
      <c r="RGA55" s="44"/>
      <c r="RGB55" s="44"/>
      <c r="RGC55" s="44"/>
      <c r="RGD55" s="44"/>
      <c r="RGE55" s="44"/>
      <c r="RGF55" s="44"/>
      <c r="RGG55" s="44"/>
      <c r="RGH55" s="44"/>
      <c r="RGI55" s="44"/>
      <c r="RGJ55" s="44"/>
      <c r="RGK55" s="44"/>
      <c r="RGL55" s="44"/>
      <c r="RGM55" s="44"/>
      <c r="RGN55" s="44"/>
      <c r="RGO55" s="44"/>
      <c r="RGP55" s="44"/>
      <c r="RGQ55" s="44"/>
      <c r="RGR55" s="44"/>
      <c r="RGS55" s="44"/>
      <c r="RGT55" s="44"/>
      <c r="RGU55" s="44"/>
      <c r="RGV55" s="44"/>
      <c r="RGW55" s="44"/>
      <c r="RGX55" s="44"/>
      <c r="RGY55" s="44"/>
      <c r="RGZ55" s="44"/>
      <c r="RHA55" s="44"/>
      <c r="RHB55" s="44"/>
      <c r="RHC55" s="44"/>
      <c r="RHD55" s="44"/>
      <c r="RHE55" s="44"/>
      <c r="RHF55" s="44"/>
      <c r="RHG55" s="44"/>
      <c r="RHH55" s="44"/>
      <c r="RHI55" s="44"/>
      <c r="RHJ55" s="44"/>
      <c r="RHK55" s="44"/>
      <c r="RHL55" s="44"/>
      <c r="RHM55" s="44"/>
      <c r="RHN55" s="44"/>
      <c r="RHO55" s="44"/>
      <c r="RHP55" s="44"/>
      <c r="RHQ55" s="44"/>
      <c r="RHR55" s="44"/>
      <c r="RHS55" s="44"/>
      <c r="RHT55" s="44"/>
      <c r="RHU55" s="44"/>
      <c r="RHV55" s="44"/>
      <c r="RHW55" s="44"/>
      <c r="RHX55" s="44"/>
      <c r="RHY55" s="44"/>
      <c r="RHZ55" s="44"/>
      <c r="RIA55" s="44"/>
      <c r="RIB55" s="44"/>
      <c r="RIC55" s="44"/>
      <c r="RID55" s="44"/>
      <c r="RIE55" s="44"/>
      <c r="RIF55" s="44"/>
      <c r="RIG55" s="44"/>
      <c r="RIH55" s="44"/>
      <c r="RII55" s="44"/>
      <c r="RIJ55" s="44"/>
      <c r="RIK55" s="44"/>
      <c r="RIL55" s="44"/>
      <c r="RIM55" s="44"/>
      <c r="RIN55" s="44"/>
      <c r="RIO55" s="44"/>
      <c r="RIP55" s="44"/>
      <c r="RIQ55" s="44"/>
      <c r="RIR55" s="44"/>
      <c r="RIS55" s="44"/>
      <c r="RIT55" s="44"/>
      <c r="RIU55" s="44"/>
      <c r="RIV55" s="44"/>
      <c r="RIW55" s="44"/>
      <c r="RIX55" s="44"/>
      <c r="RIY55" s="44"/>
      <c r="RIZ55" s="44"/>
      <c r="RJA55" s="44"/>
      <c r="RJB55" s="44"/>
      <c r="RJC55" s="44"/>
      <c r="RJD55" s="44"/>
      <c r="RJE55" s="44"/>
      <c r="RJF55" s="44"/>
      <c r="RJG55" s="44"/>
      <c r="RJH55" s="44"/>
      <c r="RJI55" s="44"/>
      <c r="RJJ55" s="44"/>
      <c r="RJK55" s="44"/>
      <c r="RJL55" s="44"/>
      <c r="RJM55" s="44"/>
      <c r="RJN55" s="44"/>
      <c r="RJO55" s="44"/>
      <c r="RJP55" s="44"/>
      <c r="RJQ55" s="44"/>
      <c r="RJR55" s="44"/>
      <c r="RJS55" s="44"/>
      <c r="RJT55" s="44"/>
      <c r="RJU55" s="44"/>
      <c r="RJV55" s="44"/>
      <c r="RJW55" s="44"/>
      <c r="RJX55" s="44"/>
      <c r="RJY55" s="44"/>
      <c r="RJZ55" s="44"/>
      <c r="RKA55" s="44"/>
      <c r="RKB55" s="44"/>
      <c r="RKC55" s="44"/>
      <c r="RKD55" s="44"/>
      <c r="RKE55" s="44"/>
      <c r="RKF55" s="44"/>
      <c r="RKG55" s="44"/>
      <c r="RKH55" s="44"/>
      <c r="RKI55" s="44"/>
      <c r="RKJ55" s="44"/>
      <c r="RKK55" s="44"/>
      <c r="RKL55" s="44"/>
      <c r="RKM55" s="44"/>
      <c r="RKN55" s="44"/>
      <c r="RKO55" s="44"/>
      <c r="RKP55" s="44"/>
      <c r="RKQ55" s="44"/>
      <c r="RKR55" s="44"/>
      <c r="RKS55" s="44"/>
      <c r="RKT55" s="44"/>
      <c r="RKU55" s="44"/>
      <c r="RKV55" s="44"/>
      <c r="RKW55" s="44"/>
      <c r="RKX55" s="44"/>
      <c r="RKY55" s="44"/>
      <c r="RKZ55" s="44"/>
      <c r="RLA55" s="44"/>
      <c r="RLB55" s="44"/>
      <c r="RLC55" s="44"/>
      <c r="RLD55" s="44"/>
      <c r="RLE55" s="44"/>
      <c r="RLF55" s="44"/>
      <c r="RLG55" s="44"/>
      <c r="RLH55" s="44"/>
      <c r="RLI55" s="44"/>
      <c r="RLJ55" s="44"/>
      <c r="RLK55" s="44"/>
      <c r="RLL55" s="44"/>
      <c r="RLM55" s="44"/>
      <c r="RLN55" s="44"/>
      <c r="RLO55" s="44"/>
      <c r="RLP55" s="44"/>
      <c r="RLQ55" s="44"/>
      <c r="RLR55" s="44"/>
      <c r="RLS55" s="44"/>
      <c r="RLT55" s="44"/>
      <c r="RLU55" s="44"/>
      <c r="RLV55" s="44"/>
      <c r="RLW55" s="44"/>
      <c r="RLX55" s="44"/>
      <c r="RLY55" s="44"/>
      <c r="RLZ55" s="44"/>
      <c r="RMA55" s="44"/>
      <c r="RMB55" s="44"/>
      <c r="RMC55" s="44"/>
      <c r="RMD55" s="44"/>
      <c r="RME55" s="44"/>
      <c r="RMF55" s="44"/>
      <c r="RMG55" s="44"/>
      <c r="RMH55" s="44"/>
      <c r="RMI55" s="44"/>
      <c r="RMJ55" s="44"/>
      <c r="RMK55" s="44"/>
      <c r="RML55" s="44"/>
      <c r="RMM55" s="44"/>
      <c r="RMN55" s="44"/>
      <c r="RMO55" s="44"/>
      <c r="RMP55" s="44"/>
      <c r="RMQ55" s="44"/>
      <c r="RMR55" s="44"/>
      <c r="RMS55" s="44"/>
      <c r="RMT55" s="44"/>
      <c r="RMU55" s="44"/>
      <c r="RMV55" s="44"/>
      <c r="RMW55" s="44"/>
      <c r="RMX55" s="44"/>
      <c r="RMY55" s="44"/>
      <c r="RMZ55" s="44"/>
      <c r="RNA55" s="44"/>
      <c r="RNB55" s="44"/>
      <c r="RNC55" s="44"/>
      <c r="RND55" s="44"/>
      <c r="RNE55" s="44"/>
      <c r="RNF55" s="44"/>
      <c r="RNG55" s="44"/>
      <c r="RNH55" s="44"/>
      <c r="RNI55" s="44"/>
      <c r="RNJ55" s="44"/>
      <c r="RNK55" s="44"/>
      <c r="RNL55" s="44"/>
      <c r="RNM55" s="44"/>
      <c r="RNN55" s="44"/>
      <c r="RNO55" s="44"/>
      <c r="RNP55" s="44"/>
      <c r="RNQ55" s="44"/>
      <c r="RNR55" s="44"/>
      <c r="RNS55" s="44"/>
      <c r="RNT55" s="44"/>
      <c r="RNU55" s="44"/>
      <c r="RNV55" s="44"/>
      <c r="RNW55" s="44"/>
      <c r="RNX55" s="44"/>
      <c r="RNY55" s="44"/>
      <c r="RNZ55" s="44"/>
      <c r="ROA55" s="44"/>
      <c r="ROB55" s="44"/>
      <c r="ROC55" s="44"/>
      <c r="ROD55" s="44"/>
      <c r="ROE55" s="44"/>
      <c r="ROF55" s="44"/>
      <c r="ROG55" s="44"/>
      <c r="ROH55" s="44"/>
      <c r="ROI55" s="44"/>
      <c r="ROJ55" s="44"/>
      <c r="ROK55" s="44"/>
      <c r="ROL55" s="44"/>
      <c r="ROM55" s="44"/>
      <c r="RON55" s="44"/>
      <c r="ROO55" s="44"/>
      <c r="ROP55" s="44"/>
      <c r="ROQ55" s="44"/>
      <c r="ROR55" s="44"/>
      <c r="ROS55" s="44"/>
      <c r="ROT55" s="44"/>
      <c r="ROU55" s="44"/>
      <c r="ROV55" s="44"/>
      <c r="ROW55" s="44"/>
      <c r="ROX55" s="44"/>
      <c r="ROY55" s="44"/>
      <c r="ROZ55" s="44"/>
      <c r="RPA55" s="44"/>
      <c r="RPB55" s="44"/>
      <c r="RPC55" s="44"/>
      <c r="RPD55" s="44"/>
      <c r="RPE55" s="44"/>
      <c r="RPF55" s="44"/>
      <c r="RPG55" s="44"/>
      <c r="RPH55" s="44"/>
      <c r="RPI55" s="44"/>
      <c r="RPJ55" s="44"/>
      <c r="RPK55" s="44"/>
      <c r="RPL55" s="44"/>
      <c r="RPM55" s="44"/>
      <c r="RPN55" s="44"/>
      <c r="RPO55" s="44"/>
      <c r="RPP55" s="44"/>
      <c r="RPQ55" s="44"/>
      <c r="RPR55" s="44"/>
      <c r="RPS55" s="44"/>
      <c r="RPT55" s="44"/>
      <c r="RPU55" s="44"/>
      <c r="RPV55" s="44"/>
      <c r="RPW55" s="44"/>
      <c r="RPX55" s="44"/>
      <c r="RPY55" s="44"/>
      <c r="RPZ55" s="44"/>
      <c r="RQA55" s="44"/>
      <c r="RQB55" s="44"/>
      <c r="RQC55" s="44"/>
      <c r="RQD55" s="44"/>
      <c r="RQE55" s="44"/>
      <c r="RQF55" s="44"/>
      <c r="RQG55" s="44"/>
      <c r="RQH55" s="44"/>
      <c r="RQI55" s="44"/>
      <c r="RQJ55" s="44"/>
      <c r="RQK55" s="44"/>
      <c r="RQL55" s="44"/>
      <c r="RQM55" s="44"/>
      <c r="RQN55" s="44"/>
      <c r="RQO55" s="44"/>
      <c r="RQP55" s="44"/>
      <c r="RQQ55" s="44"/>
      <c r="RQR55" s="44"/>
      <c r="RQS55" s="44"/>
      <c r="RQT55" s="44"/>
      <c r="RQU55" s="44"/>
      <c r="RQV55" s="44"/>
      <c r="RQW55" s="44"/>
      <c r="RQX55" s="44"/>
      <c r="RQY55" s="44"/>
      <c r="RQZ55" s="44"/>
      <c r="RRA55" s="44"/>
      <c r="RRB55" s="44"/>
      <c r="RRC55" s="44"/>
      <c r="RRD55" s="44"/>
      <c r="RRE55" s="44"/>
      <c r="RRF55" s="44"/>
      <c r="RRG55" s="44"/>
      <c r="RRH55" s="44"/>
      <c r="RRI55" s="44"/>
      <c r="RRJ55" s="44"/>
      <c r="RRK55" s="44"/>
      <c r="RRL55" s="44"/>
      <c r="RRM55" s="44"/>
      <c r="RRN55" s="44"/>
      <c r="RRO55" s="44"/>
      <c r="RRP55" s="44"/>
      <c r="RRQ55" s="44"/>
      <c r="RRR55" s="44"/>
      <c r="RRS55" s="44"/>
      <c r="RRT55" s="44"/>
      <c r="RRU55" s="44"/>
      <c r="RRV55" s="44"/>
      <c r="RRW55" s="44"/>
      <c r="RRX55" s="44"/>
      <c r="RRY55" s="44"/>
      <c r="RRZ55" s="44"/>
      <c r="RSA55" s="44"/>
      <c r="RSB55" s="44"/>
      <c r="RSC55" s="44"/>
      <c r="RSD55" s="44"/>
      <c r="RSE55" s="44"/>
      <c r="RSF55" s="44"/>
      <c r="RSG55" s="44"/>
      <c r="RSH55" s="44"/>
      <c r="RSI55" s="44"/>
      <c r="RSJ55" s="44"/>
      <c r="RSK55" s="44"/>
      <c r="RSL55" s="44"/>
      <c r="RSM55" s="44"/>
      <c r="RSN55" s="44"/>
      <c r="RSO55" s="44"/>
      <c r="RSP55" s="44"/>
      <c r="RSQ55" s="44"/>
      <c r="RSR55" s="44"/>
      <c r="RSS55" s="44"/>
      <c r="RST55" s="44"/>
      <c r="RSU55" s="44"/>
      <c r="RSV55" s="44"/>
      <c r="RSW55" s="44"/>
      <c r="RSX55" s="44"/>
      <c r="RSY55" s="44"/>
      <c r="RSZ55" s="44"/>
      <c r="RTA55" s="44"/>
      <c r="RTB55" s="44"/>
      <c r="RTC55" s="44"/>
      <c r="RTD55" s="44"/>
      <c r="RTE55" s="44"/>
      <c r="RTF55" s="44"/>
      <c r="RTG55" s="44"/>
      <c r="RTH55" s="44"/>
      <c r="RTI55" s="44"/>
      <c r="RTJ55" s="44"/>
      <c r="RTK55" s="44"/>
      <c r="RTL55" s="44"/>
      <c r="RTM55" s="44"/>
      <c r="RTN55" s="44"/>
      <c r="RTO55" s="44"/>
      <c r="RTP55" s="44"/>
      <c r="RTQ55" s="44"/>
      <c r="RTR55" s="44"/>
      <c r="RTS55" s="44"/>
      <c r="RTT55" s="44"/>
      <c r="RTU55" s="44"/>
      <c r="RTV55" s="44"/>
      <c r="RTW55" s="44"/>
      <c r="RTX55" s="44"/>
      <c r="RTY55" s="44"/>
      <c r="RTZ55" s="44"/>
      <c r="RUA55" s="44"/>
      <c r="RUB55" s="44"/>
      <c r="RUC55" s="44"/>
      <c r="RUD55" s="44"/>
      <c r="RUE55" s="44"/>
      <c r="RUF55" s="44"/>
      <c r="RUG55" s="44"/>
      <c r="RUH55" s="44"/>
      <c r="RUI55" s="44"/>
      <c r="RUJ55" s="44"/>
      <c r="RUK55" s="44"/>
      <c r="RUL55" s="44"/>
      <c r="RUM55" s="44"/>
      <c r="RUN55" s="44"/>
      <c r="RUO55" s="44"/>
      <c r="RUP55" s="44"/>
      <c r="RUQ55" s="44"/>
      <c r="RUR55" s="44"/>
      <c r="RUS55" s="44"/>
      <c r="RUT55" s="44"/>
      <c r="RUU55" s="44"/>
      <c r="RUV55" s="44"/>
      <c r="RUW55" s="44"/>
      <c r="RUX55" s="44"/>
      <c r="RUY55" s="44"/>
      <c r="RUZ55" s="44"/>
      <c r="RVA55" s="44"/>
      <c r="RVB55" s="44"/>
      <c r="RVC55" s="44"/>
      <c r="RVD55" s="44"/>
      <c r="RVE55" s="44"/>
      <c r="RVF55" s="44"/>
      <c r="RVG55" s="44"/>
      <c r="RVH55" s="44"/>
      <c r="RVI55" s="44"/>
      <c r="RVJ55" s="44"/>
      <c r="RVK55" s="44"/>
      <c r="RVL55" s="44"/>
      <c r="RVM55" s="44"/>
      <c r="RVN55" s="44"/>
      <c r="RVO55" s="44"/>
      <c r="RVP55" s="44"/>
      <c r="RVQ55" s="44"/>
      <c r="RVR55" s="44"/>
      <c r="RVS55" s="44"/>
      <c r="RVT55" s="44"/>
      <c r="RVU55" s="44"/>
      <c r="RVV55" s="44"/>
      <c r="RVW55" s="44"/>
      <c r="RVX55" s="44"/>
      <c r="RVY55" s="44"/>
      <c r="RVZ55" s="44"/>
      <c r="RWA55" s="44"/>
      <c r="RWB55" s="44"/>
      <c r="RWC55" s="44"/>
      <c r="RWD55" s="44"/>
      <c r="RWE55" s="44"/>
      <c r="RWF55" s="44"/>
      <c r="RWG55" s="44"/>
      <c r="RWH55" s="44"/>
      <c r="RWI55" s="44"/>
      <c r="RWJ55" s="44"/>
      <c r="RWK55" s="44"/>
      <c r="RWL55" s="44"/>
      <c r="RWM55" s="44"/>
      <c r="RWN55" s="44"/>
      <c r="RWO55" s="44"/>
      <c r="RWP55" s="44"/>
      <c r="RWQ55" s="44"/>
      <c r="RWR55" s="44"/>
      <c r="RWS55" s="44"/>
      <c r="RWT55" s="44"/>
      <c r="RWU55" s="44"/>
      <c r="RWV55" s="44"/>
      <c r="RWW55" s="44"/>
      <c r="RWX55" s="44"/>
      <c r="RWY55" s="44"/>
      <c r="RWZ55" s="44"/>
      <c r="RXA55" s="44"/>
      <c r="RXB55" s="44"/>
      <c r="RXC55" s="44"/>
      <c r="RXD55" s="44"/>
      <c r="RXE55" s="44"/>
      <c r="RXF55" s="44"/>
      <c r="RXG55" s="44"/>
      <c r="RXH55" s="44"/>
      <c r="RXI55" s="44"/>
      <c r="RXJ55" s="44"/>
      <c r="RXK55" s="44"/>
      <c r="RXL55" s="44"/>
      <c r="RXM55" s="44"/>
      <c r="RXN55" s="44"/>
      <c r="RXO55" s="44"/>
      <c r="RXP55" s="44"/>
      <c r="RXQ55" s="44"/>
      <c r="RXR55" s="44"/>
      <c r="RXS55" s="44"/>
      <c r="RXT55" s="44"/>
      <c r="RXU55" s="44"/>
      <c r="RXV55" s="44"/>
      <c r="RXW55" s="44"/>
      <c r="RXX55" s="44"/>
      <c r="RXY55" s="44"/>
      <c r="RXZ55" s="44"/>
      <c r="RYA55" s="44"/>
      <c r="RYB55" s="44"/>
      <c r="RYC55" s="44"/>
      <c r="RYD55" s="44"/>
      <c r="RYE55" s="44"/>
      <c r="RYF55" s="44"/>
      <c r="RYG55" s="44"/>
      <c r="RYH55" s="44"/>
      <c r="RYI55" s="44"/>
      <c r="RYJ55" s="44"/>
      <c r="RYK55" s="44"/>
      <c r="RYL55" s="44"/>
      <c r="RYM55" s="44"/>
      <c r="RYN55" s="44"/>
      <c r="RYO55" s="44"/>
      <c r="RYP55" s="44"/>
      <c r="RYQ55" s="44"/>
      <c r="RYR55" s="44"/>
      <c r="RYS55" s="44"/>
      <c r="RYT55" s="44"/>
      <c r="RYU55" s="44"/>
      <c r="RYV55" s="44"/>
      <c r="RYW55" s="44"/>
      <c r="RYX55" s="44"/>
      <c r="RYY55" s="44"/>
      <c r="RYZ55" s="44"/>
      <c r="RZA55" s="44"/>
      <c r="RZB55" s="44"/>
      <c r="RZC55" s="44"/>
      <c r="RZD55" s="44"/>
      <c r="RZE55" s="44"/>
      <c r="RZF55" s="44"/>
      <c r="RZG55" s="44"/>
      <c r="RZH55" s="44"/>
      <c r="RZI55" s="44"/>
      <c r="RZJ55" s="44"/>
      <c r="RZK55" s="44"/>
      <c r="RZL55" s="44"/>
      <c r="RZM55" s="44"/>
      <c r="RZN55" s="44"/>
      <c r="RZO55" s="44"/>
      <c r="RZP55" s="44"/>
      <c r="RZQ55" s="44"/>
      <c r="RZR55" s="44"/>
      <c r="RZS55" s="44"/>
      <c r="RZT55" s="44"/>
      <c r="RZU55" s="44"/>
      <c r="RZV55" s="44"/>
      <c r="RZW55" s="44"/>
      <c r="RZX55" s="44"/>
      <c r="RZY55" s="44"/>
      <c r="RZZ55" s="44"/>
      <c r="SAA55" s="44"/>
      <c r="SAB55" s="44"/>
      <c r="SAC55" s="44"/>
      <c r="SAD55" s="44"/>
      <c r="SAE55" s="44"/>
      <c r="SAF55" s="44"/>
      <c r="SAG55" s="44"/>
      <c r="SAH55" s="44"/>
      <c r="SAI55" s="44"/>
      <c r="SAJ55" s="44"/>
      <c r="SAK55" s="44"/>
      <c r="SAL55" s="44"/>
      <c r="SAM55" s="44"/>
      <c r="SAN55" s="44"/>
      <c r="SAO55" s="44"/>
      <c r="SAP55" s="44"/>
      <c r="SAQ55" s="44"/>
      <c r="SAR55" s="44"/>
      <c r="SAS55" s="44"/>
      <c r="SAT55" s="44"/>
      <c r="SAU55" s="44"/>
      <c r="SAV55" s="44"/>
      <c r="SAW55" s="44"/>
      <c r="SAX55" s="44"/>
      <c r="SAY55" s="44"/>
      <c r="SAZ55" s="44"/>
      <c r="SBA55" s="44"/>
      <c r="SBB55" s="44"/>
      <c r="SBC55" s="44"/>
      <c r="SBD55" s="44"/>
      <c r="SBE55" s="44"/>
      <c r="SBF55" s="44"/>
      <c r="SBG55" s="44"/>
      <c r="SBH55" s="44"/>
      <c r="SBI55" s="44"/>
      <c r="SBJ55" s="44"/>
      <c r="SBK55" s="44"/>
      <c r="SBL55" s="44"/>
      <c r="SBM55" s="44"/>
      <c r="SBN55" s="44"/>
      <c r="SBO55" s="44"/>
      <c r="SBP55" s="44"/>
      <c r="SBQ55" s="44"/>
      <c r="SBR55" s="44"/>
      <c r="SBS55" s="44"/>
      <c r="SBT55" s="44"/>
      <c r="SBU55" s="44"/>
      <c r="SBV55" s="44"/>
      <c r="SBW55" s="44"/>
      <c r="SBX55" s="44"/>
      <c r="SBY55" s="44"/>
      <c r="SBZ55" s="44"/>
      <c r="SCA55" s="44"/>
      <c r="SCB55" s="44"/>
      <c r="SCC55" s="44"/>
      <c r="SCD55" s="44"/>
      <c r="SCE55" s="44"/>
      <c r="SCF55" s="44"/>
      <c r="SCG55" s="44"/>
      <c r="SCH55" s="44"/>
      <c r="SCI55" s="44"/>
      <c r="SCJ55" s="44"/>
      <c r="SCK55" s="44"/>
      <c r="SCL55" s="44"/>
      <c r="SCM55" s="44"/>
      <c r="SCN55" s="44"/>
      <c r="SCO55" s="44"/>
      <c r="SCP55" s="44"/>
      <c r="SCQ55" s="44"/>
      <c r="SCR55" s="44"/>
      <c r="SCS55" s="44"/>
      <c r="SCT55" s="44"/>
      <c r="SCU55" s="44"/>
      <c r="SCV55" s="44"/>
      <c r="SCW55" s="44"/>
      <c r="SCX55" s="44"/>
      <c r="SCY55" s="44"/>
      <c r="SCZ55" s="44"/>
      <c r="SDA55" s="44"/>
      <c r="SDB55" s="44"/>
      <c r="SDC55" s="44"/>
      <c r="SDD55" s="44"/>
      <c r="SDE55" s="44"/>
      <c r="SDF55" s="44"/>
      <c r="SDG55" s="44"/>
      <c r="SDH55" s="44"/>
      <c r="SDI55" s="44"/>
      <c r="SDJ55" s="44"/>
      <c r="SDK55" s="44"/>
      <c r="SDL55" s="44"/>
      <c r="SDM55" s="44"/>
      <c r="SDN55" s="44"/>
      <c r="SDO55" s="44"/>
      <c r="SDP55" s="44"/>
      <c r="SDQ55" s="44"/>
      <c r="SDR55" s="44"/>
      <c r="SDS55" s="44"/>
      <c r="SDT55" s="44"/>
      <c r="SDU55" s="44"/>
      <c r="SDV55" s="44"/>
      <c r="SDW55" s="44"/>
      <c r="SDX55" s="44"/>
      <c r="SDY55" s="44"/>
      <c r="SDZ55" s="44"/>
      <c r="SEA55" s="44"/>
      <c r="SEB55" s="44"/>
      <c r="SEC55" s="44"/>
      <c r="SED55" s="44"/>
      <c r="SEE55" s="44"/>
      <c r="SEF55" s="44"/>
      <c r="SEG55" s="44"/>
      <c r="SEH55" s="44"/>
      <c r="SEI55" s="44"/>
      <c r="SEJ55" s="44"/>
      <c r="SEK55" s="44"/>
      <c r="SEL55" s="44"/>
      <c r="SEM55" s="44"/>
      <c r="SEN55" s="44"/>
      <c r="SEO55" s="44"/>
      <c r="SEP55" s="44"/>
      <c r="SEQ55" s="44"/>
      <c r="SER55" s="44"/>
      <c r="SES55" s="44"/>
      <c r="SET55" s="44"/>
      <c r="SEU55" s="44"/>
      <c r="SEV55" s="44"/>
      <c r="SEW55" s="44"/>
      <c r="SEX55" s="44"/>
      <c r="SEY55" s="44"/>
      <c r="SEZ55" s="44"/>
      <c r="SFA55" s="44"/>
      <c r="SFB55" s="44"/>
      <c r="SFC55" s="44"/>
      <c r="SFD55" s="44"/>
      <c r="SFE55" s="44"/>
      <c r="SFF55" s="44"/>
      <c r="SFG55" s="44"/>
      <c r="SFH55" s="44"/>
      <c r="SFI55" s="44"/>
      <c r="SFJ55" s="44"/>
      <c r="SFK55" s="44"/>
      <c r="SFL55" s="44"/>
      <c r="SFM55" s="44"/>
      <c r="SFN55" s="44"/>
      <c r="SFO55" s="44"/>
      <c r="SFP55" s="44"/>
      <c r="SFQ55" s="44"/>
      <c r="SFR55" s="44"/>
      <c r="SFS55" s="44"/>
      <c r="SFT55" s="44"/>
      <c r="SFU55" s="44"/>
      <c r="SFV55" s="44"/>
      <c r="SFW55" s="44"/>
      <c r="SFX55" s="44"/>
      <c r="SFY55" s="44"/>
      <c r="SFZ55" s="44"/>
      <c r="SGA55" s="44"/>
      <c r="SGB55" s="44"/>
      <c r="SGC55" s="44"/>
      <c r="SGD55" s="44"/>
      <c r="SGE55" s="44"/>
      <c r="SGF55" s="44"/>
      <c r="SGG55" s="44"/>
      <c r="SGH55" s="44"/>
      <c r="SGI55" s="44"/>
      <c r="SGJ55" s="44"/>
      <c r="SGK55" s="44"/>
      <c r="SGL55" s="44"/>
      <c r="SGM55" s="44"/>
      <c r="SGN55" s="44"/>
      <c r="SGO55" s="44"/>
      <c r="SGP55" s="44"/>
      <c r="SGQ55" s="44"/>
      <c r="SGR55" s="44"/>
      <c r="SGS55" s="44"/>
      <c r="SGT55" s="44"/>
      <c r="SGU55" s="44"/>
      <c r="SGV55" s="44"/>
      <c r="SGW55" s="44"/>
      <c r="SGX55" s="44"/>
      <c r="SGY55" s="44"/>
      <c r="SGZ55" s="44"/>
      <c r="SHA55" s="44"/>
      <c r="SHB55" s="44"/>
      <c r="SHC55" s="44"/>
      <c r="SHD55" s="44"/>
      <c r="SHE55" s="44"/>
      <c r="SHF55" s="44"/>
      <c r="SHG55" s="44"/>
      <c r="SHH55" s="44"/>
      <c r="SHI55" s="44"/>
      <c r="SHJ55" s="44"/>
      <c r="SHK55" s="44"/>
      <c r="SHL55" s="44"/>
      <c r="SHM55" s="44"/>
      <c r="SHN55" s="44"/>
      <c r="SHO55" s="44"/>
      <c r="SHP55" s="44"/>
      <c r="SHQ55" s="44"/>
      <c r="SHR55" s="44"/>
      <c r="SHS55" s="44"/>
      <c r="SHT55" s="44"/>
      <c r="SHU55" s="44"/>
      <c r="SHV55" s="44"/>
      <c r="SHW55" s="44"/>
      <c r="SHX55" s="44"/>
      <c r="SHY55" s="44"/>
      <c r="SHZ55" s="44"/>
      <c r="SIA55" s="44"/>
      <c r="SIB55" s="44"/>
      <c r="SIC55" s="44"/>
      <c r="SID55" s="44"/>
      <c r="SIE55" s="44"/>
      <c r="SIF55" s="44"/>
      <c r="SIG55" s="44"/>
      <c r="SIH55" s="44"/>
      <c r="SII55" s="44"/>
      <c r="SIJ55" s="44"/>
      <c r="SIK55" s="44"/>
      <c r="SIL55" s="44"/>
      <c r="SIM55" s="44"/>
      <c r="SIN55" s="44"/>
      <c r="SIO55" s="44"/>
      <c r="SIP55" s="44"/>
      <c r="SIQ55" s="44"/>
      <c r="SIR55" s="44"/>
      <c r="SIS55" s="44"/>
      <c r="SIT55" s="44"/>
      <c r="SIU55" s="44"/>
      <c r="SIV55" s="44"/>
      <c r="SIW55" s="44"/>
      <c r="SIX55" s="44"/>
      <c r="SIY55" s="44"/>
      <c r="SIZ55" s="44"/>
      <c r="SJA55" s="44"/>
      <c r="SJB55" s="44"/>
      <c r="SJC55" s="44"/>
      <c r="SJD55" s="44"/>
      <c r="SJE55" s="44"/>
      <c r="SJF55" s="44"/>
      <c r="SJG55" s="44"/>
      <c r="SJH55" s="44"/>
      <c r="SJI55" s="44"/>
      <c r="SJJ55" s="44"/>
      <c r="SJK55" s="44"/>
      <c r="SJL55" s="44"/>
      <c r="SJM55" s="44"/>
      <c r="SJN55" s="44"/>
      <c r="SJO55" s="44"/>
      <c r="SJP55" s="44"/>
      <c r="SJQ55" s="44"/>
      <c r="SJR55" s="44"/>
      <c r="SJS55" s="44"/>
      <c r="SJT55" s="44"/>
      <c r="SJU55" s="44"/>
      <c r="SJV55" s="44"/>
      <c r="SJW55" s="44"/>
      <c r="SJX55" s="44"/>
      <c r="SJY55" s="44"/>
      <c r="SJZ55" s="44"/>
      <c r="SKA55" s="44"/>
      <c r="SKB55" s="44"/>
      <c r="SKC55" s="44"/>
      <c r="SKD55" s="44"/>
      <c r="SKE55" s="44"/>
      <c r="SKF55" s="44"/>
      <c r="SKG55" s="44"/>
      <c r="SKH55" s="44"/>
      <c r="SKI55" s="44"/>
      <c r="SKJ55" s="44"/>
      <c r="SKK55" s="44"/>
      <c r="SKL55" s="44"/>
      <c r="SKM55" s="44"/>
      <c r="SKN55" s="44"/>
      <c r="SKO55" s="44"/>
      <c r="SKP55" s="44"/>
      <c r="SKQ55" s="44"/>
      <c r="SKR55" s="44"/>
      <c r="SKS55" s="44"/>
      <c r="SKT55" s="44"/>
      <c r="SKU55" s="44"/>
      <c r="SKV55" s="44"/>
      <c r="SKW55" s="44"/>
      <c r="SKX55" s="44"/>
      <c r="SKY55" s="44"/>
      <c r="SKZ55" s="44"/>
      <c r="SLA55" s="44"/>
      <c r="SLB55" s="44"/>
      <c r="SLC55" s="44"/>
      <c r="SLD55" s="44"/>
      <c r="SLE55" s="44"/>
      <c r="SLF55" s="44"/>
      <c r="SLG55" s="44"/>
      <c r="SLH55" s="44"/>
      <c r="SLI55" s="44"/>
      <c r="SLJ55" s="44"/>
      <c r="SLK55" s="44"/>
      <c r="SLL55" s="44"/>
      <c r="SLM55" s="44"/>
      <c r="SLN55" s="44"/>
      <c r="SLO55" s="44"/>
      <c r="SLP55" s="44"/>
      <c r="SLQ55" s="44"/>
      <c r="SLR55" s="44"/>
      <c r="SLS55" s="44"/>
      <c r="SLT55" s="44"/>
      <c r="SLU55" s="44"/>
      <c r="SLV55" s="44"/>
      <c r="SLW55" s="44"/>
      <c r="SLX55" s="44"/>
      <c r="SLY55" s="44"/>
      <c r="SLZ55" s="44"/>
      <c r="SMA55" s="44"/>
      <c r="SMB55" s="44"/>
      <c r="SMC55" s="44"/>
      <c r="SMD55" s="44"/>
      <c r="SME55" s="44"/>
      <c r="SMF55" s="44"/>
      <c r="SMG55" s="44"/>
      <c r="SMH55" s="44"/>
      <c r="SMI55" s="44"/>
      <c r="SMJ55" s="44"/>
      <c r="SMK55" s="44"/>
      <c r="SML55" s="44"/>
      <c r="SMM55" s="44"/>
      <c r="SMN55" s="44"/>
      <c r="SMO55" s="44"/>
      <c r="SMP55" s="44"/>
      <c r="SMQ55" s="44"/>
      <c r="SMR55" s="44"/>
      <c r="SMS55" s="44"/>
      <c r="SMT55" s="44"/>
      <c r="SMU55" s="44"/>
      <c r="SMV55" s="44"/>
      <c r="SMW55" s="44"/>
      <c r="SMX55" s="44"/>
      <c r="SMY55" s="44"/>
      <c r="SMZ55" s="44"/>
      <c r="SNA55" s="44"/>
      <c r="SNB55" s="44"/>
      <c r="SNC55" s="44"/>
      <c r="SND55" s="44"/>
      <c r="SNE55" s="44"/>
      <c r="SNF55" s="44"/>
      <c r="SNG55" s="44"/>
      <c r="SNH55" s="44"/>
      <c r="SNI55" s="44"/>
      <c r="SNJ55" s="44"/>
      <c r="SNK55" s="44"/>
      <c r="SNL55" s="44"/>
      <c r="SNM55" s="44"/>
      <c r="SNN55" s="44"/>
      <c r="SNO55" s="44"/>
      <c r="SNP55" s="44"/>
      <c r="SNQ55" s="44"/>
      <c r="SNR55" s="44"/>
      <c r="SNS55" s="44"/>
      <c r="SNT55" s="44"/>
      <c r="SNU55" s="44"/>
      <c r="SNV55" s="44"/>
      <c r="SNW55" s="44"/>
      <c r="SNX55" s="44"/>
      <c r="SNY55" s="44"/>
      <c r="SNZ55" s="44"/>
      <c r="SOA55" s="44"/>
      <c r="SOB55" s="44"/>
      <c r="SOC55" s="44"/>
      <c r="SOD55" s="44"/>
      <c r="SOE55" s="44"/>
      <c r="SOF55" s="44"/>
      <c r="SOG55" s="44"/>
      <c r="SOH55" s="44"/>
      <c r="SOI55" s="44"/>
      <c r="SOJ55" s="44"/>
      <c r="SOK55" s="44"/>
      <c r="SOL55" s="44"/>
      <c r="SOM55" s="44"/>
      <c r="SON55" s="44"/>
      <c r="SOO55" s="44"/>
      <c r="SOP55" s="44"/>
      <c r="SOQ55" s="44"/>
      <c r="SOR55" s="44"/>
      <c r="SOS55" s="44"/>
      <c r="SOT55" s="44"/>
      <c r="SOU55" s="44"/>
      <c r="SOV55" s="44"/>
      <c r="SOW55" s="44"/>
      <c r="SOX55" s="44"/>
      <c r="SOY55" s="44"/>
      <c r="SOZ55" s="44"/>
      <c r="SPA55" s="44"/>
      <c r="SPB55" s="44"/>
      <c r="SPC55" s="44"/>
      <c r="SPD55" s="44"/>
      <c r="SPE55" s="44"/>
      <c r="SPF55" s="44"/>
      <c r="SPG55" s="44"/>
      <c r="SPH55" s="44"/>
      <c r="SPI55" s="44"/>
      <c r="SPJ55" s="44"/>
      <c r="SPK55" s="44"/>
      <c r="SPL55" s="44"/>
      <c r="SPM55" s="44"/>
      <c r="SPN55" s="44"/>
      <c r="SPO55" s="44"/>
      <c r="SPP55" s="44"/>
      <c r="SPQ55" s="44"/>
      <c r="SPR55" s="44"/>
      <c r="SPS55" s="44"/>
      <c r="SPT55" s="44"/>
      <c r="SPU55" s="44"/>
      <c r="SPV55" s="44"/>
      <c r="SPW55" s="44"/>
      <c r="SPX55" s="44"/>
      <c r="SPY55" s="44"/>
      <c r="SPZ55" s="44"/>
      <c r="SQA55" s="44"/>
      <c r="SQB55" s="44"/>
      <c r="SQC55" s="44"/>
      <c r="SQD55" s="44"/>
      <c r="SQE55" s="44"/>
      <c r="SQF55" s="44"/>
      <c r="SQG55" s="44"/>
      <c r="SQH55" s="44"/>
      <c r="SQI55" s="44"/>
      <c r="SQJ55" s="44"/>
      <c r="SQK55" s="44"/>
      <c r="SQL55" s="44"/>
      <c r="SQM55" s="44"/>
      <c r="SQN55" s="44"/>
      <c r="SQO55" s="44"/>
      <c r="SQP55" s="44"/>
      <c r="SQQ55" s="44"/>
      <c r="SQR55" s="44"/>
      <c r="SQS55" s="44"/>
      <c r="SQT55" s="44"/>
      <c r="SQU55" s="44"/>
      <c r="SQV55" s="44"/>
      <c r="SQW55" s="44"/>
      <c r="SQX55" s="44"/>
      <c r="SQY55" s="44"/>
      <c r="SQZ55" s="44"/>
      <c r="SRA55" s="44"/>
      <c r="SRB55" s="44"/>
      <c r="SRC55" s="44"/>
      <c r="SRD55" s="44"/>
      <c r="SRE55" s="44"/>
      <c r="SRF55" s="44"/>
      <c r="SRG55" s="44"/>
      <c r="SRH55" s="44"/>
      <c r="SRI55" s="44"/>
      <c r="SRJ55" s="44"/>
      <c r="SRK55" s="44"/>
      <c r="SRL55" s="44"/>
      <c r="SRM55" s="44"/>
      <c r="SRN55" s="44"/>
      <c r="SRO55" s="44"/>
      <c r="SRP55" s="44"/>
      <c r="SRQ55" s="44"/>
      <c r="SRR55" s="44"/>
      <c r="SRS55" s="44"/>
      <c r="SRT55" s="44"/>
      <c r="SRU55" s="44"/>
      <c r="SRV55" s="44"/>
      <c r="SRW55" s="44"/>
      <c r="SRX55" s="44"/>
      <c r="SRY55" s="44"/>
      <c r="SRZ55" s="44"/>
      <c r="SSA55" s="44"/>
      <c r="SSB55" s="44"/>
      <c r="SSC55" s="44"/>
      <c r="SSD55" s="44"/>
      <c r="SSE55" s="44"/>
      <c r="SSF55" s="44"/>
      <c r="SSG55" s="44"/>
      <c r="SSH55" s="44"/>
      <c r="SSI55" s="44"/>
      <c r="SSJ55" s="44"/>
      <c r="SSK55" s="44"/>
      <c r="SSL55" s="44"/>
      <c r="SSM55" s="44"/>
      <c r="SSN55" s="44"/>
      <c r="SSO55" s="44"/>
      <c r="SSP55" s="44"/>
      <c r="SSQ55" s="44"/>
      <c r="SSR55" s="44"/>
      <c r="SSS55" s="44"/>
      <c r="SST55" s="44"/>
      <c r="SSU55" s="44"/>
      <c r="SSV55" s="44"/>
      <c r="SSW55" s="44"/>
      <c r="SSX55" s="44"/>
      <c r="SSY55" s="44"/>
      <c r="SSZ55" s="44"/>
      <c r="STA55" s="44"/>
      <c r="STB55" s="44"/>
      <c r="STC55" s="44"/>
      <c r="STD55" s="44"/>
      <c r="STE55" s="44"/>
      <c r="STF55" s="44"/>
      <c r="STG55" s="44"/>
      <c r="STH55" s="44"/>
      <c r="STI55" s="44"/>
      <c r="STJ55" s="44"/>
      <c r="STK55" s="44"/>
      <c r="STL55" s="44"/>
      <c r="STM55" s="44"/>
      <c r="STN55" s="44"/>
      <c r="STO55" s="44"/>
      <c r="STP55" s="44"/>
      <c r="STQ55" s="44"/>
      <c r="STR55" s="44"/>
      <c r="STS55" s="44"/>
      <c r="STT55" s="44"/>
      <c r="STU55" s="44"/>
      <c r="STV55" s="44"/>
      <c r="STW55" s="44"/>
      <c r="STX55" s="44"/>
      <c r="STY55" s="44"/>
      <c r="STZ55" s="44"/>
      <c r="SUA55" s="44"/>
      <c r="SUB55" s="44"/>
      <c r="SUC55" s="44"/>
      <c r="SUD55" s="44"/>
      <c r="SUE55" s="44"/>
      <c r="SUF55" s="44"/>
      <c r="SUG55" s="44"/>
      <c r="SUH55" s="44"/>
      <c r="SUI55" s="44"/>
      <c r="SUJ55" s="44"/>
      <c r="SUK55" s="44"/>
      <c r="SUL55" s="44"/>
      <c r="SUM55" s="44"/>
      <c r="SUN55" s="44"/>
      <c r="SUO55" s="44"/>
      <c r="SUP55" s="44"/>
      <c r="SUQ55" s="44"/>
      <c r="SUR55" s="44"/>
      <c r="SUS55" s="44"/>
      <c r="SUT55" s="44"/>
      <c r="SUU55" s="44"/>
      <c r="SUV55" s="44"/>
      <c r="SUW55" s="44"/>
      <c r="SUX55" s="44"/>
      <c r="SUY55" s="44"/>
      <c r="SUZ55" s="44"/>
      <c r="SVA55" s="44"/>
      <c r="SVB55" s="44"/>
      <c r="SVC55" s="44"/>
      <c r="SVD55" s="44"/>
      <c r="SVE55" s="44"/>
      <c r="SVF55" s="44"/>
      <c r="SVG55" s="44"/>
      <c r="SVH55" s="44"/>
      <c r="SVI55" s="44"/>
      <c r="SVJ55" s="44"/>
      <c r="SVK55" s="44"/>
      <c r="SVL55" s="44"/>
      <c r="SVM55" s="44"/>
      <c r="SVN55" s="44"/>
      <c r="SVO55" s="44"/>
      <c r="SVP55" s="44"/>
      <c r="SVQ55" s="44"/>
      <c r="SVR55" s="44"/>
      <c r="SVS55" s="44"/>
      <c r="SVT55" s="44"/>
      <c r="SVU55" s="44"/>
      <c r="SVV55" s="44"/>
      <c r="SVW55" s="44"/>
      <c r="SVX55" s="44"/>
      <c r="SVY55" s="44"/>
      <c r="SVZ55" s="44"/>
      <c r="SWA55" s="44"/>
      <c r="SWB55" s="44"/>
      <c r="SWC55" s="44"/>
      <c r="SWD55" s="44"/>
      <c r="SWE55" s="44"/>
      <c r="SWF55" s="44"/>
      <c r="SWG55" s="44"/>
      <c r="SWH55" s="44"/>
      <c r="SWI55" s="44"/>
      <c r="SWJ55" s="44"/>
      <c r="SWK55" s="44"/>
      <c r="SWL55" s="44"/>
      <c r="SWM55" s="44"/>
      <c r="SWN55" s="44"/>
      <c r="SWO55" s="44"/>
      <c r="SWP55" s="44"/>
      <c r="SWQ55" s="44"/>
      <c r="SWR55" s="44"/>
      <c r="SWS55" s="44"/>
      <c r="SWT55" s="44"/>
      <c r="SWU55" s="44"/>
      <c r="SWV55" s="44"/>
      <c r="SWW55" s="44"/>
      <c r="SWX55" s="44"/>
      <c r="SWY55" s="44"/>
      <c r="SWZ55" s="44"/>
      <c r="SXA55" s="44"/>
      <c r="SXB55" s="44"/>
      <c r="SXC55" s="44"/>
      <c r="SXD55" s="44"/>
      <c r="SXE55" s="44"/>
      <c r="SXF55" s="44"/>
      <c r="SXG55" s="44"/>
      <c r="SXH55" s="44"/>
      <c r="SXI55" s="44"/>
      <c r="SXJ55" s="44"/>
      <c r="SXK55" s="44"/>
      <c r="SXL55" s="44"/>
      <c r="SXM55" s="44"/>
      <c r="SXN55" s="44"/>
      <c r="SXO55" s="44"/>
      <c r="SXP55" s="44"/>
      <c r="SXQ55" s="44"/>
      <c r="SXR55" s="44"/>
      <c r="SXS55" s="44"/>
      <c r="SXT55" s="44"/>
      <c r="SXU55" s="44"/>
      <c r="SXV55" s="44"/>
      <c r="SXW55" s="44"/>
      <c r="SXX55" s="44"/>
      <c r="SXY55" s="44"/>
      <c r="SXZ55" s="44"/>
      <c r="SYA55" s="44"/>
      <c r="SYB55" s="44"/>
      <c r="SYC55" s="44"/>
      <c r="SYD55" s="44"/>
      <c r="SYE55" s="44"/>
      <c r="SYF55" s="44"/>
      <c r="SYG55" s="44"/>
      <c r="SYH55" s="44"/>
      <c r="SYI55" s="44"/>
      <c r="SYJ55" s="44"/>
      <c r="SYK55" s="44"/>
      <c r="SYL55" s="44"/>
      <c r="SYM55" s="44"/>
      <c r="SYN55" s="44"/>
      <c r="SYO55" s="44"/>
      <c r="SYP55" s="44"/>
      <c r="SYQ55" s="44"/>
      <c r="SYR55" s="44"/>
      <c r="SYS55" s="44"/>
      <c r="SYT55" s="44"/>
      <c r="SYU55" s="44"/>
      <c r="SYV55" s="44"/>
      <c r="SYW55" s="44"/>
      <c r="SYX55" s="44"/>
      <c r="SYY55" s="44"/>
      <c r="SYZ55" s="44"/>
      <c r="SZA55" s="44"/>
      <c r="SZB55" s="44"/>
      <c r="SZC55" s="44"/>
      <c r="SZD55" s="44"/>
      <c r="SZE55" s="44"/>
      <c r="SZF55" s="44"/>
      <c r="SZG55" s="44"/>
      <c r="SZH55" s="44"/>
      <c r="SZI55" s="44"/>
      <c r="SZJ55" s="44"/>
      <c r="SZK55" s="44"/>
      <c r="SZL55" s="44"/>
      <c r="SZM55" s="44"/>
      <c r="SZN55" s="44"/>
      <c r="SZO55" s="44"/>
      <c r="SZP55" s="44"/>
      <c r="SZQ55" s="44"/>
      <c r="SZR55" s="44"/>
      <c r="SZS55" s="44"/>
      <c r="SZT55" s="44"/>
      <c r="SZU55" s="44"/>
      <c r="SZV55" s="44"/>
      <c r="SZW55" s="44"/>
      <c r="SZX55" s="44"/>
      <c r="SZY55" s="44"/>
      <c r="SZZ55" s="44"/>
      <c r="TAA55" s="44"/>
      <c r="TAB55" s="44"/>
      <c r="TAC55" s="44"/>
      <c r="TAD55" s="44"/>
      <c r="TAE55" s="44"/>
      <c r="TAF55" s="44"/>
      <c r="TAG55" s="44"/>
      <c r="TAH55" s="44"/>
      <c r="TAI55" s="44"/>
      <c r="TAJ55" s="44"/>
      <c r="TAK55" s="44"/>
      <c r="TAL55" s="44"/>
      <c r="TAM55" s="44"/>
      <c r="TAN55" s="44"/>
      <c r="TAO55" s="44"/>
      <c r="TAP55" s="44"/>
      <c r="TAQ55" s="44"/>
      <c r="TAR55" s="44"/>
      <c r="TAS55" s="44"/>
      <c r="TAT55" s="44"/>
      <c r="TAU55" s="44"/>
      <c r="TAV55" s="44"/>
      <c r="TAW55" s="44"/>
      <c r="TAX55" s="44"/>
      <c r="TAY55" s="44"/>
      <c r="TAZ55" s="44"/>
      <c r="TBA55" s="44"/>
      <c r="TBB55" s="44"/>
      <c r="TBC55" s="44"/>
      <c r="TBD55" s="44"/>
      <c r="TBE55" s="44"/>
      <c r="TBF55" s="44"/>
      <c r="TBG55" s="44"/>
      <c r="TBH55" s="44"/>
      <c r="TBI55" s="44"/>
      <c r="TBJ55" s="44"/>
      <c r="TBK55" s="44"/>
      <c r="TBL55" s="44"/>
      <c r="TBM55" s="44"/>
      <c r="TBN55" s="44"/>
      <c r="TBO55" s="44"/>
      <c r="TBP55" s="44"/>
      <c r="TBQ55" s="44"/>
      <c r="TBR55" s="44"/>
      <c r="TBS55" s="44"/>
      <c r="TBT55" s="44"/>
      <c r="TBU55" s="44"/>
      <c r="TBV55" s="44"/>
      <c r="TBW55" s="44"/>
      <c r="TBX55" s="44"/>
      <c r="TBY55" s="44"/>
      <c r="TBZ55" s="44"/>
      <c r="TCA55" s="44"/>
      <c r="TCB55" s="44"/>
      <c r="TCC55" s="44"/>
      <c r="TCD55" s="44"/>
      <c r="TCE55" s="44"/>
      <c r="TCF55" s="44"/>
      <c r="TCG55" s="44"/>
      <c r="TCH55" s="44"/>
      <c r="TCI55" s="44"/>
      <c r="TCJ55" s="44"/>
      <c r="TCK55" s="44"/>
      <c r="TCL55" s="44"/>
      <c r="TCM55" s="44"/>
      <c r="TCN55" s="44"/>
      <c r="TCO55" s="44"/>
      <c r="TCP55" s="44"/>
      <c r="TCQ55" s="44"/>
      <c r="TCR55" s="44"/>
      <c r="TCS55" s="44"/>
      <c r="TCT55" s="44"/>
      <c r="TCU55" s="44"/>
      <c r="TCV55" s="44"/>
      <c r="TCW55" s="44"/>
      <c r="TCX55" s="44"/>
      <c r="TCY55" s="44"/>
      <c r="TCZ55" s="44"/>
      <c r="TDA55" s="44"/>
      <c r="TDB55" s="44"/>
      <c r="TDC55" s="44"/>
      <c r="TDD55" s="44"/>
      <c r="TDE55" s="44"/>
      <c r="TDF55" s="44"/>
      <c r="TDG55" s="44"/>
      <c r="TDH55" s="44"/>
      <c r="TDI55" s="44"/>
      <c r="TDJ55" s="44"/>
      <c r="TDK55" s="44"/>
      <c r="TDL55" s="44"/>
      <c r="TDM55" s="44"/>
      <c r="TDN55" s="44"/>
      <c r="TDO55" s="44"/>
      <c r="TDP55" s="44"/>
      <c r="TDQ55" s="44"/>
      <c r="TDR55" s="44"/>
      <c r="TDS55" s="44"/>
      <c r="TDT55" s="44"/>
      <c r="TDU55" s="44"/>
      <c r="TDV55" s="44"/>
      <c r="TDW55" s="44"/>
      <c r="TDX55" s="44"/>
      <c r="TDY55" s="44"/>
      <c r="TDZ55" s="44"/>
      <c r="TEA55" s="44"/>
      <c r="TEB55" s="44"/>
      <c r="TEC55" s="44"/>
      <c r="TED55" s="44"/>
      <c r="TEE55" s="44"/>
      <c r="TEF55" s="44"/>
      <c r="TEG55" s="44"/>
      <c r="TEH55" s="44"/>
      <c r="TEI55" s="44"/>
      <c r="TEJ55" s="44"/>
      <c r="TEK55" s="44"/>
      <c r="TEL55" s="44"/>
      <c r="TEM55" s="44"/>
      <c r="TEN55" s="44"/>
      <c r="TEO55" s="44"/>
      <c r="TEP55" s="44"/>
      <c r="TEQ55" s="44"/>
      <c r="TER55" s="44"/>
      <c r="TES55" s="44"/>
      <c r="TET55" s="44"/>
      <c r="TEU55" s="44"/>
      <c r="TEV55" s="44"/>
      <c r="TEW55" s="44"/>
      <c r="TEX55" s="44"/>
      <c r="TEY55" s="44"/>
      <c r="TEZ55" s="44"/>
      <c r="TFA55" s="44"/>
      <c r="TFB55" s="44"/>
      <c r="TFC55" s="44"/>
      <c r="TFD55" s="44"/>
      <c r="TFE55" s="44"/>
      <c r="TFF55" s="44"/>
      <c r="TFG55" s="44"/>
      <c r="TFH55" s="44"/>
      <c r="TFI55" s="44"/>
      <c r="TFJ55" s="44"/>
      <c r="TFK55" s="44"/>
      <c r="TFL55" s="44"/>
      <c r="TFM55" s="44"/>
      <c r="TFN55" s="44"/>
      <c r="TFO55" s="44"/>
      <c r="TFP55" s="44"/>
      <c r="TFQ55" s="44"/>
      <c r="TFR55" s="44"/>
      <c r="TFS55" s="44"/>
      <c r="TFT55" s="44"/>
      <c r="TFU55" s="44"/>
      <c r="TFV55" s="44"/>
      <c r="TFW55" s="44"/>
      <c r="TFX55" s="44"/>
      <c r="TFY55" s="44"/>
      <c r="TFZ55" s="44"/>
      <c r="TGA55" s="44"/>
      <c r="TGB55" s="44"/>
      <c r="TGC55" s="44"/>
      <c r="TGD55" s="44"/>
      <c r="TGE55" s="44"/>
      <c r="TGF55" s="44"/>
      <c r="TGG55" s="44"/>
      <c r="TGH55" s="44"/>
      <c r="TGI55" s="44"/>
      <c r="TGJ55" s="44"/>
      <c r="TGK55" s="44"/>
      <c r="TGL55" s="44"/>
      <c r="TGM55" s="44"/>
      <c r="TGN55" s="44"/>
      <c r="TGO55" s="44"/>
      <c r="TGP55" s="44"/>
      <c r="TGQ55" s="44"/>
      <c r="TGR55" s="44"/>
      <c r="TGS55" s="44"/>
      <c r="TGT55" s="44"/>
      <c r="TGU55" s="44"/>
      <c r="TGV55" s="44"/>
      <c r="TGW55" s="44"/>
      <c r="TGX55" s="44"/>
      <c r="TGY55" s="44"/>
      <c r="TGZ55" s="44"/>
      <c r="THA55" s="44"/>
      <c r="THB55" s="44"/>
      <c r="THC55" s="44"/>
      <c r="THD55" s="44"/>
      <c r="THE55" s="44"/>
      <c r="THF55" s="44"/>
      <c r="THG55" s="44"/>
      <c r="THH55" s="44"/>
      <c r="THI55" s="44"/>
      <c r="THJ55" s="44"/>
      <c r="THK55" s="44"/>
      <c r="THL55" s="44"/>
      <c r="THM55" s="44"/>
      <c r="THN55" s="44"/>
      <c r="THO55" s="44"/>
      <c r="THP55" s="44"/>
      <c r="THQ55" s="44"/>
      <c r="THR55" s="44"/>
      <c r="THS55" s="44"/>
      <c r="THT55" s="44"/>
      <c r="THU55" s="44"/>
      <c r="THV55" s="44"/>
      <c r="THW55" s="44"/>
      <c r="THX55" s="44"/>
      <c r="THY55" s="44"/>
      <c r="THZ55" s="44"/>
      <c r="TIA55" s="44"/>
      <c r="TIB55" s="44"/>
      <c r="TIC55" s="44"/>
      <c r="TID55" s="44"/>
      <c r="TIE55" s="44"/>
      <c r="TIF55" s="44"/>
      <c r="TIG55" s="44"/>
      <c r="TIH55" s="44"/>
      <c r="TII55" s="44"/>
      <c r="TIJ55" s="44"/>
      <c r="TIK55" s="44"/>
      <c r="TIL55" s="44"/>
      <c r="TIM55" s="44"/>
      <c r="TIN55" s="44"/>
      <c r="TIO55" s="44"/>
      <c r="TIP55" s="44"/>
      <c r="TIQ55" s="44"/>
      <c r="TIR55" s="44"/>
      <c r="TIS55" s="44"/>
      <c r="TIT55" s="44"/>
      <c r="TIU55" s="44"/>
      <c r="TIV55" s="44"/>
      <c r="TIW55" s="44"/>
      <c r="TIX55" s="44"/>
      <c r="TIY55" s="44"/>
      <c r="TIZ55" s="44"/>
      <c r="TJA55" s="44"/>
      <c r="TJB55" s="44"/>
      <c r="TJC55" s="44"/>
      <c r="TJD55" s="44"/>
      <c r="TJE55" s="44"/>
      <c r="TJF55" s="44"/>
      <c r="TJG55" s="44"/>
      <c r="TJH55" s="44"/>
      <c r="TJI55" s="44"/>
      <c r="TJJ55" s="44"/>
      <c r="TJK55" s="44"/>
      <c r="TJL55" s="44"/>
      <c r="TJM55" s="44"/>
      <c r="TJN55" s="44"/>
      <c r="TJO55" s="44"/>
      <c r="TJP55" s="44"/>
      <c r="TJQ55" s="44"/>
      <c r="TJR55" s="44"/>
      <c r="TJS55" s="44"/>
      <c r="TJT55" s="44"/>
      <c r="TJU55" s="44"/>
      <c r="TJV55" s="44"/>
      <c r="TJW55" s="44"/>
      <c r="TJX55" s="44"/>
      <c r="TJY55" s="44"/>
      <c r="TJZ55" s="44"/>
      <c r="TKA55" s="44"/>
      <c r="TKB55" s="44"/>
      <c r="TKC55" s="44"/>
      <c r="TKD55" s="44"/>
      <c r="TKE55" s="44"/>
      <c r="TKF55" s="44"/>
      <c r="TKG55" s="44"/>
      <c r="TKH55" s="44"/>
      <c r="TKI55" s="44"/>
      <c r="TKJ55" s="44"/>
      <c r="TKK55" s="44"/>
      <c r="TKL55" s="44"/>
      <c r="TKM55" s="44"/>
      <c r="TKN55" s="44"/>
      <c r="TKO55" s="44"/>
      <c r="TKP55" s="44"/>
      <c r="TKQ55" s="44"/>
      <c r="TKR55" s="44"/>
      <c r="TKS55" s="44"/>
      <c r="TKT55" s="44"/>
      <c r="TKU55" s="44"/>
      <c r="TKV55" s="44"/>
      <c r="TKW55" s="44"/>
      <c r="TKX55" s="44"/>
      <c r="TKY55" s="44"/>
      <c r="TKZ55" s="44"/>
      <c r="TLA55" s="44"/>
      <c r="TLB55" s="44"/>
      <c r="TLC55" s="44"/>
      <c r="TLD55" s="44"/>
      <c r="TLE55" s="44"/>
      <c r="TLF55" s="44"/>
      <c r="TLG55" s="44"/>
      <c r="TLH55" s="44"/>
      <c r="TLI55" s="44"/>
      <c r="TLJ55" s="44"/>
      <c r="TLK55" s="44"/>
      <c r="TLL55" s="44"/>
      <c r="TLM55" s="44"/>
      <c r="TLN55" s="44"/>
      <c r="TLO55" s="44"/>
      <c r="TLP55" s="44"/>
      <c r="TLQ55" s="44"/>
      <c r="TLR55" s="44"/>
      <c r="TLS55" s="44"/>
      <c r="TLT55" s="44"/>
      <c r="TLU55" s="44"/>
      <c r="TLV55" s="44"/>
      <c r="TLW55" s="44"/>
      <c r="TLX55" s="44"/>
      <c r="TLY55" s="44"/>
      <c r="TLZ55" s="44"/>
      <c r="TMA55" s="44"/>
      <c r="TMB55" s="44"/>
      <c r="TMC55" s="44"/>
      <c r="TMD55" s="44"/>
      <c r="TME55" s="44"/>
      <c r="TMF55" s="44"/>
      <c r="TMG55" s="44"/>
      <c r="TMH55" s="44"/>
      <c r="TMI55" s="44"/>
      <c r="TMJ55" s="44"/>
      <c r="TMK55" s="44"/>
      <c r="TML55" s="44"/>
      <c r="TMM55" s="44"/>
      <c r="TMN55" s="44"/>
      <c r="TMO55" s="44"/>
      <c r="TMP55" s="44"/>
      <c r="TMQ55" s="44"/>
      <c r="TMR55" s="44"/>
      <c r="TMS55" s="44"/>
      <c r="TMT55" s="44"/>
      <c r="TMU55" s="44"/>
      <c r="TMV55" s="44"/>
      <c r="TMW55" s="44"/>
      <c r="TMX55" s="44"/>
      <c r="TMY55" s="44"/>
      <c r="TMZ55" s="44"/>
      <c r="TNA55" s="44"/>
      <c r="TNB55" s="44"/>
      <c r="TNC55" s="44"/>
      <c r="TND55" s="44"/>
      <c r="TNE55" s="44"/>
      <c r="TNF55" s="44"/>
      <c r="TNG55" s="44"/>
      <c r="TNH55" s="44"/>
      <c r="TNI55" s="44"/>
      <c r="TNJ55" s="44"/>
      <c r="TNK55" s="44"/>
      <c r="TNL55" s="44"/>
      <c r="TNM55" s="44"/>
      <c r="TNN55" s="44"/>
      <c r="TNO55" s="44"/>
      <c r="TNP55" s="44"/>
      <c r="TNQ55" s="44"/>
      <c r="TNR55" s="44"/>
      <c r="TNS55" s="44"/>
      <c r="TNT55" s="44"/>
      <c r="TNU55" s="44"/>
      <c r="TNV55" s="44"/>
      <c r="TNW55" s="44"/>
      <c r="TNX55" s="44"/>
      <c r="TNY55" s="44"/>
      <c r="TNZ55" s="44"/>
      <c r="TOA55" s="44"/>
      <c r="TOB55" s="44"/>
      <c r="TOC55" s="44"/>
      <c r="TOD55" s="44"/>
      <c r="TOE55" s="44"/>
      <c r="TOF55" s="44"/>
      <c r="TOG55" s="44"/>
      <c r="TOH55" s="44"/>
      <c r="TOI55" s="44"/>
      <c r="TOJ55" s="44"/>
      <c r="TOK55" s="44"/>
      <c r="TOL55" s="44"/>
      <c r="TOM55" s="44"/>
      <c r="TON55" s="44"/>
      <c r="TOO55" s="44"/>
      <c r="TOP55" s="44"/>
      <c r="TOQ55" s="44"/>
      <c r="TOR55" s="44"/>
      <c r="TOS55" s="44"/>
      <c r="TOT55" s="44"/>
      <c r="TOU55" s="44"/>
      <c r="TOV55" s="44"/>
      <c r="TOW55" s="44"/>
      <c r="TOX55" s="44"/>
      <c r="TOY55" s="44"/>
      <c r="TOZ55" s="44"/>
      <c r="TPA55" s="44"/>
      <c r="TPB55" s="44"/>
      <c r="TPC55" s="44"/>
      <c r="TPD55" s="44"/>
      <c r="TPE55" s="44"/>
      <c r="TPF55" s="44"/>
      <c r="TPG55" s="44"/>
      <c r="TPH55" s="44"/>
      <c r="TPI55" s="44"/>
      <c r="TPJ55" s="44"/>
      <c r="TPK55" s="44"/>
      <c r="TPL55" s="44"/>
      <c r="TPM55" s="44"/>
      <c r="TPN55" s="44"/>
      <c r="TPO55" s="44"/>
      <c r="TPP55" s="44"/>
      <c r="TPQ55" s="44"/>
      <c r="TPR55" s="44"/>
      <c r="TPS55" s="44"/>
      <c r="TPT55" s="44"/>
      <c r="TPU55" s="44"/>
      <c r="TPV55" s="44"/>
      <c r="TPW55" s="44"/>
      <c r="TPX55" s="44"/>
      <c r="TPY55" s="44"/>
      <c r="TPZ55" s="44"/>
      <c r="TQA55" s="44"/>
      <c r="TQB55" s="44"/>
      <c r="TQC55" s="44"/>
      <c r="TQD55" s="44"/>
      <c r="TQE55" s="44"/>
      <c r="TQF55" s="44"/>
      <c r="TQG55" s="44"/>
      <c r="TQH55" s="44"/>
      <c r="TQI55" s="44"/>
      <c r="TQJ55" s="44"/>
      <c r="TQK55" s="44"/>
      <c r="TQL55" s="44"/>
      <c r="TQM55" s="44"/>
      <c r="TQN55" s="44"/>
      <c r="TQO55" s="44"/>
      <c r="TQP55" s="44"/>
      <c r="TQQ55" s="44"/>
      <c r="TQR55" s="44"/>
      <c r="TQS55" s="44"/>
      <c r="TQT55" s="44"/>
      <c r="TQU55" s="44"/>
      <c r="TQV55" s="44"/>
      <c r="TQW55" s="44"/>
      <c r="TQX55" s="44"/>
      <c r="TQY55" s="44"/>
      <c r="TQZ55" s="44"/>
      <c r="TRA55" s="44"/>
      <c r="TRB55" s="44"/>
      <c r="TRC55" s="44"/>
      <c r="TRD55" s="44"/>
      <c r="TRE55" s="44"/>
      <c r="TRF55" s="44"/>
      <c r="TRG55" s="44"/>
      <c r="TRH55" s="44"/>
      <c r="TRI55" s="44"/>
      <c r="TRJ55" s="44"/>
      <c r="TRK55" s="44"/>
      <c r="TRL55" s="44"/>
      <c r="TRM55" s="44"/>
      <c r="TRN55" s="44"/>
      <c r="TRO55" s="44"/>
      <c r="TRP55" s="44"/>
      <c r="TRQ55" s="44"/>
      <c r="TRR55" s="44"/>
      <c r="TRS55" s="44"/>
      <c r="TRT55" s="44"/>
      <c r="TRU55" s="44"/>
      <c r="TRV55" s="44"/>
      <c r="TRW55" s="44"/>
      <c r="TRX55" s="44"/>
      <c r="TRY55" s="44"/>
      <c r="TRZ55" s="44"/>
      <c r="TSA55" s="44"/>
      <c r="TSB55" s="44"/>
      <c r="TSC55" s="44"/>
      <c r="TSD55" s="44"/>
      <c r="TSE55" s="44"/>
      <c r="TSF55" s="44"/>
      <c r="TSG55" s="44"/>
      <c r="TSH55" s="44"/>
      <c r="TSI55" s="44"/>
      <c r="TSJ55" s="44"/>
      <c r="TSK55" s="44"/>
      <c r="TSL55" s="44"/>
      <c r="TSM55" s="44"/>
      <c r="TSN55" s="44"/>
      <c r="TSO55" s="44"/>
      <c r="TSP55" s="44"/>
      <c r="TSQ55" s="44"/>
      <c r="TSR55" s="44"/>
      <c r="TSS55" s="44"/>
      <c r="TST55" s="44"/>
      <c r="TSU55" s="44"/>
      <c r="TSV55" s="44"/>
      <c r="TSW55" s="44"/>
      <c r="TSX55" s="44"/>
      <c r="TSY55" s="44"/>
      <c r="TSZ55" s="44"/>
      <c r="TTA55" s="44"/>
      <c r="TTB55" s="44"/>
      <c r="TTC55" s="44"/>
      <c r="TTD55" s="44"/>
      <c r="TTE55" s="44"/>
      <c r="TTF55" s="44"/>
      <c r="TTG55" s="44"/>
      <c r="TTH55" s="44"/>
      <c r="TTI55" s="44"/>
      <c r="TTJ55" s="44"/>
      <c r="TTK55" s="44"/>
      <c r="TTL55" s="44"/>
      <c r="TTM55" s="44"/>
      <c r="TTN55" s="44"/>
      <c r="TTO55" s="44"/>
      <c r="TTP55" s="44"/>
      <c r="TTQ55" s="44"/>
      <c r="TTR55" s="44"/>
      <c r="TTS55" s="44"/>
      <c r="TTT55" s="44"/>
      <c r="TTU55" s="44"/>
      <c r="TTV55" s="44"/>
      <c r="TTW55" s="44"/>
      <c r="TTX55" s="44"/>
      <c r="TTY55" s="44"/>
      <c r="TTZ55" s="44"/>
      <c r="TUA55" s="44"/>
      <c r="TUB55" s="44"/>
      <c r="TUC55" s="44"/>
      <c r="TUD55" s="44"/>
      <c r="TUE55" s="44"/>
      <c r="TUF55" s="44"/>
      <c r="TUG55" s="44"/>
      <c r="TUH55" s="44"/>
      <c r="TUI55" s="44"/>
      <c r="TUJ55" s="44"/>
      <c r="TUK55" s="44"/>
      <c r="TUL55" s="44"/>
      <c r="TUM55" s="44"/>
      <c r="TUN55" s="44"/>
      <c r="TUO55" s="44"/>
      <c r="TUP55" s="44"/>
      <c r="TUQ55" s="44"/>
      <c r="TUR55" s="44"/>
      <c r="TUS55" s="44"/>
      <c r="TUT55" s="44"/>
      <c r="TUU55" s="44"/>
      <c r="TUV55" s="44"/>
      <c r="TUW55" s="44"/>
      <c r="TUX55" s="44"/>
      <c r="TUY55" s="44"/>
      <c r="TUZ55" s="44"/>
      <c r="TVA55" s="44"/>
      <c r="TVB55" s="44"/>
      <c r="TVC55" s="44"/>
      <c r="TVD55" s="44"/>
      <c r="TVE55" s="44"/>
      <c r="TVF55" s="44"/>
      <c r="TVG55" s="44"/>
      <c r="TVH55" s="44"/>
      <c r="TVI55" s="44"/>
      <c r="TVJ55" s="44"/>
      <c r="TVK55" s="44"/>
      <c r="TVL55" s="44"/>
      <c r="TVM55" s="44"/>
      <c r="TVN55" s="44"/>
      <c r="TVO55" s="44"/>
      <c r="TVP55" s="44"/>
      <c r="TVQ55" s="44"/>
      <c r="TVR55" s="44"/>
      <c r="TVS55" s="44"/>
      <c r="TVT55" s="44"/>
      <c r="TVU55" s="44"/>
      <c r="TVV55" s="44"/>
      <c r="TVW55" s="44"/>
      <c r="TVX55" s="44"/>
      <c r="TVY55" s="44"/>
      <c r="TVZ55" s="44"/>
      <c r="TWA55" s="44"/>
      <c r="TWB55" s="44"/>
      <c r="TWC55" s="44"/>
      <c r="TWD55" s="44"/>
      <c r="TWE55" s="44"/>
      <c r="TWF55" s="44"/>
      <c r="TWG55" s="44"/>
      <c r="TWH55" s="44"/>
      <c r="TWI55" s="44"/>
      <c r="TWJ55" s="44"/>
      <c r="TWK55" s="44"/>
      <c r="TWL55" s="44"/>
      <c r="TWM55" s="44"/>
      <c r="TWN55" s="44"/>
      <c r="TWO55" s="44"/>
      <c r="TWP55" s="44"/>
      <c r="TWQ55" s="44"/>
      <c r="TWR55" s="44"/>
      <c r="TWS55" s="44"/>
      <c r="TWT55" s="44"/>
      <c r="TWU55" s="44"/>
      <c r="TWV55" s="44"/>
      <c r="TWW55" s="44"/>
      <c r="TWX55" s="44"/>
      <c r="TWY55" s="44"/>
      <c r="TWZ55" s="44"/>
      <c r="TXA55" s="44"/>
      <c r="TXB55" s="44"/>
      <c r="TXC55" s="44"/>
      <c r="TXD55" s="44"/>
      <c r="TXE55" s="44"/>
      <c r="TXF55" s="44"/>
      <c r="TXG55" s="44"/>
      <c r="TXH55" s="44"/>
      <c r="TXI55" s="44"/>
      <c r="TXJ55" s="44"/>
      <c r="TXK55" s="44"/>
      <c r="TXL55" s="44"/>
      <c r="TXM55" s="44"/>
      <c r="TXN55" s="44"/>
      <c r="TXO55" s="44"/>
      <c r="TXP55" s="44"/>
      <c r="TXQ55" s="44"/>
      <c r="TXR55" s="44"/>
      <c r="TXS55" s="44"/>
      <c r="TXT55" s="44"/>
      <c r="TXU55" s="44"/>
      <c r="TXV55" s="44"/>
      <c r="TXW55" s="44"/>
      <c r="TXX55" s="44"/>
      <c r="TXY55" s="44"/>
      <c r="TXZ55" s="44"/>
      <c r="TYA55" s="44"/>
      <c r="TYB55" s="44"/>
      <c r="TYC55" s="44"/>
      <c r="TYD55" s="44"/>
      <c r="TYE55" s="44"/>
      <c r="TYF55" s="44"/>
      <c r="TYG55" s="44"/>
      <c r="TYH55" s="44"/>
      <c r="TYI55" s="44"/>
      <c r="TYJ55" s="44"/>
      <c r="TYK55" s="44"/>
      <c r="TYL55" s="44"/>
      <c r="TYM55" s="44"/>
      <c r="TYN55" s="44"/>
      <c r="TYO55" s="44"/>
      <c r="TYP55" s="44"/>
      <c r="TYQ55" s="44"/>
      <c r="TYR55" s="44"/>
      <c r="TYS55" s="44"/>
      <c r="TYT55" s="44"/>
      <c r="TYU55" s="44"/>
      <c r="TYV55" s="44"/>
      <c r="TYW55" s="44"/>
      <c r="TYX55" s="44"/>
      <c r="TYY55" s="44"/>
      <c r="TYZ55" s="44"/>
      <c r="TZA55" s="44"/>
      <c r="TZB55" s="44"/>
      <c r="TZC55" s="44"/>
      <c r="TZD55" s="44"/>
      <c r="TZE55" s="44"/>
      <c r="TZF55" s="44"/>
      <c r="TZG55" s="44"/>
      <c r="TZH55" s="44"/>
      <c r="TZI55" s="44"/>
      <c r="TZJ55" s="44"/>
      <c r="TZK55" s="44"/>
      <c r="TZL55" s="44"/>
      <c r="TZM55" s="44"/>
      <c r="TZN55" s="44"/>
      <c r="TZO55" s="44"/>
      <c r="TZP55" s="44"/>
      <c r="TZQ55" s="44"/>
      <c r="TZR55" s="44"/>
      <c r="TZS55" s="44"/>
      <c r="TZT55" s="44"/>
      <c r="TZU55" s="44"/>
      <c r="TZV55" s="44"/>
      <c r="TZW55" s="44"/>
      <c r="TZX55" s="44"/>
      <c r="TZY55" s="44"/>
      <c r="TZZ55" s="44"/>
      <c r="UAA55" s="44"/>
      <c r="UAB55" s="44"/>
      <c r="UAC55" s="44"/>
      <c r="UAD55" s="44"/>
      <c r="UAE55" s="44"/>
      <c r="UAF55" s="44"/>
      <c r="UAG55" s="44"/>
      <c r="UAH55" s="44"/>
      <c r="UAI55" s="44"/>
      <c r="UAJ55" s="44"/>
      <c r="UAK55" s="44"/>
      <c r="UAL55" s="44"/>
      <c r="UAM55" s="44"/>
      <c r="UAN55" s="44"/>
      <c r="UAO55" s="44"/>
      <c r="UAP55" s="44"/>
      <c r="UAQ55" s="44"/>
      <c r="UAR55" s="44"/>
      <c r="UAS55" s="44"/>
      <c r="UAT55" s="44"/>
      <c r="UAU55" s="44"/>
      <c r="UAV55" s="44"/>
      <c r="UAW55" s="44"/>
      <c r="UAX55" s="44"/>
      <c r="UAY55" s="44"/>
      <c r="UAZ55" s="44"/>
      <c r="UBA55" s="44"/>
      <c r="UBB55" s="44"/>
      <c r="UBC55" s="44"/>
      <c r="UBD55" s="44"/>
      <c r="UBE55" s="44"/>
      <c r="UBF55" s="44"/>
      <c r="UBG55" s="44"/>
      <c r="UBH55" s="44"/>
      <c r="UBI55" s="44"/>
      <c r="UBJ55" s="44"/>
      <c r="UBK55" s="44"/>
      <c r="UBL55" s="44"/>
      <c r="UBM55" s="44"/>
      <c r="UBN55" s="44"/>
      <c r="UBO55" s="44"/>
      <c r="UBP55" s="44"/>
      <c r="UBQ55" s="44"/>
      <c r="UBR55" s="44"/>
      <c r="UBS55" s="44"/>
      <c r="UBT55" s="44"/>
      <c r="UBU55" s="44"/>
      <c r="UBV55" s="44"/>
      <c r="UBW55" s="44"/>
      <c r="UBX55" s="44"/>
      <c r="UBY55" s="44"/>
      <c r="UBZ55" s="44"/>
      <c r="UCA55" s="44"/>
      <c r="UCB55" s="44"/>
      <c r="UCC55" s="44"/>
      <c r="UCD55" s="44"/>
      <c r="UCE55" s="44"/>
      <c r="UCF55" s="44"/>
      <c r="UCG55" s="44"/>
      <c r="UCH55" s="44"/>
      <c r="UCI55" s="44"/>
      <c r="UCJ55" s="44"/>
      <c r="UCK55" s="44"/>
      <c r="UCL55" s="44"/>
      <c r="UCM55" s="44"/>
      <c r="UCN55" s="44"/>
      <c r="UCO55" s="44"/>
      <c r="UCP55" s="44"/>
      <c r="UCQ55" s="44"/>
      <c r="UCR55" s="44"/>
      <c r="UCS55" s="44"/>
      <c r="UCT55" s="44"/>
      <c r="UCU55" s="44"/>
      <c r="UCV55" s="44"/>
      <c r="UCW55" s="44"/>
      <c r="UCX55" s="44"/>
      <c r="UCY55" s="44"/>
      <c r="UCZ55" s="44"/>
      <c r="UDA55" s="44"/>
      <c r="UDB55" s="44"/>
      <c r="UDC55" s="44"/>
      <c r="UDD55" s="44"/>
      <c r="UDE55" s="44"/>
      <c r="UDF55" s="44"/>
      <c r="UDG55" s="44"/>
      <c r="UDH55" s="44"/>
      <c r="UDI55" s="44"/>
      <c r="UDJ55" s="44"/>
      <c r="UDK55" s="44"/>
      <c r="UDL55" s="44"/>
      <c r="UDM55" s="44"/>
      <c r="UDN55" s="44"/>
      <c r="UDO55" s="44"/>
      <c r="UDP55" s="44"/>
      <c r="UDQ55" s="44"/>
      <c r="UDR55" s="44"/>
      <c r="UDS55" s="44"/>
      <c r="UDT55" s="44"/>
      <c r="UDU55" s="44"/>
      <c r="UDV55" s="44"/>
      <c r="UDW55" s="44"/>
      <c r="UDX55" s="44"/>
      <c r="UDY55" s="44"/>
      <c r="UDZ55" s="44"/>
      <c r="UEA55" s="44"/>
      <c r="UEB55" s="44"/>
      <c r="UEC55" s="44"/>
      <c r="UED55" s="44"/>
      <c r="UEE55" s="44"/>
      <c r="UEF55" s="44"/>
      <c r="UEG55" s="44"/>
      <c r="UEH55" s="44"/>
      <c r="UEI55" s="44"/>
      <c r="UEJ55" s="44"/>
      <c r="UEK55" s="44"/>
      <c r="UEL55" s="44"/>
      <c r="UEM55" s="44"/>
      <c r="UEN55" s="44"/>
      <c r="UEO55" s="44"/>
      <c r="UEP55" s="44"/>
      <c r="UEQ55" s="44"/>
      <c r="UER55" s="44"/>
      <c r="UES55" s="44"/>
      <c r="UET55" s="44"/>
      <c r="UEU55" s="44"/>
      <c r="UEV55" s="44"/>
      <c r="UEW55" s="44"/>
      <c r="UEX55" s="44"/>
      <c r="UEY55" s="44"/>
      <c r="UEZ55" s="44"/>
      <c r="UFA55" s="44"/>
      <c r="UFB55" s="44"/>
      <c r="UFC55" s="44"/>
      <c r="UFD55" s="44"/>
      <c r="UFE55" s="44"/>
      <c r="UFF55" s="44"/>
      <c r="UFG55" s="44"/>
      <c r="UFH55" s="44"/>
      <c r="UFI55" s="44"/>
      <c r="UFJ55" s="44"/>
      <c r="UFK55" s="44"/>
      <c r="UFL55" s="44"/>
      <c r="UFM55" s="44"/>
      <c r="UFN55" s="44"/>
      <c r="UFO55" s="44"/>
      <c r="UFP55" s="44"/>
      <c r="UFQ55" s="44"/>
      <c r="UFR55" s="44"/>
      <c r="UFS55" s="44"/>
      <c r="UFT55" s="44"/>
      <c r="UFU55" s="44"/>
      <c r="UFV55" s="44"/>
      <c r="UFW55" s="44"/>
      <c r="UFX55" s="44"/>
      <c r="UFY55" s="44"/>
      <c r="UFZ55" s="44"/>
      <c r="UGA55" s="44"/>
      <c r="UGB55" s="44"/>
      <c r="UGC55" s="44"/>
      <c r="UGD55" s="44"/>
      <c r="UGE55" s="44"/>
      <c r="UGF55" s="44"/>
      <c r="UGG55" s="44"/>
      <c r="UGH55" s="44"/>
      <c r="UGI55" s="44"/>
      <c r="UGJ55" s="44"/>
      <c r="UGK55" s="44"/>
      <c r="UGL55" s="44"/>
      <c r="UGM55" s="44"/>
      <c r="UGN55" s="44"/>
      <c r="UGO55" s="44"/>
      <c r="UGP55" s="44"/>
      <c r="UGQ55" s="44"/>
      <c r="UGR55" s="44"/>
      <c r="UGS55" s="44"/>
      <c r="UGT55" s="44"/>
      <c r="UGU55" s="44"/>
      <c r="UGV55" s="44"/>
      <c r="UGW55" s="44"/>
      <c r="UGX55" s="44"/>
      <c r="UGY55" s="44"/>
      <c r="UGZ55" s="44"/>
      <c r="UHA55" s="44"/>
      <c r="UHB55" s="44"/>
      <c r="UHC55" s="44"/>
      <c r="UHD55" s="44"/>
      <c r="UHE55" s="44"/>
      <c r="UHF55" s="44"/>
      <c r="UHG55" s="44"/>
      <c r="UHH55" s="44"/>
      <c r="UHI55" s="44"/>
      <c r="UHJ55" s="44"/>
      <c r="UHK55" s="44"/>
      <c r="UHL55" s="44"/>
      <c r="UHM55" s="44"/>
      <c r="UHN55" s="44"/>
      <c r="UHO55" s="44"/>
      <c r="UHP55" s="44"/>
      <c r="UHQ55" s="44"/>
      <c r="UHR55" s="44"/>
      <c r="UHS55" s="44"/>
      <c r="UHT55" s="44"/>
      <c r="UHU55" s="44"/>
      <c r="UHV55" s="44"/>
      <c r="UHW55" s="44"/>
      <c r="UHX55" s="44"/>
      <c r="UHY55" s="44"/>
      <c r="UHZ55" s="44"/>
      <c r="UIA55" s="44"/>
      <c r="UIB55" s="44"/>
      <c r="UIC55" s="44"/>
      <c r="UID55" s="44"/>
      <c r="UIE55" s="44"/>
      <c r="UIF55" s="44"/>
      <c r="UIG55" s="44"/>
      <c r="UIH55" s="44"/>
      <c r="UII55" s="44"/>
      <c r="UIJ55" s="44"/>
      <c r="UIK55" s="44"/>
      <c r="UIL55" s="44"/>
      <c r="UIM55" s="44"/>
      <c r="UIN55" s="44"/>
      <c r="UIO55" s="44"/>
      <c r="UIP55" s="44"/>
      <c r="UIQ55" s="44"/>
      <c r="UIR55" s="44"/>
      <c r="UIS55" s="44"/>
      <c r="UIT55" s="44"/>
      <c r="UIU55" s="44"/>
      <c r="UIV55" s="44"/>
      <c r="UIW55" s="44"/>
      <c r="UIX55" s="44"/>
      <c r="UIY55" s="44"/>
      <c r="UIZ55" s="44"/>
      <c r="UJA55" s="44"/>
      <c r="UJB55" s="44"/>
      <c r="UJC55" s="44"/>
      <c r="UJD55" s="44"/>
      <c r="UJE55" s="44"/>
      <c r="UJF55" s="44"/>
      <c r="UJG55" s="44"/>
      <c r="UJH55" s="44"/>
      <c r="UJI55" s="44"/>
      <c r="UJJ55" s="44"/>
      <c r="UJK55" s="44"/>
      <c r="UJL55" s="44"/>
      <c r="UJM55" s="44"/>
      <c r="UJN55" s="44"/>
      <c r="UJO55" s="44"/>
      <c r="UJP55" s="44"/>
      <c r="UJQ55" s="44"/>
      <c r="UJR55" s="44"/>
      <c r="UJS55" s="44"/>
      <c r="UJT55" s="44"/>
      <c r="UJU55" s="44"/>
      <c r="UJV55" s="44"/>
      <c r="UJW55" s="44"/>
      <c r="UJX55" s="44"/>
      <c r="UJY55" s="44"/>
      <c r="UJZ55" s="44"/>
      <c r="UKA55" s="44"/>
      <c r="UKB55" s="44"/>
      <c r="UKC55" s="44"/>
      <c r="UKD55" s="44"/>
      <c r="UKE55" s="44"/>
      <c r="UKF55" s="44"/>
      <c r="UKG55" s="44"/>
      <c r="UKH55" s="44"/>
      <c r="UKI55" s="44"/>
      <c r="UKJ55" s="44"/>
      <c r="UKK55" s="44"/>
      <c r="UKL55" s="44"/>
      <c r="UKM55" s="44"/>
      <c r="UKN55" s="44"/>
      <c r="UKO55" s="44"/>
      <c r="UKP55" s="44"/>
      <c r="UKQ55" s="44"/>
      <c r="UKR55" s="44"/>
      <c r="UKS55" s="44"/>
      <c r="UKT55" s="44"/>
      <c r="UKU55" s="44"/>
      <c r="UKV55" s="44"/>
      <c r="UKW55" s="44"/>
      <c r="UKX55" s="44"/>
      <c r="UKY55" s="44"/>
      <c r="UKZ55" s="44"/>
      <c r="ULA55" s="44"/>
      <c r="ULB55" s="44"/>
      <c r="ULC55" s="44"/>
      <c r="ULD55" s="44"/>
      <c r="ULE55" s="44"/>
      <c r="ULF55" s="44"/>
      <c r="ULG55" s="44"/>
      <c r="ULH55" s="44"/>
      <c r="ULI55" s="44"/>
      <c r="ULJ55" s="44"/>
      <c r="ULK55" s="44"/>
      <c r="ULL55" s="44"/>
      <c r="ULM55" s="44"/>
      <c r="ULN55" s="44"/>
      <c r="ULO55" s="44"/>
      <c r="ULP55" s="44"/>
      <c r="ULQ55" s="44"/>
      <c r="ULR55" s="44"/>
      <c r="ULS55" s="44"/>
      <c r="ULT55" s="44"/>
      <c r="ULU55" s="44"/>
      <c r="ULV55" s="44"/>
      <c r="ULW55" s="44"/>
      <c r="ULX55" s="44"/>
      <c r="ULY55" s="44"/>
      <c r="ULZ55" s="44"/>
      <c r="UMA55" s="44"/>
      <c r="UMB55" s="44"/>
      <c r="UMC55" s="44"/>
      <c r="UMD55" s="44"/>
      <c r="UME55" s="44"/>
      <c r="UMF55" s="44"/>
      <c r="UMG55" s="44"/>
      <c r="UMH55" s="44"/>
      <c r="UMI55" s="44"/>
      <c r="UMJ55" s="44"/>
      <c r="UMK55" s="44"/>
      <c r="UML55" s="44"/>
      <c r="UMM55" s="44"/>
      <c r="UMN55" s="44"/>
      <c r="UMO55" s="44"/>
      <c r="UMP55" s="44"/>
      <c r="UMQ55" s="44"/>
      <c r="UMR55" s="44"/>
      <c r="UMS55" s="44"/>
      <c r="UMT55" s="44"/>
      <c r="UMU55" s="44"/>
      <c r="UMV55" s="44"/>
      <c r="UMW55" s="44"/>
      <c r="UMX55" s="44"/>
      <c r="UMY55" s="44"/>
      <c r="UMZ55" s="44"/>
      <c r="UNA55" s="44"/>
      <c r="UNB55" s="44"/>
      <c r="UNC55" s="44"/>
      <c r="UND55" s="44"/>
      <c r="UNE55" s="44"/>
      <c r="UNF55" s="44"/>
      <c r="UNG55" s="44"/>
      <c r="UNH55" s="44"/>
      <c r="UNI55" s="44"/>
      <c r="UNJ55" s="44"/>
      <c r="UNK55" s="44"/>
      <c r="UNL55" s="44"/>
      <c r="UNM55" s="44"/>
      <c r="UNN55" s="44"/>
      <c r="UNO55" s="44"/>
      <c r="UNP55" s="44"/>
      <c r="UNQ55" s="44"/>
      <c r="UNR55" s="44"/>
      <c r="UNS55" s="44"/>
      <c r="UNT55" s="44"/>
      <c r="UNU55" s="44"/>
      <c r="UNV55" s="44"/>
      <c r="UNW55" s="44"/>
      <c r="UNX55" s="44"/>
      <c r="UNY55" s="44"/>
      <c r="UNZ55" s="44"/>
      <c r="UOA55" s="44"/>
      <c r="UOB55" s="44"/>
      <c r="UOC55" s="44"/>
      <c r="UOD55" s="44"/>
      <c r="UOE55" s="44"/>
      <c r="UOF55" s="44"/>
      <c r="UOG55" s="44"/>
      <c r="UOH55" s="44"/>
      <c r="UOI55" s="44"/>
      <c r="UOJ55" s="44"/>
      <c r="UOK55" s="44"/>
      <c r="UOL55" s="44"/>
      <c r="UOM55" s="44"/>
      <c r="UON55" s="44"/>
      <c r="UOO55" s="44"/>
      <c r="UOP55" s="44"/>
      <c r="UOQ55" s="44"/>
      <c r="UOR55" s="44"/>
      <c r="UOS55" s="44"/>
      <c r="UOT55" s="44"/>
      <c r="UOU55" s="44"/>
      <c r="UOV55" s="44"/>
      <c r="UOW55" s="44"/>
      <c r="UOX55" s="44"/>
      <c r="UOY55" s="44"/>
      <c r="UOZ55" s="44"/>
      <c r="UPA55" s="44"/>
      <c r="UPB55" s="44"/>
      <c r="UPC55" s="44"/>
      <c r="UPD55" s="44"/>
      <c r="UPE55" s="44"/>
      <c r="UPF55" s="44"/>
      <c r="UPG55" s="44"/>
      <c r="UPH55" s="44"/>
      <c r="UPI55" s="44"/>
      <c r="UPJ55" s="44"/>
      <c r="UPK55" s="44"/>
      <c r="UPL55" s="44"/>
      <c r="UPM55" s="44"/>
      <c r="UPN55" s="44"/>
      <c r="UPO55" s="44"/>
      <c r="UPP55" s="44"/>
      <c r="UPQ55" s="44"/>
      <c r="UPR55" s="44"/>
      <c r="UPS55" s="44"/>
      <c r="UPT55" s="44"/>
      <c r="UPU55" s="44"/>
      <c r="UPV55" s="44"/>
      <c r="UPW55" s="44"/>
      <c r="UPX55" s="44"/>
      <c r="UPY55" s="44"/>
      <c r="UPZ55" s="44"/>
      <c r="UQA55" s="44"/>
      <c r="UQB55" s="44"/>
      <c r="UQC55" s="44"/>
      <c r="UQD55" s="44"/>
      <c r="UQE55" s="44"/>
      <c r="UQF55" s="44"/>
      <c r="UQG55" s="44"/>
      <c r="UQH55" s="44"/>
      <c r="UQI55" s="44"/>
      <c r="UQJ55" s="44"/>
      <c r="UQK55" s="44"/>
      <c r="UQL55" s="44"/>
      <c r="UQM55" s="44"/>
      <c r="UQN55" s="44"/>
      <c r="UQO55" s="44"/>
      <c r="UQP55" s="44"/>
      <c r="UQQ55" s="44"/>
      <c r="UQR55" s="44"/>
      <c r="UQS55" s="44"/>
      <c r="UQT55" s="44"/>
      <c r="UQU55" s="44"/>
      <c r="UQV55" s="44"/>
      <c r="UQW55" s="44"/>
      <c r="UQX55" s="44"/>
      <c r="UQY55" s="44"/>
      <c r="UQZ55" s="44"/>
      <c r="URA55" s="44"/>
      <c r="URB55" s="44"/>
      <c r="URC55" s="44"/>
      <c r="URD55" s="44"/>
      <c r="URE55" s="44"/>
      <c r="URF55" s="44"/>
      <c r="URG55" s="44"/>
      <c r="URH55" s="44"/>
      <c r="URI55" s="44"/>
      <c r="URJ55" s="44"/>
      <c r="URK55" s="44"/>
      <c r="URL55" s="44"/>
      <c r="URM55" s="44"/>
      <c r="URN55" s="44"/>
      <c r="URO55" s="44"/>
      <c r="URP55" s="44"/>
      <c r="URQ55" s="44"/>
      <c r="URR55" s="44"/>
      <c r="URS55" s="44"/>
      <c r="URT55" s="44"/>
      <c r="URU55" s="44"/>
      <c r="URV55" s="44"/>
      <c r="URW55" s="44"/>
      <c r="URX55" s="44"/>
      <c r="URY55" s="44"/>
      <c r="URZ55" s="44"/>
      <c r="USA55" s="44"/>
      <c r="USB55" s="44"/>
      <c r="USC55" s="44"/>
      <c r="USD55" s="44"/>
      <c r="USE55" s="44"/>
      <c r="USF55" s="44"/>
      <c r="USG55" s="44"/>
      <c r="USH55" s="44"/>
      <c r="USI55" s="44"/>
      <c r="USJ55" s="44"/>
      <c r="USK55" s="44"/>
      <c r="USL55" s="44"/>
      <c r="USM55" s="44"/>
      <c r="USN55" s="44"/>
      <c r="USO55" s="44"/>
      <c r="USP55" s="44"/>
      <c r="USQ55" s="44"/>
      <c r="USR55" s="44"/>
      <c r="USS55" s="44"/>
      <c r="UST55" s="44"/>
      <c r="USU55" s="44"/>
      <c r="USV55" s="44"/>
      <c r="USW55" s="44"/>
      <c r="USX55" s="44"/>
      <c r="USY55" s="44"/>
      <c r="USZ55" s="44"/>
      <c r="UTA55" s="44"/>
      <c r="UTB55" s="44"/>
      <c r="UTC55" s="44"/>
      <c r="UTD55" s="44"/>
      <c r="UTE55" s="44"/>
      <c r="UTF55" s="44"/>
      <c r="UTG55" s="44"/>
      <c r="UTH55" s="44"/>
      <c r="UTI55" s="44"/>
      <c r="UTJ55" s="44"/>
      <c r="UTK55" s="44"/>
      <c r="UTL55" s="44"/>
      <c r="UTM55" s="44"/>
      <c r="UTN55" s="44"/>
      <c r="UTO55" s="44"/>
      <c r="UTP55" s="44"/>
      <c r="UTQ55" s="44"/>
      <c r="UTR55" s="44"/>
      <c r="UTS55" s="44"/>
      <c r="UTT55" s="44"/>
      <c r="UTU55" s="44"/>
      <c r="UTV55" s="44"/>
      <c r="UTW55" s="44"/>
      <c r="UTX55" s="44"/>
      <c r="UTY55" s="44"/>
      <c r="UTZ55" s="44"/>
      <c r="UUA55" s="44"/>
      <c r="UUB55" s="44"/>
      <c r="UUC55" s="44"/>
      <c r="UUD55" s="44"/>
      <c r="UUE55" s="44"/>
      <c r="UUF55" s="44"/>
      <c r="UUG55" s="44"/>
      <c r="UUH55" s="44"/>
      <c r="UUI55" s="44"/>
      <c r="UUJ55" s="44"/>
      <c r="UUK55" s="44"/>
      <c r="UUL55" s="44"/>
      <c r="UUM55" s="44"/>
      <c r="UUN55" s="44"/>
      <c r="UUO55" s="44"/>
      <c r="UUP55" s="44"/>
      <c r="UUQ55" s="44"/>
      <c r="UUR55" s="44"/>
      <c r="UUS55" s="44"/>
      <c r="UUT55" s="44"/>
      <c r="UUU55" s="44"/>
      <c r="UUV55" s="44"/>
      <c r="UUW55" s="44"/>
      <c r="UUX55" s="44"/>
      <c r="UUY55" s="44"/>
      <c r="UUZ55" s="44"/>
      <c r="UVA55" s="44"/>
      <c r="UVB55" s="44"/>
      <c r="UVC55" s="44"/>
      <c r="UVD55" s="44"/>
      <c r="UVE55" s="44"/>
      <c r="UVF55" s="44"/>
      <c r="UVG55" s="44"/>
      <c r="UVH55" s="44"/>
      <c r="UVI55" s="44"/>
      <c r="UVJ55" s="44"/>
      <c r="UVK55" s="44"/>
      <c r="UVL55" s="44"/>
      <c r="UVM55" s="44"/>
      <c r="UVN55" s="44"/>
      <c r="UVO55" s="44"/>
      <c r="UVP55" s="44"/>
      <c r="UVQ55" s="44"/>
      <c r="UVR55" s="44"/>
      <c r="UVS55" s="44"/>
      <c r="UVT55" s="44"/>
      <c r="UVU55" s="44"/>
      <c r="UVV55" s="44"/>
      <c r="UVW55" s="44"/>
      <c r="UVX55" s="44"/>
      <c r="UVY55" s="44"/>
      <c r="UVZ55" s="44"/>
      <c r="UWA55" s="44"/>
      <c r="UWB55" s="44"/>
      <c r="UWC55" s="44"/>
      <c r="UWD55" s="44"/>
      <c r="UWE55" s="44"/>
      <c r="UWF55" s="44"/>
      <c r="UWG55" s="44"/>
      <c r="UWH55" s="44"/>
      <c r="UWI55" s="44"/>
      <c r="UWJ55" s="44"/>
      <c r="UWK55" s="44"/>
      <c r="UWL55" s="44"/>
      <c r="UWM55" s="44"/>
      <c r="UWN55" s="44"/>
      <c r="UWO55" s="44"/>
      <c r="UWP55" s="44"/>
      <c r="UWQ55" s="44"/>
      <c r="UWR55" s="44"/>
      <c r="UWS55" s="44"/>
      <c r="UWT55" s="44"/>
      <c r="UWU55" s="44"/>
      <c r="UWV55" s="44"/>
      <c r="UWW55" s="44"/>
      <c r="UWX55" s="44"/>
      <c r="UWY55" s="44"/>
      <c r="UWZ55" s="44"/>
      <c r="UXA55" s="44"/>
      <c r="UXB55" s="44"/>
      <c r="UXC55" s="44"/>
      <c r="UXD55" s="44"/>
      <c r="UXE55" s="44"/>
      <c r="UXF55" s="44"/>
      <c r="UXG55" s="44"/>
      <c r="UXH55" s="44"/>
      <c r="UXI55" s="44"/>
      <c r="UXJ55" s="44"/>
      <c r="UXK55" s="44"/>
      <c r="UXL55" s="44"/>
      <c r="UXM55" s="44"/>
      <c r="UXN55" s="44"/>
      <c r="UXO55" s="44"/>
      <c r="UXP55" s="44"/>
      <c r="UXQ55" s="44"/>
      <c r="UXR55" s="44"/>
      <c r="UXS55" s="44"/>
      <c r="UXT55" s="44"/>
      <c r="UXU55" s="44"/>
      <c r="UXV55" s="44"/>
      <c r="UXW55" s="44"/>
      <c r="UXX55" s="44"/>
      <c r="UXY55" s="44"/>
      <c r="UXZ55" s="44"/>
      <c r="UYA55" s="44"/>
      <c r="UYB55" s="44"/>
      <c r="UYC55" s="44"/>
      <c r="UYD55" s="44"/>
      <c r="UYE55" s="44"/>
      <c r="UYF55" s="44"/>
      <c r="UYG55" s="44"/>
      <c r="UYH55" s="44"/>
      <c r="UYI55" s="44"/>
      <c r="UYJ55" s="44"/>
      <c r="UYK55" s="44"/>
      <c r="UYL55" s="44"/>
      <c r="UYM55" s="44"/>
      <c r="UYN55" s="44"/>
      <c r="UYO55" s="44"/>
      <c r="UYP55" s="44"/>
      <c r="UYQ55" s="44"/>
      <c r="UYR55" s="44"/>
      <c r="UYS55" s="44"/>
      <c r="UYT55" s="44"/>
      <c r="UYU55" s="44"/>
      <c r="UYV55" s="44"/>
      <c r="UYW55" s="44"/>
      <c r="UYX55" s="44"/>
      <c r="UYY55" s="44"/>
      <c r="UYZ55" s="44"/>
      <c r="UZA55" s="44"/>
      <c r="UZB55" s="44"/>
      <c r="UZC55" s="44"/>
      <c r="UZD55" s="44"/>
      <c r="UZE55" s="44"/>
      <c r="UZF55" s="44"/>
      <c r="UZG55" s="44"/>
      <c r="UZH55" s="44"/>
      <c r="UZI55" s="44"/>
      <c r="UZJ55" s="44"/>
      <c r="UZK55" s="44"/>
      <c r="UZL55" s="44"/>
      <c r="UZM55" s="44"/>
      <c r="UZN55" s="44"/>
      <c r="UZO55" s="44"/>
      <c r="UZP55" s="44"/>
      <c r="UZQ55" s="44"/>
      <c r="UZR55" s="44"/>
      <c r="UZS55" s="44"/>
      <c r="UZT55" s="44"/>
      <c r="UZU55" s="44"/>
      <c r="UZV55" s="44"/>
      <c r="UZW55" s="44"/>
      <c r="UZX55" s="44"/>
      <c r="UZY55" s="44"/>
      <c r="UZZ55" s="44"/>
      <c r="VAA55" s="44"/>
      <c r="VAB55" s="44"/>
      <c r="VAC55" s="44"/>
      <c r="VAD55" s="44"/>
      <c r="VAE55" s="44"/>
      <c r="VAF55" s="44"/>
      <c r="VAG55" s="44"/>
      <c r="VAH55" s="44"/>
      <c r="VAI55" s="44"/>
      <c r="VAJ55" s="44"/>
      <c r="VAK55" s="44"/>
      <c r="VAL55" s="44"/>
      <c r="VAM55" s="44"/>
      <c r="VAN55" s="44"/>
      <c r="VAO55" s="44"/>
      <c r="VAP55" s="44"/>
      <c r="VAQ55" s="44"/>
      <c r="VAR55" s="44"/>
      <c r="VAS55" s="44"/>
      <c r="VAT55" s="44"/>
      <c r="VAU55" s="44"/>
      <c r="VAV55" s="44"/>
      <c r="VAW55" s="44"/>
      <c r="VAX55" s="44"/>
      <c r="VAY55" s="44"/>
      <c r="VAZ55" s="44"/>
      <c r="VBA55" s="44"/>
      <c r="VBB55" s="44"/>
      <c r="VBC55" s="44"/>
      <c r="VBD55" s="44"/>
      <c r="VBE55" s="44"/>
      <c r="VBF55" s="44"/>
      <c r="VBG55" s="44"/>
      <c r="VBH55" s="44"/>
      <c r="VBI55" s="44"/>
      <c r="VBJ55" s="44"/>
      <c r="VBK55" s="44"/>
      <c r="VBL55" s="44"/>
      <c r="VBM55" s="44"/>
      <c r="VBN55" s="44"/>
      <c r="VBO55" s="44"/>
      <c r="VBP55" s="44"/>
      <c r="VBQ55" s="44"/>
      <c r="VBR55" s="44"/>
      <c r="VBS55" s="44"/>
      <c r="VBT55" s="44"/>
      <c r="VBU55" s="44"/>
      <c r="VBV55" s="44"/>
      <c r="VBW55" s="44"/>
      <c r="VBX55" s="44"/>
      <c r="VBY55" s="44"/>
      <c r="VBZ55" s="44"/>
      <c r="VCA55" s="44"/>
      <c r="VCB55" s="44"/>
      <c r="VCC55" s="44"/>
      <c r="VCD55" s="44"/>
      <c r="VCE55" s="44"/>
      <c r="VCF55" s="44"/>
      <c r="VCG55" s="44"/>
      <c r="VCH55" s="44"/>
      <c r="VCI55" s="44"/>
      <c r="VCJ55" s="44"/>
      <c r="VCK55" s="44"/>
      <c r="VCL55" s="44"/>
      <c r="VCM55" s="44"/>
      <c r="VCN55" s="44"/>
      <c r="VCO55" s="44"/>
      <c r="VCP55" s="44"/>
      <c r="VCQ55" s="44"/>
      <c r="VCR55" s="44"/>
      <c r="VCS55" s="44"/>
      <c r="VCT55" s="44"/>
      <c r="VCU55" s="44"/>
      <c r="VCV55" s="44"/>
      <c r="VCW55" s="44"/>
      <c r="VCX55" s="44"/>
      <c r="VCY55" s="44"/>
      <c r="VCZ55" s="44"/>
      <c r="VDA55" s="44"/>
      <c r="VDB55" s="44"/>
      <c r="VDC55" s="44"/>
      <c r="VDD55" s="44"/>
      <c r="VDE55" s="44"/>
      <c r="VDF55" s="44"/>
      <c r="VDG55" s="44"/>
      <c r="VDH55" s="44"/>
      <c r="VDI55" s="44"/>
      <c r="VDJ55" s="44"/>
      <c r="VDK55" s="44"/>
      <c r="VDL55" s="44"/>
      <c r="VDM55" s="44"/>
      <c r="VDN55" s="44"/>
      <c r="VDO55" s="44"/>
      <c r="VDP55" s="44"/>
      <c r="VDQ55" s="44"/>
      <c r="VDR55" s="44"/>
      <c r="VDS55" s="44"/>
      <c r="VDT55" s="44"/>
      <c r="VDU55" s="44"/>
      <c r="VDV55" s="44"/>
      <c r="VDW55" s="44"/>
      <c r="VDX55" s="44"/>
      <c r="VDY55" s="44"/>
      <c r="VDZ55" s="44"/>
      <c r="VEA55" s="44"/>
      <c r="VEB55" s="44"/>
      <c r="VEC55" s="44"/>
      <c r="VED55" s="44"/>
      <c r="VEE55" s="44"/>
      <c r="VEF55" s="44"/>
      <c r="VEG55" s="44"/>
      <c r="VEH55" s="44"/>
      <c r="VEI55" s="44"/>
      <c r="VEJ55" s="44"/>
      <c r="VEK55" s="44"/>
      <c r="VEL55" s="44"/>
      <c r="VEM55" s="44"/>
      <c r="VEN55" s="44"/>
      <c r="VEO55" s="44"/>
      <c r="VEP55" s="44"/>
      <c r="VEQ55" s="44"/>
      <c r="VER55" s="44"/>
      <c r="VES55" s="44"/>
      <c r="VET55" s="44"/>
      <c r="VEU55" s="44"/>
      <c r="VEV55" s="44"/>
      <c r="VEW55" s="44"/>
      <c r="VEX55" s="44"/>
      <c r="VEY55" s="44"/>
      <c r="VEZ55" s="44"/>
      <c r="VFA55" s="44"/>
      <c r="VFB55" s="44"/>
      <c r="VFC55" s="44"/>
      <c r="VFD55" s="44"/>
      <c r="VFE55" s="44"/>
      <c r="VFF55" s="44"/>
      <c r="VFG55" s="44"/>
      <c r="VFH55" s="44"/>
      <c r="VFI55" s="44"/>
      <c r="VFJ55" s="44"/>
      <c r="VFK55" s="44"/>
      <c r="VFL55" s="44"/>
      <c r="VFM55" s="44"/>
      <c r="VFN55" s="44"/>
      <c r="VFO55" s="44"/>
      <c r="VFP55" s="44"/>
      <c r="VFQ55" s="44"/>
      <c r="VFR55" s="44"/>
      <c r="VFS55" s="44"/>
      <c r="VFT55" s="44"/>
      <c r="VFU55" s="44"/>
      <c r="VFV55" s="44"/>
      <c r="VFW55" s="44"/>
      <c r="VFX55" s="44"/>
      <c r="VFY55" s="44"/>
      <c r="VFZ55" s="44"/>
      <c r="VGA55" s="44"/>
      <c r="VGB55" s="44"/>
      <c r="VGC55" s="44"/>
      <c r="VGD55" s="44"/>
      <c r="VGE55" s="44"/>
      <c r="VGF55" s="44"/>
      <c r="VGG55" s="44"/>
      <c r="VGH55" s="44"/>
      <c r="VGI55" s="44"/>
      <c r="VGJ55" s="44"/>
      <c r="VGK55" s="44"/>
      <c r="VGL55" s="44"/>
      <c r="VGM55" s="44"/>
      <c r="VGN55" s="44"/>
      <c r="VGO55" s="44"/>
      <c r="VGP55" s="44"/>
      <c r="VGQ55" s="44"/>
      <c r="VGR55" s="44"/>
      <c r="VGS55" s="44"/>
      <c r="VGT55" s="44"/>
      <c r="VGU55" s="44"/>
      <c r="VGV55" s="44"/>
      <c r="VGW55" s="44"/>
      <c r="VGX55" s="44"/>
      <c r="VGY55" s="44"/>
      <c r="VGZ55" s="44"/>
      <c r="VHA55" s="44"/>
      <c r="VHB55" s="44"/>
      <c r="VHC55" s="44"/>
      <c r="VHD55" s="44"/>
      <c r="VHE55" s="44"/>
      <c r="VHF55" s="44"/>
      <c r="VHG55" s="44"/>
      <c r="VHH55" s="44"/>
      <c r="VHI55" s="44"/>
      <c r="VHJ55" s="44"/>
      <c r="VHK55" s="44"/>
      <c r="VHL55" s="44"/>
      <c r="VHM55" s="44"/>
      <c r="VHN55" s="44"/>
      <c r="VHO55" s="44"/>
      <c r="VHP55" s="44"/>
      <c r="VHQ55" s="44"/>
      <c r="VHR55" s="44"/>
      <c r="VHS55" s="44"/>
      <c r="VHT55" s="44"/>
      <c r="VHU55" s="44"/>
      <c r="VHV55" s="44"/>
      <c r="VHW55" s="44"/>
      <c r="VHX55" s="44"/>
      <c r="VHY55" s="44"/>
      <c r="VHZ55" s="44"/>
      <c r="VIA55" s="44"/>
      <c r="VIB55" s="44"/>
      <c r="VIC55" s="44"/>
      <c r="VID55" s="44"/>
      <c r="VIE55" s="44"/>
      <c r="VIF55" s="44"/>
      <c r="VIG55" s="44"/>
      <c r="VIH55" s="44"/>
      <c r="VII55" s="44"/>
      <c r="VIJ55" s="44"/>
      <c r="VIK55" s="44"/>
      <c r="VIL55" s="44"/>
      <c r="VIM55" s="44"/>
      <c r="VIN55" s="44"/>
      <c r="VIO55" s="44"/>
      <c r="VIP55" s="44"/>
      <c r="VIQ55" s="44"/>
      <c r="VIR55" s="44"/>
      <c r="VIS55" s="44"/>
      <c r="VIT55" s="44"/>
      <c r="VIU55" s="44"/>
      <c r="VIV55" s="44"/>
      <c r="VIW55" s="44"/>
      <c r="VIX55" s="44"/>
      <c r="VIY55" s="44"/>
      <c r="VIZ55" s="44"/>
      <c r="VJA55" s="44"/>
      <c r="VJB55" s="44"/>
      <c r="VJC55" s="44"/>
      <c r="VJD55" s="44"/>
      <c r="VJE55" s="44"/>
      <c r="VJF55" s="44"/>
      <c r="VJG55" s="44"/>
      <c r="VJH55" s="44"/>
      <c r="VJI55" s="44"/>
      <c r="VJJ55" s="44"/>
      <c r="VJK55" s="44"/>
      <c r="VJL55" s="44"/>
      <c r="VJM55" s="44"/>
      <c r="VJN55" s="44"/>
      <c r="VJO55" s="44"/>
      <c r="VJP55" s="44"/>
      <c r="VJQ55" s="44"/>
      <c r="VJR55" s="44"/>
      <c r="VJS55" s="44"/>
      <c r="VJT55" s="44"/>
      <c r="VJU55" s="44"/>
      <c r="VJV55" s="44"/>
      <c r="VJW55" s="44"/>
      <c r="VJX55" s="44"/>
      <c r="VJY55" s="44"/>
      <c r="VJZ55" s="44"/>
      <c r="VKA55" s="44"/>
      <c r="VKB55" s="44"/>
      <c r="VKC55" s="44"/>
      <c r="VKD55" s="44"/>
      <c r="VKE55" s="44"/>
      <c r="VKF55" s="44"/>
      <c r="VKG55" s="44"/>
      <c r="VKH55" s="44"/>
      <c r="VKI55" s="44"/>
      <c r="VKJ55" s="44"/>
      <c r="VKK55" s="44"/>
      <c r="VKL55" s="44"/>
      <c r="VKM55" s="44"/>
      <c r="VKN55" s="44"/>
      <c r="VKO55" s="44"/>
      <c r="VKP55" s="44"/>
      <c r="VKQ55" s="44"/>
      <c r="VKR55" s="44"/>
      <c r="VKS55" s="44"/>
      <c r="VKT55" s="44"/>
      <c r="VKU55" s="44"/>
      <c r="VKV55" s="44"/>
      <c r="VKW55" s="44"/>
      <c r="VKX55" s="44"/>
      <c r="VKY55" s="44"/>
      <c r="VKZ55" s="44"/>
      <c r="VLA55" s="44"/>
      <c r="VLB55" s="44"/>
      <c r="VLC55" s="44"/>
      <c r="VLD55" s="44"/>
      <c r="VLE55" s="44"/>
      <c r="VLF55" s="44"/>
      <c r="VLG55" s="44"/>
      <c r="VLH55" s="44"/>
      <c r="VLI55" s="44"/>
      <c r="VLJ55" s="44"/>
      <c r="VLK55" s="44"/>
      <c r="VLL55" s="44"/>
      <c r="VLM55" s="44"/>
      <c r="VLN55" s="44"/>
      <c r="VLO55" s="44"/>
      <c r="VLP55" s="44"/>
      <c r="VLQ55" s="44"/>
      <c r="VLR55" s="44"/>
      <c r="VLS55" s="44"/>
      <c r="VLT55" s="44"/>
      <c r="VLU55" s="44"/>
      <c r="VLV55" s="44"/>
      <c r="VLW55" s="44"/>
      <c r="VLX55" s="44"/>
      <c r="VLY55" s="44"/>
      <c r="VLZ55" s="44"/>
      <c r="VMA55" s="44"/>
      <c r="VMB55" s="44"/>
      <c r="VMC55" s="44"/>
      <c r="VMD55" s="44"/>
      <c r="VME55" s="44"/>
      <c r="VMF55" s="44"/>
      <c r="VMG55" s="44"/>
      <c r="VMH55" s="44"/>
      <c r="VMI55" s="44"/>
      <c r="VMJ55" s="44"/>
      <c r="VMK55" s="44"/>
      <c r="VML55" s="44"/>
      <c r="VMM55" s="44"/>
      <c r="VMN55" s="44"/>
      <c r="VMO55" s="44"/>
      <c r="VMP55" s="44"/>
      <c r="VMQ55" s="44"/>
      <c r="VMR55" s="44"/>
      <c r="VMS55" s="44"/>
      <c r="VMT55" s="44"/>
      <c r="VMU55" s="44"/>
      <c r="VMV55" s="44"/>
      <c r="VMW55" s="44"/>
      <c r="VMX55" s="44"/>
      <c r="VMY55" s="44"/>
      <c r="VMZ55" s="44"/>
      <c r="VNA55" s="44"/>
      <c r="VNB55" s="44"/>
      <c r="VNC55" s="44"/>
      <c r="VND55" s="44"/>
      <c r="VNE55" s="44"/>
      <c r="VNF55" s="44"/>
      <c r="VNG55" s="44"/>
      <c r="VNH55" s="44"/>
      <c r="VNI55" s="44"/>
      <c r="VNJ55" s="44"/>
      <c r="VNK55" s="44"/>
      <c r="VNL55" s="44"/>
      <c r="VNM55" s="44"/>
      <c r="VNN55" s="44"/>
      <c r="VNO55" s="44"/>
      <c r="VNP55" s="44"/>
      <c r="VNQ55" s="44"/>
      <c r="VNR55" s="44"/>
      <c r="VNS55" s="44"/>
      <c r="VNT55" s="44"/>
      <c r="VNU55" s="44"/>
      <c r="VNV55" s="44"/>
      <c r="VNW55" s="44"/>
      <c r="VNX55" s="44"/>
      <c r="VNY55" s="44"/>
      <c r="VNZ55" s="44"/>
      <c r="VOA55" s="44"/>
      <c r="VOB55" s="44"/>
      <c r="VOC55" s="44"/>
      <c r="VOD55" s="44"/>
      <c r="VOE55" s="44"/>
      <c r="VOF55" s="44"/>
      <c r="VOG55" s="44"/>
      <c r="VOH55" s="44"/>
      <c r="VOI55" s="44"/>
      <c r="VOJ55" s="44"/>
      <c r="VOK55" s="44"/>
      <c r="VOL55" s="44"/>
      <c r="VOM55" s="44"/>
      <c r="VON55" s="44"/>
      <c r="VOO55" s="44"/>
      <c r="VOP55" s="44"/>
      <c r="VOQ55" s="44"/>
      <c r="VOR55" s="44"/>
      <c r="VOS55" s="44"/>
      <c r="VOT55" s="44"/>
      <c r="VOU55" s="44"/>
      <c r="VOV55" s="44"/>
      <c r="VOW55" s="44"/>
      <c r="VOX55" s="44"/>
      <c r="VOY55" s="44"/>
      <c r="VOZ55" s="44"/>
      <c r="VPA55" s="44"/>
      <c r="VPB55" s="44"/>
      <c r="VPC55" s="44"/>
      <c r="VPD55" s="44"/>
      <c r="VPE55" s="44"/>
      <c r="VPF55" s="44"/>
      <c r="VPG55" s="44"/>
      <c r="VPH55" s="44"/>
      <c r="VPI55" s="44"/>
      <c r="VPJ55" s="44"/>
      <c r="VPK55" s="44"/>
      <c r="VPL55" s="44"/>
      <c r="VPM55" s="44"/>
      <c r="VPN55" s="44"/>
      <c r="VPO55" s="44"/>
      <c r="VPP55" s="44"/>
      <c r="VPQ55" s="44"/>
      <c r="VPR55" s="44"/>
      <c r="VPS55" s="44"/>
      <c r="VPT55" s="44"/>
      <c r="VPU55" s="44"/>
      <c r="VPV55" s="44"/>
      <c r="VPW55" s="44"/>
      <c r="VPX55" s="44"/>
      <c r="VPY55" s="44"/>
      <c r="VPZ55" s="44"/>
      <c r="VQA55" s="44"/>
      <c r="VQB55" s="44"/>
      <c r="VQC55" s="44"/>
      <c r="VQD55" s="44"/>
      <c r="VQE55" s="44"/>
      <c r="VQF55" s="44"/>
      <c r="VQG55" s="44"/>
      <c r="VQH55" s="44"/>
      <c r="VQI55" s="44"/>
      <c r="VQJ55" s="44"/>
      <c r="VQK55" s="44"/>
      <c r="VQL55" s="44"/>
      <c r="VQM55" s="44"/>
      <c r="VQN55" s="44"/>
      <c r="VQO55" s="44"/>
      <c r="VQP55" s="44"/>
      <c r="VQQ55" s="44"/>
      <c r="VQR55" s="44"/>
      <c r="VQS55" s="44"/>
      <c r="VQT55" s="44"/>
      <c r="VQU55" s="44"/>
      <c r="VQV55" s="44"/>
      <c r="VQW55" s="44"/>
      <c r="VQX55" s="44"/>
      <c r="VQY55" s="44"/>
      <c r="VQZ55" s="44"/>
      <c r="VRA55" s="44"/>
      <c r="VRB55" s="44"/>
      <c r="VRC55" s="44"/>
      <c r="VRD55" s="44"/>
      <c r="VRE55" s="44"/>
      <c r="VRF55" s="44"/>
      <c r="VRG55" s="44"/>
      <c r="VRH55" s="44"/>
      <c r="VRI55" s="44"/>
      <c r="VRJ55" s="44"/>
      <c r="VRK55" s="44"/>
      <c r="VRL55" s="44"/>
      <c r="VRM55" s="44"/>
      <c r="VRN55" s="44"/>
      <c r="VRO55" s="44"/>
      <c r="VRP55" s="44"/>
      <c r="VRQ55" s="44"/>
      <c r="VRR55" s="44"/>
      <c r="VRS55" s="44"/>
      <c r="VRT55" s="44"/>
      <c r="VRU55" s="44"/>
      <c r="VRV55" s="44"/>
      <c r="VRW55" s="44"/>
      <c r="VRX55" s="44"/>
      <c r="VRY55" s="44"/>
      <c r="VRZ55" s="44"/>
      <c r="VSA55" s="44"/>
      <c r="VSB55" s="44"/>
      <c r="VSC55" s="44"/>
      <c r="VSD55" s="44"/>
      <c r="VSE55" s="44"/>
      <c r="VSF55" s="44"/>
      <c r="VSG55" s="44"/>
      <c r="VSH55" s="44"/>
      <c r="VSI55" s="44"/>
      <c r="VSJ55" s="44"/>
      <c r="VSK55" s="44"/>
      <c r="VSL55" s="44"/>
      <c r="VSM55" s="44"/>
      <c r="VSN55" s="44"/>
      <c r="VSO55" s="44"/>
      <c r="VSP55" s="44"/>
      <c r="VSQ55" s="44"/>
      <c r="VSR55" s="44"/>
      <c r="VSS55" s="44"/>
      <c r="VST55" s="44"/>
      <c r="VSU55" s="44"/>
      <c r="VSV55" s="44"/>
      <c r="VSW55" s="44"/>
      <c r="VSX55" s="44"/>
      <c r="VSY55" s="44"/>
      <c r="VSZ55" s="44"/>
      <c r="VTA55" s="44"/>
      <c r="VTB55" s="44"/>
      <c r="VTC55" s="44"/>
      <c r="VTD55" s="44"/>
      <c r="VTE55" s="44"/>
      <c r="VTF55" s="44"/>
      <c r="VTG55" s="44"/>
      <c r="VTH55" s="44"/>
      <c r="VTI55" s="44"/>
      <c r="VTJ55" s="44"/>
      <c r="VTK55" s="44"/>
      <c r="VTL55" s="44"/>
      <c r="VTM55" s="44"/>
      <c r="VTN55" s="44"/>
      <c r="VTO55" s="44"/>
      <c r="VTP55" s="44"/>
      <c r="VTQ55" s="44"/>
      <c r="VTR55" s="44"/>
      <c r="VTS55" s="44"/>
      <c r="VTT55" s="44"/>
      <c r="VTU55" s="44"/>
      <c r="VTV55" s="44"/>
      <c r="VTW55" s="44"/>
      <c r="VTX55" s="44"/>
      <c r="VTY55" s="44"/>
      <c r="VTZ55" s="44"/>
      <c r="VUA55" s="44"/>
      <c r="VUB55" s="44"/>
      <c r="VUC55" s="44"/>
      <c r="VUD55" s="44"/>
      <c r="VUE55" s="44"/>
      <c r="VUF55" s="44"/>
      <c r="VUG55" s="44"/>
      <c r="VUH55" s="44"/>
      <c r="VUI55" s="44"/>
      <c r="VUJ55" s="44"/>
      <c r="VUK55" s="44"/>
      <c r="VUL55" s="44"/>
      <c r="VUM55" s="44"/>
      <c r="VUN55" s="44"/>
      <c r="VUO55" s="44"/>
      <c r="VUP55" s="44"/>
      <c r="VUQ55" s="44"/>
      <c r="VUR55" s="44"/>
      <c r="VUS55" s="44"/>
      <c r="VUT55" s="44"/>
      <c r="VUU55" s="44"/>
      <c r="VUV55" s="44"/>
      <c r="VUW55" s="44"/>
      <c r="VUX55" s="44"/>
      <c r="VUY55" s="44"/>
      <c r="VUZ55" s="44"/>
      <c r="VVA55" s="44"/>
      <c r="VVB55" s="44"/>
      <c r="VVC55" s="44"/>
      <c r="VVD55" s="44"/>
      <c r="VVE55" s="44"/>
      <c r="VVF55" s="44"/>
      <c r="VVG55" s="44"/>
      <c r="VVH55" s="44"/>
      <c r="VVI55" s="44"/>
      <c r="VVJ55" s="44"/>
      <c r="VVK55" s="44"/>
      <c r="VVL55" s="44"/>
      <c r="VVM55" s="44"/>
      <c r="VVN55" s="44"/>
      <c r="VVO55" s="44"/>
      <c r="VVP55" s="44"/>
      <c r="VVQ55" s="44"/>
      <c r="VVR55" s="44"/>
      <c r="VVS55" s="44"/>
      <c r="VVT55" s="44"/>
      <c r="VVU55" s="44"/>
      <c r="VVV55" s="44"/>
      <c r="VVW55" s="44"/>
      <c r="VVX55" s="44"/>
      <c r="VVY55" s="44"/>
      <c r="VVZ55" s="44"/>
      <c r="VWA55" s="44"/>
      <c r="VWB55" s="44"/>
      <c r="VWC55" s="44"/>
      <c r="VWD55" s="44"/>
      <c r="VWE55" s="44"/>
      <c r="VWF55" s="44"/>
      <c r="VWG55" s="44"/>
      <c r="VWH55" s="44"/>
      <c r="VWI55" s="44"/>
      <c r="VWJ55" s="44"/>
      <c r="VWK55" s="44"/>
      <c r="VWL55" s="44"/>
      <c r="VWM55" s="44"/>
      <c r="VWN55" s="44"/>
      <c r="VWO55" s="44"/>
      <c r="VWP55" s="44"/>
      <c r="VWQ55" s="44"/>
      <c r="VWR55" s="44"/>
      <c r="VWS55" s="44"/>
      <c r="VWT55" s="44"/>
      <c r="VWU55" s="44"/>
      <c r="VWV55" s="44"/>
      <c r="VWW55" s="44"/>
      <c r="VWX55" s="44"/>
      <c r="VWY55" s="44"/>
      <c r="VWZ55" s="44"/>
      <c r="VXA55" s="44"/>
      <c r="VXB55" s="44"/>
      <c r="VXC55" s="44"/>
      <c r="VXD55" s="44"/>
      <c r="VXE55" s="44"/>
      <c r="VXF55" s="44"/>
      <c r="VXG55" s="44"/>
      <c r="VXH55" s="44"/>
      <c r="VXI55" s="44"/>
      <c r="VXJ55" s="44"/>
      <c r="VXK55" s="44"/>
      <c r="VXL55" s="44"/>
      <c r="VXM55" s="44"/>
      <c r="VXN55" s="44"/>
      <c r="VXO55" s="44"/>
      <c r="VXP55" s="44"/>
      <c r="VXQ55" s="44"/>
      <c r="VXR55" s="44"/>
      <c r="VXS55" s="44"/>
      <c r="VXT55" s="44"/>
      <c r="VXU55" s="44"/>
      <c r="VXV55" s="44"/>
      <c r="VXW55" s="44"/>
      <c r="VXX55" s="44"/>
      <c r="VXY55" s="44"/>
      <c r="VXZ55" s="44"/>
      <c r="VYA55" s="44"/>
      <c r="VYB55" s="44"/>
      <c r="VYC55" s="44"/>
      <c r="VYD55" s="44"/>
      <c r="VYE55" s="44"/>
      <c r="VYF55" s="44"/>
      <c r="VYG55" s="44"/>
      <c r="VYH55" s="44"/>
      <c r="VYI55" s="44"/>
      <c r="VYJ55" s="44"/>
      <c r="VYK55" s="44"/>
      <c r="VYL55" s="44"/>
      <c r="VYM55" s="44"/>
      <c r="VYN55" s="44"/>
      <c r="VYO55" s="44"/>
      <c r="VYP55" s="44"/>
      <c r="VYQ55" s="44"/>
      <c r="VYR55" s="44"/>
      <c r="VYS55" s="44"/>
      <c r="VYT55" s="44"/>
      <c r="VYU55" s="44"/>
      <c r="VYV55" s="44"/>
      <c r="VYW55" s="44"/>
      <c r="VYX55" s="44"/>
      <c r="VYY55" s="44"/>
      <c r="VYZ55" s="44"/>
      <c r="VZA55" s="44"/>
      <c r="VZB55" s="44"/>
      <c r="VZC55" s="44"/>
      <c r="VZD55" s="44"/>
      <c r="VZE55" s="44"/>
      <c r="VZF55" s="44"/>
      <c r="VZG55" s="44"/>
      <c r="VZH55" s="44"/>
      <c r="VZI55" s="44"/>
      <c r="VZJ55" s="44"/>
      <c r="VZK55" s="44"/>
      <c r="VZL55" s="44"/>
      <c r="VZM55" s="44"/>
      <c r="VZN55" s="44"/>
      <c r="VZO55" s="44"/>
      <c r="VZP55" s="44"/>
      <c r="VZQ55" s="44"/>
      <c r="VZR55" s="44"/>
      <c r="VZS55" s="44"/>
      <c r="VZT55" s="44"/>
      <c r="VZU55" s="44"/>
      <c r="VZV55" s="44"/>
      <c r="VZW55" s="44"/>
      <c r="VZX55" s="44"/>
      <c r="VZY55" s="44"/>
      <c r="VZZ55" s="44"/>
      <c r="WAA55" s="44"/>
      <c r="WAB55" s="44"/>
      <c r="WAC55" s="44"/>
      <c r="WAD55" s="44"/>
      <c r="WAE55" s="44"/>
      <c r="WAF55" s="44"/>
      <c r="WAG55" s="44"/>
      <c r="WAH55" s="44"/>
      <c r="WAI55" s="44"/>
      <c r="WAJ55" s="44"/>
      <c r="WAK55" s="44"/>
      <c r="WAL55" s="44"/>
      <c r="WAM55" s="44"/>
      <c r="WAN55" s="44"/>
      <c r="WAO55" s="44"/>
      <c r="WAP55" s="44"/>
      <c r="WAQ55" s="44"/>
      <c r="WAR55" s="44"/>
      <c r="WAS55" s="44"/>
      <c r="WAT55" s="44"/>
      <c r="WAU55" s="44"/>
      <c r="WAV55" s="44"/>
      <c r="WAW55" s="44"/>
      <c r="WAX55" s="44"/>
      <c r="WAY55" s="44"/>
      <c r="WAZ55" s="44"/>
      <c r="WBA55" s="44"/>
      <c r="WBB55" s="44"/>
      <c r="WBC55" s="44"/>
      <c r="WBD55" s="44"/>
      <c r="WBE55" s="44"/>
      <c r="WBF55" s="44"/>
      <c r="WBG55" s="44"/>
      <c r="WBH55" s="44"/>
      <c r="WBI55" s="44"/>
      <c r="WBJ55" s="44"/>
      <c r="WBK55" s="44"/>
      <c r="WBL55" s="44"/>
      <c r="WBM55" s="44"/>
      <c r="WBN55" s="44"/>
      <c r="WBO55" s="44"/>
      <c r="WBP55" s="44"/>
      <c r="WBQ55" s="44"/>
      <c r="WBR55" s="44"/>
      <c r="WBS55" s="44"/>
      <c r="WBT55" s="44"/>
      <c r="WBU55" s="44"/>
      <c r="WBV55" s="44"/>
      <c r="WBW55" s="44"/>
      <c r="WBX55" s="44"/>
      <c r="WBY55" s="44"/>
      <c r="WBZ55" s="44"/>
      <c r="WCA55" s="44"/>
      <c r="WCB55" s="44"/>
      <c r="WCC55" s="44"/>
      <c r="WCD55" s="44"/>
      <c r="WCE55" s="44"/>
      <c r="WCF55" s="44"/>
      <c r="WCG55" s="44"/>
      <c r="WCH55" s="44"/>
      <c r="WCI55" s="44"/>
      <c r="WCJ55" s="44"/>
      <c r="WCK55" s="44"/>
      <c r="WCL55" s="44"/>
      <c r="WCM55" s="44"/>
      <c r="WCN55" s="44"/>
      <c r="WCO55" s="44"/>
      <c r="WCP55" s="44"/>
      <c r="WCQ55" s="44"/>
      <c r="WCR55" s="44"/>
      <c r="WCS55" s="44"/>
      <c r="WCT55" s="44"/>
      <c r="WCU55" s="44"/>
      <c r="WCV55" s="44"/>
      <c r="WCW55" s="44"/>
      <c r="WCX55" s="44"/>
      <c r="WCY55" s="44"/>
      <c r="WCZ55" s="44"/>
      <c r="WDA55" s="44"/>
      <c r="WDB55" s="44"/>
      <c r="WDC55" s="44"/>
      <c r="WDD55" s="44"/>
      <c r="WDE55" s="44"/>
      <c r="WDF55" s="44"/>
      <c r="WDG55" s="44"/>
      <c r="WDH55" s="44"/>
      <c r="WDI55" s="44"/>
      <c r="WDJ55" s="44"/>
      <c r="WDK55" s="44"/>
      <c r="WDL55" s="44"/>
      <c r="WDM55" s="44"/>
      <c r="WDN55" s="44"/>
      <c r="WDO55" s="44"/>
      <c r="WDP55" s="44"/>
      <c r="WDQ55" s="44"/>
      <c r="WDR55" s="44"/>
      <c r="WDS55" s="44"/>
      <c r="WDT55" s="44"/>
      <c r="WDU55" s="44"/>
      <c r="WDV55" s="44"/>
      <c r="WDW55" s="44"/>
      <c r="WDX55" s="44"/>
      <c r="WDY55" s="44"/>
      <c r="WDZ55" s="44"/>
      <c r="WEA55" s="44"/>
      <c r="WEB55" s="44"/>
      <c r="WEC55" s="44"/>
      <c r="WED55" s="44"/>
      <c r="WEE55" s="44"/>
      <c r="WEF55" s="44"/>
      <c r="WEG55" s="44"/>
      <c r="WEH55" s="44"/>
      <c r="WEI55" s="44"/>
      <c r="WEJ55" s="44"/>
      <c r="WEK55" s="44"/>
      <c r="WEL55" s="44"/>
      <c r="WEM55" s="44"/>
      <c r="WEN55" s="44"/>
      <c r="WEO55" s="44"/>
      <c r="WEP55" s="44"/>
      <c r="WEQ55" s="44"/>
      <c r="WER55" s="44"/>
      <c r="WES55" s="44"/>
      <c r="WET55" s="44"/>
      <c r="WEU55" s="44"/>
      <c r="WEV55" s="44"/>
      <c r="WEW55" s="44"/>
      <c r="WEX55" s="44"/>
      <c r="WEY55" s="44"/>
      <c r="WEZ55" s="44"/>
      <c r="WFA55" s="44"/>
      <c r="WFB55" s="44"/>
      <c r="WFC55" s="44"/>
      <c r="WFD55" s="44"/>
      <c r="WFE55" s="44"/>
      <c r="WFF55" s="44"/>
      <c r="WFG55" s="44"/>
      <c r="WFH55" s="44"/>
      <c r="WFI55" s="44"/>
      <c r="WFJ55" s="44"/>
      <c r="WFK55" s="44"/>
      <c r="WFL55" s="44"/>
      <c r="WFM55" s="44"/>
      <c r="WFN55" s="44"/>
      <c r="WFO55" s="44"/>
      <c r="WFP55" s="44"/>
      <c r="WFQ55" s="44"/>
      <c r="WFR55" s="44"/>
      <c r="WFS55" s="44"/>
      <c r="WFT55" s="44"/>
      <c r="WFU55" s="44"/>
      <c r="WFV55" s="44"/>
      <c r="WFW55" s="44"/>
      <c r="WFX55" s="44"/>
      <c r="WFY55" s="44"/>
      <c r="WFZ55" s="44"/>
      <c r="WGA55" s="44"/>
      <c r="WGB55" s="44"/>
      <c r="WGC55" s="44"/>
      <c r="WGD55" s="44"/>
      <c r="WGE55" s="44"/>
      <c r="WGF55" s="44"/>
      <c r="WGG55" s="44"/>
      <c r="WGH55" s="44"/>
      <c r="WGI55" s="44"/>
      <c r="WGJ55" s="44"/>
      <c r="WGK55" s="44"/>
      <c r="WGL55" s="44"/>
      <c r="WGM55" s="44"/>
      <c r="WGN55" s="44"/>
      <c r="WGO55" s="44"/>
      <c r="WGP55" s="44"/>
      <c r="WGQ55" s="44"/>
      <c r="WGR55" s="44"/>
      <c r="WGS55" s="44"/>
      <c r="WGT55" s="44"/>
      <c r="WGU55" s="44"/>
      <c r="WGV55" s="44"/>
      <c r="WGW55" s="44"/>
      <c r="WGX55" s="44"/>
      <c r="WGY55" s="44"/>
      <c r="WGZ55" s="44"/>
      <c r="WHA55" s="44"/>
      <c r="WHB55" s="44"/>
      <c r="WHC55" s="44"/>
      <c r="WHD55" s="44"/>
      <c r="WHE55" s="44"/>
      <c r="WHF55" s="44"/>
      <c r="WHG55" s="44"/>
      <c r="WHH55" s="44"/>
      <c r="WHI55" s="44"/>
      <c r="WHJ55" s="44"/>
      <c r="WHK55" s="44"/>
      <c r="WHL55" s="44"/>
      <c r="WHM55" s="44"/>
      <c r="WHN55" s="44"/>
      <c r="WHO55" s="44"/>
      <c r="WHP55" s="44"/>
      <c r="WHQ55" s="44"/>
      <c r="WHR55" s="44"/>
      <c r="WHS55" s="44"/>
      <c r="WHT55" s="44"/>
      <c r="WHU55" s="44"/>
      <c r="WHV55" s="44"/>
      <c r="WHW55" s="44"/>
      <c r="WHX55" s="44"/>
      <c r="WHY55" s="44"/>
      <c r="WHZ55" s="44"/>
      <c r="WIA55" s="44"/>
      <c r="WIB55" s="44"/>
      <c r="WIC55" s="44"/>
      <c r="WID55" s="44"/>
      <c r="WIE55" s="44"/>
      <c r="WIF55" s="44"/>
      <c r="WIG55" s="44"/>
      <c r="WIH55" s="44"/>
      <c r="WII55" s="44"/>
      <c r="WIJ55" s="44"/>
      <c r="WIK55" s="44"/>
      <c r="WIL55" s="44"/>
      <c r="WIM55" s="44"/>
      <c r="WIN55" s="44"/>
      <c r="WIO55" s="44"/>
      <c r="WIP55" s="44"/>
      <c r="WIQ55" s="44"/>
      <c r="WIR55" s="44"/>
      <c r="WIS55" s="44"/>
      <c r="WIT55" s="44"/>
      <c r="WIU55" s="44"/>
      <c r="WIV55" s="44"/>
      <c r="WIW55" s="44"/>
      <c r="WIX55" s="44"/>
      <c r="WIY55" s="44"/>
      <c r="WIZ55" s="44"/>
      <c r="WJA55" s="44"/>
      <c r="WJB55" s="44"/>
      <c r="WJC55" s="44"/>
      <c r="WJD55" s="44"/>
      <c r="WJE55" s="44"/>
      <c r="WJF55" s="44"/>
      <c r="WJG55" s="44"/>
      <c r="WJH55" s="44"/>
      <c r="WJI55" s="44"/>
      <c r="WJJ55" s="44"/>
      <c r="WJK55" s="44"/>
      <c r="WJL55" s="44"/>
      <c r="WJM55" s="44"/>
      <c r="WJN55" s="44"/>
      <c r="WJO55" s="44"/>
      <c r="WJP55" s="44"/>
      <c r="WJQ55" s="44"/>
      <c r="WJR55" s="44"/>
      <c r="WJS55" s="44"/>
      <c r="WJT55" s="44"/>
      <c r="WJU55" s="44"/>
      <c r="WJV55" s="44"/>
      <c r="WJW55" s="44"/>
      <c r="WJX55" s="44"/>
      <c r="WJY55" s="44"/>
      <c r="WJZ55" s="44"/>
      <c r="WKA55" s="44"/>
      <c r="WKB55" s="44"/>
      <c r="WKC55" s="44"/>
      <c r="WKD55" s="44"/>
      <c r="WKE55" s="44"/>
      <c r="WKF55" s="44"/>
      <c r="WKG55" s="44"/>
      <c r="WKH55" s="44"/>
      <c r="WKI55" s="44"/>
      <c r="WKJ55" s="44"/>
      <c r="WKK55" s="44"/>
      <c r="WKL55" s="44"/>
      <c r="WKM55" s="44"/>
      <c r="WKN55" s="44"/>
      <c r="WKO55" s="44"/>
      <c r="WKP55" s="44"/>
      <c r="WKQ55" s="44"/>
      <c r="WKR55" s="44"/>
      <c r="WKS55" s="44"/>
      <c r="WKT55" s="44"/>
      <c r="WKU55" s="44"/>
      <c r="WKV55" s="44"/>
      <c r="WKW55" s="44"/>
      <c r="WKX55" s="44"/>
      <c r="WKY55" s="44"/>
      <c r="WKZ55" s="44"/>
      <c r="WLA55" s="44"/>
      <c r="WLB55" s="44"/>
      <c r="WLC55" s="44"/>
      <c r="WLD55" s="44"/>
      <c r="WLE55" s="44"/>
      <c r="WLF55" s="44"/>
      <c r="WLG55" s="44"/>
      <c r="WLH55" s="44"/>
      <c r="WLI55" s="44"/>
      <c r="WLJ55" s="44"/>
      <c r="WLK55" s="44"/>
      <c r="WLL55" s="44"/>
      <c r="WLM55" s="44"/>
      <c r="WLN55" s="44"/>
      <c r="WLO55" s="44"/>
      <c r="WLP55" s="44"/>
      <c r="WLQ55" s="44"/>
      <c r="WLR55" s="44"/>
      <c r="WLS55" s="44"/>
      <c r="WLT55" s="44"/>
      <c r="WLU55" s="44"/>
      <c r="WLV55" s="44"/>
      <c r="WLW55" s="44"/>
      <c r="WLX55" s="44"/>
      <c r="WLY55" s="44"/>
      <c r="WLZ55" s="44"/>
      <c r="WMA55" s="44"/>
      <c r="WMB55" s="44"/>
      <c r="WMC55" s="44"/>
      <c r="WMD55" s="44"/>
      <c r="WME55" s="44"/>
      <c r="WMF55" s="44"/>
      <c r="WMG55" s="44"/>
      <c r="WMH55" s="44"/>
      <c r="WMI55" s="44"/>
      <c r="WMJ55" s="44"/>
      <c r="WMK55" s="44"/>
      <c r="WML55" s="44"/>
      <c r="WMM55" s="44"/>
      <c r="WMN55" s="44"/>
      <c r="WMO55" s="44"/>
      <c r="WMP55" s="44"/>
      <c r="WMQ55" s="44"/>
      <c r="WMR55" s="44"/>
      <c r="WMS55" s="44"/>
      <c r="WMT55" s="44"/>
      <c r="WMU55" s="44"/>
      <c r="WMV55" s="44"/>
      <c r="WMW55" s="44"/>
      <c r="WMX55" s="44"/>
      <c r="WMY55" s="44"/>
      <c r="WMZ55" s="44"/>
      <c r="WNA55" s="44"/>
      <c r="WNB55" s="44"/>
      <c r="WNC55" s="44"/>
      <c r="WND55" s="44"/>
      <c r="WNE55" s="44"/>
      <c r="WNF55" s="44"/>
      <c r="WNG55" s="44"/>
      <c r="WNH55" s="44"/>
      <c r="WNI55" s="44"/>
      <c r="WNJ55" s="44"/>
      <c r="WNK55" s="44"/>
      <c r="WNL55" s="44"/>
      <c r="WNM55" s="44"/>
      <c r="WNN55" s="44"/>
      <c r="WNO55" s="44"/>
      <c r="WNP55" s="44"/>
      <c r="WNQ55" s="44"/>
      <c r="WNR55" s="44"/>
      <c r="WNS55" s="44"/>
      <c r="WNT55" s="44"/>
      <c r="WNU55" s="44"/>
      <c r="WNV55" s="44"/>
      <c r="WNW55" s="44"/>
      <c r="WNX55" s="44"/>
      <c r="WNY55" s="44"/>
      <c r="WNZ55" s="44"/>
      <c r="WOA55" s="44"/>
      <c r="WOB55" s="44"/>
      <c r="WOC55" s="44"/>
      <c r="WOD55" s="44"/>
      <c r="WOE55" s="44"/>
      <c r="WOF55" s="44"/>
      <c r="WOG55" s="44"/>
      <c r="WOH55" s="44"/>
      <c r="WOI55" s="44"/>
      <c r="WOJ55" s="44"/>
      <c r="WOK55" s="44"/>
      <c r="WOL55" s="44"/>
      <c r="WOM55" s="44"/>
      <c r="WON55" s="44"/>
      <c r="WOO55" s="44"/>
      <c r="WOP55" s="44"/>
      <c r="WOQ55" s="44"/>
      <c r="WOR55" s="44"/>
      <c r="WOS55" s="44"/>
      <c r="WOT55" s="44"/>
      <c r="WOU55" s="44"/>
      <c r="WOV55" s="44"/>
      <c r="WOW55" s="44"/>
      <c r="WOX55" s="44"/>
      <c r="WOY55" s="44"/>
      <c r="WOZ55" s="44"/>
      <c r="WPA55" s="44"/>
      <c r="WPB55" s="44"/>
      <c r="WPC55" s="44"/>
      <c r="WPD55" s="44"/>
      <c r="WPE55" s="44"/>
      <c r="WPF55" s="44"/>
      <c r="WPG55" s="44"/>
      <c r="WPH55" s="44"/>
      <c r="WPI55" s="44"/>
      <c r="WPJ55" s="44"/>
      <c r="WPK55" s="44"/>
      <c r="WPL55" s="44"/>
      <c r="WPM55" s="44"/>
      <c r="WPN55" s="44"/>
      <c r="WPO55" s="44"/>
      <c r="WPP55" s="44"/>
      <c r="WPQ55" s="44"/>
      <c r="WPR55" s="44"/>
      <c r="WPS55" s="44"/>
      <c r="WPT55" s="44"/>
      <c r="WPU55" s="44"/>
      <c r="WPV55" s="44"/>
      <c r="WPW55" s="44"/>
      <c r="WPX55" s="44"/>
      <c r="WPY55" s="44"/>
      <c r="WPZ55" s="44"/>
      <c r="WQA55" s="44"/>
      <c r="WQB55" s="44"/>
      <c r="WQC55" s="44"/>
      <c r="WQD55" s="44"/>
      <c r="WQE55" s="44"/>
      <c r="WQF55" s="44"/>
      <c r="WQG55" s="44"/>
      <c r="WQH55" s="44"/>
      <c r="WQI55" s="44"/>
      <c r="WQJ55" s="44"/>
      <c r="WQK55" s="44"/>
      <c r="WQL55" s="44"/>
      <c r="WQM55" s="44"/>
      <c r="WQN55" s="44"/>
      <c r="WQO55" s="44"/>
      <c r="WQP55" s="44"/>
      <c r="WQQ55" s="44"/>
      <c r="WQR55" s="44"/>
      <c r="WQS55" s="44"/>
      <c r="WQT55" s="44"/>
      <c r="WQU55" s="44"/>
      <c r="WQV55" s="44"/>
      <c r="WQW55" s="44"/>
      <c r="WQX55" s="44"/>
      <c r="WQY55" s="44"/>
      <c r="WQZ55" s="44"/>
      <c r="WRA55" s="44"/>
      <c r="WRB55" s="44"/>
      <c r="WRC55" s="44"/>
      <c r="WRD55" s="44"/>
      <c r="WRE55" s="44"/>
      <c r="WRF55" s="44"/>
      <c r="WRG55" s="44"/>
      <c r="WRH55" s="44"/>
      <c r="WRI55" s="44"/>
      <c r="WRJ55" s="44"/>
      <c r="WRK55" s="44"/>
      <c r="WRL55" s="44"/>
      <c r="WRM55" s="44"/>
      <c r="WRN55" s="44"/>
      <c r="WRO55" s="44"/>
      <c r="WRP55" s="44"/>
      <c r="WRQ55" s="44"/>
      <c r="WRR55" s="44"/>
      <c r="WRS55" s="44"/>
      <c r="WRT55" s="44"/>
      <c r="WRU55" s="44"/>
      <c r="WRV55" s="44"/>
      <c r="WRW55" s="44"/>
      <c r="WRX55" s="44"/>
      <c r="WRY55" s="44"/>
      <c r="WRZ55" s="44"/>
      <c r="WSA55" s="44"/>
      <c r="WSB55" s="44"/>
      <c r="WSC55" s="44"/>
      <c r="WSD55" s="44"/>
      <c r="WSE55" s="44"/>
      <c r="WSF55" s="44"/>
      <c r="WSG55" s="44"/>
      <c r="WSH55" s="44"/>
      <c r="WSI55" s="44"/>
      <c r="WSJ55" s="44"/>
      <c r="WSK55" s="44"/>
      <c r="WSL55" s="44"/>
      <c r="WSM55" s="44"/>
      <c r="WSN55" s="44"/>
      <c r="WSO55" s="44"/>
      <c r="WSP55" s="44"/>
      <c r="WSQ55" s="44"/>
      <c r="WSR55" s="44"/>
      <c r="WSS55" s="44"/>
      <c r="WST55" s="44"/>
      <c r="WSU55" s="44"/>
      <c r="WSV55" s="44"/>
      <c r="WSW55" s="44"/>
      <c r="WSX55" s="44"/>
      <c r="WSY55" s="44"/>
      <c r="WSZ55" s="44"/>
      <c r="WTA55" s="44"/>
      <c r="WTB55" s="44"/>
      <c r="WTC55" s="44"/>
      <c r="WTD55" s="44"/>
      <c r="WTE55" s="44"/>
      <c r="WTF55" s="44"/>
      <c r="WTG55" s="44"/>
      <c r="WTH55" s="44"/>
      <c r="WTI55" s="44"/>
      <c r="WTJ55" s="44"/>
      <c r="WTK55" s="44"/>
      <c r="WTL55" s="44"/>
      <c r="WTM55" s="44"/>
      <c r="WTN55" s="44"/>
      <c r="WTO55" s="44"/>
      <c r="WTP55" s="44"/>
      <c r="WTQ55" s="44"/>
      <c r="WTR55" s="44"/>
      <c r="WTS55" s="44"/>
      <c r="WTT55" s="44"/>
      <c r="WTU55" s="44"/>
      <c r="WTV55" s="44"/>
      <c r="WTW55" s="44"/>
      <c r="WTX55" s="44"/>
      <c r="WTY55" s="44"/>
      <c r="WTZ55" s="44"/>
      <c r="WUA55" s="44"/>
      <c r="WUB55" s="44"/>
      <c r="WUC55" s="44"/>
      <c r="WUD55" s="44"/>
      <c r="WUE55" s="44"/>
      <c r="WUF55" s="44"/>
      <c r="WUG55" s="44"/>
      <c r="WUH55" s="44"/>
      <c r="WUI55" s="44"/>
      <c r="WUJ55" s="44"/>
      <c r="WUK55" s="44"/>
      <c r="WUL55" s="44"/>
      <c r="WUM55" s="44"/>
      <c r="WUN55" s="44"/>
      <c r="WUO55" s="44"/>
      <c r="WUP55" s="44"/>
      <c r="WUQ55" s="44"/>
      <c r="WUR55" s="44"/>
      <c r="WUS55" s="44"/>
      <c r="WUT55" s="44"/>
      <c r="WUU55" s="44"/>
      <c r="WUV55" s="44"/>
      <c r="WUW55" s="44"/>
      <c r="WUX55" s="44"/>
      <c r="WUY55" s="44"/>
      <c r="WUZ55" s="44"/>
      <c r="WVA55" s="44"/>
      <c r="WVB55" s="44"/>
      <c r="WVC55" s="44"/>
      <c r="WVD55" s="44"/>
      <c r="WVE55" s="44"/>
      <c r="WVF55" s="44"/>
      <c r="WVG55" s="44"/>
      <c r="WVH55" s="44"/>
      <c r="WVI55" s="44"/>
      <c r="WVJ55" s="44"/>
      <c r="WVK55" s="44"/>
      <c r="WVL55" s="44"/>
      <c r="WVM55" s="44"/>
      <c r="WVN55" s="44"/>
      <c r="WVO55" s="44"/>
      <c r="WVP55" s="44"/>
      <c r="WVQ55" s="44"/>
      <c r="WVR55" s="44"/>
      <c r="WVS55" s="44"/>
      <c r="WVT55" s="44"/>
      <c r="WVU55" s="44"/>
      <c r="WVV55" s="44"/>
      <c r="WVW55" s="44"/>
      <c r="WVX55" s="44"/>
      <c r="WVY55" s="44"/>
      <c r="WVZ55" s="44"/>
      <c r="WWA55" s="44"/>
      <c r="WWB55" s="44"/>
      <c r="WWC55" s="44"/>
      <c r="WWD55" s="44"/>
      <c r="WWE55" s="44"/>
      <c r="WWF55" s="44"/>
      <c r="WWG55" s="44"/>
      <c r="WWH55" s="44"/>
      <c r="WWI55" s="44"/>
      <c r="WWJ55" s="44"/>
      <c r="WWK55" s="44"/>
      <c r="WWL55" s="44"/>
      <c r="WWM55" s="44"/>
      <c r="WWN55" s="44"/>
      <c r="WWO55" s="44"/>
      <c r="WWP55" s="44"/>
      <c r="WWQ55" s="44"/>
      <c r="WWR55" s="44"/>
      <c r="WWS55" s="44"/>
      <c r="WWT55" s="44"/>
      <c r="WWU55" s="44"/>
      <c r="WWV55" s="44"/>
      <c r="WWW55" s="44"/>
      <c r="WWX55" s="44"/>
      <c r="WWY55" s="44"/>
      <c r="WWZ55" s="44"/>
      <c r="WXA55" s="44"/>
      <c r="WXB55" s="44"/>
      <c r="WXC55" s="44"/>
      <c r="WXD55" s="44"/>
      <c r="WXE55" s="44"/>
      <c r="WXF55" s="44"/>
      <c r="WXG55" s="44"/>
      <c r="WXH55" s="44"/>
      <c r="WXI55" s="44"/>
      <c r="WXJ55" s="44"/>
      <c r="WXK55" s="44"/>
      <c r="WXL55" s="44"/>
      <c r="WXM55" s="44"/>
      <c r="WXN55" s="44"/>
      <c r="WXO55" s="44"/>
      <c r="WXP55" s="44"/>
      <c r="WXQ55" s="44"/>
      <c r="WXR55" s="44"/>
      <c r="WXS55" s="44"/>
      <c r="WXT55" s="44"/>
      <c r="WXU55" s="44"/>
      <c r="WXV55" s="44"/>
      <c r="WXW55" s="44"/>
      <c r="WXX55" s="44"/>
      <c r="WXY55" s="44"/>
      <c r="WXZ55" s="44"/>
      <c r="WYA55" s="44"/>
      <c r="WYB55" s="44"/>
      <c r="WYC55" s="44"/>
      <c r="WYD55" s="44"/>
      <c r="WYE55" s="44"/>
      <c r="WYF55" s="44"/>
      <c r="WYG55" s="44"/>
      <c r="WYH55" s="44"/>
      <c r="WYI55" s="44"/>
      <c r="WYJ55" s="44"/>
      <c r="WYK55" s="44"/>
      <c r="WYL55" s="44"/>
      <c r="WYM55" s="44"/>
      <c r="WYN55" s="44"/>
      <c r="WYO55" s="44"/>
      <c r="WYP55" s="44"/>
      <c r="WYQ55" s="44"/>
      <c r="WYR55" s="44"/>
      <c r="WYS55" s="44"/>
      <c r="WYT55" s="44"/>
      <c r="WYU55" s="44"/>
      <c r="WYV55" s="44"/>
      <c r="WYW55" s="44"/>
      <c r="WYX55" s="44"/>
      <c r="WYY55" s="44"/>
      <c r="WYZ55" s="44"/>
      <c r="WZA55" s="44"/>
      <c r="WZB55" s="44"/>
      <c r="WZC55" s="44"/>
      <c r="WZD55" s="44"/>
      <c r="WZE55" s="44"/>
      <c r="WZF55" s="44"/>
      <c r="WZG55" s="44"/>
      <c r="WZH55" s="44"/>
      <c r="WZI55" s="44"/>
      <c r="WZJ55" s="44"/>
      <c r="WZK55" s="44"/>
      <c r="WZL55" s="44"/>
      <c r="WZM55" s="44"/>
      <c r="WZN55" s="44"/>
      <c r="WZO55" s="44"/>
      <c r="WZP55" s="44"/>
      <c r="WZQ55" s="44"/>
      <c r="WZR55" s="44"/>
      <c r="WZS55" s="44"/>
      <c r="WZT55" s="44"/>
      <c r="WZU55" s="44"/>
      <c r="WZV55" s="44"/>
      <c r="WZW55" s="44"/>
      <c r="WZX55" s="44"/>
      <c r="WZY55" s="44"/>
      <c r="WZZ55" s="44"/>
      <c r="XAA55" s="44"/>
      <c r="XAB55" s="44"/>
      <c r="XAC55" s="44"/>
      <c r="XAD55" s="44"/>
      <c r="XAE55" s="44"/>
      <c r="XAF55" s="44"/>
      <c r="XAG55" s="44"/>
      <c r="XAH55" s="44"/>
      <c r="XAI55" s="44"/>
      <c r="XAJ55" s="44"/>
      <c r="XAK55" s="44"/>
      <c r="XAL55" s="44"/>
      <c r="XAM55" s="44"/>
      <c r="XAN55" s="44"/>
      <c r="XAO55" s="44"/>
      <c r="XAP55" s="44"/>
      <c r="XAQ55" s="44"/>
      <c r="XAR55" s="44"/>
      <c r="XAS55" s="44"/>
      <c r="XAT55" s="44"/>
      <c r="XAU55" s="44"/>
      <c r="XAV55" s="44"/>
      <c r="XAW55" s="44"/>
      <c r="XAX55" s="44"/>
      <c r="XAY55" s="44"/>
      <c r="XAZ55" s="44"/>
      <c r="XBA55" s="44"/>
      <c r="XBB55" s="44"/>
      <c r="XBC55" s="44"/>
      <c r="XBD55" s="44"/>
      <c r="XBE55" s="44"/>
      <c r="XBF55" s="44"/>
      <c r="XBG55" s="44"/>
      <c r="XBH55" s="44"/>
      <c r="XBI55" s="44"/>
      <c r="XBJ55" s="44"/>
      <c r="XBK55" s="44"/>
      <c r="XBL55" s="44"/>
      <c r="XBM55" s="44"/>
      <c r="XBN55" s="44"/>
      <c r="XBO55" s="44"/>
      <c r="XBP55" s="44"/>
      <c r="XBQ55" s="44"/>
      <c r="XBR55" s="44"/>
      <c r="XBS55" s="44"/>
      <c r="XBT55" s="44"/>
      <c r="XBU55" s="44"/>
      <c r="XBV55" s="44"/>
      <c r="XBW55" s="44"/>
      <c r="XBX55" s="44"/>
      <c r="XBY55" s="44"/>
      <c r="XBZ55" s="44"/>
      <c r="XCA55" s="44"/>
      <c r="XCB55" s="44"/>
      <c r="XCC55" s="44"/>
      <c r="XCD55" s="44"/>
      <c r="XCE55" s="44"/>
      <c r="XCF55" s="44"/>
      <c r="XCG55" s="44"/>
      <c r="XCH55" s="44"/>
      <c r="XCI55" s="44"/>
      <c r="XCJ55" s="44"/>
      <c r="XCK55" s="44"/>
      <c r="XCL55" s="44"/>
      <c r="XCM55" s="44"/>
      <c r="XCN55" s="44"/>
      <c r="XCO55" s="44"/>
      <c r="XCP55" s="44"/>
      <c r="XCQ55" s="44"/>
      <c r="XCR55" s="44"/>
      <c r="XCS55" s="44"/>
      <c r="XCT55" s="44"/>
      <c r="XCU55" s="44"/>
      <c r="XCV55" s="44"/>
      <c r="XCW55" s="44"/>
      <c r="XCX55" s="44"/>
      <c r="XCY55" s="44"/>
      <c r="XCZ55" s="44"/>
      <c r="XDA55" s="44"/>
      <c r="XDB55" s="44"/>
      <c r="XDC55" s="44"/>
      <c r="XDD55" s="44"/>
      <c r="XDE55" s="44"/>
      <c r="XDF55" s="44"/>
      <c r="XDG55" s="44"/>
      <c r="XDH55" s="44"/>
      <c r="XDI55" s="44"/>
      <c r="XDJ55" s="44"/>
      <c r="XDK55" s="44"/>
      <c r="XDL55" s="44"/>
      <c r="XDM55" s="44"/>
      <c r="XDN55" s="44"/>
      <c r="XDO55" s="44"/>
      <c r="XDP55" s="44"/>
      <c r="XDQ55" s="44"/>
      <c r="XDR55" s="44"/>
      <c r="XDS55" s="44"/>
      <c r="XDT55" s="44"/>
      <c r="XDU55" s="44"/>
      <c r="XDV55" s="44"/>
      <c r="XDW55" s="44"/>
      <c r="XDX55" s="44"/>
      <c r="XDY55" s="44"/>
      <c r="XDZ55" s="44"/>
      <c r="XEA55" s="44"/>
      <c r="XEB55" s="44"/>
      <c r="XEC55" s="44"/>
      <c r="XED55" s="44"/>
      <c r="XEE55" s="44"/>
      <c r="XEF55" s="44"/>
      <c r="XEG55" s="44"/>
      <c r="XEH55" s="44"/>
      <c r="XEI55" s="44"/>
      <c r="XEJ55" s="44"/>
      <c r="XEK55" s="44"/>
      <c r="XEL55" s="44"/>
      <c r="XEM55" s="44"/>
      <c r="XEN55" s="44"/>
      <c r="XEO55" s="44"/>
      <c r="XEP55" s="44"/>
      <c r="XEQ55" s="44"/>
      <c r="XER55" s="44"/>
      <c r="XES55" s="44"/>
      <c r="XET55" s="44"/>
      <c r="XEU55" s="44"/>
      <c r="XEV55" s="44"/>
      <c r="XEW55" s="44"/>
      <c r="XEX55" s="44"/>
      <c r="XEY55" s="44"/>
      <c r="XEZ55" s="44"/>
      <c r="XFA55" s="44"/>
      <c r="XFB55" s="44"/>
      <c r="XFC55" s="44"/>
      <c r="XFD55" s="44"/>
    </row>
    <row r="57" spans="2:16384" x14ac:dyDescent="0.25">
      <c r="C57" s="102" t="s">
        <v>646</v>
      </c>
      <c r="J57" s="199">
        <f>J59</f>
        <v>824423646.93215704</v>
      </c>
      <c r="K57" s="181">
        <f>J57/J$93</f>
        <v>3.1454292999777894E-2</v>
      </c>
      <c r="L57" s="44"/>
      <c r="M57" s="199">
        <f>M59</f>
        <v>88892230.790555999</v>
      </c>
      <c r="N57" s="181">
        <f>M57/M$93</f>
        <v>2.8398403128403256E-2</v>
      </c>
    </row>
    <row r="58" spans="2:16384" x14ac:dyDescent="0.25">
      <c r="C58" s="197">
        <f>1+C53</f>
        <v>6</v>
      </c>
      <c r="D58" t="str">
        <f>Control!D14</f>
        <v>Costos de facturación (incluyendo el sistema de facturación a clientes minoristas) sobre el total de ingresos</v>
      </c>
      <c r="H58" s="77" t="s">
        <v>172</v>
      </c>
      <c r="J58" s="330">
        <f>Billing.cost</f>
        <v>3.987524368094237E-2</v>
      </c>
      <c r="M58" s="228">
        <f>Billing.cost</f>
        <v>3.987524368094237E-2</v>
      </c>
      <c r="N58" s="44"/>
    </row>
    <row r="59" spans="2:16384" x14ac:dyDescent="0.25">
      <c r="C59" s="95">
        <f>1+C58</f>
        <v>7</v>
      </c>
      <c r="D59" t="s">
        <v>647</v>
      </c>
      <c r="H59" t="s">
        <v>643</v>
      </c>
      <c r="J59" s="134">
        <f>J58*J$53</f>
        <v>824423646.93215704</v>
      </c>
      <c r="M59" s="134">
        <f>M58*M$53</f>
        <v>88892230.790555999</v>
      </c>
      <c r="N59" s="44"/>
    </row>
    <row r="60" spans="2:16384" x14ac:dyDescent="0.25">
      <c r="N60" s="44"/>
    </row>
    <row r="61" spans="2:16384" x14ac:dyDescent="0.25">
      <c r="C61" s="102" t="s">
        <v>648</v>
      </c>
      <c r="J61" s="199">
        <f>J63</f>
        <v>383017603.77240562</v>
      </c>
      <c r="K61" s="181">
        <f>J61/J$93</f>
        <v>1.4613297396261478E-2</v>
      </c>
      <c r="L61" s="44"/>
      <c r="M61" s="199">
        <f>M63</f>
        <v>41298292.883857816</v>
      </c>
      <c r="N61" s="181">
        <f>M61/M$93</f>
        <v>1.3193566630068888E-2</v>
      </c>
    </row>
    <row r="62" spans="2:16384" x14ac:dyDescent="0.25">
      <c r="C62" s="95">
        <f>1+C59</f>
        <v>8</v>
      </c>
      <c r="D62" t="s">
        <v>649</v>
      </c>
      <c r="H62" s="77" t="s">
        <v>172</v>
      </c>
      <c r="J62" s="330">
        <f>Bad.debt.cost</f>
        <v>1.8525572794216728E-2</v>
      </c>
      <c r="L62" s="44"/>
      <c r="M62" s="228">
        <f>Bad.debt.cost</f>
        <v>1.8525572794216728E-2</v>
      </c>
      <c r="N62" s="44"/>
    </row>
    <row r="63" spans="2:16384" x14ac:dyDescent="0.25">
      <c r="C63" s="95">
        <f>1+C62</f>
        <v>9</v>
      </c>
      <c r="D63" t="s">
        <v>647</v>
      </c>
      <c r="H63" s="44" t="s">
        <v>643</v>
      </c>
      <c r="J63" s="134">
        <f>J62*J$53</f>
        <v>383017603.77240562</v>
      </c>
      <c r="L63" s="44"/>
      <c r="M63" s="134">
        <f>M62*M$53</f>
        <v>41298292.883857816</v>
      </c>
      <c r="N63" s="44"/>
    </row>
    <row r="64" spans="2:16384" x14ac:dyDescent="0.25">
      <c r="N64" s="44"/>
    </row>
    <row r="65" spans="3:16" x14ac:dyDescent="0.25">
      <c r="C65" s="102" t="s">
        <v>436</v>
      </c>
      <c r="J65" s="199">
        <f>J68</f>
        <v>398817529.22100079</v>
      </c>
      <c r="K65" s="181">
        <f>J65/J$93</f>
        <v>1.5216113055763852E-2</v>
      </c>
      <c r="L65" s="44"/>
      <c r="M65" s="199">
        <f>M68</f>
        <v>43001895.909652241</v>
      </c>
      <c r="N65" s="181">
        <f>M65/M$93</f>
        <v>1.3737816730072201E-2</v>
      </c>
    </row>
    <row r="66" spans="3:16" x14ac:dyDescent="0.25">
      <c r="C66" s="95">
        <f>1+C62</f>
        <v>9</v>
      </c>
      <c r="D66" t="s">
        <v>650</v>
      </c>
      <c r="H66" s="77" t="s">
        <v>438</v>
      </c>
      <c r="J66" s="193">
        <f>Customer.care.line.rental.per.staff</f>
        <v>4723.7325488630213</v>
      </c>
      <c r="M66" s="193">
        <f>Customer.care.line.rental.per.staff</f>
        <v>4723.7325488630213</v>
      </c>
      <c r="N66" s="44"/>
    </row>
    <row r="67" spans="3:16" x14ac:dyDescent="0.25">
      <c r="C67" s="95">
        <f>1+C66</f>
        <v>10</v>
      </c>
      <c r="D67" t="s">
        <v>651</v>
      </c>
      <c r="H67" s="77" t="s">
        <v>443</v>
      </c>
      <c r="J67" s="193">
        <f>Monthly.cost.per.staff</f>
        <v>16097.514254491789</v>
      </c>
      <c r="M67" s="193">
        <f>Monthly.cost.per.staff</f>
        <v>16097.514254491789</v>
      </c>
      <c r="N67" s="44"/>
    </row>
    <row r="68" spans="3:16" x14ac:dyDescent="0.25">
      <c r="C68" s="95">
        <f>1+C67</f>
        <v>11</v>
      </c>
      <c r="D68" t="s">
        <v>652</v>
      </c>
      <c r="H68" s="44" t="s">
        <v>643</v>
      </c>
      <c r="J68" s="134">
        <f>J9/J66*J67*12*K53</f>
        <v>398817529.22100079</v>
      </c>
      <c r="M68" s="134">
        <f>M9/M66*M67*12*N53</f>
        <v>43001895.909652241</v>
      </c>
      <c r="N68" s="44"/>
      <c r="P68" t="s">
        <v>707</v>
      </c>
    </row>
    <row r="69" spans="3:16" x14ac:dyDescent="0.25">
      <c r="N69" s="44"/>
    </row>
    <row r="70" spans="3:16" x14ac:dyDescent="0.25">
      <c r="C70" s="102" t="s">
        <v>445</v>
      </c>
      <c r="J70" s="199">
        <f>J82</f>
        <v>617541489.46960938</v>
      </c>
      <c r="K70" s="181">
        <f>J70/J$93</f>
        <v>2.3561103592283066E-2</v>
      </c>
      <c r="L70" s="44"/>
      <c r="M70" s="199">
        <f>M82</f>
        <v>66585475.573086731</v>
      </c>
      <c r="N70" s="181">
        <f>M70/M$93</f>
        <v>2.1272063497610617E-2</v>
      </c>
    </row>
    <row r="71" spans="3:16" x14ac:dyDescent="0.25">
      <c r="C71" s="197">
        <f>1+C68</f>
        <v>12</v>
      </c>
      <c r="D71" s="102" t="s">
        <v>653</v>
      </c>
      <c r="H71" t="s">
        <v>666</v>
      </c>
      <c r="J71" s="134">
        <f>J9/Customer.care.line.rental.per.staff</f>
        <v>2287.2031572999408</v>
      </c>
      <c r="M71" s="134">
        <f>M9/Customer.care.line.rental.per.staff</f>
        <v>2287.2031572999408</v>
      </c>
      <c r="N71" s="44"/>
    </row>
    <row r="72" spans="3:16" x14ac:dyDescent="0.25">
      <c r="C72" s="95">
        <f>1+C71</f>
        <v>13</v>
      </c>
      <c r="D72" s="103" t="s">
        <v>468</v>
      </c>
      <c r="H72" s="77" t="s">
        <v>172</v>
      </c>
      <c r="J72" s="191">
        <f>Admin.staff.per.customer.care.staff</f>
        <v>0.1</v>
      </c>
      <c r="L72" s="44"/>
      <c r="M72" s="191">
        <f>Admin.staff.per.customer.care.staff</f>
        <v>0.1</v>
      </c>
      <c r="N72" s="44"/>
    </row>
    <row r="73" spans="3:16" x14ac:dyDescent="0.25">
      <c r="C73" s="95">
        <f>1+C72</f>
        <v>14</v>
      </c>
      <c r="D73" s="103" t="s">
        <v>654</v>
      </c>
      <c r="H73" s="44" t="s">
        <v>666</v>
      </c>
      <c r="J73" s="134">
        <f>J71*J72</f>
        <v>228.7203157299941</v>
      </c>
      <c r="M73" s="134">
        <f>M71*M72</f>
        <v>228.7203157299941</v>
      </c>
      <c r="N73" s="44"/>
    </row>
    <row r="74" spans="3:16" x14ac:dyDescent="0.25">
      <c r="C74" s="95">
        <f>1+C73</f>
        <v>15</v>
      </c>
      <c r="D74" s="103" t="s">
        <v>655</v>
      </c>
      <c r="H74" s="44" t="s">
        <v>666</v>
      </c>
      <c r="J74" s="134">
        <f>(J71+J73)*K53</f>
        <v>2271.0508550550899</v>
      </c>
      <c r="M74" s="134">
        <f>(M71+M73)*N53</f>
        <v>244.87261797484499</v>
      </c>
      <c r="N74" s="44"/>
      <c r="P74" s="44" t="s">
        <v>707</v>
      </c>
    </row>
    <row r="75" spans="3:16" x14ac:dyDescent="0.25">
      <c r="N75" s="44"/>
    </row>
    <row r="76" spans="3:16" x14ac:dyDescent="0.25">
      <c r="C76" s="95">
        <f>1+C74</f>
        <v>16</v>
      </c>
      <c r="D76" s="102" t="s">
        <v>656</v>
      </c>
      <c r="N76" s="44"/>
    </row>
    <row r="77" spans="3:16" ht="13.5" x14ac:dyDescent="0.25">
      <c r="C77" s="95">
        <f>1+C76</f>
        <v>17</v>
      </c>
      <c r="D77" s="103" t="s">
        <v>657</v>
      </c>
      <c r="E77" s="103"/>
      <c r="H77" s="77" t="s">
        <v>470</v>
      </c>
      <c r="J77" s="193">
        <f>Floorspace.per.staff</f>
        <v>9</v>
      </c>
      <c r="L77" s="44"/>
      <c r="M77" s="193">
        <f>Floorspace.per.staff</f>
        <v>9</v>
      </c>
      <c r="N77" s="44"/>
    </row>
    <row r="78" spans="3:16" x14ac:dyDescent="0.25">
      <c r="C78" s="95">
        <f>1+C77</f>
        <v>18</v>
      </c>
      <c r="D78" s="103" t="s">
        <v>658</v>
      </c>
      <c r="E78" s="103"/>
      <c r="H78" s="77" t="s">
        <v>724</v>
      </c>
      <c r="J78" s="193">
        <f>Rent.per.sqm</f>
        <v>520</v>
      </c>
      <c r="L78" s="44"/>
      <c r="M78" s="193">
        <f>Rent.per.sqm</f>
        <v>520</v>
      </c>
      <c r="N78" s="44"/>
    </row>
    <row r="79" spans="3:16" x14ac:dyDescent="0.25">
      <c r="C79" s="95">
        <f>1+C78</f>
        <v>19</v>
      </c>
      <c r="D79" s="103" t="s">
        <v>656</v>
      </c>
      <c r="H79" s="44" t="s">
        <v>643</v>
      </c>
      <c r="J79" s="134">
        <f>J74*J78*J77*12</f>
        <v>127542216.01989385</v>
      </c>
      <c r="L79" s="44"/>
      <c r="M79" s="134">
        <f>M74*M78*M77*12</f>
        <v>13752046.225467294</v>
      </c>
      <c r="N79" s="44"/>
      <c r="P79" s="44" t="s">
        <v>707</v>
      </c>
    </row>
    <row r="80" spans="3:16" x14ac:dyDescent="0.25">
      <c r="N80" s="44"/>
    </row>
    <row r="81" spans="3:16" x14ac:dyDescent="0.25">
      <c r="C81" s="95">
        <f>1+C79</f>
        <v>20</v>
      </c>
      <c r="D81" s="102" t="s">
        <v>659</v>
      </c>
      <c r="H81" s="77" t="s">
        <v>172</v>
      </c>
      <c r="J81" s="228">
        <f>Admin.costs</f>
        <v>2.3699999999999999E-2</v>
      </c>
      <c r="L81" s="44"/>
      <c r="M81" s="228">
        <f>Admin.costs</f>
        <v>2.3699999999999999E-2</v>
      </c>
      <c r="N81" s="44"/>
    </row>
    <row r="82" spans="3:16" x14ac:dyDescent="0.25">
      <c r="C82" s="95">
        <f>1+C81</f>
        <v>21</v>
      </c>
      <c r="D82" s="103" t="s">
        <v>445</v>
      </c>
      <c r="H82" s="44" t="s">
        <v>643</v>
      </c>
      <c r="J82" s="134">
        <f>J79+J81*J$53</f>
        <v>617541489.46960938</v>
      </c>
      <c r="L82" s="44"/>
      <c r="M82" s="134">
        <f>M79+M81*M$53</f>
        <v>66585475.573086731</v>
      </c>
      <c r="N82" s="44"/>
      <c r="P82" s="44" t="s">
        <v>707</v>
      </c>
    </row>
    <row r="83" spans="3:16" x14ac:dyDescent="0.25">
      <c r="N83" s="44"/>
    </row>
    <row r="84" spans="3:16" x14ac:dyDescent="0.25">
      <c r="C84" s="102" t="s">
        <v>449</v>
      </c>
      <c r="N84" s="44"/>
    </row>
    <row r="85" spans="3:16" x14ac:dyDescent="0.25">
      <c r="C85" s="95">
        <f>1+C82</f>
        <v>22</v>
      </c>
      <c r="D85" t="s">
        <v>449</v>
      </c>
      <c r="H85" s="77" t="s">
        <v>172</v>
      </c>
      <c r="J85" s="330">
        <f>Retail.profit</f>
        <v>8.9754971998106364E-2</v>
      </c>
      <c r="K85" s="181">
        <f>SUM(K57,K61,K65,K70)*J85</f>
        <v>7.6152432804267034E-3</v>
      </c>
      <c r="L85" s="44"/>
      <c r="M85" s="330">
        <f>Retail.profit</f>
        <v>8.9754971998106364E-2</v>
      </c>
      <c r="N85" s="181">
        <f>SUM(N57,N61,N65,N70)*M85</f>
        <v>6.8753969005104828E-3</v>
      </c>
    </row>
    <row r="86" spans="3:16" x14ac:dyDescent="0.25">
      <c r="N86" s="44"/>
    </row>
    <row r="87" spans="3:16" x14ac:dyDescent="0.25">
      <c r="C87" s="102" t="s">
        <v>670</v>
      </c>
      <c r="N87" s="44"/>
    </row>
    <row r="88" spans="3:16" x14ac:dyDescent="0.25">
      <c r="C88" s="95">
        <f>1+C85</f>
        <v>23</v>
      </c>
      <c r="D88" t="s">
        <v>664</v>
      </c>
      <c r="H88" s="44" t="s">
        <v>643</v>
      </c>
      <c r="J88" s="200">
        <f>J50-J51</f>
        <v>5535135870.5306664</v>
      </c>
      <c r="K88" s="181">
        <f>J88/J93</f>
        <v>0.21118242558073971</v>
      </c>
      <c r="L88" s="130"/>
      <c r="M88" s="200">
        <f>M50-M51</f>
        <v>900925507.76172495</v>
      </c>
      <c r="N88" s="181">
        <f>M88/M93</f>
        <v>0.28781869383344377</v>
      </c>
    </row>
    <row r="89" spans="3:16" x14ac:dyDescent="0.25">
      <c r="C89" s="95">
        <f>1+C88</f>
        <v>24</v>
      </c>
      <c r="D89" s="130" t="s">
        <v>660</v>
      </c>
      <c r="H89" s="44" t="s">
        <v>643</v>
      </c>
      <c r="J89" s="199">
        <f>SUM(J57,J61,J65,J70)*(1+J85)+J88</f>
        <v>7958533270.8347836</v>
      </c>
      <c r="L89" s="44"/>
      <c r="M89" s="199">
        <f>SUM(M57,M61,M65,M70)*(1+M85)+M88</f>
        <v>1162224661.1844728</v>
      </c>
    </row>
    <row r="92" spans="3:16" x14ac:dyDescent="0.25">
      <c r="C92" s="102" t="s">
        <v>665</v>
      </c>
      <c r="D92" s="44"/>
    </row>
    <row r="93" spans="3:16" x14ac:dyDescent="0.25">
      <c r="C93" s="95">
        <f>1+C89</f>
        <v>25</v>
      </c>
      <c r="D93" s="44" t="s">
        <v>669</v>
      </c>
      <c r="H93" s="44" t="s">
        <v>643</v>
      </c>
      <c r="J93" s="134">
        <f>J48+J50</f>
        <v>26210210699.632587</v>
      </c>
      <c r="L93" s="44"/>
      <c r="M93" s="134">
        <f>M48+M50</f>
        <v>3130184130.0241485</v>
      </c>
    </row>
    <row r="94" spans="3:16" x14ac:dyDescent="0.25">
      <c r="C94" s="95">
        <f>1+C93</f>
        <v>26</v>
      </c>
      <c r="D94" s="130" t="s">
        <v>667</v>
      </c>
      <c r="H94" s="44" t="s">
        <v>643</v>
      </c>
      <c r="J94" s="193">
        <f>J89</f>
        <v>7958533270.8347836</v>
      </c>
      <c r="L94" s="44"/>
      <c r="M94" s="193">
        <f>M89</f>
        <v>1162224661.1844728</v>
      </c>
    </row>
    <row r="95" spans="3:16" x14ac:dyDescent="0.25">
      <c r="C95" s="95">
        <f>1+C94</f>
        <v>27</v>
      </c>
      <c r="D95" s="44" t="s">
        <v>668</v>
      </c>
      <c r="H95" s="44" t="s">
        <v>643</v>
      </c>
      <c r="J95" s="134">
        <f>J93-J94</f>
        <v>18251677428.797806</v>
      </c>
      <c r="L95" s="44"/>
      <c r="M95" s="134">
        <f>M93-M94</f>
        <v>1967959468.8396757</v>
      </c>
    </row>
    <row r="96" spans="3:16" x14ac:dyDescent="0.25">
      <c r="C96" s="44"/>
      <c r="D96" s="44"/>
    </row>
    <row r="97" spans="1:53" ht="12" x14ac:dyDescent="0.25">
      <c r="C97" s="102" t="s">
        <v>706</v>
      </c>
      <c r="D97" s="130"/>
      <c r="H97" s="77" t="s">
        <v>172</v>
      </c>
      <c r="J97" s="227">
        <f>J94/J93</f>
        <v>0.30364247590525267</v>
      </c>
      <c r="K97" s="45" t="s">
        <v>672</v>
      </c>
      <c r="M97" s="227">
        <f>M94/M93</f>
        <v>0.37129594072010919</v>
      </c>
      <c r="N97" s="45" t="s">
        <v>674</v>
      </c>
    </row>
    <row r="98" spans="1:53" ht="12" x14ac:dyDescent="0.25">
      <c r="C98" s="95">
        <f>1+C94</f>
        <v>27</v>
      </c>
      <c r="D98" s="103" t="s">
        <v>721</v>
      </c>
      <c r="H98" s="77" t="s">
        <v>172</v>
      </c>
      <c r="J98" s="201">
        <f>J88/J93</f>
        <v>0.21118242558073971</v>
      </c>
      <c r="K98" s="45"/>
      <c r="M98" s="201">
        <f>M88/M93</f>
        <v>0.28781869383344377</v>
      </c>
      <c r="N98" s="45"/>
    </row>
    <row r="99" spans="1:53" ht="12" x14ac:dyDescent="0.25">
      <c r="C99" s="95">
        <f>1+C98</f>
        <v>28</v>
      </c>
      <c r="D99" s="103" t="s">
        <v>705</v>
      </c>
      <c r="H99" s="77" t="s">
        <v>172</v>
      </c>
      <c r="J99" s="201">
        <f>J97-J98</f>
        <v>9.246005032451296E-2</v>
      </c>
      <c r="K99" s="45" t="s">
        <v>673</v>
      </c>
      <c r="L99" s="44"/>
      <c r="M99" s="201">
        <f>M97-M98</f>
        <v>8.3477246886665413E-2</v>
      </c>
      <c r="N99" s="45" t="s">
        <v>675</v>
      </c>
    </row>
    <row r="100" spans="1:53" x14ac:dyDescent="0.25">
      <c r="C100" s="44"/>
    </row>
    <row r="101" spans="1:53" s="44" customFormat="1" x14ac:dyDescent="0.25">
      <c r="A101" s="100" t="s">
        <v>425</v>
      </c>
      <c r="B101" s="100" t="s">
        <v>400</v>
      </c>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c r="AA101" s="40"/>
      <c r="AB101" s="40"/>
      <c r="AC101" s="40"/>
      <c r="AD101" s="40"/>
      <c r="AE101" s="40"/>
      <c r="AF101" s="40"/>
      <c r="AG101" s="40"/>
      <c r="AH101" s="40"/>
      <c r="AI101" s="40"/>
      <c r="AJ101" s="40"/>
      <c r="AK101" s="40"/>
      <c r="AL101" s="40"/>
      <c r="AM101" s="40"/>
      <c r="AN101" s="40"/>
      <c r="AO101" s="40"/>
      <c r="AP101" s="40"/>
      <c r="AQ101" s="40"/>
      <c r="AR101" s="40"/>
      <c r="AS101" s="40"/>
      <c r="AT101" s="40"/>
      <c r="AU101" s="40"/>
      <c r="AV101" s="40"/>
      <c r="AW101" s="40"/>
      <c r="AX101" s="40"/>
      <c r="AY101" s="40"/>
      <c r="AZ101" s="40"/>
      <c r="BA101" s="40"/>
    </row>
  </sheetData>
  <dataValidations count="1">
    <dataValidation type="list" allowBlank="1" showInputMessage="1" showErrorMessage="1" sqref="J48" xr:uid="{00000000-0002-0000-0A00-000000000000}">
      <formula1>$Q$50:$Q$53</formula1>
    </dataValidation>
  </dataValidations>
  <pageMargins left="0.7" right="0.7" top="0.75" bottom="0.75" header="0.3" footer="0.3"/>
  <pageSetup orientation="portrait" r:id="rId1"/>
  <ignoredErrors>
    <ignoredError sqref="J11:M13 C50:C99 K10:L10 J15:M16 K14:M14 J18:M18 K17:M17 J36:M38 K35:M35 J40:M42 K39:M39 J49:M49 L48:M48 J58:M58 K57:L57 J60:M60 K59:L59 J71:M73 L70:M70 J69:M69 K68:M68 J75:M78 K74:M74 J80:M81 K79:M79 J90:M92 L88:M88 K89:L89 K99:L99 K97:L97 K98:L98 J54:M56 L53 J64:M64 K63:L63 K67:M67 J66:L66 J52:M52 K50:L50 J96:M96 K93:L93 K94:L94 K95:L95 K51:M51 J83:M87 K82:M82 J20:M34 K19:M19 J45:M47 K44:M44 K43:M43 J62:M62 J61 L61:M61 K65:M65" unlockedFormula="1"/>
  </ignoredError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99</vt:i4>
      </vt:variant>
    </vt:vector>
  </HeadingPairs>
  <TitlesOfParts>
    <vt:vector size="115" baseType="lpstr">
      <vt:lpstr>C</vt:lpstr>
      <vt:lpstr>V</vt:lpstr>
      <vt:lpstr>S</vt:lpstr>
      <vt:lpstr>Listas</vt:lpstr>
      <vt:lpstr>Control</vt:lpstr>
      <vt:lpstr>Mercado</vt:lpstr>
      <vt:lpstr>Cálculos auxiliares</vt:lpstr>
      <vt:lpstr>Cálculos principales</vt:lpstr>
      <vt:lpstr>Calculos Renta de Linea y Voz</vt:lpstr>
      <vt:lpstr>Calculos Banda Ancha</vt:lpstr>
      <vt:lpstr>Tarifas SRL</vt:lpstr>
      <vt:lpstr>Tarifas SRMLT</vt:lpstr>
      <vt:lpstr>Resultados</vt:lpstr>
      <vt:lpstr>Datos AEP--&gt;</vt:lpstr>
      <vt:lpstr>Info planes y paquetes</vt:lpstr>
      <vt:lpstr>Datos precios</vt:lpstr>
      <vt:lpstr>Admin.costs</vt:lpstr>
      <vt:lpstr>Admin.staff.per.customer.care.staff</vt:lpstr>
      <vt:lpstr>AEP.broadband.distribution.by.plan</vt:lpstr>
      <vt:lpstr>AEP.broadband.subs.by.plan</vt:lpstr>
      <vt:lpstr>AEP.broadband.subs.non.residential</vt:lpstr>
      <vt:lpstr>AEP.broadband.subs.residential</vt:lpstr>
      <vt:lpstr>AEP.broadband.subs.residential.with.line.rental</vt:lpstr>
      <vt:lpstr>AEP.broadband.subs.residential.without.line.rental</vt:lpstr>
      <vt:lpstr>AEP.telephone.lines</vt:lpstr>
      <vt:lpstr>AEP.telephone.lines.voice.only</vt:lpstr>
      <vt:lpstr>AEP.telephone.lines.voice.only.noresidential</vt:lpstr>
      <vt:lpstr>AEP.telephone.lines.voice.only.residential</vt:lpstr>
      <vt:lpstr>AEP.telephony.distribution.by.plan</vt:lpstr>
      <vt:lpstr>AEP.telephony.subs.by.plan</vt:lpstr>
      <vt:lpstr>'C'!Área_de_impresión</vt:lpstr>
      <vt:lpstr>V!Área_de_impresión</vt:lpstr>
      <vt:lpstr>Bad.debt.cost</vt:lpstr>
      <vt:lpstr>Billing.cost</vt:lpstr>
      <vt:lpstr>Broadbad.suscriptions.AEP</vt:lpstr>
      <vt:lpstr>Broadbad.suscriptions.market</vt:lpstr>
      <vt:lpstr>Broadband.gross.adds.non.residential</vt:lpstr>
      <vt:lpstr>Broadband.gross.adds.residential.with.line.rental</vt:lpstr>
      <vt:lpstr>clarovideo.rental.without.taxes</vt:lpstr>
      <vt:lpstr>Customer.care.broadbandsubscriber.per.staff</vt:lpstr>
      <vt:lpstr>Customer.care.line.rental.per.staff</vt:lpstr>
      <vt:lpstr>equipo.terminal.parameter</vt:lpstr>
      <vt:lpstr>factor.Mbps.to.Kbps</vt:lpstr>
      <vt:lpstr>Floorspace.per.staff</vt:lpstr>
      <vt:lpstr>index.use.no.residential</vt:lpstr>
      <vt:lpstr>index.use.residential</vt:lpstr>
      <vt:lpstr>Line.rental.churn</vt:lpstr>
      <vt:lpstr>loading.call.durations.to.global.numbers</vt:lpstr>
      <vt:lpstr>loading.call.durations.to.local.fixed.numbers</vt:lpstr>
      <vt:lpstr>loading.call.durations.to.local.fixed.numbers.cost.minute.residential</vt:lpstr>
      <vt:lpstr>loading.call.durations.to.mobile.numbers</vt:lpstr>
      <vt:lpstr>loading.call.durations.to.north.america.fixed.numbers</vt:lpstr>
      <vt:lpstr>local.loop.cooper</vt:lpstr>
      <vt:lpstr>local.loop.FTTC</vt:lpstr>
      <vt:lpstr>local.loop.optical.fiber</vt:lpstr>
      <vt:lpstr>Marketing.and.sales.minimum.proportion.broadband</vt:lpstr>
      <vt:lpstr>Marketing.and.sales.minimum.proportion.line.rental</vt:lpstr>
      <vt:lpstr>Marketing.and.sales.per.gross.add.broadband</vt:lpstr>
      <vt:lpstr>Marketing.and.sales.per.gross.add.line.rental</vt:lpstr>
      <vt:lpstr>Monthly.cost.per.staff</vt:lpstr>
      <vt:lpstr>Rent.per.sqm</vt:lpstr>
      <vt:lpstr>Retail.minus.additional.calls</vt:lpstr>
      <vt:lpstr>Retail.minus.additional.calls.retail.minus.items.only</vt:lpstr>
      <vt:lpstr>Retail.minus.bitstream.retail.minus.items.only</vt:lpstr>
      <vt:lpstr>Retail.minus.int</vt:lpstr>
      <vt:lpstr>Retail.minus.int.retail.minus.items.only</vt:lpstr>
      <vt:lpstr>Retail.minus.line.rental</vt:lpstr>
      <vt:lpstr>Retail.minus.line.rental.retail.minus.items.only</vt:lpstr>
      <vt:lpstr>Retail.profit</vt:lpstr>
      <vt:lpstr>suscriptores2020</vt:lpstr>
      <vt:lpstr>suscriptores2021</vt:lpstr>
      <vt:lpstr>suscriptores2022</vt:lpstr>
      <vt:lpstr>unit.cost.digital.service.1</vt:lpstr>
      <vt:lpstr>unit.cost.digital.service.3</vt:lpstr>
      <vt:lpstr>unit.cost.digital.service.4</vt:lpstr>
      <vt:lpstr>unit.cost.digital.service.5</vt:lpstr>
      <vt:lpstr>vector.broadband.plans.names</vt:lpstr>
      <vt:lpstr>vector.broadband.plans.singleplay.names</vt:lpstr>
      <vt:lpstr>vector.distribution.users.broadband</vt:lpstr>
      <vt:lpstr>vector.downstream.publicited.speed</vt:lpstr>
      <vt:lpstr>vector.implicit.prices.broadband.after.discount</vt:lpstr>
      <vt:lpstr>vector.implicit.prices.broadband.before.discount</vt:lpstr>
      <vt:lpstr>vector.implicit.prices.digitalservices.after.discount</vt:lpstr>
      <vt:lpstr>vector.implicit.prices.digitalservices.before.discount</vt:lpstr>
      <vt:lpstr>vector.implicit.prices.line.rental.after.discount</vt:lpstr>
      <vt:lpstr>vector.implicit.prices.line.rental.before.discount</vt:lpstr>
      <vt:lpstr>vector.implicit.prices.line.rental.inside.wlr</vt:lpstr>
      <vt:lpstr>vector.implicit.prices.serviciosasociadosbandaancha.afterdiscount</vt:lpstr>
      <vt:lpstr>vector.implicit.prices.voice.after.discount</vt:lpstr>
      <vt:lpstr>vector.implicit.prices.voice.before.discount</vt:lpstr>
      <vt:lpstr>vector.lines.publicited</vt:lpstr>
      <vt:lpstr>vector.periodicity</vt:lpstr>
      <vt:lpstr>vector.plans.available</vt:lpstr>
      <vt:lpstr>vector.plans.names</vt:lpstr>
      <vt:lpstr>vector.plans.with.line.rental.noresidential</vt:lpstr>
      <vt:lpstr>vector.plans.with.line.rental.residential</vt:lpstr>
      <vt:lpstr>vector.proportion.of.implicit.prices.line.rental.wlr</vt:lpstr>
      <vt:lpstr>vector.telephony.plans.names</vt:lpstr>
      <vt:lpstr>vector.telephony.plans.singleplay.names</vt:lpstr>
      <vt:lpstr>vector.users.broadband</vt:lpstr>
      <vt:lpstr>vector.users.distribution.telephone</vt:lpstr>
      <vt:lpstr>vector.users.telephone</vt:lpstr>
      <vt:lpstr>weighted.average.local.loop.by.plan</vt:lpstr>
      <vt:lpstr>weighted.average.local.loop.by.plan.by.tx.media</vt:lpstr>
      <vt:lpstr>weighted.price.line.rental.no.residential</vt:lpstr>
      <vt:lpstr>weighted.price.line.rental.residential</vt:lpstr>
      <vt:lpstr>Workbook.Author</vt:lpstr>
      <vt:lpstr>Workbook.Authors_Email_Address</vt:lpstr>
      <vt:lpstr>Workbook.Objective</vt:lpstr>
      <vt:lpstr>Workbook.Status</vt:lpstr>
      <vt:lpstr>Workbook.Title</vt:lpstr>
      <vt:lpstr>Workbook.Version</vt:lpstr>
      <vt:lpstr>Year.selected</vt:lpstr>
      <vt:lpstr>Years</vt:lpstr>
      <vt:lpstr>years.client.retention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lastModifiedBy/>
  <dcterms:created xsi:type="dcterms:W3CDTF">2022-09-28T17:54:02Z</dcterms:created>
  <dcterms:modified xsi:type="dcterms:W3CDTF">2022-09-28T17:54:09Z</dcterms:modified>
</cp:coreProperties>
</file>